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drawings/drawing4.xml" ContentType="application/vnd.openxmlformats-officedocument.drawing+xml"/>
  <Override PartName="/xl/comments5.xml" ContentType="application/vnd.openxmlformats-officedocument.spreadsheetml.comments+xml"/>
  <Override PartName="/xl/drawings/drawing5.xml" ContentType="application/vnd.openxmlformats-officedocument.drawing+xml"/>
  <Override PartName="/xl/comments6.xml" ContentType="application/vnd.openxmlformats-officedocument.spreadsheetml.comments+xml"/>
  <Override PartName="/xl/drawings/drawing6.xml" ContentType="application/vnd.openxmlformats-officedocument.drawing+xml"/>
  <Override PartName="/xl/comments7.xml" ContentType="application/vnd.openxmlformats-officedocument.spreadsheetml.comments+xml"/>
  <Override PartName="/xl/drawings/drawing7.xml" ContentType="application/vnd.openxmlformats-officedocument.drawing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drawings/drawing8.xml" ContentType="application/vnd.openxmlformats-officedocument.drawing+xml"/>
  <Override PartName="/xl/comments12.xml" ContentType="application/vnd.openxmlformats-officedocument.spreadsheetml.comments+xml"/>
  <Override PartName="/xl/drawings/drawing9.xml" ContentType="application/vnd.openxmlformats-officedocument.drawing+xml"/>
  <Override PartName="/xl/comments13.xml" ContentType="application/vnd.openxmlformats-officedocument.spreadsheetml.comments+xml"/>
  <Override PartName="/xl/drawings/drawing10.xml" ContentType="application/vnd.openxmlformats-officedocument.drawing+xml"/>
  <Override PartName="/xl/comments14.xml" ContentType="application/vnd.openxmlformats-officedocument.spreadsheetml.comments+xml"/>
  <Override PartName="/xl/drawings/drawing11.xml" ContentType="application/vnd.openxmlformats-officedocument.drawing+xml"/>
  <Override PartName="/xl/comments15.xml" ContentType="application/vnd.openxmlformats-officedocument.spreadsheetml.comments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omments16.xml" ContentType="application/vnd.openxmlformats-officedocument.spreadsheetml.comment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omments17.xml" ContentType="application/vnd.openxmlformats-officedocument.spreadsheetml.comments+xml"/>
  <Override PartName="/xl/drawings/drawing16.xml" ContentType="application/vnd.openxmlformats-officedocument.drawing+xml"/>
  <Override PartName="/xl/comments18.xml" ContentType="application/vnd.openxmlformats-officedocument.spreadsheetml.comments+xml"/>
  <Override PartName="/xl/drawings/drawing17.xml" ContentType="application/vnd.openxmlformats-officedocument.drawing+xml"/>
  <Override PartName="/xl/comments19.xml" ContentType="application/vnd.openxmlformats-officedocument.spreadsheetml.comments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ECESCOR 2022\CIRCULARES 2025\DDJJ SEPTIEMBRE 2025\"/>
    </mc:Choice>
  </mc:AlternateContent>
  <xr:revisionPtr revIDLastSave="0" documentId="13_ncr:1_{29DC6B66-FBF5-4659-A0F6-CED1B745053E}" xr6:coauthVersionLast="47" xr6:coauthVersionMax="47" xr10:uidLastSave="{00000000-0000-0000-0000-000000000000}"/>
  <workbookProtection workbookAlgorithmName="SHA-512" workbookHashValue="Ftk2lii8aiLZCDIzH8+zGQ3HSiDjTLCO3NKEUVaA/DR/Nx14KJswtSEFGbViGrDPjFRjE9TrHrQ2hsMsRcEvQg==" workbookSaltValue="3osX+vdHXwv/MD02GiK19A==" workbookSpinCount="100000" lockStructure="1"/>
  <bookViews>
    <workbookView xWindow="-120" yWindow="-120" windowWidth="29040" windowHeight="15720" tabRatio="714" firstSheet="2" activeTab="2" xr2:uid="{00000000-000D-0000-FFFF-FFFF00000000}"/>
  </bookViews>
  <sheets>
    <sheet name="COEF" sheetId="42" state="hidden" r:id="rId1"/>
    <sheet name="HOJA DE ENTRADA DE DATOS" sheetId="47" state="hidden" r:id="rId2"/>
    <sheet name="Compra -HOJA1" sheetId="1" r:id="rId3"/>
    <sheet name="GUDI  -HOJA2" sheetId="16" r:id="rId4"/>
    <sheet name="SUMIN -HOJA3" sheetId="63" r:id="rId5"/>
    <sheet name="DDJJ EPEC S-II" sheetId="55" r:id="rId6"/>
    <sheet name="DDJJ EPEC S-II -GUDI" sheetId="64" r:id="rId7"/>
    <sheet name="DDJJ EPEC S-II -SUMIN" sheetId="65" r:id="rId8"/>
    <sheet name="Compra -HOJA 1-1-PARA SECCION I" sheetId="60" state="hidden" r:id="rId9"/>
    <sheet name="SECCION TSP" sheetId="69" state="hidden" r:id="rId10"/>
    <sheet name="DTO 641-SET 25" sheetId="53" r:id="rId11"/>
    <sheet name="RESUMEN DE CONTROL(SET24)" sheetId="66" state="hidden" r:id="rId12"/>
    <sheet name="DDJJ EPEC S-I " sheetId="61" state="hidden" r:id="rId13"/>
    <sheet name="CONTROL" sheetId="62" state="hidden" r:id="rId14"/>
    <sheet name="DDJJ EPEC S-I-VIEJO" sheetId="58" state="hidden" r:id="rId15"/>
    <sheet name="SECCION I-II" sheetId="19" state="hidden" r:id="rId16"/>
    <sheet name="DDJJ SI SII" sheetId="56" state="hidden" r:id="rId17"/>
    <sheet name="MEM" sheetId="54" state="hidden" r:id="rId18"/>
    <sheet name="UR1" sheetId="14" state="hidden" r:id="rId19"/>
    <sheet name="UR2" sheetId="15" state="hidden" r:id="rId20"/>
    <sheet name="NR10" sheetId="11" state="hidden" r:id="rId21"/>
    <sheet name="GUc" sheetId="10" state="hidden" r:id="rId22"/>
    <sheet name="GUd" sheetId="9" state="hidden" r:id="rId23"/>
    <sheet name="U30" sheetId="8" state="hidden" r:id="rId24"/>
    <sheet name="CAMMESA-SECCION I" sheetId="7" state="hidden" r:id="rId25"/>
    <sheet name="CAMMESA-SECCION II RESUMEN" sheetId="13" state="hidden" r:id="rId26"/>
    <sheet name="CAMMESA-SECCION III" sheetId="6" state="hidden" r:id="rId27"/>
    <sheet name="SECCION II RESIDENCIAL" sheetId="36" state="hidden" r:id="rId28"/>
    <sheet name="SECCION II NR1" sheetId="37" state="hidden" r:id="rId29"/>
    <sheet name="SECCION II NR2" sheetId="38" state="hidden" r:id="rId30"/>
    <sheet name="SECCION II AP" sheetId="40" state="hidden" r:id="rId31"/>
    <sheet name="SECCIONII U30" sheetId="33" state="hidden" r:id="rId32"/>
    <sheet name="SECCION II GUd" sheetId="34" state="hidden" r:id="rId33"/>
    <sheet name="SECCION III GUc" sheetId="35" state="hidden" r:id="rId34"/>
    <sheet name="PARA 870" sheetId="46" state="hidden" r:id="rId35"/>
    <sheet name="P870" sheetId="48" state="hidden" r:id="rId36"/>
    <sheet name="Hoja1" sheetId="50" state="hidden" r:id="rId37"/>
    <sheet name="DIF" sheetId="49" state="hidden" r:id="rId38"/>
    <sheet name="VALIDAR" sheetId="39" state="hidden" r:id="rId39"/>
    <sheet name="Informe de compatibilidad" sheetId="41" state="hidden" r:id="rId40"/>
  </sheets>
  <externalReferences>
    <externalReference r:id="rId41"/>
    <externalReference r:id="rId42"/>
    <externalReference r:id="rId43"/>
  </externalReferences>
  <definedNames>
    <definedName name="_xlnm._FilterDatabase" localSheetId="25" hidden="1">'CAMMESA-SECCION II RESUMEN'!#REF!</definedName>
    <definedName name="_xlnm._FilterDatabase" localSheetId="2" hidden="1">'Compra -HOJA1'!$C$290:$E$395</definedName>
    <definedName name="_xlnm._FilterDatabase" localSheetId="5" hidden="1">'DDJJ EPEC S-II'!$B$16:$D$127</definedName>
    <definedName name="_xlnm._FilterDatabase" localSheetId="10" hidden="1">'DTO 641-SET 25'!$C$47:$C$163</definedName>
    <definedName name="_xlnm._FilterDatabase" localSheetId="15" hidden="1">'SECCION I-II'!$A$15:$R$70</definedName>
    <definedName name="_xlnm._FilterDatabase" localSheetId="9" hidden="1">'SECCION TSP'!$D$48:$E$99</definedName>
    <definedName name="_xlnm._FilterDatabase" localSheetId="38" hidden="1">VALIDAR!$B$3:$E$87</definedName>
    <definedName name="_xlnm.Print_Area" localSheetId="24">'CAMMESA-SECCION I'!$A$1:$I$45</definedName>
    <definedName name="_xlnm.Print_Area" localSheetId="25">'CAMMESA-SECCION II RESUMEN'!$A$1:$H$37</definedName>
    <definedName name="_xlnm.Print_Area" localSheetId="26">'CAMMESA-SECCION III'!$A$1:$E$35</definedName>
    <definedName name="_xlnm.Print_Area" localSheetId="2">'Compra -HOJA1'!$A$1:$U$435</definedName>
    <definedName name="_xlnm.Print_Area" localSheetId="21">GUc!$A$1:$I$41</definedName>
    <definedName name="_xlnm.Print_Area" localSheetId="3">'GUDI  -HOJA2'!$A$1:$W$18</definedName>
    <definedName name="_xlnm.Print_Area" localSheetId="15">'SECCION I-II'!$A$2:$I$292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9" i="1" l="1"/>
  <c r="J175" i="1" l="1"/>
  <c r="J174" i="1"/>
  <c r="J173" i="1"/>
  <c r="J166" i="1"/>
  <c r="J165" i="1"/>
  <c r="J164" i="1"/>
  <c r="J163" i="1"/>
  <c r="J162" i="1"/>
  <c r="J161" i="1"/>
  <c r="J160" i="1"/>
  <c r="J159" i="1"/>
  <c r="J158" i="1"/>
  <c r="J151" i="1"/>
  <c r="J150" i="1"/>
  <c r="J149" i="1"/>
  <c r="J148" i="1"/>
  <c r="J147" i="1"/>
  <c r="J146" i="1"/>
  <c r="J145" i="1"/>
  <c r="J144" i="1"/>
  <c r="J143" i="1"/>
  <c r="J130" i="1"/>
  <c r="J131" i="1"/>
  <c r="J132" i="1"/>
  <c r="J133" i="1"/>
  <c r="J134" i="1"/>
  <c r="J135" i="1"/>
  <c r="J136" i="1"/>
  <c r="J129" i="1"/>
  <c r="J128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85" i="1"/>
  <c r="J86" i="1"/>
  <c r="J87" i="1"/>
  <c r="J88" i="1"/>
  <c r="J89" i="1"/>
  <c r="J90" i="1"/>
  <c r="J84" i="1"/>
  <c r="H168" i="1"/>
  <c r="H169" i="1"/>
  <c r="H170" i="1"/>
  <c r="H171" i="1"/>
  <c r="H172" i="1"/>
  <c r="H153" i="1"/>
  <c r="H154" i="1"/>
  <c r="H155" i="1"/>
  <c r="H156" i="1"/>
  <c r="H157" i="1"/>
  <c r="H138" i="1"/>
  <c r="H139" i="1"/>
  <c r="H140" i="1"/>
  <c r="H141" i="1"/>
  <c r="H142" i="1"/>
  <c r="F93" i="69" l="1"/>
  <c r="F152" i="69" s="1"/>
  <c r="G93" i="69"/>
  <c r="G152" i="69" s="1"/>
  <c r="F91" i="69"/>
  <c r="F150" i="69" s="1"/>
  <c r="G91" i="69"/>
  <c r="G150" i="69" s="1"/>
  <c r="F85" i="69"/>
  <c r="F144" i="69" s="1"/>
  <c r="G85" i="69"/>
  <c r="H85" i="69" s="1"/>
  <c r="F83" i="69"/>
  <c r="G83" i="69"/>
  <c r="G142" i="69" s="1"/>
  <c r="G77" i="69"/>
  <c r="F77" i="69"/>
  <c r="F136" i="69" s="1"/>
  <c r="G75" i="69"/>
  <c r="G134" i="69" s="1"/>
  <c r="F75" i="69"/>
  <c r="F134" i="69" s="1"/>
  <c r="G65" i="69"/>
  <c r="G124" i="69" s="1"/>
  <c r="F65" i="69"/>
  <c r="G62" i="69"/>
  <c r="G121" i="69" s="1"/>
  <c r="F62" i="69"/>
  <c r="H83" i="69" l="1"/>
  <c r="I91" i="69"/>
  <c r="G144" i="69"/>
  <c r="F142" i="69"/>
  <c r="H77" i="69"/>
  <c r="I62" i="69"/>
  <c r="I93" i="69"/>
  <c r="G136" i="69"/>
  <c r="I65" i="69"/>
  <c r="H93" i="69"/>
  <c r="H91" i="69"/>
  <c r="I83" i="69"/>
  <c r="I75" i="69"/>
  <c r="F124" i="69"/>
  <c r="I85" i="69"/>
  <c r="F121" i="69"/>
  <c r="I77" i="69"/>
  <c r="H65" i="69"/>
  <c r="H75" i="69"/>
  <c r="H62" i="69"/>
  <c r="P318" i="55"/>
  <c r="P319" i="55"/>
  <c r="P320" i="55"/>
  <c r="P321" i="55"/>
  <c r="P322" i="55"/>
  <c r="P323" i="55"/>
  <c r="P324" i="55"/>
  <c r="P325" i="55"/>
  <c r="P326" i="55"/>
  <c r="P327" i="55"/>
  <c r="P328" i="55"/>
  <c r="P329" i="55"/>
  <c r="P330" i="55"/>
  <c r="P331" i="55"/>
  <c r="P332" i="55"/>
  <c r="P333" i="55"/>
  <c r="P334" i="55"/>
  <c r="P335" i="55"/>
  <c r="P336" i="55"/>
  <c r="P337" i="55"/>
  <c r="P338" i="55"/>
  <c r="P339" i="55"/>
  <c r="P340" i="55"/>
  <c r="P341" i="55"/>
  <c r="P342" i="55"/>
  <c r="P343" i="55"/>
  <c r="P344" i="55"/>
  <c r="P345" i="55"/>
  <c r="P346" i="55"/>
  <c r="P347" i="55"/>
  <c r="P348" i="55"/>
  <c r="P349" i="55"/>
  <c r="P350" i="55"/>
  <c r="P351" i="55"/>
  <c r="P352" i="55"/>
  <c r="P353" i="55"/>
  <c r="P354" i="55"/>
  <c r="P355" i="55"/>
  <c r="P356" i="55"/>
  <c r="P357" i="55"/>
  <c r="P358" i="55"/>
  <c r="P359" i="55"/>
  <c r="P360" i="55"/>
  <c r="P361" i="55"/>
  <c r="P362" i="55"/>
  <c r="P363" i="55"/>
  <c r="P364" i="55"/>
  <c r="P365" i="55"/>
  <c r="P366" i="55"/>
  <c r="P367" i="55"/>
  <c r="P368" i="55"/>
  <c r="P369" i="55"/>
  <c r="P370" i="55"/>
  <c r="P371" i="55"/>
  <c r="P372" i="55"/>
  <c r="P373" i="55"/>
  <c r="P374" i="55"/>
  <c r="P375" i="55"/>
  <c r="P376" i="55"/>
  <c r="P377" i="55"/>
  <c r="P378" i="55"/>
  <c r="P379" i="55"/>
  <c r="P380" i="55"/>
  <c r="P381" i="55"/>
  <c r="P382" i="55"/>
  <c r="P383" i="55"/>
  <c r="P384" i="55"/>
  <c r="P385" i="55"/>
  <c r="P386" i="55"/>
  <c r="P387" i="55"/>
  <c r="P388" i="55"/>
  <c r="P389" i="55"/>
  <c r="P390" i="55"/>
  <c r="P391" i="55"/>
  <c r="P392" i="55"/>
  <c r="P393" i="55"/>
  <c r="P394" i="55"/>
  <c r="P395" i="55"/>
  <c r="P396" i="55"/>
  <c r="P397" i="55"/>
  <c r="P398" i="55"/>
  <c r="P399" i="55"/>
  <c r="P400" i="55"/>
  <c r="P401" i="55"/>
  <c r="P402" i="55"/>
  <c r="P403" i="55"/>
  <c r="P404" i="55"/>
  <c r="P405" i="55"/>
  <c r="P406" i="55"/>
  <c r="P407" i="55"/>
  <c r="P408" i="55"/>
  <c r="P409" i="55"/>
  <c r="P410" i="55"/>
  <c r="P411" i="55"/>
  <c r="P412" i="55"/>
  <c r="P413" i="55"/>
  <c r="P414" i="55"/>
  <c r="P415" i="55"/>
  <c r="P416" i="55"/>
  <c r="P417" i="55"/>
  <c r="P418" i="55"/>
  <c r="P419" i="55"/>
  <c r="P420" i="55"/>
  <c r="Q420" i="55"/>
  <c r="R420" i="55"/>
  <c r="S420" i="55"/>
  <c r="P421" i="55"/>
  <c r="Q421" i="55"/>
  <c r="R421" i="55"/>
  <c r="S421" i="55"/>
  <c r="P422" i="55"/>
  <c r="Q422" i="55"/>
  <c r="R422" i="55"/>
  <c r="S422" i="55"/>
  <c r="P423" i="55"/>
  <c r="P424" i="55"/>
  <c r="Q424" i="55"/>
  <c r="R424" i="55"/>
  <c r="S424" i="55"/>
  <c r="Q425" i="55"/>
  <c r="R425" i="55"/>
  <c r="S425" i="55"/>
  <c r="F420" i="55"/>
  <c r="G420" i="55"/>
  <c r="H420" i="55"/>
  <c r="I420" i="55"/>
  <c r="J420" i="55"/>
  <c r="K420" i="55"/>
  <c r="L420" i="55"/>
  <c r="M420" i="55"/>
  <c r="N420" i="55"/>
  <c r="O420" i="55"/>
  <c r="F421" i="55"/>
  <c r="G421" i="55"/>
  <c r="H421" i="55"/>
  <c r="I421" i="55"/>
  <c r="J421" i="55"/>
  <c r="K421" i="55"/>
  <c r="L421" i="55"/>
  <c r="M421" i="55"/>
  <c r="N421" i="55"/>
  <c r="O421" i="55"/>
  <c r="F422" i="55"/>
  <c r="G422" i="55"/>
  <c r="H422" i="55"/>
  <c r="I422" i="55"/>
  <c r="J422" i="55"/>
  <c r="K422" i="55"/>
  <c r="L422" i="55"/>
  <c r="M422" i="55"/>
  <c r="N422" i="55"/>
  <c r="O422" i="55"/>
  <c r="F424" i="55"/>
  <c r="G424" i="55"/>
  <c r="H424" i="55"/>
  <c r="I424" i="55"/>
  <c r="J424" i="55"/>
  <c r="K424" i="55"/>
  <c r="L424" i="55"/>
  <c r="M424" i="55"/>
  <c r="N424" i="55"/>
  <c r="O424" i="55"/>
  <c r="E420" i="55"/>
  <c r="E421" i="55"/>
  <c r="E422" i="55"/>
  <c r="E424" i="55"/>
  <c r="J280" i="1"/>
  <c r="K280" i="1"/>
  <c r="I278" i="1"/>
  <c r="J278" i="1"/>
  <c r="I242" i="1"/>
  <c r="F361" i="1"/>
  <c r="AG669" i="55" s="1"/>
  <c r="G361" i="1"/>
  <c r="E669" i="55" s="1"/>
  <c r="E510" i="55" s="1"/>
  <c r="E389" i="55" s="1"/>
  <c r="E103" i="55" s="1"/>
  <c r="E193" i="55" s="1"/>
  <c r="F280" i="1"/>
  <c r="F378" i="1" s="1"/>
  <c r="I378" i="1" s="1"/>
  <c r="G280" i="1"/>
  <c r="G378" i="1" s="1"/>
  <c r="E686" i="55" s="1"/>
  <c r="E527" i="55" s="1"/>
  <c r="E406" i="55" s="1"/>
  <c r="E125" i="55" s="1"/>
  <c r="E195" i="55" s="1"/>
  <c r="F278" i="1"/>
  <c r="K278" i="1" s="1"/>
  <c r="G278" i="1"/>
  <c r="G376" i="1" s="1"/>
  <c r="E684" i="55" s="1"/>
  <c r="E525" i="55" s="1"/>
  <c r="E404" i="55" s="1"/>
  <c r="E123" i="55" s="1"/>
  <c r="E184" i="55" s="1"/>
  <c r="F261" i="1"/>
  <c r="I261" i="1" s="1"/>
  <c r="G261" i="1"/>
  <c r="F259" i="1"/>
  <c r="F359" i="1" s="1"/>
  <c r="G259" i="1"/>
  <c r="G359" i="1" s="1"/>
  <c r="E667" i="55" s="1"/>
  <c r="E508" i="55" s="1"/>
  <c r="E387" i="55" s="1"/>
  <c r="E101" i="55" s="1"/>
  <c r="E182" i="55" s="1"/>
  <c r="F242" i="1"/>
  <c r="J242" i="1" s="1"/>
  <c r="G242" i="1"/>
  <c r="G344" i="1" s="1"/>
  <c r="E652" i="55" s="1"/>
  <c r="E493" i="55" s="1"/>
  <c r="E372" i="55" s="1"/>
  <c r="E81" i="55" s="1"/>
  <c r="E191" i="55" s="1"/>
  <c r="F240" i="1"/>
  <c r="I240" i="1" s="1"/>
  <c r="G240" i="1"/>
  <c r="G342" i="1" s="1"/>
  <c r="E650" i="55" s="1"/>
  <c r="E491" i="55" s="1"/>
  <c r="E370" i="55" s="1"/>
  <c r="E79" i="55" s="1"/>
  <c r="E180" i="55" s="1"/>
  <c r="F224" i="1"/>
  <c r="I224" i="1" s="1"/>
  <c r="G224" i="1"/>
  <c r="G327" i="1" s="1"/>
  <c r="E635" i="55" s="1"/>
  <c r="E476" i="55" s="1"/>
  <c r="E355" i="55" s="1"/>
  <c r="E59" i="55" s="1"/>
  <c r="E189" i="55" s="1"/>
  <c r="F220" i="1"/>
  <c r="K220" i="1" s="1"/>
  <c r="G220" i="1"/>
  <c r="G324" i="1" s="1"/>
  <c r="E632" i="55" s="1"/>
  <c r="E473" i="55" s="1"/>
  <c r="E352" i="55" s="1"/>
  <c r="E56" i="55" s="1"/>
  <c r="E178" i="55" s="1"/>
  <c r="H158" i="1"/>
  <c r="H159" i="1"/>
  <c r="M19" i="1"/>
  <c r="M18" i="1"/>
  <c r="F342" i="1" l="1"/>
  <c r="I280" i="1"/>
  <c r="F376" i="1"/>
  <c r="I376" i="1" s="1"/>
  <c r="K361" i="1"/>
  <c r="T669" i="55" s="1"/>
  <c r="AD669" i="55" s="1"/>
  <c r="AT669" i="55" s="1"/>
  <c r="J361" i="1"/>
  <c r="U669" i="55" s="1"/>
  <c r="I361" i="1"/>
  <c r="R510" i="55"/>
  <c r="K261" i="1"/>
  <c r="J261" i="1"/>
  <c r="K359" i="1"/>
  <c r="T667" i="55" s="1"/>
  <c r="AD667" i="55" s="1"/>
  <c r="AT667" i="55" s="1"/>
  <c r="J359" i="1"/>
  <c r="U667" i="55" s="1"/>
  <c r="AG667" i="55"/>
  <c r="R508" i="55"/>
  <c r="R387" i="55" s="1"/>
  <c r="K259" i="1"/>
  <c r="J259" i="1"/>
  <c r="I259" i="1"/>
  <c r="AG650" i="55"/>
  <c r="K240" i="1"/>
  <c r="K342" i="1"/>
  <c r="T650" i="55" s="1"/>
  <c r="AD650" i="55" s="1"/>
  <c r="G650" i="55" s="1"/>
  <c r="G491" i="55" s="1"/>
  <c r="G370" i="55" s="1"/>
  <c r="G79" i="55" s="1"/>
  <c r="G180" i="55" s="1"/>
  <c r="J240" i="1"/>
  <c r="F344" i="1"/>
  <c r="K242" i="1"/>
  <c r="F327" i="1"/>
  <c r="K224" i="1"/>
  <c r="J224" i="1"/>
  <c r="F324" i="1"/>
  <c r="J220" i="1"/>
  <c r="I220" i="1"/>
  <c r="S686" i="55"/>
  <c r="AC686" i="55" s="1"/>
  <c r="F686" i="55" s="1"/>
  <c r="F527" i="55" s="1"/>
  <c r="S684" i="55"/>
  <c r="AC684" i="55" s="1"/>
  <c r="AS684" i="55" s="1"/>
  <c r="I324" i="1"/>
  <c r="I359" i="1"/>
  <c r="R493" i="55"/>
  <c r="R372" i="55" s="1"/>
  <c r="J327" i="1"/>
  <c r="R525" i="55"/>
  <c r="R404" i="55" s="1"/>
  <c r="R527" i="55"/>
  <c r="R406" i="55" s="1"/>
  <c r="K376" i="1"/>
  <c r="T684" i="55" s="1"/>
  <c r="AD684" i="55" s="1"/>
  <c r="G684" i="55" s="1"/>
  <c r="G525" i="55" s="1"/>
  <c r="G404" i="55" s="1"/>
  <c r="G123" i="55" s="1"/>
  <c r="G184" i="55" s="1"/>
  <c r="AG684" i="55"/>
  <c r="J342" i="1"/>
  <c r="U650" i="55" s="1"/>
  <c r="J376" i="1"/>
  <c r="U684" i="55" s="1"/>
  <c r="AG686" i="55"/>
  <c r="K344" i="1"/>
  <c r="T652" i="55" s="1"/>
  <c r="AD652" i="55" s="1"/>
  <c r="AT652" i="55" s="1"/>
  <c r="K378" i="1"/>
  <c r="T686" i="55" s="1"/>
  <c r="AD686" i="55" s="1"/>
  <c r="G686" i="55" s="1"/>
  <c r="G527" i="55" s="1"/>
  <c r="G406" i="55" s="1"/>
  <c r="G125" i="55" s="1"/>
  <c r="G195" i="55" s="1"/>
  <c r="J344" i="1"/>
  <c r="U652" i="55" s="1"/>
  <c r="J378" i="1"/>
  <c r="U686" i="55" s="1"/>
  <c r="R473" i="55"/>
  <c r="R352" i="55" s="1"/>
  <c r="P125" i="55"/>
  <c r="R125" i="55"/>
  <c r="S125" i="55" s="1"/>
  <c r="P123" i="55"/>
  <c r="R123" i="55"/>
  <c r="S123" i="55" s="1"/>
  <c r="R101" i="55"/>
  <c r="S101" i="55" s="1"/>
  <c r="P101" i="55"/>
  <c r="P103" i="55"/>
  <c r="R103" i="55"/>
  <c r="S103" i="55" s="1"/>
  <c r="P79" i="55"/>
  <c r="R79" i="55"/>
  <c r="S79" i="55" s="1"/>
  <c r="R81" i="55"/>
  <c r="S81" i="55" s="1"/>
  <c r="P81" i="55"/>
  <c r="P59" i="55"/>
  <c r="R59" i="55"/>
  <c r="S59" i="55" s="1"/>
  <c r="R389" i="55"/>
  <c r="H113" i="1"/>
  <c r="I342" i="1" l="1"/>
  <c r="R491" i="55"/>
  <c r="R370" i="55" s="1"/>
  <c r="AE686" i="55"/>
  <c r="AF686" i="55" s="1"/>
  <c r="G669" i="55"/>
  <c r="G510" i="55" s="1"/>
  <c r="G389" i="55" s="1"/>
  <c r="G103" i="55" s="1"/>
  <c r="G193" i="55" s="1"/>
  <c r="G667" i="55"/>
  <c r="G508" i="55" s="1"/>
  <c r="G387" i="55" s="1"/>
  <c r="G101" i="55" s="1"/>
  <c r="G182" i="55" s="1"/>
  <c r="AT650" i="55"/>
  <c r="AS686" i="55"/>
  <c r="AT686" i="55"/>
  <c r="AO686" i="55"/>
  <c r="AP686" i="55" s="1"/>
  <c r="AE684" i="55"/>
  <c r="AU684" i="55" s="1"/>
  <c r="F684" i="55"/>
  <c r="F525" i="55" s="1"/>
  <c r="F404" i="55" s="1"/>
  <c r="F123" i="55" s="1"/>
  <c r="F184" i="55" s="1"/>
  <c r="S669" i="55"/>
  <c r="X361" i="1"/>
  <c r="G652" i="55"/>
  <c r="G493" i="55" s="1"/>
  <c r="G372" i="55" s="1"/>
  <c r="G81" i="55" s="1"/>
  <c r="G191" i="55" s="1"/>
  <c r="I344" i="1"/>
  <c r="S652" i="55" s="1"/>
  <c r="AG652" i="55"/>
  <c r="R476" i="55"/>
  <c r="R355" i="55" s="1"/>
  <c r="AG635" i="55"/>
  <c r="I327" i="1"/>
  <c r="S635" i="55" s="1"/>
  <c r="AC635" i="55" s="1"/>
  <c r="F635" i="55" s="1"/>
  <c r="F476" i="55" s="1"/>
  <c r="K327" i="1"/>
  <c r="T635" i="55" s="1"/>
  <c r="AD635" i="55" s="1"/>
  <c r="K324" i="1"/>
  <c r="T632" i="55" s="1"/>
  <c r="AG632" i="55"/>
  <c r="J324" i="1"/>
  <c r="U632" i="55" s="1"/>
  <c r="U635" i="55"/>
  <c r="AO684" i="55"/>
  <c r="AP684" i="55" s="1"/>
  <c r="X359" i="1"/>
  <c r="S667" i="55"/>
  <c r="X324" i="1"/>
  <c r="S632" i="55"/>
  <c r="AC632" i="55" s="1"/>
  <c r="F632" i="55" s="1"/>
  <c r="F473" i="55" s="1"/>
  <c r="X376" i="1"/>
  <c r="X378" i="1"/>
  <c r="AT684" i="55"/>
  <c r="F406" i="55"/>
  <c r="F125" i="55" s="1"/>
  <c r="F195" i="55" s="1"/>
  <c r="AU686" i="55"/>
  <c r="H686" i="55"/>
  <c r="H527" i="55" s="1"/>
  <c r="H406" i="55" s="1"/>
  <c r="H125" i="55" s="1"/>
  <c r="H195" i="55" s="1"/>
  <c r="AF684" i="55"/>
  <c r="AE635" i="55"/>
  <c r="AF635" i="55" s="1"/>
  <c r="H160" i="1"/>
  <c r="H161" i="1"/>
  <c r="H162" i="1"/>
  <c r="H163" i="1"/>
  <c r="H164" i="1"/>
  <c r="H165" i="1"/>
  <c r="H166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4" i="1"/>
  <c r="I125" i="1"/>
  <c r="I126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1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6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1" i="1"/>
  <c r="I173" i="1"/>
  <c r="I174" i="1"/>
  <c r="I175" i="1"/>
  <c r="H145" i="1"/>
  <c r="H146" i="1"/>
  <c r="H147" i="1"/>
  <c r="H148" i="1"/>
  <c r="H149" i="1"/>
  <c r="H150" i="1"/>
  <c r="H151" i="1"/>
  <c r="H132" i="1"/>
  <c r="H133" i="1"/>
  <c r="H134" i="1"/>
  <c r="H135" i="1"/>
  <c r="H136" i="1"/>
  <c r="H130" i="1"/>
  <c r="H109" i="1"/>
  <c r="H105" i="1"/>
  <c r="H102" i="1"/>
  <c r="S650" i="55" l="1"/>
  <c r="X342" i="1"/>
  <c r="H684" i="55"/>
  <c r="H525" i="55" s="1"/>
  <c r="H404" i="55" s="1"/>
  <c r="H123" i="55" s="1"/>
  <c r="H184" i="55" s="1"/>
  <c r="X344" i="1"/>
  <c r="X327" i="1"/>
  <c r="AO635" i="55"/>
  <c r="AP635" i="55" s="1"/>
  <c r="AS635" i="55"/>
  <c r="AO632" i="55"/>
  <c r="AP632" i="55" s="1"/>
  <c r="AC669" i="55"/>
  <c r="AO669" i="55"/>
  <c r="AP669" i="55" s="1"/>
  <c r="AC652" i="55"/>
  <c r="AO652" i="55"/>
  <c r="AP652" i="55" s="1"/>
  <c r="AT635" i="55"/>
  <c r="G635" i="55"/>
  <c r="G476" i="55" s="1"/>
  <c r="G355" i="55" s="1"/>
  <c r="G59" i="55" s="1"/>
  <c r="G189" i="55" s="1"/>
  <c r="AD632" i="55"/>
  <c r="G632" i="55" s="1"/>
  <c r="G473" i="55" s="1"/>
  <c r="G352" i="55" s="1"/>
  <c r="G56" i="55" s="1"/>
  <c r="G178" i="55" s="1"/>
  <c r="AT632" i="55"/>
  <c r="AS632" i="55"/>
  <c r="AE632" i="55"/>
  <c r="H632" i="55" s="1"/>
  <c r="H473" i="55" s="1"/>
  <c r="H352" i="55" s="1"/>
  <c r="H56" i="55" s="1"/>
  <c r="H178" i="55" s="1"/>
  <c r="AC667" i="55"/>
  <c r="AO667" i="55"/>
  <c r="AP667" i="55" s="1"/>
  <c r="Q123" i="55"/>
  <c r="Q125" i="55"/>
  <c r="Q525" i="55"/>
  <c r="F355" i="55"/>
  <c r="F59" i="55" s="1"/>
  <c r="Q527" i="55"/>
  <c r="F352" i="55"/>
  <c r="F56" i="55" s="1"/>
  <c r="F178" i="55" s="1"/>
  <c r="AU635" i="55"/>
  <c r="H635" i="55"/>
  <c r="H476" i="55" s="1"/>
  <c r="H355" i="55" s="1"/>
  <c r="H59" i="55" s="1"/>
  <c r="H189" i="55" s="1"/>
  <c r="F274" i="1"/>
  <c r="F372" i="1" s="1"/>
  <c r="G274" i="1"/>
  <c r="G372" i="1" s="1"/>
  <c r="E680" i="55" s="1"/>
  <c r="E521" i="55" s="1"/>
  <c r="F272" i="1"/>
  <c r="F370" i="1" s="1"/>
  <c r="G272" i="1"/>
  <c r="G370" i="1" s="1"/>
  <c r="E678" i="55" s="1"/>
  <c r="E519" i="55" s="1"/>
  <c r="G270" i="1"/>
  <c r="G268" i="1" s="1"/>
  <c r="G367" i="1" s="1"/>
  <c r="E675" i="55" s="1"/>
  <c r="E516" i="55" s="1"/>
  <c r="G266" i="1"/>
  <c r="F266" i="1" s="1"/>
  <c r="F255" i="1"/>
  <c r="G255" i="1"/>
  <c r="G355" i="1" s="1"/>
  <c r="E663" i="55" s="1"/>
  <c r="E504" i="55" s="1"/>
  <c r="F253" i="1"/>
  <c r="G253" i="1"/>
  <c r="G353" i="1" s="1"/>
  <c r="E661" i="55" s="1"/>
  <c r="E502" i="55" s="1"/>
  <c r="G251" i="1"/>
  <c r="F249" i="1" s="1"/>
  <c r="F350" i="1" s="1"/>
  <c r="AG658" i="55" s="1"/>
  <c r="G247" i="1"/>
  <c r="G245" i="1" s="1"/>
  <c r="G347" i="1" s="1"/>
  <c r="E655" i="55" s="1"/>
  <c r="E496" i="55" s="1"/>
  <c r="F236" i="1"/>
  <c r="G236" i="1"/>
  <c r="G338" i="1" s="1"/>
  <c r="E646" i="55" s="1"/>
  <c r="E487" i="55" s="1"/>
  <c r="F234" i="1"/>
  <c r="G234" i="1"/>
  <c r="G336" i="1" s="1"/>
  <c r="E644" i="55" s="1"/>
  <c r="E485" i="55" s="1"/>
  <c r="G232" i="1"/>
  <c r="F232" i="1" s="1"/>
  <c r="G227" i="1"/>
  <c r="G330" i="1" s="1"/>
  <c r="E638" i="55" s="1"/>
  <c r="E479" i="55" s="1"/>
  <c r="F227" i="1"/>
  <c r="F330" i="1" s="1"/>
  <c r="AG638" i="55" s="1"/>
  <c r="G210" i="1"/>
  <c r="G317" i="1" s="1"/>
  <c r="E625" i="55" s="1"/>
  <c r="E466" i="55" s="1"/>
  <c r="F210" i="1"/>
  <c r="G206" i="1"/>
  <c r="G314" i="1" s="1"/>
  <c r="E622" i="55" s="1"/>
  <c r="E463" i="55" s="1"/>
  <c r="F206" i="1"/>
  <c r="G201" i="1"/>
  <c r="G310" i="1" s="1"/>
  <c r="E618" i="55" s="1"/>
  <c r="E459" i="55" s="1"/>
  <c r="F201" i="1"/>
  <c r="G198" i="1"/>
  <c r="G307" i="1" s="1"/>
  <c r="E615" i="55" s="1"/>
  <c r="E456" i="55" s="1"/>
  <c r="F198" i="1"/>
  <c r="AC650" i="55" l="1"/>
  <c r="AO650" i="55"/>
  <c r="AP650" i="55" s="1"/>
  <c r="AF632" i="55"/>
  <c r="Q473" i="55"/>
  <c r="AU632" i="55"/>
  <c r="AS669" i="55"/>
  <c r="F669" i="55"/>
  <c r="F510" i="55" s="1"/>
  <c r="AE669" i="55"/>
  <c r="AF669" i="55"/>
  <c r="F652" i="55"/>
  <c r="F493" i="55" s="1"/>
  <c r="F372" i="55" s="1"/>
  <c r="F81" i="55" s="1"/>
  <c r="F191" i="55" s="1"/>
  <c r="AS652" i="55"/>
  <c r="AE652" i="55"/>
  <c r="AS667" i="55"/>
  <c r="F667" i="55"/>
  <c r="F508" i="55" s="1"/>
  <c r="AE667" i="55"/>
  <c r="AF667" i="55" s="1"/>
  <c r="Q59" i="55"/>
  <c r="F189" i="55"/>
  <c r="AG680" i="55"/>
  <c r="R519" i="55"/>
  <c r="R397" i="55" s="1"/>
  <c r="S473" i="55"/>
  <c r="S352" i="55" s="1"/>
  <c r="Q352" i="55"/>
  <c r="S527" i="55"/>
  <c r="S406" i="55" s="1"/>
  <c r="Q406" i="55"/>
  <c r="Q476" i="55"/>
  <c r="E382" i="55"/>
  <c r="E96" i="55" s="1"/>
  <c r="E157" i="55" s="1"/>
  <c r="E360" i="55"/>
  <c r="E69" i="55" s="1"/>
  <c r="Q404" i="55"/>
  <c r="S525" i="55"/>
  <c r="S404" i="55" s="1"/>
  <c r="E397" i="55"/>
  <c r="E116" i="55" s="1"/>
  <c r="E148" i="55" s="1"/>
  <c r="E399" i="55"/>
  <c r="E118" i="55" s="1"/>
  <c r="E159" i="55" s="1"/>
  <c r="E365" i="55"/>
  <c r="E74" i="55" s="1"/>
  <c r="E155" i="55" s="1"/>
  <c r="E380" i="55"/>
  <c r="E94" i="55" s="1"/>
  <c r="E146" i="55" s="1"/>
  <c r="E401" i="55"/>
  <c r="E120" i="55" s="1"/>
  <c r="E363" i="55"/>
  <c r="E72" i="55" s="1"/>
  <c r="E144" i="55" s="1"/>
  <c r="E377" i="55"/>
  <c r="E91" i="55" s="1"/>
  <c r="E346" i="55"/>
  <c r="E50" i="55" s="1"/>
  <c r="E153" i="55" s="1"/>
  <c r="E339" i="55"/>
  <c r="E43" i="55" s="1"/>
  <c r="E348" i="55"/>
  <c r="E52" i="55" s="1"/>
  <c r="E343" i="55"/>
  <c r="E47" i="55" s="1"/>
  <c r="E142" i="55" s="1"/>
  <c r="AG678" i="55"/>
  <c r="R479" i="55"/>
  <c r="R360" i="55" s="1"/>
  <c r="R499" i="55"/>
  <c r="R384" i="55" s="1"/>
  <c r="R521" i="55"/>
  <c r="R399" i="55" s="1"/>
  <c r="F355" i="1"/>
  <c r="F353" i="1"/>
  <c r="F338" i="1"/>
  <c r="F336" i="1"/>
  <c r="F317" i="1"/>
  <c r="F314" i="1"/>
  <c r="F310" i="1"/>
  <c r="F307" i="1"/>
  <c r="F270" i="1"/>
  <c r="F268" i="1"/>
  <c r="F367" i="1" s="1"/>
  <c r="F247" i="1"/>
  <c r="G264" i="1"/>
  <c r="G364" i="1" s="1"/>
  <c r="E672" i="55" s="1"/>
  <c r="E513" i="55" s="1"/>
  <c r="F264" i="1"/>
  <c r="F364" i="1" s="1"/>
  <c r="F251" i="1"/>
  <c r="F245" i="1"/>
  <c r="F347" i="1" s="1"/>
  <c r="G249" i="1"/>
  <c r="G350" i="1" s="1"/>
  <c r="E658" i="55" s="1"/>
  <c r="E499" i="55" s="1"/>
  <c r="F230" i="1"/>
  <c r="F333" i="1" s="1"/>
  <c r="G230" i="1"/>
  <c r="G333" i="1" s="1"/>
  <c r="E641" i="55" s="1"/>
  <c r="E482" i="55" s="1"/>
  <c r="AS650" i="55" l="1"/>
  <c r="F650" i="55"/>
  <c r="F491" i="55" s="1"/>
  <c r="AE650" i="55"/>
  <c r="AF650" i="55"/>
  <c r="AU669" i="55"/>
  <c r="H669" i="55"/>
  <c r="H510" i="55" s="1"/>
  <c r="H389" i="55" s="1"/>
  <c r="H103" i="55" s="1"/>
  <c r="H193" i="55" s="1"/>
  <c r="F389" i="55"/>
  <c r="F103" i="55" s="1"/>
  <c r="Q510" i="55"/>
  <c r="AU652" i="55"/>
  <c r="AF652" i="55"/>
  <c r="H652" i="55"/>
  <c r="H493" i="55" s="1"/>
  <c r="AU667" i="55"/>
  <c r="H667" i="55"/>
  <c r="H508" i="55" s="1"/>
  <c r="H387" i="55" s="1"/>
  <c r="H101" i="55" s="1"/>
  <c r="H182" i="55" s="1"/>
  <c r="F387" i="55"/>
  <c r="F101" i="55" s="1"/>
  <c r="Q508" i="55"/>
  <c r="E367" i="55"/>
  <c r="E76" i="55" s="1"/>
  <c r="E384" i="55"/>
  <c r="E98" i="55" s="1"/>
  <c r="E394" i="55"/>
  <c r="E113" i="55" s="1"/>
  <c r="E133" i="55" s="1"/>
  <c r="S476" i="55"/>
  <c r="S355" i="55" s="1"/>
  <c r="Q355" i="55"/>
  <c r="F406" i="1"/>
  <c r="F409" i="1"/>
  <c r="R513" i="55"/>
  <c r="R394" i="55" s="1"/>
  <c r="AG672" i="55"/>
  <c r="AG675" i="55"/>
  <c r="R516" i="55"/>
  <c r="R401" i="55" s="1"/>
  <c r="R496" i="55"/>
  <c r="R377" i="55" s="1"/>
  <c r="AG655" i="55"/>
  <c r="AG641" i="55"/>
  <c r="R482" i="55"/>
  <c r="R367" i="55" s="1"/>
  <c r="R502" i="55"/>
  <c r="R380" i="55" s="1"/>
  <c r="AG661" i="55"/>
  <c r="AG663" i="55"/>
  <c r="R504" i="55"/>
  <c r="R382" i="55" s="1"/>
  <c r="AG644" i="55"/>
  <c r="R485" i="55"/>
  <c r="R363" i="55" s="1"/>
  <c r="AG646" i="55"/>
  <c r="R487" i="55"/>
  <c r="R365" i="55" s="1"/>
  <c r="AG625" i="55"/>
  <c r="R466" i="55"/>
  <c r="R346" i="55" s="1"/>
  <c r="AG622" i="55"/>
  <c r="R463" i="55"/>
  <c r="R343" i="55" s="1"/>
  <c r="AG618" i="55"/>
  <c r="R459" i="55"/>
  <c r="R348" i="55" s="1"/>
  <c r="R456" i="55"/>
  <c r="R339" i="55" s="1"/>
  <c r="AG615" i="55"/>
  <c r="H650" i="55" l="1"/>
  <c r="H491" i="55" s="1"/>
  <c r="H370" i="55" s="1"/>
  <c r="H79" i="55" s="1"/>
  <c r="H180" i="55" s="1"/>
  <c r="AU650" i="55"/>
  <c r="F370" i="55"/>
  <c r="F79" i="55" s="1"/>
  <c r="Q491" i="55"/>
  <c r="Q389" i="55"/>
  <c r="S510" i="55"/>
  <c r="S389" i="55" s="1"/>
  <c r="F193" i="55"/>
  <c r="Q103" i="55"/>
  <c r="H372" i="55"/>
  <c r="H81" i="55" s="1"/>
  <c r="Q493" i="55"/>
  <c r="Q387" i="55"/>
  <c r="S508" i="55"/>
  <c r="S387" i="55" s="1"/>
  <c r="F182" i="55"/>
  <c r="Q101" i="55"/>
  <c r="E136" i="55"/>
  <c r="S491" i="55" l="1"/>
  <c r="S370" i="55" s="1"/>
  <c r="Q370" i="55"/>
  <c r="F180" i="55"/>
  <c r="Q79" i="55"/>
  <c r="S493" i="55"/>
  <c r="S372" i="55" s="1"/>
  <c r="Q372" i="55"/>
  <c r="H191" i="55"/>
  <c r="Q81" i="55"/>
  <c r="D230" i="55"/>
  <c r="D231" i="55"/>
  <c r="D232" i="55"/>
  <c r="D233" i="55"/>
  <c r="D234" i="55"/>
  <c r="D235" i="55"/>
  <c r="D236" i="55"/>
  <c r="D237" i="55"/>
  <c r="D238" i="55"/>
  <c r="D239" i="55"/>
  <c r="D240" i="55"/>
  <c r="D241" i="55"/>
  <c r="D242" i="55"/>
  <c r="D243" i="55"/>
  <c r="D244" i="55"/>
  <c r="D245" i="55"/>
  <c r="D246" i="55"/>
  <c r="D247" i="55"/>
  <c r="D229" i="55"/>
  <c r="C243" i="55"/>
  <c r="C244" i="55"/>
  <c r="C245" i="55"/>
  <c r="C246" i="55"/>
  <c r="C247" i="55"/>
  <c r="C239" i="55"/>
  <c r="C240" i="55"/>
  <c r="C241" i="55"/>
  <c r="C242" i="55"/>
  <c r="C230" i="55"/>
  <c r="C231" i="55"/>
  <c r="C232" i="55"/>
  <c r="C233" i="55"/>
  <c r="C234" i="55"/>
  <c r="C235" i="55"/>
  <c r="C236" i="55"/>
  <c r="C237" i="55"/>
  <c r="C238" i="55"/>
  <c r="C229" i="55"/>
  <c r="O82" i="55" l="1"/>
  <c r="F94" i="69"/>
  <c r="G94" i="69"/>
  <c r="F95" i="69"/>
  <c r="G95" i="69"/>
  <c r="G281" i="69" s="1"/>
  <c r="G284" i="69" s="1"/>
  <c r="F96" i="69"/>
  <c r="G96" i="69"/>
  <c r="H96" i="69" s="1"/>
  <c r="F97" i="69"/>
  <c r="G97" i="69"/>
  <c r="H97" i="69" s="1"/>
  <c r="F86" i="69"/>
  <c r="G86" i="69"/>
  <c r="F87" i="69"/>
  <c r="G87" i="69"/>
  <c r="F88" i="69"/>
  <c r="G88" i="69"/>
  <c r="G261" i="69" s="1"/>
  <c r="F261" i="69" s="1"/>
  <c r="F89" i="69"/>
  <c r="G89" i="69"/>
  <c r="G265" i="69" s="1"/>
  <c r="F265" i="69" s="1"/>
  <c r="F78" i="69"/>
  <c r="G78" i="69"/>
  <c r="F79" i="69"/>
  <c r="G79" i="69"/>
  <c r="H79" i="69" s="1"/>
  <c r="F80" i="69"/>
  <c r="G80" i="69"/>
  <c r="H80" i="69" s="1"/>
  <c r="F81" i="69"/>
  <c r="G81" i="69"/>
  <c r="H81" i="69" s="1"/>
  <c r="G66" i="69"/>
  <c r="G67" i="69"/>
  <c r="H67" i="69" s="1"/>
  <c r="G68" i="69"/>
  <c r="G69" i="69"/>
  <c r="G128" i="69" s="1"/>
  <c r="G70" i="69"/>
  <c r="H70" i="69" s="1"/>
  <c r="G71" i="69"/>
  <c r="H71" i="69" s="1"/>
  <c r="G72" i="69"/>
  <c r="H72" i="69" s="1"/>
  <c r="G73" i="69"/>
  <c r="G220" i="69" s="1"/>
  <c r="F79" i="53" s="1"/>
  <c r="F73" i="69"/>
  <c r="F72" i="69"/>
  <c r="F71" i="69"/>
  <c r="F70" i="69"/>
  <c r="F69" i="69"/>
  <c r="F68" i="69"/>
  <c r="F67" i="69"/>
  <c r="F66" i="69"/>
  <c r="F52" i="69"/>
  <c r="F189" i="69" s="1"/>
  <c r="G52" i="69"/>
  <c r="H52" i="69" s="1"/>
  <c r="F53" i="69"/>
  <c r="F112" i="69" s="1"/>
  <c r="G53" i="69"/>
  <c r="H53" i="69" s="1"/>
  <c r="F54" i="69"/>
  <c r="F113" i="69" s="1"/>
  <c r="G54" i="69"/>
  <c r="F55" i="69"/>
  <c r="F114" i="69" s="1"/>
  <c r="G55" i="69"/>
  <c r="F56" i="69"/>
  <c r="F115" i="69" s="1"/>
  <c r="G56" i="69"/>
  <c r="F57" i="69"/>
  <c r="F116" i="69" s="1"/>
  <c r="G57" i="69"/>
  <c r="F58" i="69"/>
  <c r="F117" i="69" s="1"/>
  <c r="G58" i="69"/>
  <c r="H58" i="69" s="1"/>
  <c r="F59" i="69"/>
  <c r="F118" i="69" s="1"/>
  <c r="G59" i="69"/>
  <c r="H59" i="69" s="1"/>
  <c r="G24" i="69"/>
  <c r="G10" i="69"/>
  <c r="U21" i="55"/>
  <c r="U22" i="55"/>
  <c r="U23" i="55"/>
  <c r="U24" i="55"/>
  <c r="U25" i="55"/>
  <c r="U26" i="55"/>
  <c r="U27" i="55"/>
  <c r="U28" i="55"/>
  <c r="U29" i="55"/>
  <c r="U30" i="55"/>
  <c r="U31" i="55"/>
  <c r="U20" i="55"/>
  <c r="F275" i="1"/>
  <c r="F373" i="1" s="1"/>
  <c r="G275" i="1"/>
  <c r="G373" i="1" s="1"/>
  <c r="F276" i="1"/>
  <c r="F374" i="1" s="1"/>
  <c r="G276" i="1"/>
  <c r="G374" i="1" s="1"/>
  <c r="F277" i="1"/>
  <c r="F375" i="1" s="1"/>
  <c r="G277" i="1"/>
  <c r="G375" i="1" s="1"/>
  <c r="F279" i="1"/>
  <c r="G279" i="1"/>
  <c r="G377" i="1" s="1"/>
  <c r="F256" i="1"/>
  <c r="F356" i="1" s="1"/>
  <c r="G256" i="1"/>
  <c r="G356" i="1" s="1"/>
  <c r="F257" i="1"/>
  <c r="G257" i="1"/>
  <c r="G357" i="1" s="1"/>
  <c r="F258" i="1"/>
  <c r="G258" i="1"/>
  <c r="G358" i="1" s="1"/>
  <c r="F260" i="1"/>
  <c r="F360" i="1" s="1"/>
  <c r="G260" i="1"/>
  <c r="G360" i="1" s="1"/>
  <c r="F237" i="1"/>
  <c r="G237" i="1"/>
  <c r="G339" i="1" s="1"/>
  <c r="F238" i="1"/>
  <c r="F340" i="1" s="1"/>
  <c r="G238" i="1"/>
  <c r="G340" i="1" s="1"/>
  <c r="F239" i="1"/>
  <c r="F341" i="1" s="1"/>
  <c r="G239" i="1"/>
  <c r="G341" i="1" s="1"/>
  <c r="F241" i="1"/>
  <c r="F343" i="1" s="1"/>
  <c r="G241" i="1"/>
  <c r="G343" i="1" s="1"/>
  <c r="F217" i="1"/>
  <c r="G217" i="1"/>
  <c r="G322" i="1" s="1"/>
  <c r="F218" i="1"/>
  <c r="G218" i="1"/>
  <c r="F219" i="1"/>
  <c r="G219" i="1"/>
  <c r="F221" i="1"/>
  <c r="F325" i="1" s="1"/>
  <c r="G221" i="1"/>
  <c r="G325" i="1" s="1"/>
  <c r="F222" i="1"/>
  <c r="G222" i="1"/>
  <c r="F223" i="1"/>
  <c r="G223" i="1"/>
  <c r="F211" i="1"/>
  <c r="G211" i="1"/>
  <c r="G318" i="1" s="1"/>
  <c r="F212" i="1"/>
  <c r="G212" i="1"/>
  <c r="F213" i="1"/>
  <c r="G213" i="1"/>
  <c r="F214" i="1"/>
  <c r="G214" i="1"/>
  <c r="G320" i="1" s="1"/>
  <c r="F215" i="1"/>
  <c r="G215" i="1"/>
  <c r="F216" i="1"/>
  <c r="G216" i="1"/>
  <c r="F192" i="1"/>
  <c r="F301" i="1" s="1"/>
  <c r="R450" i="55" s="1"/>
  <c r="R329" i="55" s="1"/>
  <c r="G192" i="1"/>
  <c r="G301" i="1" s="1"/>
  <c r="E609" i="55" s="1"/>
  <c r="F193" i="1"/>
  <c r="G193" i="1"/>
  <c r="G302" i="1" s="1"/>
  <c r="E610" i="55" s="1"/>
  <c r="F194" i="1"/>
  <c r="G194" i="1"/>
  <c r="G303" i="1" s="1"/>
  <c r="E611" i="55" s="1"/>
  <c r="F195" i="1"/>
  <c r="G195" i="1"/>
  <c r="G304" i="1" s="1"/>
  <c r="E612" i="55" s="1"/>
  <c r="H167" i="1"/>
  <c r="H152" i="1"/>
  <c r="H137" i="1"/>
  <c r="H126" i="1"/>
  <c r="H125" i="1"/>
  <c r="H124" i="1"/>
  <c r="H122" i="1"/>
  <c r="H121" i="1"/>
  <c r="H120" i="1"/>
  <c r="H119" i="1"/>
  <c r="H118" i="1"/>
  <c r="H117" i="1"/>
  <c r="H116" i="1"/>
  <c r="H115" i="1"/>
  <c r="H114" i="1"/>
  <c r="H98" i="1"/>
  <c r="H97" i="1"/>
  <c r="H96" i="1"/>
  <c r="H95" i="1"/>
  <c r="H94" i="1"/>
  <c r="H93" i="1"/>
  <c r="H92" i="1"/>
  <c r="H91" i="1"/>
  <c r="G191" i="1"/>
  <c r="G300" i="1" s="1"/>
  <c r="E608" i="55" s="1"/>
  <c r="F191" i="1"/>
  <c r="F300" i="1" s="1"/>
  <c r="R449" i="55" s="1"/>
  <c r="R322" i="55" s="1"/>
  <c r="G190" i="1"/>
  <c r="G299" i="1" s="1"/>
  <c r="E607" i="55" s="1"/>
  <c r="F190" i="1"/>
  <c r="F299" i="1" s="1"/>
  <c r="R448" i="55" s="1"/>
  <c r="R321" i="55" s="1"/>
  <c r="G189" i="1"/>
  <c r="G298" i="1" s="1"/>
  <c r="E606" i="55" s="1"/>
  <c r="F189" i="1"/>
  <c r="F298" i="1" s="1"/>
  <c r="R447" i="55" s="1"/>
  <c r="R320" i="55" s="1"/>
  <c r="G188" i="1"/>
  <c r="G297" i="1" s="1"/>
  <c r="E605" i="55" s="1"/>
  <c r="F188" i="1"/>
  <c r="AF35" i="63"/>
  <c r="AF36" i="63"/>
  <c r="AF37" i="63"/>
  <c r="AF38" i="63"/>
  <c r="AF39" i="63"/>
  <c r="AF40" i="63"/>
  <c r="AF41" i="63"/>
  <c r="AF42" i="63"/>
  <c r="AF43" i="63"/>
  <c r="AF44" i="63"/>
  <c r="AF45" i="63"/>
  <c r="AF46" i="63"/>
  <c r="AF47" i="63"/>
  <c r="AF48" i="63"/>
  <c r="AF49" i="63"/>
  <c r="AF50" i="63"/>
  <c r="AF51" i="63"/>
  <c r="AF52" i="63"/>
  <c r="AF53" i="63"/>
  <c r="AF54" i="63"/>
  <c r="AF55" i="63"/>
  <c r="AF56" i="63"/>
  <c r="AF57" i="63"/>
  <c r="AF58" i="63"/>
  <c r="AF59" i="63"/>
  <c r="AF60" i="63"/>
  <c r="AF61" i="63"/>
  <c r="AF62" i="63"/>
  <c r="AF63" i="63"/>
  <c r="AF64" i="63"/>
  <c r="AF65" i="63"/>
  <c r="AF66" i="63"/>
  <c r="AF67" i="63"/>
  <c r="AF68" i="63"/>
  <c r="AF69" i="63"/>
  <c r="AF70" i="63"/>
  <c r="AF71" i="63"/>
  <c r="AF72" i="63"/>
  <c r="AF73" i="63"/>
  <c r="AF74" i="63"/>
  <c r="AF75" i="63"/>
  <c r="AF76" i="63"/>
  <c r="AF77" i="63"/>
  <c r="AF78" i="63"/>
  <c r="AF79" i="63"/>
  <c r="AF80" i="63"/>
  <c r="AF81" i="63"/>
  <c r="AF82" i="63"/>
  <c r="AF83" i="63"/>
  <c r="AF84" i="63"/>
  <c r="AF85" i="63"/>
  <c r="AF86" i="63"/>
  <c r="AF87" i="63"/>
  <c r="AF88" i="63"/>
  <c r="AF89" i="63"/>
  <c r="AF90" i="63"/>
  <c r="AF91" i="63"/>
  <c r="AF92" i="63"/>
  <c r="AF93" i="63"/>
  <c r="AF94" i="63"/>
  <c r="AF95" i="63"/>
  <c r="AF96" i="63"/>
  <c r="AF97" i="63"/>
  <c r="AF98" i="63"/>
  <c r="AF99" i="63"/>
  <c r="AF100" i="63"/>
  <c r="AF101" i="63"/>
  <c r="AF102" i="63"/>
  <c r="AF103" i="63"/>
  <c r="AF104" i="63"/>
  <c r="AF105" i="63"/>
  <c r="AF106" i="63"/>
  <c r="AF107" i="63"/>
  <c r="AF108" i="63"/>
  <c r="AF109" i="63"/>
  <c r="AF110" i="63"/>
  <c r="AF111" i="63"/>
  <c r="AF112" i="63"/>
  <c r="AF113" i="63"/>
  <c r="AF114" i="63"/>
  <c r="AF115" i="63"/>
  <c r="AF116" i="63"/>
  <c r="AF117" i="63"/>
  <c r="AF118" i="63"/>
  <c r="AF119" i="63"/>
  <c r="AF120" i="63"/>
  <c r="AF121" i="63"/>
  <c r="AF122" i="63"/>
  <c r="AF123" i="63"/>
  <c r="AF124" i="63"/>
  <c r="AF125" i="63"/>
  <c r="AF126" i="63"/>
  <c r="AF127" i="63"/>
  <c r="AF128" i="63"/>
  <c r="AF129" i="63"/>
  <c r="AF130" i="63"/>
  <c r="AF131" i="63"/>
  <c r="AF132" i="63"/>
  <c r="I114" i="69" l="1"/>
  <c r="J114" i="69"/>
  <c r="K114" i="69"/>
  <c r="I118" i="69"/>
  <c r="J118" i="69"/>
  <c r="K118" i="69"/>
  <c r="I117" i="69"/>
  <c r="J117" i="69"/>
  <c r="K117" i="69"/>
  <c r="I116" i="69"/>
  <c r="J116" i="69"/>
  <c r="K116" i="69"/>
  <c r="I112" i="69"/>
  <c r="J112" i="69"/>
  <c r="K112" i="69"/>
  <c r="I115" i="69"/>
  <c r="J115" i="69"/>
  <c r="K115" i="69"/>
  <c r="I113" i="69"/>
  <c r="J113" i="69"/>
  <c r="K113" i="69"/>
  <c r="F146" i="69"/>
  <c r="I87" i="69"/>
  <c r="F145" i="69"/>
  <c r="I86" i="69"/>
  <c r="F148" i="69"/>
  <c r="I89" i="69"/>
  <c r="F125" i="69"/>
  <c r="I66" i="69"/>
  <c r="F156" i="69"/>
  <c r="I97" i="69"/>
  <c r="F147" i="69"/>
  <c r="I88" i="69"/>
  <c r="F140" i="69"/>
  <c r="I81" i="69"/>
  <c r="F127" i="69"/>
  <c r="I68" i="69"/>
  <c r="F128" i="69"/>
  <c r="I69" i="69"/>
  <c r="F139" i="69"/>
  <c r="I80" i="69"/>
  <c r="F155" i="69"/>
  <c r="I96" i="69"/>
  <c r="F126" i="69"/>
  <c r="I67" i="69"/>
  <c r="F129" i="69"/>
  <c r="I70" i="69"/>
  <c r="F130" i="69"/>
  <c r="I71" i="69"/>
  <c r="F138" i="69"/>
  <c r="I79" i="69"/>
  <c r="F154" i="69"/>
  <c r="I95" i="69"/>
  <c r="F131" i="69"/>
  <c r="I72" i="69"/>
  <c r="F132" i="69"/>
  <c r="I73" i="69"/>
  <c r="F137" i="69"/>
  <c r="I78" i="69"/>
  <c r="F153" i="69"/>
  <c r="I94" i="69"/>
  <c r="E685" i="55"/>
  <c r="E526" i="55" s="1"/>
  <c r="AG651" i="55"/>
  <c r="R492" i="55"/>
  <c r="R371" i="55" s="1"/>
  <c r="E626" i="55"/>
  <c r="E467" i="55" s="1"/>
  <c r="E649" i="55"/>
  <c r="E490" i="55" s="1"/>
  <c r="E683" i="55"/>
  <c r="E524" i="55" s="1"/>
  <c r="AG649" i="55"/>
  <c r="R490" i="55"/>
  <c r="R369" i="55" s="1"/>
  <c r="R524" i="55"/>
  <c r="R403" i="55" s="1"/>
  <c r="AG683" i="55"/>
  <c r="E648" i="55"/>
  <c r="E489" i="55" s="1"/>
  <c r="E682" i="55"/>
  <c r="E523" i="55" s="1"/>
  <c r="R505" i="55"/>
  <c r="R374" i="55" s="1"/>
  <c r="AG664" i="55"/>
  <c r="AG648" i="55"/>
  <c r="R489" i="55"/>
  <c r="R358" i="55" s="1"/>
  <c r="R523" i="55"/>
  <c r="R392" i="55" s="1"/>
  <c r="AG682" i="55"/>
  <c r="E647" i="55"/>
  <c r="E488" i="55" s="1"/>
  <c r="E681" i="55"/>
  <c r="E522" i="55" s="1"/>
  <c r="R522" i="55"/>
  <c r="R391" i="55" s="1"/>
  <c r="AG681" i="55"/>
  <c r="E633" i="55"/>
  <c r="E474" i="55" s="1"/>
  <c r="E668" i="55"/>
  <c r="E509" i="55" s="1"/>
  <c r="R474" i="55"/>
  <c r="R353" i="55" s="1"/>
  <c r="AG633" i="55"/>
  <c r="AG668" i="55"/>
  <c r="R509" i="55"/>
  <c r="R388" i="55" s="1"/>
  <c r="E666" i="55"/>
  <c r="E507" i="55" s="1"/>
  <c r="E651" i="55"/>
  <c r="E492" i="55" s="1"/>
  <c r="E628" i="55"/>
  <c r="E469" i="55" s="1"/>
  <c r="E665" i="55"/>
  <c r="E506" i="55" s="1"/>
  <c r="E630" i="55"/>
  <c r="E471" i="55" s="1"/>
  <c r="E664" i="55"/>
  <c r="E505" i="55" s="1"/>
  <c r="E453" i="55"/>
  <c r="E452" i="55"/>
  <c r="E451" i="55"/>
  <c r="E450" i="55"/>
  <c r="E449" i="55"/>
  <c r="E446" i="55"/>
  <c r="E447" i="55"/>
  <c r="E448" i="55"/>
  <c r="H86" i="69"/>
  <c r="G319" i="1"/>
  <c r="H54" i="69"/>
  <c r="G289" i="69"/>
  <c r="F148" i="53" s="1"/>
  <c r="AC148" i="53" s="1"/>
  <c r="H94" i="69"/>
  <c r="G282" i="69"/>
  <c r="F282" i="69" s="1"/>
  <c r="G283" i="69"/>
  <c r="F283" i="69" s="1"/>
  <c r="H78" i="69"/>
  <c r="F240" i="69"/>
  <c r="F236" i="69"/>
  <c r="G209" i="69"/>
  <c r="F68" i="53" s="1"/>
  <c r="AC68" i="53" s="1"/>
  <c r="G326" i="1"/>
  <c r="F323" i="1"/>
  <c r="F219" i="69"/>
  <c r="F321" i="1"/>
  <c r="G277" i="69"/>
  <c r="F136" i="53" s="1"/>
  <c r="F280" i="69"/>
  <c r="G285" i="69"/>
  <c r="F144" i="53" s="1"/>
  <c r="F292" i="69"/>
  <c r="F284" i="69"/>
  <c r="F377" i="1"/>
  <c r="H95" i="69"/>
  <c r="F288" i="69"/>
  <c r="F281" i="69"/>
  <c r="F140" i="53"/>
  <c r="AC140" i="53" s="1"/>
  <c r="G253" i="69"/>
  <c r="G254" i="69" s="1"/>
  <c r="G263" i="69"/>
  <c r="F122" i="53" s="1"/>
  <c r="F124" i="53"/>
  <c r="AC124" i="53" s="1"/>
  <c r="F120" i="53"/>
  <c r="H88" i="69"/>
  <c r="F260" i="69"/>
  <c r="F268" i="69"/>
  <c r="H87" i="69"/>
  <c r="G262" i="69"/>
  <c r="G264" i="69"/>
  <c r="F123" i="53" s="1"/>
  <c r="F256" i="69"/>
  <c r="F264" i="69"/>
  <c r="G257" i="69"/>
  <c r="G266" i="69"/>
  <c r="F358" i="1"/>
  <c r="G267" i="69"/>
  <c r="G268" i="69"/>
  <c r="F127" i="53" s="1"/>
  <c r="F357" i="1"/>
  <c r="H89" i="69"/>
  <c r="G233" i="69"/>
  <c r="F233" i="69" s="1"/>
  <c r="F244" i="69"/>
  <c r="F339" i="1"/>
  <c r="G229" i="69"/>
  <c r="G237" i="69"/>
  <c r="F232" i="69"/>
  <c r="G241" i="69"/>
  <c r="G321" i="1"/>
  <c r="G323" i="1"/>
  <c r="G212" i="69"/>
  <c r="F71" i="53" s="1"/>
  <c r="F216" i="69"/>
  <c r="F220" i="69"/>
  <c r="F326" i="1"/>
  <c r="H73" i="69"/>
  <c r="G217" i="69"/>
  <c r="F215" i="69"/>
  <c r="G216" i="69"/>
  <c r="F75" i="53" s="1"/>
  <c r="G213" i="69"/>
  <c r="F322" i="1"/>
  <c r="F212" i="69"/>
  <c r="F320" i="1"/>
  <c r="H68" i="69"/>
  <c r="F211" i="69"/>
  <c r="F318" i="1"/>
  <c r="F319" i="1"/>
  <c r="F207" i="69"/>
  <c r="G208" i="69"/>
  <c r="F67" i="53" s="1"/>
  <c r="F208" i="69"/>
  <c r="H66" i="69"/>
  <c r="F302" i="1"/>
  <c r="R451" i="55" s="1"/>
  <c r="R330" i="55" s="1"/>
  <c r="H57" i="69"/>
  <c r="AG609" i="55"/>
  <c r="H56" i="69"/>
  <c r="F304" i="1"/>
  <c r="R453" i="55" s="1"/>
  <c r="R332" i="55" s="1"/>
  <c r="F303" i="1"/>
  <c r="R452" i="55" s="1"/>
  <c r="R331" i="55" s="1"/>
  <c r="AG607" i="55"/>
  <c r="AG608" i="55"/>
  <c r="AG606" i="55"/>
  <c r="H55" i="69"/>
  <c r="F297" i="1"/>
  <c r="R446" i="55" s="1"/>
  <c r="R319" i="55" s="1"/>
  <c r="G205" i="69"/>
  <c r="G196" i="69"/>
  <c r="F55" i="53" s="1"/>
  <c r="AC55" i="53" s="1"/>
  <c r="F196" i="69"/>
  <c r="G195" i="69"/>
  <c r="F54" i="53" s="1"/>
  <c r="AB54" i="53" s="1"/>
  <c r="F195" i="69"/>
  <c r="G194" i="69"/>
  <c r="F53" i="53" s="1"/>
  <c r="Z53" i="53" s="1"/>
  <c r="F194" i="69"/>
  <c r="G193" i="69"/>
  <c r="F52" i="53" s="1"/>
  <c r="Y52" i="53" s="1"/>
  <c r="F193" i="69"/>
  <c r="G192" i="69"/>
  <c r="F51" i="53" s="1"/>
  <c r="AC51" i="53" s="1"/>
  <c r="F192" i="69"/>
  <c r="G191" i="69"/>
  <c r="F50" i="53" s="1"/>
  <c r="AB50" i="53" s="1"/>
  <c r="G129" i="69"/>
  <c r="F191" i="69"/>
  <c r="G125" i="69"/>
  <c r="G190" i="69"/>
  <c r="F49" i="53" s="1"/>
  <c r="Z49" i="53" s="1"/>
  <c r="F190" i="69"/>
  <c r="G189" i="69"/>
  <c r="F48" i="53" s="1"/>
  <c r="Y48" i="53" s="1"/>
  <c r="G146" i="69"/>
  <c r="G145" i="69"/>
  <c r="G126" i="69"/>
  <c r="G132" i="69"/>
  <c r="G140" i="69"/>
  <c r="G156" i="69"/>
  <c r="G131" i="69"/>
  <c r="G139" i="69"/>
  <c r="G155" i="69"/>
  <c r="G130" i="69"/>
  <c r="G138" i="69"/>
  <c r="G154" i="69"/>
  <c r="G137" i="69"/>
  <c r="G153" i="69"/>
  <c r="G148" i="69"/>
  <c r="G127" i="69"/>
  <c r="G147" i="69"/>
  <c r="G118" i="69"/>
  <c r="G117" i="69"/>
  <c r="G116" i="69"/>
  <c r="I52" i="69"/>
  <c r="G115" i="69"/>
  <c r="G114" i="69"/>
  <c r="G113" i="69"/>
  <c r="G112" i="69"/>
  <c r="G111" i="69"/>
  <c r="F111" i="69"/>
  <c r="I57" i="69"/>
  <c r="I56" i="69"/>
  <c r="I53" i="69"/>
  <c r="H69" i="69"/>
  <c r="I130" i="69" l="1"/>
  <c r="J130" i="69"/>
  <c r="K130" i="69"/>
  <c r="I147" i="69"/>
  <c r="J147" i="69"/>
  <c r="K147" i="69"/>
  <c r="I129" i="69"/>
  <c r="J129" i="69"/>
  <c r="K129" i="69"/>
  <c r="I156" i="69"/>
  <c r="J156" i="69"/>
  <c r="K156" i="69"/>
  <c r="I153" i="69"/>
  <c r="J153" i="69"/>
  <c r="K153" i="69"/>
  <c r="I126" i="69"/>
  <c r="J126" i="69"/>
  <c r="K126" i="69"/>
  <c r="I125" i="69"/>
  <c r="J125" i="69"/>
  <c r="K125" i="69"/>
  <c r="I137" i="69"/>
  <c r="J137" i="69"/>
  <c r="K137" i="69"/>
  <c r="J155" i="69"/>
  <c r="K155" i="69"/>
  <c r="I155" i="69"/>
  <c r="I148" i="69"/>
  <c r="J148" i="69"/>
  <c r="K148" i="69"/>
  <c r="I111" i="69"/>
  <c r="J111" i="69"/>
  <c r="K111" i="69"/>
  <c r="K132" i="69"/>
  <c r="I132" i="69"/>
  <c r="J132" i="69"/>
  <c r="I139" i="69"/>
  <c r="J139" i="69"/>
  <c r="K139" i="69"/>
  <c r="I145" i="69"/>
  <c r="J145" i="69"/>
  <c r="K145" i="69"/>
  <c r="I131" i="69"/>
  <c r="J131" i="69"/>
  <c r="K131" i="69"/>
  <c r="I128" i="69"/>
  <c r="J128" i="69"/>
  <c r="K128" i="69"/>
  <c r="I146" i="69"/>
  <c r="J146" i="69"/>
  <c r="K146" i="69"/>
  <c r="I154" i="69"/>
  <c r="J154" i="69"/>
  <c r="K154" i="69"/>
  <c r="J127" i="69"/>
  <c r="K127" i="69"/>
  <c r="I127" i="69"/>
  <c r="I138" i="69"/>
  <c r="J138" i="69"/>
  <c r="K138" i="69"/>
  <c r="I140" i="69"/>
  <c r="J140" i="69"/>
  <c r="K140" i="69"/>
  <c r="E386" i="55"/>
  <c r="E100" i="55" s="1"/>
  <c r="E181" i="55" s="1"/>
  <c r="E392" i="55"/>
  <c r="E111" i="55" s="1"/>
  <c r="E358" i="55"/>
  <c r="E67" i="55" s="1"/>
  <c r="E388" i="55"/>
  <c r="E102" i="55" s="1"/>
  <c r="E192" i="55" s="1"/>
  <c r="E353" i="55"/>
  <c r="E57" i="55" s="1"/>
  <c r="E187" i="55" s="1"/>
  <c r="E403" i="55"/>
  <c r="E122" i="55" s="1"/>
  <c r="E183" i="55" s="1"/>
  <c r="E375" i="55"/>
  <c r="E89" i="55" s="1"/>
  <c r="E369" i="55"/>
  <c r="E78" i="55" s="1"/>
  <c r="E179" i="55" s="1"/>
  <c r="E371" i="55"/>
  <c r="E80" i="55" s="1"/>
  <c r="E190" i="55" s="1"/>
  <c r="E391" i="55"/>
  <c r="E110" i="55" s="1"/>
  <c r="E166" i="55" s="1"/>
  <c r="E357" i="55"/>
  <c r="E66" i="55" s="1"/>
  <c r="E164" i="55" s="1"/>
  <c r="E374" i="55"/>
  <c r="E88" i="55" s="1"/>
  <c r="E165" i="55" s="1"/>
  <c r="E350" i="55"/>
  <c r="E54" i="55" s="1"/>
  <c r="E176" i="55" s="1"/>
  <c r="E405" i="55"/>
  <c r="E124" i="55" s="1"/>
  <c r="E194" i="55" s="1"/>
  <c r="E336" i="55"/>
  <c r="E40" i="55" s="1"/>
  <c r="E169" i="55" s="1"/>
  <c r="E329" i="55"/>
  <c r="E28" i="55" s="1"/>
  <c r="E174" i="55" s="1"/>
  <c r="E330" i="55"/>
  <c r="E29" i="55" s="1"/>
  <c r="E175" i="55" s="1"/>
  <c r="E331" i="55"/>
  <c r="E30" i="55" s="1"/>
  <c r="E185" i="55" s="1"/>
  <c r="E334" i="55"/>
  <c r="E38" i="55" s="1"/>
  <c r="E162" i="55" s="1"/>
  <c r="E332" i="55"/>
  <c r="E31" i="55" s="1"/>
  <c r="E186" i="55" s="1"/>
  <c r="E321" i="55"/>
  <c r="E20" i="55" s="1"/>
  <c r="E167" i="55" s="1"/>
  <c r="E320" i="55"/>
  <c r="E19" i="55" s="1"/>
  <c r="E161" i="55" s="1"/>
  <c r="E319" i="55"/>
  <c r="E18" i="55" s="1"/>
  <c r="E160" i="55" s="1"/>
  <c r="E322" i="55"/>
  <c r="E21" i="55" s="1"/>
  <c r="E168" i="55" s="1"/>
  <c r="R52" i="55"/>
  <c r="R56" i="55"/>
  <c r="S56" i="55" s="1"/>
  <c r="R98" i="55"/>
  <c r="R50" i="55"/>
  <c r="R76" i="55"/>
  <c r="R506" i="55"/>
  <c r="R375" i="55" s="1"/>
  <c r="AG665" i="55"/>
  <c r="AG627" i="55"/>
  <c r="R468" i="55"/>
  <c r="R335" i="55" s="1"/>
  <c r="R470" i="55"/>
  <c r="R337" i="55" s="1"/>
  <c r="AG629" i="55"/>
  <c r="E627" i="55"/>
  <c r="E468" i="55" s="1"/>
  <c r="R507" i="55"/>
  <c r="R386" i="55" s="1"/>
  <c r="AG666" i="55"/>
  <c r="E631" i="55"/>
  <c r="E472" i="55" s="1"/>
  <c r="R472" i="55"/>
  <c r="R351" i="55" s="1"/>
  <c r="AG631" i="55"/>
  <c r="E629" i="55"/>
  <c r="E470" i="55" s="1"/>
  <c r="F289" i="69"/>
  <c r="E634" i="55"/>
  <c r="E475" i="55" s="1"/>
  <c r="AG628" i="55"/>
  <c r="R469" i="55"/>
  <c r="R336" i="55" s="1"/>
  <c r="R471" i="55"/>
  <c r="R350" i="55" s="1"/>
  <c r="AG630" i="55"/>
  <c r="AG685" i="55"/>
  <c r="R526" i="55"/>
  <c r="R405" i="55" s="1"/>
  <c r="AG626" i="55"/>
  <c r="R467" i="55"/>
  <c r="R334" i="55" s="1"/>
  <c r="R488" i="55"/>
  <c r="R357" i="55" s="1"/>
  <c r="AG647" i="55"/>
  <c r="G286" i="69"/>
  <c r="F286" i="69" s="1"/>
  <c r="G292" i="69"/>
  <c r="R475" i="55"/>
  <c r="R354" i="55" s="1"/>
  <c r="AG634" i="55"/>
  <c r="G291" i="69"/>
  <c r="F291" i="69" s="1"/>
  <c r="G290" i="69"/>
  <c r="F290" i="69" s="1"/>
  <c r="F141" i="53"/>
  <c r="G210" i="69"/>
  <c r="F210" i="69" s="1"/>
  <c r="F209" i="69"/>
  <c r="F142" i="53"/>
  <c r="F285" i="69"/>
  <c r="G256" i="69"/>
  <c r="F115" i="53" s="1"/>
  <c r="G279" i="69"/>
  <c r="F279" i="69" s="1"/>
  <c r="F263" i="69"/>
  <c r="G235" i="69"/>
  <c r="F94" i="53" s="1"/>
  <c r="G234" i="69"/>
  <c r="F93" i="53" s="1"/>
  <c r="G236" i="69"/>
  <c r="F95" i="53" s="1"/>
  <c r="F92" i="53"/>
  <c r="F277" i="69"/>
  <c r="G280" i="69"/>
  <c r="F139" i="53" s="1"/>
  <c r="G288" i="69"/>
  <c r="F147" i="53" s="1"/>
  <c r="G287" i="69"/>
  <c r="F287" i="69" s="1"/>
  <c r="G278" i="69"/>
  <c r="F137" i="53" s="1"/>
  <c r="Z137" i="53" s="1"/>
  <c r="F253" i="69"/>
  <c r="F112" i="53"/>
  <c r="G255" i="69"/>
  <c r="F126" i="53"/>
  <c r="F267" i="69"/>
  <c r="F121" i="53"/>
  <c r="Z121" i="53" s="1"/>
  <c r="F262" i="69"/>
  <c r="F113" i="53"/>
  <c r="Z113" i="53" s="1"/>
  <c r="F254" i="69"/>
  <c r="F266" i="69"/>
  <c r="F125" i="53"/>
  <c r="F257" i="69"/>
  <c r="G260" i="69"/>
  <c r="F119" i="53" s="1"/>
  <c r="G259" i="69"/>
  <c r="G258" i="69"/>
  <c r="F116" i="53"/>
  <c r="AC116" i="53" s="1"/>
  <c r="F237" i="69"/>
  <c r="G240" i="69"/>
  <c r="F99" i="53" s="1"/>
  <c r="G239" i="69"/>
  <c r="G238" i="69"/>
  <c r="F96" i="53"/>
  <c r="F229" i="69"/>
  <c r="G232" i="69"/>
  <c r="F91" i="53" s="1"/>
  <c r="G231" i="69"/>
  <c r="G230" i="69"/>
  <c r="F88" i="53"/>
  <c r="F241" i="69"/>
  <c r="G244" i="69"/>
  <c r="F103" i="53" s="1"/>
  <c r="G243" i="69"/>
  <c r="G242" i="69"/>
  <c r="F100" i="53"/>
  <c r="F76" i="53"/>
  <c r="AC76" i="53" s="1"/>
  <c r="G218" i="69"/>
  <c r="F217" i="69"/>
  <c r="F72" i="53"/>
  <c r="G214" i="69"/>
  <c r="F213" i="69"/>
  <c r="F205" i="69"/>
  <c r="F64" i="53"/>
  <c r="G206" i="69"/>
  <c r="AG611" i="55"/>
  <c r="AG610" i="55"/>
  <c r="AG612" i="55"/>
  <c r="AG605" i="55"/>
  <c r="AF24" i="63"/>
  <c r="AF25" i="63"/>
  <c r="AF26" i="63"/>
  <c r="AF27" i="63"/>
  <c r="AF28" i="63"/>
  <c r="AF29" i="63"/>
  <c r="AF30" i="63"/>
  <c r="AF31" i="63"/>
  <c r="AF32" i="63"/>
  <c r="AF33" i="63"/>
  <c r="AF34" i="63"/>
  <c r="AF23" i="63"/>
  <c r="H23" i="65"/>
  <c r="H24" i="65"/>
  <c r="H25" i="65"/>
  <c r="H26" i="65"/>
  <c r="H27" i="65"/>
  <c r="H28" i="65"/>
  <c r="H29" i="65"/>
  <c r="H30" i="65"/>
  <c r="H31" i="65"/>
  <c r="H32" i="65"/>
  <c r="H33" i="65"/>
  <c r="H34" i="65"/>
  <c r="H35" i="65"/>
  <c r="H36" i="65"/>
  <c r="H37" i="65"/>
  <c r="H38" i="65"/>
  <c r="H39" i="65"/>
  <c r="H40" i="65"/>
  <c r="H41" i="65"/>
  <c r="H42" i="65"/>
  <c r="H43" i="65"/>
  <c r="H44" i="65"/>
  <c r="H45" i="65"/>
  <c r="H46" i="65"/>
  <c r="H47" i="65"/>
  <c r="H48" i="65"/>
  <c r="H49" i="65"/>
  <c r="H50" i="65"/>
  <c r="H51" i="65"/>
  <c r="H52" i="65"/>
  <c r="H53" i="65"/>
  <c r="H54" i="65"/>
  <c r="H55" i="65"/>
  <c r="H56" i="65"/>
  <c r="H57" i="65"/>
  <c r="H58" i="65"/>
  <c r="H59" i="65"/>
  <c r="H60" i="65"/>
  <c r="H61" i="65"/>
  <c r="H62" i="65"/>
  <c r="H63" i="65"/>
  <c r="H64" i="65"/>
  <c r="H65" i="65"/>
  <c r="H66" i="65"/>
  <c r="H67" i="65"/>
  <c r="H68" i="65"/>
  <c r="H69" i="65"/>
  <c r="H70" i="65"/>
  <c r="H71" i="65"/>
  <c r="H72" i="65"/>
  <c r="H73" i="65"/>
  <c r="H74" i="65"/>
  <c r="H75" i="65"/>
  <c r="H76" i="65"/>
  <c r="H77" i="65"/>
  <c r="H78" i="65"/>
  <c r="H79" i="65"/>
  <c r="H80" i="65"/>
  <c r="H81" i="65"/>
  <c r="H82" i="65"/>
  <c r="H83" i="65"/>
  <c r="H84" i="65"/>
  <c r="H85" i="65"/>
  <c r="H86" i="65"/>
  <c r="H87" i="65"/>
  <c r="H88" i="65"/>
  <c r="H89" i="65"/>
  <c r="H90" i="65"/>
  <c r="H91" i="65"/>
  <c r="H92" i="65"/>
  <c r="H93" i="65"/>
  <c r="H94" i="65"/>
  <c r="H95" i="65"/>
  <c r="H96" i="65"/>
  <c r="H97" i="65"/>
  <c r="H98" i="65"/>
  <c r="H99" i="65"/>
  <c r="H100" i="65"/>
  <c r="H101" i="65"/>
  <c r="H102" i="65"/>
  <c r="H103" i="65"/>
  <c r="H104" i="65"/>
  <c r="H105" i="65"/>
  <c r="H106" i="65"/>
  <c r="H107" i="65"/>
  <c r="H108" i="65"/>
  <c r="H109" i="65"/>
  <c r="H110" i="65"/>
  <c r="H111" i="65"/>
  <c r="H112" i="65"/>
  <c r="H113" i="65"/>
  <c r="H114" i="65"/>
  <c r="H115" i="65"/>
  <c r="H116" i="65"/>
  <c r="H117" i="65"/>
  <c r="H118" i="65"/>
  <c r="H119" i="65"/>
  <c r="H120" i="65"/>
  <c r="H121" i="65"/>
  <c r="H122" i="65"/>
  <c r="H123" i="65"/>
  <c r="H124" i="65"/>
  <c r="H125" i="65"/>
  <c r="H126" i="65"/>
  <c r="H127" i="65"/>
  <c r="H128" i="65"/>
  <c r="H129" i="65"/>
  <c r="H130" i="65"/>
  <c r="H131" i="65"/>
  <c r="H22" i="65"/>
  <c r="A23" i="65"/>
  <c r="A24" i="65"/>
  <c r="A25" i="65"/>
  <c r="A26" i="65"/>
  <c r="A27" i="65"/>
  <c r="A28" i="65"/>
  <c r="A29" i="65"/>
  <c r="A30" i="65"/>
  <c r="A31" i="65"/>
  <c r="A32" i="65"/>
  <c r="A33" i="65"/>
  <c r="A34" i="65"/>
  <c r="A35" i="65"/>
  <c r="A36" i="65"/>
  <c r="A37" i="65"/>
  <c r="A38" i="65"/>
  <c r="A39" i="65"/>
  <c r="A40" i="65"/>
  <c r="A41" i="65"/>
  <c r="A42" i="65"/>
  <c r="A43" i="65"/>
  <c r="A44" i="65"/>
  <c r="A45" i="65"/>
  <c r="A46" i="65"/>
  <c r="A47" i="65"/>
  <c r="A48" i="65"/>
  <c r="A49" i="65"/>
  <c r="A50" i="65"/>
  <c r="A51" i="65"/>
  <c r="A52" i="65"/>
  <c r="A53" i="65"/>
  <c r="A54" i="65"/>
  <c r="A55" i="65"/>
  <c r="A56" i="65"/>
  <c r="A57" i="65"/>
  <c r="A58" i="65"/>
  <c r="A59" i="65"/>
  <c r="A60" i="65"/>
  <c r="A61" i="65"/>
  <c r="A62" i="65"/>
  <c r="A63" i="65"/>
  <c r="A64" i="65"/>
  <c r="A65" i="65"/>
  <c r="A66" i="65"/>
  <c r="A67" i="65"/>
  <c r="A68" i="65"/>
  <c r="A69" i="65"/>
  <c r="A70" i="65"/>
  <c r="A71" i="65"/>
  <c r="A72" i="65"/>
  <c r="A73" i="65"/>
  <c r="A74" i="65"/>
  <c r="A75" i="65"/>
  <c r="A76" i="65"/>
  <c r="A77" i="65"/>
  <c r="A78" i="65"/>
  <c r="A79" i="65"/>
  <c r="A80" i="65"/>
  <c r="A81" i="65"/>
  <c r="A82" i="65"/>
  <c r="A83" i="65"/>
  <c r="A84" i="65"/>
  <c r="A85" i="65"/>
  <c r="A86" i="65"/>
  <c r="A87" i="65"/>
  <c r="A88" i="65"/>
  <c r="A89" i="65"/>
  <c r="A90" i="65"/>
  <c r="A91" i="65"/>
  <c r="A92" i="65"/>
  <c r="A93" i="65"/>
  <c r="A94" i="65"/>
  <c r="A95" i="65"/>
  <c r="A96" i="65"/>
  <c r="A97" i="65"/>
  <c r="A98" i="65"/>
  <c r="A99" i="65"/>
  <c r="A100" i="65"/>
  <c r="A101" i="65"/>
  <c r="A102" i="65"/>
  <c r="A103" i="65"/>
  <c r="A104" i="65"/>
  <c r="A105" i="65"/>
  <c r="A106" i="65"/>
  <c r="A107" i="65"/>
  <c r="A108" i="65"/>
  <c r="A109" i="65"/>
  <c r="A110" i="65"/>
  <c r="A111" i="65"/>
  <c r="A112" i="65"/>
  <c r="A113" i="65"/>
  <c r="A114" i="65"/>
  <c r="A115" i="65"/>
  <c r="A116" i="65"/>
  <c r="A117" i="65"/>
  <c r="A118" i="65"/>
  <c r="A119" i="65"/>
  <c r="A120" i="65"/>
  <c r="A121" i="65"/>
  <c r="A122" i="65"/>
  <c r="A123" i="65"/>
  <c r="A124" i="65"/>
  <c r="A125" i="65"/>
  <c r="A126" i="65"/>
  <c r="A127" i="65"/>
  <c r="A128" i="65"/>
  <c r="A129" i="65"/>
  <c r="A130" i="65"/>
  <c r="A131" i="65"/>
  <c r="A22" i="65"/>
  <c r="R100" i="55" l="1"/>
  <c r="S100" i="55" s="1"/>
  <c r="R89" i="55"/>
  <c r="S89" i="55" s="1"/>
  <c r="E172" i="55"/>
  <c r="R67" i="55"/>
  <c r="S67" i="55" s="1"/>
  <c r="E171" i="55"/>
  <c r="R30" i="55"/>
  <c r="S30" i="55" s="1"/>
  <c r="R111" i="55"/>
  <c r="S111" i="55" s="1"/>
  <c r="E173" i="55"/>
  <c r="R78" i="55"/>
  <c r="S78" i="55" s="1"/>
  <c r="P124" i="55"/>
  <c r="R124" i="55"/>
  <c r="S124" i="55" s="1"/>
  <c r="P80" i="55"/>
  <c r="R80" i="55"/>
  <c r="S80" i="55" s="1"/>
  <c r="P57" i="55"/>
  <c r="R57" i="55"/>
  <c r="S57" i="55" s="1"/>
  <c r="P102" i="55"/>
  <c r="R102" i="55"/>
  <c r="S102" i="55" s="1"/>
  <c r="R54" i="55"/>
  <c r="R120" i="55"/>
  <c r="E354" i="55"/>
  <c r="E58" i="55" s="1"/>
  <c r="E188" i="55" s="1"/>
  <c r="E351" i="55"/>
  <c r="E55" i="55" s="1"/>
  <c r="E177" i="55" s="1"/>
  <c r="R122" i="55"/>
  <c r="S122" i="55" s="1"/>
  <c r="R29" i="55"/>
  <c r="S29" i="55" s="1"/>
  <c r="R28" i="55"/>
  <c r="S28" i="55" s="1"/>
  <c r="E335" i="55"/>
  <c r="E39" i="55" s="1"/>
  <c r="E163" i="55" s="1"/>
  <c r="R31" i="55"/>
  <c r="S31" i="55" s="1"/>
  <c r="E337" i="55"/>
  <c r="E41" i="55" s="1"/>
  <c r="E170" i="55" s="1"/>
  <c r="F145" i="53"/>
  <c r="Z145" i="53" s="1"/>
  <c r="F69" i="53"/>
  <c r="F150" i="53"/>
  <c r="F149" i="53"/>
  <c r="G211" i="69"/>
  <c r="F70" i="53" s="1"/>
  <c r="F235" i="69"/>
  <c r="F234" i="69"/>
  <c r="F138" i="53"/>
  <c r="F146" i="53"/>
  <c r="F278" i="69"/>
  <c r="AC100" i="53"/>
  <c r="AC92" i="53"/>
  <c r="F114" i="53"/>
  <c r="F255" i="69"/>
  <c r="F258" i="69"/>
  <c r="F117" i="53"/>
  <c r="F118" i="53"/>
  <c r="F259" i="69"/>
  <c r="F89" i="53"/>
  <c r="Z89" i="53" s="1"/>
  <c r="F230" i="69"/>
  <c r="F231" i="69"/>
  <c r="F90" i="53"/>
  <c r="F101" i="53"/>
  <c r="F242" i="69"/>
  <c r="F102" i="53"/>
  <c r="F243" i="69"/>
  <c r="F97" i="53"/>
  <c r="Z97" i="53" s="1"/>
  <c r="F238" i="69"/>
  <c r="F98" i="53"/>
  <c r="F239" i="69"/>
  <c r="G219" i="69"/>
  <c r="F78" i="53" s="1"/>
  <c r="F77" i="53"/>
  <c r="F218" i="69"/>
  <c r="G215" i="69"/>
  <c r="F74" i="53" s="1"/>
  <c r="F214" i="69"/>
  <c r="F73" i="53"/>
  <c r="Z73" i="53" s="1"/>
  <c r="G207" i="69"/>
  <c r="F66" i="53" s="1"/>
  <c r="F65" i="53"/>
  <c r="Z65" i="53" s="1"/>
  <c r="F206" i="69"/>
  <c r="AF133" i="63"/>
  <c r="F155" i="65"/>
  <c r="F156" i="65"/>
  <c r="F157" i="65"/>
  <c r="F158" i="65"/>
  <c r="F159" i="65"/>
  <c r="F160" i="65"/>
  <c r="F161" i="65"/>
  <c r="F162" i="65"/>
  <c r="F163" i="65"/>
  <c r="F164" i="65"/>
  <c r="F165" i="65"/>
  <c r="F166" i="65"/>
  <c r="F167" i="65"/>
  <c r="F168" i="65"/>
  <c r="F169" i="65"/>
  <c r="F170" i="65"/>
  <c r="F171" i="65"/>
  <c r="F154" i="65"/>
  <c r="H23" i="63"/>
  <c r="H24" i="63"/>
  <c r="H25" i="63"/>
  <c r="R139" i="63"/>
  <c r="F139" i="65" s="1"/>
  <c r="R140" i="63"/>
  <c r="F140" i="65" s="1"/>
  <c r="R141" i="63"/>
  <c r="F141" i="65" s="1"/>
  <c r="R142" i="63"/>
  <c r="F142" i="65" s="1"/>
  <c r="R143" i="63"/>
  <c r="F143" i="65" s="1"/>
  <c r="R144" i="63"/>
  <c r="F144" i="65" s="1"/>
  <c r="R145" i="63"/>
  <c r="F145" i="65" s="1"/>
  <c r="R146" i="63"/>
  <c r="F146" i="65" s="1"/>
  <c r="R138" i="63"/>
  <c r="F138" i="65" s="1"/>
  <c r="F10" i="69"/>
  <c r="I10" i="69" s="1"/>
  <c r="G11" i="69"/>
  <c r="G12" i="69"/>
  <c r="G13" i="69"/>
  <c r="G14" i="69"/>
  <c r="G15" i="69"/>
  <c r="G16" i="69"/>
  <c r="G17" i="69"/>
  <c r="G18" i="69"/>
  <c r="G19" i="69"/>
  <c r="G20" i="69"/>
  <c r="G21" i="69"/>
  <c r="G22" i="69"/>
  <c r="G23" i="69"/>
  <c r="G25" i="69"/>
  <c r="G38" i="69" s="1"/>
  <c r="G39" i="69" s="1"/>
  <c r="F25" i="69"/>
  <c r="F24" i="69"/>
  <c r="I24" i="69" s="1"/>
  <c r="F23" i="69"/>
  <c r="F22" i="69"/>
  <c r="F21" i="69"/>
  <c r="F20" i="69"/>
  <c r="F17" i="69"/>
  <c r="F18" i="69"/>
  <c r="F19" i="69"/>
  <c r="F15" i="69"/>
  <c r="F16" i="69"/>
  <c r="F14" i="69"/>
  <c r="F11" i="69"/>
  <c r="F12" i="69"/>
  <c r="F13" i="69"/>
  <c r="E704" i="55"/>
  <c r="G26" i="42"/>
  <c r="H26" i="42"/>
  <c r="F26" i="42"/>
  <c r="P58" i="55" l="1"/>
  <c r="R58" i="55"/>
  <c r="S58" i="55" s="1"/>
  <c r="R55" i="55"/>
  <c r="R39" i="55"/>
  <c r="S39" i="55" s="1"/>
  <c r="I22" i="69"/>
  <c r="I21" i="69"/>
  <c r="I20" i="69"/>
  <c r="I19" i="69"/>
  <c r="I17" i="69"/>
  <c r="I15" i="69"/>
  <c r="H17" i="69"/>
  <c r="H18" i="69"/>
  <c r="H16" i="69"/>
  <c r="H14" i="69"/>
  <c r="H13" i="69"/>
  <c r="I23" i="69"/>
  <c r="H25" i="69"/>
  <c r="I25" i="69"/>
  <c r="K24" i="69" s="1"/>
  <c r="F39" i="69" s="1"/>
  <c r="I12" i="69"/>
  <c r="H15" i="69"/>
  <c r="G31" i="69"/>
  <c r="I16" i="69"/>
  <c r="H23" i="69"/>
  <c r="H22" i="69"/>
  <c r="G32" i="69"/>
  <c r="I18" i="69"/>
  <c r="I11" i="69"/>
  <c r="H21" i="69"/>
  <c r="G33" i="69"/>
  <c r="I14" i="69"/>
  <c r="H20" i="69"/>
  <c r="I13" i="69"/>
  <c r="H19" i="69"/>
  <c r="H10" i="69"/>
  <c r="H24" i="69"/>
  <c r="G34" i="69"/>
  <c r="G35" i="69" s="1"/>
  <c r="H12" i="69"/>
  <c r="G36" i="69"/>
  <c r="G37" i="69" s="1"/>
  <c r="H11" i="69"/>
  <c r="E26" i="42"/>
  <c r="K22" i="69" l="1"/>
  <c r="F37" i="69" s="1"/>
  <c r="K20" i="69"/>
  <c r="F35" i="69" s="1"/>
  <c r="J24" i="69"/>
  <c r="F38" i="69" s="1"/>
  <c r="J20" i="69"/>
  <c r="F34" i="69" s="1"/>
  <c r="J10" i="69"/>
  <c r="F31" i="69" s="1"/>
  <c r="J22" i="69"/>
  <c r="F36" i="69" s="1"/>
  <c r="K14" i="69"/>
  <c r="F33" i="69" s="1"/>
  <c r="K10" i="69"/>
  <c r="J14" i="69"/>
  <c r="F32" i="69" s="1"/>
  <c r="G40" i="69"/>
  <c r="F415" i="1"/>
  <c r="B9" i="64"/>
  <c r="B10" i="64"/>
  <c r="B11" i="64"/>
  <c r="B12" i="64"/>
  <c r="B13" i="64"/>
  <c r="B14" i="64"/>
  <c r="B15" i="64"/>
  <c r="B16" i="64"/>
  <c r="B17" i="64"/>
  <c r="B8" i="64"/>
  <c r="F23" i="65"/>
  <c r="F24" i="65"/>
  <c r="F25" i="65"/>
  <c r="F26" i="65"/>
  <c r="F27" i="65"/>
  <c r="F28" i="65"/>
  <c r="F29" i="65"/>
  <c r="F30" i="65"/>
  <c r="F31" i="65"/>
  <c r="F32" i="65"/>
  <c r="F33" i="65"/>
  <c r="F34" i="65"/>
  <c r="F35" i="65"/>
  <c r="F36" i="65"/>
  <c r="F37" i="65"/>
  <c r="F38" i="65"/>
  <c r="F39" i="65"/>
  <c r="F40" i="65"/>
  <c r="F41" i="65"/>
  <c r="F42" i="65"/>
  <c r="F43" i="65"/>
  <c r="F44" i="65"/>
  <c r="F45" i="65"/>
  <c r="F46" i="65"/>
  <c r="F47" i="65"/>
  <c r="F48" i="65"/>
  <c r="F49" i="65"/>
  <c r="F50" i="65"/>
  <c r="F51" i="65"/>
  <c r="F52" i="65"/>
  <c r="F53" i="65"/>
  <c r="F54" i="65"/>
  <c r="F55" i="65"/>
  <c r="F56" i="65"/>
  <c r="F57" i="65"/>
  <c r="F58" i="65"/>
  <c r="F59" i="65"/>
  <c r="F60" i="65"/>
  <c r="F61" i="65"/>
  <c r="F62" i="65"/>
  <c r="F63" i="65"/>
  <c r="F64" i="65"/>
  <c r="F65" i="65"/>
  <c r="F66" i="65"/>
  <c r="F67" i="65"/>
  <c r="F68" i="65"/>
  <c r="F69" i="65"/>
  <c r="F70" i="65"/>
  <c r="F71" i="65"/>
  <c r="F72" i="65"/>
  <c r="F73" i="65"/>
  <c r="F74" i="65"/>
  <c r="F75" i="65"/>
  <c r="F76" i="65"/>
  <c r="F77" i="65"/>
  <c r="F78" i="65"/>
  <c r="F79" i="65"/>
  <c r="F80" i="65"/>
  <c r="F81" i="65"/>
  <c r="F82" i="65"/>
  <c r="F83" i="65"/>
  <c r="F84" i="65"/>
  <c r="F85" i="65"/>
  <c r="F86" i="65"/>
  <c r="F87" i="65"/>
  <c r="F88" i="65"/>
  <c r="F89" i="65"/>
  <c r="F90" i="65"/>
  <c r="F91" i="65"/>
  <c r="F92" i="65"/>
  <c r="F93" i="65"/>
  <c r="F94" i="65"/>
  <c r="F95" i="65"/>
  <c r="F96" i="65"/>
  <c r="F97" i="65"/>
  <c r="F98" i="65"/>
  <c r="F99" i="65"/>
  <c r="F100" i="65"/>
  <c r="F101" i="65"/>
  <c r="F102" i="65"/>
  <c r="F103" i="65"/>
  <c r="F104" i="65"/>
  <c r="F105" i="65"/>
  <c r="F106" i="65"/>
  <c r="F107" i="65"/>
  <c r="F108" i="65"/>
  <c r="F109" i="65"/>
  <c r="F110" i="65"/>
  <c r="F111" i="65"/>
  <c r="F112" i="65"/>
  <c r="F113" i="65"/>
  <c r="F114" i="65"/>
  <c r="F115" i="65"/>
  <c r="F116" i="65"/>
  <c r="F117" i="65"/>
  <c r="F118" i="65"/>
  <c r="F119" i="65"/>
  <c r="F120" i="65"/>
  <c r="F121" i="65"/>
  <c r="F122" i="65"/>
  <c r="F123" i="65"/>
  <c r="F124" i="65"/>
  <c r="F125" i="65"/>
  <c r="F126" i="65"/>
  <c r="F127" i="65"/>
  <c r="F128" i="65"/>
  <c r="F129" i="65"/>
  <c r="F130" i="65"/>
  <c r="F131" i="65"/>
  <c r="F22" i="65"/>
  <c r="A21" i="65"/>
  <c r="G74" i="69"/>
  <c r="G221" i="69" s="1"/>
  <c r="G76" i="69"/>
  <c r="G225" i="69" s="1"/>
  <c r="G82" i="69"/>
  <c r="G245" i="69" s="1"/>
  <c r="G84" i="69"/>
  <c r="G249" i="69" s="1"/>
  <c r="G90" i="69"/>
  <c r="G269" i="69" s="1"/>
  <c r="G92" i="69"/>
  <c r="F92" i="69"/>
  <c r="F276" i="69" s="1"/>
  <c r="F90" i="69"/>
  <c r="F84" i="69"/>
  <c r="F252" i="69" s="1"/>
  <c r="F82" i="69"/>
  <c r="F76" i="69"/>
  <c r="F228" i="69" s="1"/>
  <c r="F74" i="69"/>
  <c r="G63" i="69"/>
  <c r="G201" i="69" s="1"/>
  <c r="G64" i="69"/>
  <c r="F64" i="69"/>
  <c r="F63" i="69"/>
  <c r="G60" i="69"/>
  <c r="G61" i="69"/>
  <c r="G200" i="69" s="1"/>
  <c r="F61" i="69"/>
  <c r="F60" i="69"/>
  <c r="G48" i="69"/>
  <c r="G49" i="69"/>
  <c r="G50" i="69"/>
  <c r="G51" i="69"/>
  <c r="F49" i="69"/>
  <c r="F50" i="69"/>
  <c r="F51" i="69"/>
  <c r="F48" i="69"/>
  <c r="AQ157" i="69"/>
  <c r="AP157" i="69"/>
  <c r="AO157" i="69"/>
  <c r="AN157" i="69"/>
  <c r="AM157" i="69"/>
  <c r="AL157" i="69"/>
  <c r="AK157" i="69"/>
  <c r="AJ157" i="69"/>
  <c r="AI157" i="69"/>
  <c r="AH157" i="69"/>
  <c r="AG157" i="69"/>
  <c r="AF157" i="69"/>
  <c r="AE157" i="69"/>
  <c r="AD157" i="69"/>
  <c r="AC157" i="69"/>
  <c r="AB157" i="69"/>
  <c r="AA157" i="69"/>
  <c r="Z157" i="69"/>
  <c r="Y157" i="69"/>
  <c r="X157" i="69"/>
  <c r="W157" i="69"/>
  <c r="V157" i="69"/>
  <c r="U157" i="69"/>
  <c r="T157" i="69"/>
  <c r="F4" i="69"/>
  <c r="D2" i="69"/>
  <c r="F200" i="69" l="1"/>
  <c r="K51" i="69"/>
  <c r="F98" i="69"/>
  <c r="G185" i="69"/>
  <c r="G98" i="69"/>
  <c r="I74" i="69"/>
  <c r="K77" i="69"/>
  <c r="F224" i="69"/>
  <c r="K65" i="69"/>
  <c r="F199" i="69"/>
  <c r="K62" i="69"/>
  <c r="I63" i="69"/>
  <c r="F203" i="69"/>
  <c r="I82" i="69"/>
  <c r="K85" i="69"/>
  <c r="F248" i="69"/>
  <c r="I90" i="69"/>
  <c r="K93" i="69"/>
  <c r="F272" i="69"/>
  <c r="G151" i="69"/>
  <c r="G273" i="69"/>
  <c r="G276" i="69" s="1"/>
  <c r="F135" i="53" s="1"/>
  <c r="I64" i="69"/>
  <c r="F204" i="69"/>
  <c r="F63" i="53"/>
  <c r="G204" i="69"/>
  <c r="G197" i="69"/>
  <c r="F56" i="53" s="1"/>
  <c r="I84" i="69"/>
  <c r="F143" i="69"/>
  <c r="G143" i="69"/>
  <c r="I76" i="69"/>
  <c r="F135" i="69"/>
  <c r="G135" i="69"/>
  <c r="I92" i="69"/>
  <c r="K26" i="69"/>
  <c r="J26" i="69"/>
  <c r="F40" i="69"/>
  <c r="F188" i="69"/>
  <c r="F149" i="69"/>
  <c r="F102" i="69"/>
  <c r="F187" i="69"/>
  <c r="G101" i="69"/>
  <c r="F143" i="53" s="1"/>
  <c r="G187" i="69"/>
  <c r="F46" i="53" s="1"/>
  <c r="G102" i="69"/>
  <c r="F101" i="69"/>
  <c r="F108" i="53"/>
  <c r="F84" i="53"/>
  <c r="F44" i="53"/>
  <c r="H49" i="69"/>
  <c r="H64" i="69"/>
  <c r="H76" i="69"/>
  <c r="H92" i="69"/>
  <c r="G109" i="69"/>
  <c r="F151" i="53" s="1"/>
  <c r="G123" i="69"/>
  <c r="F151" i="69"/>
  <c r="G110" i="69"/>
  <c r="G188" i="69"/>
  <c r="H51" i="69"/>
  <c r="F120" i="69"/>
  <c r="I61" i="69"/>
  <c r="F141" i="69"/>
  <c r="H61" i="69"/>
  <c r="F59" i="53"/>
  <c r="G120" i="69"/>
  <c r="F104" i="53"/>
  <c r="G141" i="69"/>
  <c r="H82" i="69"/>
  <c r="F109" i="69"/>
  <c r="F107" i="69"/>
  <c r="F185" i="69"/>
  <c r="H48" i="69"/>
  <c r="H63" i="69"/>
  <c r="H84" i="69"/>
  <c r="I48" i="69"/>
  <c r="F80" i="53"/>
  <c r="G133" i="69"/>
  <c r="H74" i="69"/>
  <c r="F122" i="69"/>
  <c r="F108" i="69"/>
  <c r="F186" i="69"/>
  <c r="G122" i="69"/>
  <c r="G186" i="69"/>
  <c r="G108" i="69"/>
  <c r="I49" i="69"/>
  <c r="F119" i="69"/>
  <c r="F110" i="69"/>
  <c r="F133" i="69"/>
  <c r="G119" i="69"/>
  <c r="H50" i="69"/>
  <c r="H60" i="69"/>
  <c r="G107" i="69"/>
  <c r="I60" i="69"/>
  <c r="F128" i="53"/>
  <c r="G149" i="69"/>
  <c r="H90" i="69"/>
  <c r="F123" i="69"/>
  <c r="G228" i="69"/>
  <c r="F87" i="53" s="1"/>
  <c r="G227" i="69"/>
  <c r="F86" i="53" s="1"/>
  <c r="G226" i="69"/>
  <c r="F85" i="53" s="1"/>
  <c r="F225" i="69"/>
  <c r="G252" i="69"/>
  <c r="F111" i="53" s="1"/>
  <c r="G251" i="69"/>
  <c r="F110" i="53" s="1"/>
  <c r="G250" i="69"/>
  <c r="F109" i="53" s="1"/>
  <c r="F249" i="69"/>
  <c r="F132" i="53" l="1"/>
  <c r="H188" i="69"/>
  <c r="H189" i="69" s="1"/>
  <c r="F103" i="69"/>
  <c r="F21" i="53"/>
  <c r="F5" i="53"/>
  <c r="G157" i="69"/>
  <c r="G158" i="69" s="1"/>
  <c r="F157" i="69"/>
  <c r="F158" i="69" s="1"/>
  <c r="L26" i="69"/>
  <c r="F47" i="53"/>
  <c r="F60" i="53"/>
  <c r="F18" i="53" s="1"/>
  <c r="F45" i="53"/>
  <c r="G202" i="69"/>
  <c r="F201" i="69"/>
  <c r="F197" i="69"/>
  <c r="G198" i="69"/>
  <c r="F57" i="53" s="1"/>
  <c r="G248" i="69"/>
  <c r="F107" i="53" s="1"/>
  <c r="G247" i="69"/>
  <c r="F106" i="53" s="1"/>
  <c r="G246" i="69"/>
  <c r="F105" i="53" s="1"/>
  <c r="F245" i="69"/>
  <c r="F226" i="69"/>
  <c r="G275" i="69"/>
  <c r="F134" i="53" s="1"/>
  <c r="G274" i="69"/>
  <c r="F133" i="53" s="1"/>
  <c r="F273" i="69"/>
  <c r="G272" i="69"/>
  <c r="F131" i="53" s="1"/>
  <c r="G271" i="69"/>
  <c r="F130" i="53" s="1"/>
  <c r="G270" i="69"/>
  <c r="F129" i="53" s="1"/>
  <c r="F269" i="69"/>
  <c r="G224" i="69"/>
  <c r="F83" i="53" s="1"/>
  <c r="G223" i="69"/>
  <c r="F82" i="53" s="1"/>
  <c r="G222" i="69"/>
  <c r="F81" i="53" s="1"/>
  <c r="F221" i="69"/>
  <c r="F227" i="69"/>
  <c r="F250" i="69"/>
  <c r="F251" i="69"/>
  <c r="F8" i="53" l="1"/>
  <c r="F6" i="53"/>
  <c r="G203" i="69"/>
  <c r="F61" i="53"/>
  <c r="F19" i="53" s="1"/>
  <c r="F202" i="69"/>
  <c r="F246" i="69"/>
  <c r="F198" i="69"/>
  <c r="H200" i="69" s="1"/>
  <c r="H201" i="69" s="1"/>
  <c r="G199" i="69"/>
  <c r="G293" i="69" s="1"/>
  <c r="G99" i="69" s="1"/>
  <c r="F270" i="69"/>
  <c r="F271" i="69"/>
  <c r="F247" i="69"/>
  <c r="F274" i="69"/>
  <c r="F222" i="69"/>
  <c r="F275" i="69"/>
  <c r="F223" i="69"/>
  <c r="H252" i="69" l="1"/>
  <c r="H253" i="69" s="1"/>
  <c r="H228" i="69"/>
  <c r="H229" i="69" s="1"/>
  <c r="H276" i="69"/>
  <c r="H277" i="69" s="1"/>
  <c r="H204" i="69"/>
  <c r="H205" i="69" s="1"/>
  <c r="F293" i="69"/>
  <c r="F58" i="53"/>
  <c r="F7" i="53" s="1"/>
  <c r="F62" i="53"/>
  <c r="F20" i="53" s="1"/>
  <c r="H293" i="69" l="1"/>
  <c r="S293" i="69"/>
  <c r="F99" i="69"/>
  <c r="F76" i="1" l="1"/>
  <c r="H67" i="1"/>
  <c r="H76" i="1" l="1"/>
  <c r="I67" i="1"/>
  <c r="I76" i="1" l="1"/>
  <c r="J67" i="1"/>
  <c r="J76" i="1" l="1"/>
  <c r="H38" i="1"/>
  <c r="I38" i="1"/>
  <c r="J38" i="1"/>
  <c r="K38" i="1"/>
  <c r="G38" i="1"/>
  <c r="K45" i="1"/>
  <c r="F45" i="1"/>
  <c r="K53" i="1"/>
  <c r="F53" i="1"/>
  <c r="F418" i="1" s="1"/>
  <c r="F37" i="1"/>
  <c r="K46" i="1" l="1"/>
  <c r="J51" i="1"/>
  <c r="J50" i="1"/>
  <c r="J49" i="1"/>
  <c r="J48" i="1"/>
  <c r="J44" i="1" l="1"/>
  <c r="J43" i="1"/>
  <c r="J42" i="1"/>
  <c r="J41" i="1"/>
  <c r="J40" i="1"/>
  <c r="J52" i="1"/>
  <c r="J53" i="1" s="1"/>
  <c r="J57" i="1"/>
  <c r="AG9" i="16"/>
  <c r="AH9" i="16"/>
  <c r="AG10" i="16"/>
  <c r="AH10" i="16"/>
  <c r="AG11" i="16"/>
  <c r="AH11" i="16"/>
  <c r="AG12" i="16"/>
  <c r="AH12" i="16"/>
  <c r="AG13" i="16"/>
  <c r="AH13" i="16"/>
  <c r="AG14" i="16"/>
  <c r="AH14" i="16"/>
  <c r="AG15" i="16"/>
  <c r="AH15" i="16"/>
  <c r="AG16" i="16"/>
  <c r="AH16" i="16"/>
  <c r="AG17" i="16"/>
  <c r="AH17" i="16"/>
  <c r="AG18" i="16"/>
  <c r="AH18" i="16"/>
  <c r="H9" i="64"/>
  <c r="I9" i="64"/>
  <c r="J9" i="64"/>
  <c r="H10" i="64"/>
  <c r="I10" i="64"/>
  <c r="J10" i="64"/>
  <c r="H11" i="64"/>
  <c r="I11" i="64"/>
  <c r="J11" i="64"/>
  <c r="H12" i="64"/>
  <c r="I12" i="64"/>
  <c r="J12" i="64"/>
  <c r="H13" i="64"/>
  <c r="I13" i="64"/>
  <c r="J13" i="64"/>
  <c r="H14" i="64"/>
  <c r="I14" i="64"/>
  <c r="J14" i="64"/>
  <c r="H15" i="64"/>
  <c r="I15" i="64"/>
  <c r="J15" i="64"/>
  <c r="H16" i="64"/>
  <c r="I16" i="64"/>
  <c r="J16" i="64"/>
  <c r="H17" i="64"/>
  <c r="I17" i="64"/>
  <c r="J17" i="64"/>
  <c r="AF10" i="16"/>
  <c r="AF11" i="16"/>
  <c r="AF12" i="16"/>
  <c r="AF13" i="16"/>
  <c r="AF14" i="16"/>
  <c r="AF15" i="16"/>
  <c r="AF16" i="16"/>
  <c r="AF17" i="16"/>
  <c r="AI17" i="16" s="1"/>
  <c r="AF18" i="16"/>
  <c r="AI18" i="16" s="1"/>
  <c r="AF9" i="16"/>
  <c r="AS700" i="55"/>
  <c r="AT700" i="55"/>
  <c r="AU700" i="55"/>
  <c r="AS701" i="55"/>
  <c r="AT701" i="55"/>
  <c r="AU701" i="55"/>
  <c r="AS702" i="55"/>
  <c r="AT702" i="55"/>
  <c r="AU702" i="55"/>
  <c r="AS703" i="55"/>
  <c r="AT703" i="55"/>
  <c r="AU703" i="55"/>
  <c r="AS705" i="55"/>
  <c r="AT705" i="55"/>
  <c r="AU705" i="55"/>
  <c r="J8" i="64"/>
  <c r="I8" i="64"/>
  <c r="G43" i="66"/>
  <c r="G41" i="66"/>
  <c r="G40" i="66"/>
  <c r="F43" i="66"/>
  <c r="F41" i="66"/>
  <c r="F40" i="66"/>
  <c r="D32" i="66"/>
  <c r="D31" i="66"/>
  <c r="K9" i="66"/>
  <c r="L9" i="66"/>
  <c r="M9" i="66"/>
  <c r="K10" i="66"/>
  <c r="N21" i="66" s="1"/>
  <c r="L10" i="66"/>
  <c r="O21" i="66" s="1"/>
  <c r="M10" i="66"/>
  <c r="P21" i="66" s="1"/>
  <c r="R11" i="66"/>
  <c r="G15" i="66"/>
  <c r="R15" i="66"/>
  <c r="R16" i="66"/>
  <c r="C5" i="66"/>
  <c r="R544" i="55"/>
  <c r="R423" i="55" s="1"/>
  <c r="I700" i="55"/>
  <c r="J700" i="55"/>
  <c r="K700" i="55"/>
  <c r="I701" i="55"/>
  <c r="J701" i="55"/>
  <c r="K701" i="55"/>
  <c r="I702" i="55"/>
  <c r="J702" i="55"/>
  <c r="K702" i="55"/>
  <c r="I703" i="55"/>
  <c r="J703" i="55"/>
  <c r="K703" i="55"/>
  <c r="F700" i="55"/>
  <c r="G700" i="55"/>
  <c r="H700" i="55"/>
  <c r="F701" i="55"/>
  <c r="G701" i="55"/>
  <c r="H701" i="55"/>
  <c r="F702" i="55"/>
  <c r="G702" i="55"/>
  <c r="H702" i="55"/>
  <c r="F703" i="55"/>
  <c r="G703" i="55"/>
  <c r="H703" i="55"/>
  <c r="AG704" i="55"/>
  <c r="AI10" i="16" l="1"/>
  <c r="AI11" i="16"/>
  <c r="AI13" i="16"/>
  <c r="AI16" i="16"/>
  <c r="AI15" i="16"/>
  <c r="AI14" i="16"/>
  <c r="J45" i="1"/>
  <c r="J46" i="1" s="1"/>
  <c r="J59" i="1"/>
  <c r="J58" i="1"/>
  <c r="M702" i="55"/>
  <c r="M700" i="55"/>
  <c r="N702" i="55"/>
  <c r="AI12" i="16"/>
  <c r="AI9" i="16"/>
  <c r="M701" i="55"/>
  <c r="L700" i="55"/>
  <c r="M703" i="55"/>
  <c r="L703" i="55"/>
  <c r="N703" i="55"/>
  <c r="L702" i="55"/>
  <c r="N701" i="55"/>
  <c r="N700" i="55"/>
  <c r="L701" i="55"/>
  <c r="H175" i="1"/>
  <c r="H174" i="1"/>
  <c r="F209" i="1"/>
  <c r="G209" i="1"/>
  <c r="F205" i="1"/>
  <c r="G205" i="1"/>
  <c r="H112" i="1"/>
  <c r="H111" i="1"/>
  <c r="H108" i="1"/>
  <c r="H107" i="1"/>
  <c r="G250" i="1"/>
  <c r="N11" i="16"/>
  <c r="Y10" i="64" s="1"/>
  <c r="E4" i="64"/>
  <c r="E3" i="64"/>
  <c r="N10" i="16"/>
  <c r="Y9" i="64" s="1"/>
  <c r="O10" i="16"/>
  <c r="O11" i="16"/>
  <c r="O12" i="16"/>
  <c r="O13" i="16"/>
  <c r="O14" i="16"/>
  <c r="O15" i="16"/>
  <c r="N16" i="16"/>
  <c r="Y15" i="64" s="1"/>
  <c r="O16" i="16"/>
  <c r="N17" i="16"/>
  <c r="Y16" i="64" s="1"/>
  <c r="O17" i="16"/>
  <c r="N18" i="16"/>
  <c r="Y17" i="64" s="1"/>
  <c r="O18" i="16"/>
  <c r="O9" i="16"/>
  <c r="N9" i="16"/>
  <c r="Y8" i="64" s="1"/>
  <c r="H8" i="64"/>
  <c r="E8" i="64"/>
  <c r="F8" i="64"/>
  <c r="G8" i="64"/>
  <c r="E9" i="64"/>
  <c r="F9" i="64"/>
  <c r="G9" i="64"/>
  <c r="E10" i="64"/>
  <c r="F10" i="64"/>
  <c r="G10" i="64"/>
  <c r="E11" i="64"/>
  <c r="G11" i="64"/>
  <c r="E12" i="64"/>
  <c r="G12" i="64"/>
  <c r="E13" i="64"/>
  <c r="G13" i="64"/>
  <c r="E14" i="64"/>
  <c r="G14" i="64"/>
  <c r="E15" i="64"/>
  <c r="F15" i="64"/>
  <c r="G15" i="64"/>
  <c r="E16" i="64"/>
  <c r="F16" i="64"/>
  <c r="G16" i="64"/>
  <c r="E17" i="64"/>
  <c r="F17" i="64"/>
  <c r="G17" i="64"/>
  <c r="D9" i="64"/>
  <c r="D10" i="64"/>
  <c r="D11" i="64"/>
  <c r="D15" i="64"/>
  <c r="D16" i="64"/>
  <c r="D17" i="64"/>
  <c r="D8" i="64"/>
  <c r="C9" i="64"/>
  <c r="C10" i="64"/>
  <c r="C11" i="64"/>
  <c r="C12" i="64"/>
  <c r="C13" i="64"/>
  <c r="C14" i="64"/>
  <c r="C15" i="64"/>
  <c r="C16" i="64"/>
  <c r="C17" i="64"/>
  <c r="C8" i="64"/>
  <c r="A9" i="64"/>
  <c r="A10" i="64"/>
  <c r="A11" i="64"/>
  <c r="A12" i="64"/>
  <c r="A13" i="64"/>
  <c r="A14" i="64"/>
  <c r="A15" i="64"/>
  <c r="A16" i="64"/>
  <c r="A17" i="64"/>
  <c r="A8" i="64"/>
  <c r="F250" i="1" l="1"/>
  <c r="F351" i="1" s="1"/>
  <c r="G351" i="1"/>
  <c r="E659" i="55" s="1"/>
  <c r="E500" i="55" s="1"/>
  <c r="E385" i="55" s="1"/>
  <c r="E99" i="55" s="1"/>
  <c r="J62" i="1"/>
  <c r="D12" i="64"/>
  <c r="I18" i="64"/>
  <c r="D13" i="64"/>
  <c r="L36" i="64"/>
  <c r="K24" i="1" s="1"/>
  <c r="K25" i="1" s="1"/>
  <c r="L38" i="64"/>
  <c r="K27" i="1" s="1"/>
  <c r="K28" i="1" s="1"/>
  <c r="R99" i="55" l="1"/>
  <c r="AG659" i="55"/>
  <c r="R500" i="55"/>
  <c r="R385" i="55" s="1"/>
  <c r="K29" i="1"/>
  <c r="H18" i="64"/>
  <c r="F11" i="64"/>
  <c r="N12" i="16"/>
  <c r="Y11" i="64" s="1"/>
  <c r="D14" i="64"/>
  <c r="L39" i="64"/>
  <c r="N13" i="16" l="1"/>
  <c r="Y12" i="64" s="1"/>
  <c r="F12" i="64"/>
  <c r="J18" i="64"/>
  <c r="I132" i="63"/>
  <c r="H132" i="63"/>
  <c r="I131" i="63"/>
  <c r="H131" i="63"/>
  <c r="I130" i="63"/>
  <c r="H130" i="63"/>
  <c r="I129" i="63"/>
  <c r="H129" i="63"/>
  <c r="I128" i="63"/>
  <c r="H128" i="63"/>
  <c r="I127" i="63"/>
  <c r="H127" i="63"/>
  <c r="I126" i="63"/>
  <c r="H126" i="63"/>
  <c r="I125" i="63"/>
  <c r="H125" i="63"/>
  <c r="I124" i="63"/>
  <c r="H124" i="63"/>
  <c r="I123" i="63"/>
  <c r="H123" i="63"/>
  <c r="I122" i="63"/>
  <c r="H122" i="63"/>
  <c r="I121" i="63"/>
  <c r="H121" i="63"/>
  <c r="I120" i="63"/>
  <c r="H120" i="63"/>
  <c r="I119" i="63"/>
  <c r="H119" i="63"/>
  <c r="G118" i="65" s="1"/>
  <c r="I118" i="63"/>
  <c r="H118" i="63"/>
  <c r="I117" i="63"/>
  <c r="H117" i="63"/>
  <c r="I116" i="63"/>
  <c r="H116" i="63"/>
  <c r="I115" i="63"/>
  <c r="H115" i="63"/>
  <c r="I114" i="63"/>
  <c r="H114" i="63"/>
  <c r="I113" i="63"/>
  <c r="H113" i="63"/>
  <c r="I112" i="63"/>
  <c r="H112" i="63"/>
  <c r="I111" i="63"/>
  <c r="H111" i="63"/>
  <c r="I110" i="63"/>
  <c r="H110" i="63"/>
  <c r="I109" i="63"/>
  <c r="H109" i="63"/>
  <c r="I108" i="63"/>
  <c r="H108" i="63"/>
  <c r="I107" i="63"/>
  <c r="H107" i="63"/>
  <c r="I106" i="63"/>
  <c r="H106" i="63"/>
  <c r="I105" i="63"/>
  <c r="H105" i="63"/>
  <c r="I104" i="63"/>
  <c r="H104" i="63"/>
  <c r="I103" i="63"/>
  <c r="H103" i="63"/>
  <c r="G102" i="65" s="1"/>
  <c r="I102" i="63"/>
  <c r="H102" i="63"/>
  <c r="I101" i="63"/>
  <c r="H101" i="63"/>
  <c r="I100" i="63"/>
  <c r="H100" i="63"/>
  <c r="I99" i="63"/>
  <c r="H99" i="63"/>
  <c r="I98" i="63"/>
  <c r="H98" i="63"/>
  <c r="I97" i="63"/>
  <c r="H97" i="63"/>
  <c r="I96" i="63"/>
  <c r="H96" i="63"/>
  <c r="I95" i="63"/>
  <c r="H95" i="63"/>
  <c r="I94" i="63"/>
  <c r="H94" i="63"/>
  <c r="I93" i="63"/>
  <c r="H93" i="63"/>
  <c r="I92" i="63"/>
  <c r="H92" i="63"/>
  <c r="I91" i="63"/>
  <c r="H91" i="63"/>
  <c r="I90" i="63"/>
  <c r="H90" i="63"/>
  <c r="I89" i="63"/>
  <c r="H89" i="63"/>
  <c r="I88" i="63"/>
  <c r="H88" i="63"/>
  <c r="I87" i="63"/>
  <c r="H87" i="63"/>
  <c r="G86" i="65" s="1"/>
  <c r="I86" i="63"/>
  <c r="H86" i="63"/>
  <c r="I85" i="63"/>
  <c r="H85" i="63"/>
  <c r="I84" i="63"/>
  <c r="H84" i="63"/>
  <c r="I83" i="63"/>
  <c r="H83" i="63"/>
  <c r="I82" i="63"/>
  <c r="H82" i="63"/>
  <c r="I81" i="63"/>
  <c r="H81" i="63"/>
  <c r="I80" i="63"/>
  <c r="H80" i="63"/>
  <c r="I79" i="63"/>
  <c r="H79" i="63"/>
  <c r="I78" i="63"/>
  <c r="H78" i="63"/>
  <c r="I77" i="63"/>
  <c r="H77" i="63"/>
  <c r="I76" i="63"/>
  <c r="H76" i="63"/>
  <c r="I75" i="63"/>
  <c r="H75" i="63"/>
  <c r="I74" i="63"/>
  <c r="H74" i="63"/>
  <c r="I73" i="63"/>
  <c r="H73" i="63"/>
  <c r="I72" i="63"/>
  <c r="H72" i="63"/>
  <c r="I71" i="63"/>
  <c r="H71" i="63"/>
  <c r="G70" i="65" s="1"/>
  <c r="I70" i="63"/>
  <c r="H70" i="63"/>
  <c r="I69" i="63"/>
  <c r="H69" i="63"/>
  <c r="I68" i="63"/>
  <c r="H68" i="63"/>
  <c r="I67" i="63"/>
  <c r="H67" i="63"/>
  <c r="I66" i="63"/>
  <c r="H66" i="63"/>
  <c r="I65" i="63"/>
  <c r="H65" i="63"/>
  <c r="I64" i="63"/>
  <c r="H64" i="63"/>
  <c r="I63" i="63"/>
  <c r="H63" i="63"/>
  <c r="I62" i="63"/>
  <c r="H62" i="63"/>
  <c r="I61" i="63"/>
  <c r="H61" i="63"/>
  <c r="I60" i="63"/>
  <c r="H60" i="63"/>
  <c r="I59" i="63"/>
  <c r="H59" i="63"/>
  <c r="I58" i="63"/>
  <c r="H58" i="63"/>
  <c r="I57" i="63"/>
  <c r="H57" i="63"/>
  <c r="I56" i="63"/>
  <c r="H56" i="63"/>
  <c r="I55" i="63"/>
  <c r="H55" i="63"/>
  <c r="G54" i="65" s="1"/>
  <c r="I54" i="63"/>
  <c r="H54" i="63"/>
  <c r="I53" i="63"/>
  <c r="H53" i="63"/>
  <c r="I52" i="63"/>
  <c r="H52" i="63"/>
  <c r="I51" i="63"/>
  <c r="H51" i="63"/>
  <c r="I50" i="63"/>
  <c r="H50" i="63"/>
  <c r="I49" i="63"/>
  <c r="H49" i="63"/>
  <c r="I48" i="63"/>
  <c r="H48" i="63"/>
  <c r="I47" i="63"/>
  <c r="H47" i="63"/>
  <c r="I46" i="63"/>
  <c r="H46" i="63"/>
  <c r="I45" i="63"/>
  <c r="H45" i="63"/>
  <c r="I44" i="63"/>
  <c r="H44" i="63"/>
  <c r="I43" i="63"/>
  <c r="H43" i="63"/>
  <c r="I42" i="63"/>
  <c r="H42" i="63"/>
  <c r="I41" i="63"/>
  <c r="H41" i="63"/>
  <c r="I40" i="63"/>
  <c r="H40" i="63"/>
  <c r="I39" i="63"/>
  <c r="H39" i="63"/>
  <c r="G38" i="65" s="1"/>
  <c r="I38" i="63"/>
  <c r="H38" i="63"/>
  <c r="I37" i="63"/>
  <c r="H37" i="63"/>
  <c r="I36" i="63"/>
  <c r="H36" i="63"/>
  <c r="I35" i="63"/>
  <c r="H35" i="63"/>
  <c r="I34" i="63"/>
  <c r="K34" i="63" s="1"/>
  <c r="H34" i="63"/>
  <c r="I33" i="63"/>
  <c r="K33" i="63" s="1"/>
  <c r="H33" i="63"/>
  <c r="I32" i="63"/>
  <c r="K32" i="63" s="1"/>
  <c r="H32" i="63"/>
  <c r="I31" i="63"/>
  <c r="K31" i="63" s="1"/>
  <c r="H31" i="63"/>
  <c r="I30" i="63"/>
  <c r="K30" i="63" s="1"/>
  <c r="H30" i="63"/>
  <c r="I29" i="63"/>
  <c r="K29" i="63" s="1"/>
  <c r="H29" i="63"/>
  <c r="I28" i="63"/>
  <c r="K28" i="63" s="1"/>
  <c r="H28" i="63"/>
  <c r="I27" i="63"/>
  <c r="K27" i="63" s="1"/>
  <c r="H27" i="63"/>
  <c r="I26" i="63"/>
  <c r="K26" i="63" s="1"/>
  <c r="H26" i="63"/>
  <c r="I25" i="63"/>
  <c r="K25" i="63" s="1"/>
  <c r="I24" i="63"/>
  <c r="K24" i="63" s="1"/>
  <c r="I23" i="63"/>
  <c r="K23" i="63" s="1"/>
  <c r="AI8" i="63"/>
  <c r="AJ8" i="63" s="1"/>
  <c r="AI7" i="63"/>
  <c r="AJ7" i="63" s="1"/>
  <c r="AI6" i="63"/>
  <c r="AJ6" i="63" s="1"/>
  <c r="AI5" i="63"/>
  <c r="AJ5" i="63" s="1"/>
  <c r="AI4" i="63"/>
  <c r="AJ4" i="63" s="1"/>
  <c r="AI3" i="63"/>
  <c r="AJ3" i="63" s="1"/>
  <c r="AI2" i="63"/>
  <c r="AJ2" i="63" s="1"/>
  <c r="AI1" i="63"/>
  <c r="AJ1" i="63" s="1"/>
  <c r="K62" i="63" l="1"/>
  <c r="X62" i="63" s="1"/>
  <c r="K70" i="63"/>
  <c r="X70" i="63" s="1"/>
  <c r="K78" i="63"/>
  <c r="X78" i="63" s="1"/>
  <c r="K86" i="63"/>
  <c r="X86" i="63" s="1"/>
  <c r="K94" i="63"/>
  <c r="X94" i="63" s="1"/>
  <c r="K102" i="63"/>
  <c r="X102" i="63" s="1"/>
  <c r="K110" i="63"/>
  <c r="X110" i="63" s="1"/>
  <c r="I117" i="65"/>
  <c r="K118" i="63"/>
  <c r="X118" i="63" s="1"/>
  <c r="K126" i="63"/>
  <c r="X126" i="63" s="1"/>
  <c r="G62" i="65"/>
  <c r="G78" i="65"/>
  <c r="L79" i="63"/>
  <c r="W79" i="63" s="1"/>
  <c r="G94" i="65"/>
  <c r="L95" i="63"/>
  <c r="W95" i="63" s="1"/>
  <c r="G110" i="65"/>
  <c r="G126" i="65"/>
  <c r="K63" i="63"/>
  <c r="X63" i="63" s="1"/>
  <c r="K71" i="63"/>
  <c r="I70" i="65" s="1"/>
  <c r="K79" i="63"/>
  <c r="X79" i="63" s="1"/>
  <c r="K87" i="63"/>
  <c r="K95" i="63"/>
  <c r="X95" i="63" s="1"/>
  <c r="K103" i="63"/>
  <c r="K111" i="63"/>
  <c r="X111" i="63" s="1"/>
  <c r="K119" i="63"/>
  <c r="K127" i="63"/>
  <c r="X127" i="63" s="1"/>
  <c r="G63" i="65"/>
  <c r="G71" i="65"/>
  <c r="G79" i="65"/>
  <c r="G87" i="65"/>
  <c r="G95" i="65"/>
  <c r="G103" i="65"/>
  <c r="G111" i="65"/>
  <c r="G119" i="65"/>
  <c r="K64" i="63"/>
  <c r="X64" i="63" s="1"/>
  <c r="K72" i="63"/>
  <c r="X72" i="63" s="1"/>
  <c r="K80" i="63"/>
  <c r="X80" i="63" s="1"/>
  <c r="K88" i="63"/>
  <c r="X88" i="63" s="1"/>
  <c r="K96" i="63"/>
  <c r="X96" i="63" s="1"/>
  <c r="K104" i="63"/>
  <c r="X104" i="63" s="1"/>
  <c r="K112" i="63"/>
  <c r="X112" i="63" s="1"/>
  <c r="K120" i="63"/>
  <c r="X120" i="63" s="1"/>
  <c r="G64" i="65"/>
  <c r="L65" i="63"/>
  <c r="W65" i="63" s="1"/>
  <c r="G72" i="65"/>
  <c r="G80" i="65"/>
  <c r="G88" i="65"/>
  <c r="G96" i="65"/>
  <c r="G104" i="65"/>
  <c r="G112" i="65"/>
  <c r="G120" i="65"/>
  <c r="G128" i="65"/>
  <c r="L129" i="63"/>
  <c r="W129" i="63" s="1"/>
  <c r="K65" i="63"/>
  <c r="X65" i="63" s="1"/>
  <c r="K73" i="63"/>
  <c r="X73" i="63" s="1"/>
  <c r="K81" i="63"/>
  <c r="X81" i="63" s="1"/>
  <c r="K89" i="63"/>
  <c r="X89" i="63" s="1"/>
  <c r="K97" i="63"/>
  <c r="X97" i="63" s="1"/>
  <c r="K105" i="63"/>
  <c r="X105" i="63" s="1"/>
  <c r="K113" i="63"/>
  <c r="X113" i="63" s="1"/>
  <c r="I120" i="65"/>
  <c r="K121" i="63"/>
  <c r="X121" i="63" s="1"/>
  <c r="K129" i="63"/>
  <c r="X129" i="63" s="1"/>
  <c r="G65" i="65"/>
  <c r="G73" i="65"/>
  <c r="G81" i="65"/>
  <c r="G89" i="65"/>
  <c r="G97" i="65"/>
  <c r="G105" i="65"/>
  <c r="G113" i="65"/>
  <c r="L114" i="63"/>
  <c r="W114" i="63" s="1"/>
  <c r="G121" i="65"/>
  <c r="G129" i="65"/>
  <c r="K66" i="63"/>
  <c r="X66" i="63" s="1"/>
  <c r="K74" i="63"/>
  <c r="X74" i="63" s="1"/>
  <c r="K82" i="63"/>
  <c r="X82" i="63" s="1"/>
  <c r="K90" i="63"/>
  <c r="X90" i="63" s="1"/>
  <c r="K98" i="63"/>
  <c r="X98" i="63" s="1"/>
  <c r="K106" i="63"/>
  <c r="X106" i="63" s="1"/>
  <c r="K114" i="63"/>
  <c r="X114" i="63" s="1"/>
  <c r="K122" i="63"/>
  <c r="X122" i="63" s="1"/>
  <c r="K130" i="63"/>
  <c r="X130" i="63" s="1"/>
  <c r="G66" i="65"/>
  <c r="L67" i="63"/>
  <c r="W67" i="63" s="1"/>
  <c r="G74" i="65"/>
  <c r="G82" i="65"/>
  <c r="G90" i="65"/>
  <c r="G98" i="65"/>
  <c r="L99" i="63"/>
  <c r="W99" i="63" s="1"/>
  <c r="G106" i="65"/>
  <c r="G114" i="65"/>
  <c r="G122" i="65"/>
  <c r="G130" i="65"/>
  <c r="L131" i="63"/>
  <c r="W131" i="63" s="1"/>
  <c r="K67" i="63"/>
  <c r="X67" i="63" s="1"/>
  <c r="K75" i="63"/>
  <c r="X75" i="63" s="1"/>
  <c r="K83" i="63"/>
  <c r="X83" i="63" s="1"/>
  <c r="K91" i="63"/>
  <c r="X91" i="63" s="1"/>
  <c r="K99" i="63"/>
  <c r="X99" i="63" s="1"/>
  <c r="K107" i="63"/>
  <c r="X107" i="63" s="1"/>
  <c r="K115" i="63"/>
  <c r="X115" i="63" s="1"/>
  <c r="K123" i="63"/>
  <c r="X123" i="63" s="1"/>
  <c r="K131" i="63"/>
  <c r="X131" i="63" s="1"/>
  <c r="G59" i="65"/>
  <c r="G67" i="65"/>
  <c r="G75" i="65"/>
  <c r="L76" i="63"/>
  <c r="W76" i="63" s="1"/>
  <c r="G83" i="65"/>
  <c r="G91" i="65"/>
  <c r="G99" i="65"/>
  <c r="G107" i="65"/>
  <c r="L108" i="63"/>
  <c r="W108" i="63" s="1"/>
  <c r="G115" i="65"/>
  <c r="G123" i="65"/>
  <c r="K60" i="63"/>
  <c r="X60" i="63" s="1"/>
  <c r="K68" i="63"/>
  <c r="X68" i="63" s="1"/>
  <c r="K76" i="63"/>
  <c r="X76" i="63" s="1"/>
  <c r="K84" i="63"/>
  <c r="X84" i="63" s="1"/>
  <c r="K92" i="63"/>
  <c r="X92" i="63" s="1"/>
  <c r="K100" i="63"/>
  <c r="X100" i="63" s="1"/>
  <c r="K108" i="63"/>
  <c r="X108" i="63" s="1"/>
  <c r="K116" i="63"/>
  <c r="X116" i="63" s="1"/>
  <c r="K124" i="63"/>
  <c r="X124" i="63" s="1"/>
  <c r="G60" i="65"/>
  <c r="L61" i="63"/>
  <c r="W61" i="63" s="1"/>
  <c r="G68" i="65"/>
  <c r="G76" i="65"/>
  <c r="G84" i="65"/>
  <c r="G92" i="65"/>
  <c r="L93" i="63"/>
  <c r="W93" i="63" s="1"/>
  <c r="G100" i="65"/>
  <c r="G108" i="65"/>
  <c r="G116" i="65"/>
  <c r="G124" i="65"/>
  <c r="L125" i="63"/>
  <c r="W125" i="63" s="1"/>
  <c r="K61" i="63"/>
  <c r="X61" i="63" s="1"/>
  <c r="K69" i="63"/>
  <c r="X69" i="63" s="1"/>
  <c r="K77" i="63"/>
  <c r="X77" i="63" s="1"/>
  <c r="K85" i="63"/>
  <c r="X85" i="63" s="1"/>
  <c r="K93" i="63"/>
  <c r="X93" i="63" s="1"/>
  <c r="K101" i="63"/>
  <c r="X101" i="63" s="1"/>
  <c r="K109" i="63"/>
  <c r="X109" i="63" s="1"/>
  <c r="K117" i="63"/>
  <c r="X117" i="63" s="1"/>
  <c r="K125" i="63"/>
  <c r="X125" i="63" s="1"/>
  <c r="G61" i="65"/>
  <c r="L62" i="63"/>
  <c r="W62" i="63" s="1"/>
  <c r="G69" i="65"/>
  <c r="L70" i="63"/>
  <c r="W70" i="63" s="1"/>
  <c r="G77" i="65"/>
  <c r="L78" i="63"/>
  <c r="W78" i="63" s="1"/>
  <c r="G85" i="65"/>
  <c r="L86" i="63"/>
  <c r="W86" i="63" s="1"/>
  <c r="G93" i="65"/>
  <c r="L94" i="63"/>
  <c r="W94" i="63" s="1"/>
  <c r="G101" i="65"/>
  <c r="L102" i="63"/>
  <c r="W102" i="63" s="1"/>
  <c r="G109" i="65"/>
  <c r="L110" i="63"/>
  <c r="W110" i="63" s="1"/>
  <c r="G117" i="65"/>
  <c r="L118" i="63"/>
  <c r="W118" i="63" s="1"/>
  <c r="G125" i="65"/>
  <c r="L126" i="63"/>
  <c r="W126" i="63" s="1"/>
  <c r="G46" i="65"/>
  <c r="K46" i="63"/>
  <c r="X46" i="63" s="1"/>
  <c r="K39" i="63"/>
  <c r="I38" i="65" s="1"/>
  <c r="G39" i="65"/>
  <c r="G47" i="65"/>
  <c r="G55" i="65"/>
  <c r="K40" i="63"/>
  <c r="X40" i="63" s="1"/>
  <c r="K48" i="63"/>
  <c r="X48" i="63" s="1"/>
  <c r="K56" i="63"/>
  <c r="X56" i="63" s="1"/>
  <c r="G40" i="65"/>
  <c r="G48" i="65"/>
  <c r="G56" i="65"/>
  <c r="G41" i="65"/>
  <c r="G57" i="65"/>
  <c r="K41" i="63"/>
  <c r="X41" i="63" s="1"/>
  <c r="K42" i="63"/>
  <c r="X42" i="63" s="1"/>
  <c r="K50" i="63"/>
  <c r="X50" i="63" s="1"/>
  <c r="K58" i="63"/>
  <c r="X58" i="63" s="1"/>
  <c r="G34" i="65"/>
  <c r="G42" i="65"/>
  <c r="G50" i="65"/>
  <c r="G58" i="65"/>
  <c r="K35" i="63"/>
  <c r="X35" i="63" s="1"/>
  <c r="K43" i="63"/>
  <c r="X43" i="63" s="1"/>
  <c r="K51" i="63"/>
  <c r="X51" i="63" s="1"/>
  <c r="K59" i="63"/>
  <c r="X59" i="63" s="1"/>
  <c r="K54" i="63"/>
  <c r="X54" i="63" s="1"/>
  <c r="K57" i="63"/>
  <c r="X57" i="63" s="1"/>
  <c r="G35" i="65"/>
  <c r="G43" i="65"/>
  <c r="G51" i="65"/>
  <c r="K47" i="63"/>
  <c r="X47" i="63" s="1"/>
  <c r="K36" i="63"/>
  <c r="X36" i="63" s="1"/>
  <c r="K44" i="63"/>
  <c r="X44" i="63" s="1"/>
  <c r="K52" i="63"/>
  <c r="X52" i="63" s="1"/>
  <c r="K49" i="63"/>
  <c r="X49" i="63" s="1"/>
  <c r="G36" i="65"/>
  <c r="G44" i="65"/>
  <c r="G52" i="65"/>
  <c r="K37" i="63"/>
  <c r="X37" i="63" s="1"/>
  <c r="K45" i="63"/>
  <c r="X45" i="63" s="1"/>
  <c r="K53" i="63"/>
  <c r="X53" i="63" s="1"/>
  <c r="K38" i="63"/>
  <c r="X38" i="63" s="1"/>
  <c r="K55" i="63"/>
  <c r="I54" i="65" s="1"/>
  <c r="G49" i="65"/>
  <c r="G37" i="65"/>
  <c r="G45" i="65"/>
  <c r="G53" i="65"/>
  <c r="G131" i="65"/>
  <c r="K132" i="63"/>
  <c r="X132" i="63" s="1"/>
  <c r="K128" i="63"/>
  <c r="X128" i="63" s="1"/>
  <c r="G127" i="65"/>
  <c r="G26" i="65"/>
  <c r="G22" i="65"/>
  <c r="G23" i="65"/>
  <c r="G33" i="65"/>
  <c r="G28" i="65"/>
  <c r="G27" i="65"/>
  <c r="G24" i="65"/>
  <c r="G32" i="65"/>
  <c r="G29" i="65"/>
  <c r="G30" i="65"/>
  <c r="G25" i="65"/>
  <c r="G31" i="65"/>
  <c r="X27" i="63"/>
  <c r="X33" i="63"/>
  <c r="X32" i="63"/>
  <c r="X28" i="63"/>
  <c r="I22" i="65"/>
  <c r="X34" i="63"/>
  <c r="X24" i="63"/>
  <c r="X29" i="63"/>
  <c r="X30" i="63"/>
  <c r="X25" i="63"/>
  <c r="X31" i="63"/>
  <c r="X26" i="63"/>
  <c r="N14" i="16"/>
  <c r="Y13" i="64" s="1"/>
  <c r="F13" i="64"/>
  <c r="I63" i="65" l="1"/>
  <c r="L46" i="63"/>
  <c r="W46" i="63" s="1"/>
  <c r="L50" i="63"/>
  <c r="W50" i="63" s="1"/>
  <c r="L64" i="63"/>
  <c r="W64" i="63" s="1"/>
  <c r="L71" i="63"/>
  <c r="W71" i="63" s="1"/>
  <c r="X71" i="63"/>
  <c r="I53" i="65"/>
  <c r="I116" i="65"/>
  <c r="I67" i="65"/>
  <c r="I90" i="65"/>
  <c r="I105" i="65"/>
  <c r="L117" i="63"/>
  <c r="W117" i="63" s="1"/>
  <c r="L68" i="63"/>
  <c r="W68" i="63" s="1"/>
  <c r="L91" i="63"/>
  <c r="W91" i="63" s="1"/>
  <c r="L106" i="63"/>
  <c r="W106" i="63" s="1"/>
  <c r="L121" i="63"/>
  <c r="W121" i="63" s="1"/>
  <c r="L120" i="63"/>
  <c r="W120" i="63" s="1"/>
  <c r="I108" i="65"/>
  <c r="I123" i="65"/>
  <c r="I59" i="65"/>
  <c r="I82" i="65"/>
  <c r="I97" i="65"/>
  <c r="I112" i="65"/>
  <c r="I119" i="65"/>
  <c r="I126" i="65"/>
  <c r="I62" i="65"/>
  <c r="I109" i="65"/>
  <c r="L109" i="63"/>
  <c r="W109" i="63" s="1"/>
  <c r="L124" i="63"/>
  <c r="W124" i="63" s="1"/>
  <c r="L60" i="63"/>
  <c r="W60" i="63" s="1"/>
  <c r="L83" i="63"/>
  <c r="W83" i="63" s="1"/>
  <c r="L98" i="63"/>
  <c r="W98" i="63" s="1"/>
  <c r="L113" i="63"/>
  <c r="W113" i="63" s="1"/>
  <c r="L112" i="63"/>
  <c r="W112" i="63" s="1"/>
  <c r="L119" i="63"/>
  <c r="W119" i="63" s="1"/>
  <c r="X119" i="63"/>
  <c r="L127" i="63"/>
  <c r="W127" i="63" s="1"/>
  <c r="I100" i="65"/>
  <c r="I115" i="65"/>
  <c r="I74" i="65"/>
  <c r="I89" i="65"/>
  <c r="I104" i="65"/>
  <c r="I111" i="65"/>
  <c r="I118" i="65"/>
  <c r="I101" i="65"/>
  <c r="L101" i="63"/>
  <c r="W101" i="63" s="1"/>
  <c r="L116" i="63"/>
  <c r="W116" i="63" s="1"/>
  <c r="L75" i="63"/>
  <c r="W75" i="63" s="1"/>
  <c r="L90" i="63"/>
  <c r="W90" i="63" s="1"/>
  <c r="L105" i="63"/>
  <c r="W105" i="63" s="1"/>
  <c r="L104" i="63"/>
  <c r="W104" i="63" s="1"/>
  <c r="L111" i="63"/>
  <c r="W111" i="63" s="1"/>
  <c r="I92" i="65"/>
  <c r="I107" i="65"/>
  <c r="I130" i="65"/>
  <c r="I66" i="65"/>
  <c r="I81" i="65"/>
  <c r="I96" i="65"/>
  <c r="I103" i="65"/>
  <c r="I110" i="65"/>
  <c r="I93" i="65"/>
  <c r="L82" i="63"/>
  <c r="W82" i="63" s="1"/>
  <c r="L97" i="63"/>
  <c r="W97" i="63" s="1"/>
  <c r="L96" i="63"/>
  <c r="W96" i="63" s="1"/>
  <c r="L103" i="63"/>
  <c r="W103" i="63" s="1"/>
  <c r="X103" i="63"/>
  <c r="I84" i="65"/>
  <c r="I99" i="65"/>
  <c r="I122" i="65"/>
  <c r="I73" i="65"/>
  <c r="I88" i="65"/>
  <c r="I95" i="65"/>
  <c r="I102" i="65"/>
  <c r="I85" i="65"/>
  <c r="L85" i="63"/>
  <c r="W85" i="63" s="1"/>
  <c r="L100" i="63"/>
  <c r="W100" i="63" s="1"/>
  <c r="L123" i="63"/>
  <c r="W123" i="63" s="1"/>
  <c r="L74" i="63"/>
  <c r="W74" i="63" s="1"/>
  <c r="L89" i="63"/>
  <c r="W89" i="63" s="1"/>
  <c r="L88" i="63"/>
  <c r="W88" i="63" s="1"/>
  <c r="I76" i="65"/>
  <c r="I91" i="65"/>
  <c r="I114" i="65"/>
  <c r="I129" i="65"/>
  <c r="I65" i="65"/>
  <c r="I80" i="65"/>
  <c r="I87" i="65"/>
  <c r="I94" i="65"/>
  <c r="I77" i="65"/>
  <c r="L77" i="63"/>
  <c r="W77" i="63" s="1"/>
  <c r="L92" i="63"/>
  <c r="W92" i="63" s="1"/>
  <c r="L115" i="63"/>
  <c r="W115" i="63" s="1"/>
  <c r="L130" i="63"/>
  <c r="W130" i="63" s="1"/>
  <c r="L66" i="63"/>
  <c r="W66" i="63" s="1"/>
  <c r="L81" i="63"/>
  <c r="W81" i="63" s="1"/>
  <c r="L80" i="63"/>
  <c r="W80" i="63" s="1"/>
  <c r="L87" i="63"/>
  <c r="W87" i="63" s="1"/>
  <c r="X87" i="63"/>
  <c r="L63" i="63"/>
  <c r="W63" i="63" s="1"/>
  <c r="L54" i="63"/>
  <c r="W54" i="63" s="1"/>
  <c r="I68" i="65"/>
  <c r="I83" i="65"/>
  <c r="I106" i="65"/>
  <c r="I121" i="65"/>
  <c r="I72" i="65"/>
  <c r="I79" i="65"/>
  <c r="I86" i="65"/>
  <c r="I69" i="65"/>
  <c r="L69" i="63"/>
  <c r="W69" i="63" s="1"/>
  <c r="L84" i="63"/>
  <c r="W84" i="63" s="1"/>
  <c r="L107" i="63"/>
  <c r="W107" i="63" s="1"/>
  <c r="L122" i="63"/>
  <c r="W122" i="63" s="1"/>
  <c r="L73" i="63"/>
  <c r="W73" i="63" s="1"/>
  <c r="L72" i="63"/>
  <c r="W72" i="63" s="1"/>
  <c r="I124" i="65"/>
  <c r="I60" i="65"/>
  <c r="I75" i="65"/>
  <c r="I98" i="65"/>
  <c r="I113" i="65"/>
  <c r="I128" i="65"/>
  <c r="I64" i="65"/>
  <c r="I71" i="65"/>
  <c r="I78" i="65"/>
  <c r="I125" i="65"/>
  <c r="I61" i="65"/>
  <c r="L38" i="63"/>
  <c r="W38" i="63" s="1"/>
  <c r="L51" i="63"/>
  <c r="W51" i="63" s="1"/>
  <c r="I51" i="65"/>
  <c r="L52" i="63"/>
  <c r="W52" i="63" s="1"/>
  <c r="L56" i="63"/>
  <c r="W56" i="63" s="1"/>
  <c r="I37" i="65"/>
  <c r="L44" i="63"/>
  <c r="W44" i="63" s="1"/>
  <c r="L36" i="63"/>
  <c r="W36" i="63" s="1"/>
  <c r="L53" i="63"/>
  <c r="W53" i="63" s="1"/>
  <c r="L59" i="63"/>
  <c r="W59" i="63" s="1"/>
  <c r="L45" i="63"/>
  <c r="W45" i="63" s="1"/>
  <c r="L58" i="63"/>
  <c r="W58" i="63" s="1"/>
  <c r="I36" i="65"/>
  <c r="I46" i="65"/>
  <c r="I42" i="65"/>
  <c r="I41" i="65"/>
  <c r="I47" i="65"/>
  <c r="I39" i="65"/>
  <c r="L42" i="63"/>
  <c r="W42" i="63" s="1"/>
  <c r="L48" i="63"/>
  <c r="W48" i="63" s="1"/>
  <c r="I34" i="65"/>
  <c r="L43" i="63"/>
  <c r="W43" i="63" s="1"/>
  <c r="L57" i="63"/>
  <c r="W57" i="63" s="1"/>
  <c r="L40" i="63"/>
  <c r="W40" i="63" s="1"/>
  <c r="I48" i="65"/>
  <c r="I56" i="65"/>
  <c r="L35" i="63"/>
  <c r="W35" i="63" s="1"/>
  <c r="L49" i="63"/>
  <c r="W49" i="63" s="1"/>
  <c r="L39" i="63"/>
  <c r="W39" i="63" s="1"/>
  <c r="X39" i="63"/>
  <c r="I40" i="65"/>
  <c r="L55" i="63"/>
  <c r="W55" i="63" s="1"/>
  <c r="X55" i="63"/>
  <c r="L41" i="63"/>
  <c r="W41" i="63" s="1"/>
  <c r="I52" i="65"/>
  <c r="I43" i="65"/>
  <c r="I58" i="65"/>
  <c r="I57" i="65"/>
  <c r="I45" i="65"/>
  <c r="L47" i="63"/>
  <c r="W47" i="63" s="1"/>
  <c r="L37" i="63"/>
  <c r="W37" i="63" s="1"/>
  <c r="I44" i="65"/>
  <c r="I35" i="65"/>
  <c r="I50" i="65"/>
  <c r="I49" i="65"/>
  <c r="I55" i="65"/>
  <c r="I131" i="65"/>
  <c r="L132" i="63"/>
  <c r="W132" i="63" s="1"/>
  <c r="L128" i="63"/>
  <c r="W128" i="63" s="1"/>
  <c r="I127" i="65"/>
  <c r="L26" i="63"/>
  <c r="W26" i="63" s="1"/>
  <c r="L31" i="63"/>
  <c r="W31" i="63" s="1"/>
  <c r="L29" i="63"/>
  <c r="W29" i="63" s="1"/>
  <c r="L30" i="63"/>
  <c r="W30" i="63" s="1"/>
  <c r="X23" i="63"/>
  <c r="L23" i="63"/>
  <c r="W23" i="63" s="1"/>
  <c r="L24" i="63"/>
  <c r="W24" i="63" s="1"/>
  <c r="L33" i="63"/>
  <c r="W33" i="63" s="1"/>
  <c r="I31" i="65"/>
  <c r="L25" i="63"/>
  <c r="W25" i="63" s="1"/>
  <c r="L34" i="63"/>
  <c r="W34" i="63" s="1"/>
  <c r="L28" i="63"/>
  <c r="W28" i="63" s="1"/>
  <c r="I25" i="65"/>
  <c r="I33" i="65"/>
  <c r="L32" i="63"/>
  <c r="W32" i="63" s="1"/>
  <c r="L27" i="63"/>
  <c r="W27" i="63" s="1"/>
  <c r="I30" i="65"/>
  <c r="I27" i="65"/>
  <c r="I32" i="65"/>
  <c r="I29" i="65"/>
  <c r="I28" i="65"/>
  <c r="I24" i="65"/>
  <c r="I23" i="65"/>
  <c r="I26" i="65"/>
  <c r="F14" i="64"/>
  <c r="N15" i="16"/>
  <c r="Y14" i="64" s="1"/>
  <c r="V144" i="63"/>
  <c r="Y144" i="63" s="1"/>
  <c r="I144" i="65" s="1"/>
  <c r="V140" i="63"/>
  <c r="Y140" i="63" s="1"/>
  <c r="I140" i="65" s="1"/>
  <c r="V145" i="63"/>
  <c r="Y145" i="63" s="1"/>
  <c r="I145" i="65" s="1"/>
  <c r="V146" i="63"/>
  <c r="Y146" i="63" s="1"/>
  <c r="I146" i="65" s="1"/>
  <c r="V141" i="63"/>
  <c r="Y141" i="63" s="1"/>
  <c r="I141" i="65" s="1"/>
  <c r="V138" i="63"/>
  <c r="Y138" i="63" s="1"/>
  <c r="V142" i="63"/>
  <c r="Y142" i="63" s="1"/>
  <c r="I142" i="65" s="1"/>
  <c r="V143" i="63"/>
  <c r="Y143" i="63" s="1"/>
  <c r="I143" i="65" s="1"/>
  <c r="V139" i="63"/>
  <c r="Y139" i="63" s="1"/>
  <c r="I139" i="65" s="1"/>
  <c r="I138" i="65" l="1"/>
  <c r="Y148" i="63"/>
  <c r="V169" i="63"/>
  <c r="Y169" i="63" s="1"/>
  <c r="E243" i="55" s="1"/>
  <c r="I148" i="65"/>
  <c r="V172" i="63"/>
  <c r="V156" i="63"/>
  <c r="V173" i="63"/>
  <c r="V157" i="63"/>
  <c r="V155" i="63"/>
  <c r="Y155" i="63" s="1"/>
  <c r="V158" i="63"/>
  <c r="V159" i="63"/>
  <c r="V160" i="63"/>
  <c r="V161" i="63"/>
  <c r="V162" i="63"/>
  <c r="V168" i="63"/>
  <c r="V163" i="63"/>
  <c r="V164" i="63"/>
  <c r="V165" i="63"/>
  <c r="V166" i="63"/>
  <c r="V167" i="63"/>
  <c r="V170" i="63"/>
  <c r="V171" i="63"/>
  <c r="G387" i="1"/>
  <c r="E695" i="55" s="1"/>
  <c r="E536" i="55" s="1"/>
  <c r="E415" i="55" s="1"/>
  <c r="G386" i="1"/>
  <c r="E694" i="55" s="1"/>
  <c r="E535" i="55" s="1"/>
  <c r="E414" i="55" s="1"/>
  <c r="G385" i="1"/>
  <c r="E693" i="55" s="1"/>
  <c r="E534" i="55" s="1"/>
  <c r="E413" i="55" s="1"/>
  <c r="G383" i="1"/>
  <c r="E691" i="55" s="1"/>
  <c r="E532" i="55" s="1"/>
  <c r="E411" i="55" s="1"/>
  <c r="G389" i="1"/>
  <c r="E697" i="55" s="1"/>
  <c r="E538" i="55" s="1"/>
  <c r="E417" i="55" s="1"/>
  <c r="G390" i="1"/>
  <c r="E698" i="55" s="1"/>
  <c r="E539" i="55" s="1"/>
  <c r="E418" i="55" s="1"/>
  <c r="G391" i="1"/>
  <c r="E699" i="55" s="1"/>
  <c r="E540" i="55" s="1"/>
  <c r="E419" i="55" s="1"/>
  <c r="G384" i="1"/>
  <c r="E692" i="55" s="1"/>
  <c r="E533" i="55" s="1"/>
  <c r="E412" i="55" s="1"/>
  <c r="G388" i="1"/>
  <c r="E696" i="55" s="1"/>
  <c r="E537" i="55" s="1"/>
  <c r="E416" i="55" s="1"/>
  <c r="H104" i="1"/>
  <c r="H101" i="1"/>
  <c r="I160" i="65" l="1"/>
  <c r="Y161" i="63"/>
  <c r="E235" i="55" s="1"/>
  <c r="I159" i="65"/>
  <c r="Y160" i="63"/>
  <c r="E234" i="55" s="1"/>
  <c r="I158" i="65"/>
  <c r="Y159" i="63"/>
  <c r="E233" i="55" s="1"/>
  <c r="I157" i="65"/>
  <c r="Y158" i="63"/>
  <c r="E232" i="55" s="1"/>
  <c r="I162" i="65"/>
  <c r="Y163" i="63"/>
  <c r="E237" i="55" s="1"/>
  <c r="E229" i="55"/>
  <c r="I167" i="65"/>
  <c r="Y168" i="63"/>
  <c r="E242" i="55" s="1"/>
  <c r="I156" i="65"/>
  <c r="Y157" i="63"/>
  <c r="E231" i="55" s="1"/>
  <c r="I171" i="65"/>
  <c r="Y173" i="63"/>
  <c r="E247" i="55" s="1"/>
  <c r="I169" i="65"/>
  <c r="Y171" i="63"/>
  <c r="E245" i="55" s="1"/>
  <c r="I155" i="65"/>
  <c r="Y156" i="63"/>
  <c r="E230" i="55" s="1"/>
  <c r="I170" i="65"/>
  <c r="Y172" i="63"/>
  <c r="E246" i="55" s="1"/>
  <c r="I166" i="65"/>
  <c r="Y167" i="63"/>
  <c r="E241" i="55" s="1"/>
  <c r="I161" i="65"/>
  <c r="Y162" i="63"/>
  <c r="E236" i="55" s="1"/>
  <c r="I168" i="65"/>
  <c r="Y170" i="63"/>
  <c r="E244" i="55" s="1"/>
  <c r="I164" i="65"/>
  <c r="Y165" i="63"/>
  <c r="E239" i="55" s="1"/>
  <c r="I165" i="65"/>
  <c r="Y166" i="63"/>
  <c r="E240" i="55" s="1"/>
  <c r="I163" i="65"/>
  <c r="Y164" i="63"/>
  <c r="E238" i="55" s="1"/>
  <c r="V175" i="63"/>
  <c r="I173" i="65" s="1"/>
  <c r="I154" i="65"/>
  <c r="F4" i="60"/>
  <c r="H14" i="60"/>
  <c r="I14" i="60"/>
  <c r="G14" i="60"/>
  <c r="H10" i="60"/>
  <c r="I10" i="60"/>
  <c r="G10" i="60"/>
  <c r="I6" i="60"/>
  <c r="G297" i="60"/>
  <c r="F297" i="60"/>
  <c r="K216" i="60"/>
  <c r="K215" i="60"/>
  <c r="K204" i="60"/>
  <c r="K193" i="60"/>
  <c r="K182" i="60"/>
  <c r="K171" i="60"/>
  <c r="F216" i="60"/>
  <c r="F215" i="60"/>
  <c r="F204" i="60"/>
  <c r="F193" i="60"/>
  <c r="F182" i="60"/>
  <c r="F171" i="60"/>
  <c r="K161" i="60"/>
  <c r="K160" i="60"/>
  <c r="K149" i="60"/>
  <c r="K138" i="60"/>
  <c r="K127" i="60"/>
  <c r="K116" i="60"/>
  <c r="F161" i="60"/>
  <c r="F160" i="60"/>
  <c r="F149" i="60"/>
  <c r="F138" i="60"/>
  <c r="F127" i="60"/>
  <c r="F116" i="60"/>
  <c r="H101" i="60"/>
  <c r="I101" i="60"/>
  <c r="J101" i="60"/>
  <c r="K101" i="60"/>
  <c r="G101" i="60"/>
  <c r="H90" i="60"/>
  <c r="I90" i="60"/>
  <c r="J90" i="60"/>
  <c r="K90" i="60"/>
  <c r="G90" i="60"/>
  <c r="J19" i="62"/>
  <c r="J62" i="62" s="1"/>
  <c r="I19" i="62"/>
  <c r="I62" i="62" s="1"/>
  <c r="H19" i="62"/>
  <c r="H62" i="62" s="1"/>
  <c r="Y175" i="63" l="1"/>
  <c r="Y176" i="63" s="1"/>
  <c r="E248" i="55"/>
  <c r="O74" i="61"/>
  <c r="P74" i="61"/>
  <c r="Q74" i="61"/>
  <c r="G366" i="60"/>
  <c r="G367" i="60"/>
  <c r="G368" i="60"/>
  <c r="F369" i="60"/>
  <c r="G369" i="60"/>
  <c r="F370" i="60"/>
  <c r="G370" i="60"/>
  <c r="F371" i="60"/>
  <c r="G371" i="60"/>
  <c r="F372" i="60"/>
  <c r="G372" i="60"/>
  <c r="F373" i="60"/>
  <c r="G373" i="60"/>
  <c r="H373" i="60" s="1"/>
  <c r="G374" i="60"/>
  <c r="G375" i="60"/>
  <c r="G376" i="60"/>
  <c r="G377" i="60"/>
  <c r="G378" i="60"/>
  <c r="F379" i="60"/>
  <c r="G379" i="60"/>
  <c r="G380" i="60"/>
  <c r="G381" i="60"/>
  <c r="F382" i="60"/>
  <c r="G382" i="60"/>
  <c r="G383" i="60"/>
  <c r="G384" i="60"/>
  <c r="F385" i="60"/>
  <c r="G385" i="60"/>
  <c r="G386" i="60"/>
  <c r="G387" i="60"/>
  <c r="G388" i="60"/>
  <c r="F389" i="60"/>
  <c r="G389" i="60"/>
  <c r="F390" i="60"/>
  <c r="G390" i="60"/>
  <c r="F391" i="60"/>
  <c r="G391" i="60"/>
  <c r="F392" i="60"/>
  <c r="G392" i="60"/>
  <c r="H392" i="60" s="1"/>
  <c r="F393" i="60"/>
  <c r="G393" i="60"/>
  <c r="F394" i="60"/>
  <c r="G394" i="60"/>
  <c r="F395" i="60"/>
  <c r="G395" i="60"/>
  <c r="F396" i="60"/>
  <c r="G396" i="60"/>
  <c r="F397" i="60"/>
  <c r="G397" i="60"/>
  <c r="F398" i="60"/>
  <c r="G398" i="60"/>
  <c r="F399" i="60"/>
  <c r="G399" i="60"/>
  <c r="H399" i="60" s="1"/>
  <c r="F400" i="60"/>
  <c r="G400" i="60"/>
  <c r="F401" i="60"/>
  <c r="G401" i="60"/>
  <c r="F402" i="60"/>
  <c r="G402" i="60"/>
  <c r="F403" i="60"/>
  <c r="G403" i="60"/>
  <c r="H403" i="60" s="1"/>
  <c r="F404" i="60"/>
  <c r="G404" i="60"/>
  <c r="F405" i="60"/>
  <c r="G405" i="60"/>
  <c r="F406" i="60"/>
  <c r="G406" i="60"/>
  <c r="F407" i="60"/>
  <c r="G407" i="60"/>
  <c r="F408" i="60"/>
  <c r="G408" i="60"/>
  <c r="F409" i="60"/>
  <c r="G409" i="60"/>
  <c r="F410" i="60"/>
  <c r="G410" i="60"/>
  <c r="F411" i="60"/>
  <c r="G411" i="60"/>
  <c r="F412" i="60"/>
  <c r="G412" i="60"/>
  <c r="F413" i="60"/>
  <c r="G413" i="60"/>
  <c r="H413" i="60" s="1"/>
  <c r="F414" i="60"/>
  <c r="G414" i="60"/>
  <c r="F415" i="60"/>
  <c r="G415" i="60"/>
  <c r="F416" i="60"/>
  <c r="G416" i="60"/>
  <c r="F417" i="60"/>
  <c r="G417" i="60"/>
  <c r="H417" i="60" s="1"/>
  <c r="F418" i="60"/>
  <c r="G418" i="60"/>
  <c r="F419" i="60"/>
  <c r="G419" i="60"/>
  <c r="F420" i="60"/>
  <c r="G420" i="60"/>
  <c r="F421" i="60"/>
  <c r="G421" i="60"/>
  <c r="H421" i="60" s="1"/>
  <c r="F422" i="60"/>
  <c r="G422" i="60"/>
  <c r="F423" i="60"/>
  <c r="G423" i="60"/>
  <c r="F424" i="60"/>
  <c r="G424" i="60"/>
  <c r="F425" i="60"/>
  <c r="G425" i="60"/>
  <c r="F426" i="60"/>
  <c r="G426" i="60"/>
  <c r="H426" i="60" s="1"/>
  <c r="G365" i="60"/>
  <c r="H401" i="60" l="1"/>
  <c r="H393" i="60"/>
  <c r="H395" i="60"/>
  <c r="H397" i="60"/>
  <c r="H414" i="60"/>
  <c r="I390" i="60"/>
  <c r="I426" i="60"/>
  <c r="I414" i="60"/>
  <c r="I418" i="60"/>
  <c r="I413" i="60"/>
  <c r="I397" i="60"/>
  <c r="I421" i="60"/>
  <c r="I412" i="60"/>
  <c r="I408" i="60"/>
  <c r="I392" i="60"/>
  <c r="I415" i="60"/>
  <c r="I403" i="60"/>
  <c r="I399" i="60"/>
  <c r="I373" i="60"/>
  <c r="I372" i="60"/>
  <c r="H372" i="60"/>
  <c r="I402" i="60"/>
  <c r="H402" i="60"/>
  <c r="I398" i="60"/>
  <c r="H398" i="60"/>
  <c r="I389" i="60"/>
  <c r="H389" i="60"/>
  <c r="H371" i="60"/>
  <c r="I371" i="60"/>
  <c r="I422" i="60"/>
  <c r="H422" i="60"/>
  <c r="I425" i="60"/>
  <c r="H425" i="60"/>
  <c r="I409" i="60"/>
  <c r="H409" i="60"/>
  <c r="I405" i="60"/>
  <c r="H405" i="60"/>
  <c r="H420" i="60"/>
  <c r="H412" i="60"/>
  <c r="H408" i="60"/>
  <c r="H404" i="60"/>
  <c r="I382" i="60"/>
  <c r="H382" i="60"/>
  <c r="I396" i="60"/>
  <c r="H396" i="60"/>
  <c r="I370" i="60"/>
  <c r="H370" i="60"/>
  <c r="I424" i="60"/>
  <c r="H424" i="60"/>
  <c r="I416" i="60"/>
  <c r="H416" i="60"/>
  <c r="I400" i="60"/>
  <c r="H400" i="60"/>
  <c r="H419" i="60"/>
  <c r="H415" i="60"/>
  <c r="I394" i="60"/>
  <c r="H394" i="60"/>
  <c r="I423" i="60"/>
  <c r="H423" i="60"/>
  <c r="I411" i="60"/>
  <c r="H411" i="60"/>
  <c r="I407" i="60"/>
  <c r="H407" i="60"/>
  <c r="I369" i="60"/>
  <c r="H369" i="60"/>
  <c r="I410" i="60"/>
  <c r="H410" i="60"/>
  <c r="I391" i="60"/>
  <c r="H391" i="60"/>
  <c r="H406" i="60"/>
  <c r="H390" i="60"/>
  <c r="I385" i="60"/>
  <c r="H385" i="60"/>
  <c r="H379" i="60"/>
  <c r="I379" i="60"/>
  <c r="I393" i="60"/>
  <c r="I401" i="60"/>
  <c r="I404" i="60"/>
  <c r="I420" i="60"/>
  <c r="I419" i="60"/>
  <c r="H418" i="60"/>
  <c r="I417" i="60"/>
  <c r="I406" i="60"/>
  <c r="I395" i="60"/>
  <c r="F367" i="60"/>
  <c r="I367" i="60" s="1"/>
  <c r="F368" i="60"/>
  <c r="F377" i="60"/>
  <c r="F378" i="60"/>
  <c r="H378" i="60" s="1"/>
  <c r="F383" i="60"/>
  <c r="I383" i="60" s="1"/>
  <c r="F388" i="60"/>
  <c r="F458" i="60" s="1"/>
  <c r="F544" i="60" s="1"/>
  <c r="DT112" i="55"/>
  <c r="X461" i="61"/>
  <c r="W461" i="61"/>
  <c r="V461" i="61"/>
  <c r="AA450" i="61"/>
  <c r="Z450" i="61"/>
  <c r="Y450" i="61"/>
  <c r="X450" i="61"/>
  <c r="W450" i="61"/>
  <c r="V450" i="61"/>
  <c r="AA449" i="61"/>
  <c r="Z449" i="61"/>
  <c r="Y449" i="61"/>
  <c r="X449" i="61"/>
  <c r="W449" i="61"/>
  <c r="V449" i="61"/>
  <c r="AB440" i="61"/>
  <c r="AB439" i="61"/>
  <c r="L436" i="61"/>
  <c r="W436" i="61" s="1"/>
  <c r="K436" i="61"/>
  <c r="J436" i="61"/>
  <c r="V436" i="61" s="1"/>
  <c r="X429" i="61"/>
  <c r="K429" i="61" s="1"/>
  <c r="W429" i="61"/>
  <c r="L429" i="61" s="1"/>
  <c r="R429" i="61" s="1"/>
  <c r="V429" i="61"/>
  <c r="J429" i="61" s="1"/>
  <c r="W422" i="61"/>
  <c r="W416" i="61"/>
  <c r="W415" i="61"/>
  <c r="W407" i="61"/>
  <c r="E404" i="61"/>
  <c r="Q388" i="61"/>
  <c r="O388" i="61"/>
  <c r="Q387" i="61"/>
  <c r="O387" i="61"/>
  <c r="P386" i="61"/>
  <c r="Q385" i="61"/>
  <c r="P385" i="61"/>
  <c r="P384" i="61"/>
  <c r="P383" i="61"/>
  <c r="O383" i="61"/>
  <c r="O382" i="61"/>
  <c r="Q382" i="61"/>
  <c r="Q381" i="61"/>
  <c r="P381" i="61"/>
  <c r="P380" i="61"/>
  <c r="Q380" i="61"/>
  <c r="O379" i="61"/>
  <c r="Q379" i="61"/>
  <c r="Q377" i="61"/>
  <c r="Q376" i="61"/>
  <c r="O375" i="61"/>
  <c r="Q374" i="61"/>
  <c r="P373" i="61"/>
  <c r="Q373" i="61"/>
  <c r="O373" i="61"/>
  <c r="Q372" i="61"/>
  <c r="O372" i="61"/>
  <c r="O371" i="61"/>
  <c r="Q371" i="61"/>
  <c r="P371" i="61"/>
  <c r="P370" i="61"/>
  <c r="Q369" i="61"/>
  <c r="P369" i="61"/>
  <c r="O369" i="61"/>
  <c r="P368" i="61"/>
  <c r="AH367" i="61"/>
  <c r="O367" i="61"/>
  <c r="D315" i="61"/>
  <c r="D314" i="61"/>
  <c r="L309" i="61"/>
  <c r="K309" i="61"/>
  <c r="J309" i="61"/>
  <c r="O302" i="61"/>
  <c r="N302" i="61"/>
  <c r="M302" i="61"/>
  <c r="E299" i="61"/>
  <c r="E298" i="61"/>
  <c r="E286" i="61"/>
  <c r="E277" i="61"/>
  <c r="E276" i="61"/>
  <c r="S251" i="61"/>
  <c r="D182" i="61"/>
  <c r="R178" i="61"/>
  <c r="R176" i="61"/>
  <c r="K176" i="61"/>
  <c r="H176" i="61" s="1"/>
  <c r="J176" i="61"/>
  <c r="G176" i="61" s="1"/>
  <c r="I176" i="61"/>
  <c r="F176" i="61" s="1"/>
  <c r="AF76" i="61"/>
  <c r="AE76" i="61"/>
  <c r="AD76" i="61"/>
  <c r="AF65" i="61"/>
  <c r="AE65" i="61"/>
  <c r="AD65" i="61"/>
  <c r="AF54" i="61"/>
  <c r="AD54" i="61"/>
  <c r="AF43" i="61"/>
  <c r="AE43" i="61"/>
  <c r="AD43" i="61"/>
  <c r="D11" i="61"/>
  <c r="D10" i="61"/>
  <c r="AQ649" i="60"/>
  <c r="AP649" i="60"/>
  <c r="AO649" i="60"/>
  <c r="AN649" i="60"/>
  <c r="AM649" i="60"/>
  <c r="AL649" i="60"/>
  <c r="AK649" i="60"/>
  <c r="AJ649" i="60"/>
  <c r="AI649" i="60"/>
  <c r="AH649" i="60"/>
  <c r="AG649" i="60"/>
  <c r="AF649" i="60"/>
  <c r="AE649" i="60"/>
  <c r="AD649" i="60"/>
  <c r="AC649" i="60"/>
  <c r="AB649" i="60"/>
  <c r="AA649" i="60"/>
  <c r="Z649" i="60"/>
  <c r="Y649" i="60"/>
  <c r="X649" i="60"/>
  <c r="W649" i="60"/>
  <c r="V649" i="60"/>
  <c r="U649" i="60"/>
  <c r="T649" i="60"/>
  <c r="O797" i="60"/>
  <c r="N797" i="60"/>
  <c r="M797" i="60"/>
  <c r="O796" i="60"/>
  <c r="N796" i="60"/>
  <c r="M796" i="60"/>
  <c r="O795" i="60"/>
  <c r="N795" i="60"/>
  <c r="M795" i="60"/>
  <c r="H789" i="60"/>
  <c r="G789" i="60"/>
  <c r="F789" i="60"/>
  <c r="E789" i="60"/>
  <c r="D789" i="60"/>
  <c r="C788" i="60"/>
  <c r="G788" i="60" s="1"/>
  <c r="H77" i="60" s="1"/>
  <c r="C787" i="60"/>
  <c r="F787" i="60" s="1"/>
  <c r="G76" i="60" s="1"/>
  <c r="C786" i="60"/>
  <c r="F786" i="60" s="1"/>
  <c r="G75" i="60" s="1"/>
  <c r="C785" i="60"/>
  <c r="F785" i="60" s="1"/>
  <c r="G74" i="60" s="1"/>
  <c r="C784" i="60"/>
  <c r="H784" i="60" s="1"/>
  <c r="C783" i="60"/>
  <c r="D783" i="60" s="1"/>
  <c r="K72" i="60" s="1"/>
  <c r="C782" i="60"/>
  <c r="G782" i="60" s="1"/>
  <c r="K782" i="60" s="1"/>
  <c r="C781" i="60"/>
  <c r="H781" i="60" s="1"/>
  <c r="C780" i="60"/>
  <c r="E780" i="60" s="1"/>
  <c r="J69" i="60" s="1"/>
  <c r="C779" i="60"/>
  <c r="H779" i="60" s="1"/>
  <c r="L779" i="60" s="1"/>
  <c r="G774" i="60"/>
  <c r="G773" i="60"/>
  <c r="K772" i="60"/>
  <c r="J772" i="60"/>
  <c r="I772" i="60"/>
  <c r="H772" i="60"/>
  <c r="G772" i="60"/>
  <c r="K771" i="60"/>
  <c r="J771" i="60"/>
  <c r="I771" i="60"/>
  <c r="H771" i="60"/>
  <c r="G771" i="60"/>
  <c r="G740" i="60"/>
  <c r="G739" i="60"/>
  <c r="K738" i="60"/>
  <c r="J738" i="60"/>
  <c r="I68" i="60" s="1"/>
  <c r="I738" i="60"/>
  <c r="H68" i="60" s="1"/>
  <c r="H738" i="60"/>
  <c r="G738" i="60"/>
  <c r="K737" i="60"/>
  <c r="J737" i="60"/>
  <c r="I737" i="60"/>
  <c r="H737" i="60"/>
  <c r="G737" i="60"/>
  <c r="S735" i="60"/>
  <c r="R735" i="60"/>
  <c r="S734" i="60"/>
  <c r="R734" i="60"/>
  <c r="S733" i="60"/>
  <c r="R733" i="60"/>
  <c r="S732" i="60"/>
  <c r="R732" i="60"/>
  <c r="S731" i="60"/>
  <c r="R731" i="60"/>
  <c r="S730" i="60"/>
  <c r="R730" i="60"/>
  <c r="S729" i="60"/>
  <c r="R729" i="60"/>
  <c r="S728" i="60"/>
  <c r="R728" i="60"/>
  <c r="S727" i="60"/>
  <c r="R727" i="60"/>
  <c r="S726" i="60"/>
  <c r="R726" i="60"/>
  <c r="N725" i="60"/>
  <c r="M725" i="60"/>
  <c r="L725" i="60"/>
  <c r="S713" i="60"/>
  <c r="R713" i="60"/>
  <c r="N713" i="60"/>
  <c r="M713" i="60"/>
  <c r="L713" i="60"/>
  <c r="J713" i="60"/>
  <c r="I713" i="60"/>
  <c r="H713" i="60"/>
  <c r="G713" i="60"/>
  <c r="F713" i="60"/>
  <c r="D713" i="60"/>
  <c r="S712" i="60"/>
  <c r="R712" i="60"/>
  <c r="N712" i="60"/>
  <c r="M712" i="60"/>
  <c r="L712" i="60"/>
  <c r="J712" i="60"/>
  <c r="I712" i="60"/>
  <c r="H712" i="60"/>
  <c r="G712" i="60"/>
  <c r="F712" i="60"/>
  <c r="D712" i="60"/>
  <c r="S711" i="60"/>
  <c r="R711" i="60"/>
  <c r="N711" i="60"/>
  <c r="M711" i="60"/>
  <c r="L711" i="60"/>
  <c r="J711" i="60"/>
  <c r="I711" i="60"/>
  <c r="H711" i="60"/>
  <c r="G711" i="60"/>
  <c r="F711" i="60"/>
  <c r="D711" i="60"/>
  <c r="S710" i="60"/>
  <c r="R710" i="60"/>
  <c r="N710" i="60"/>
  <c r="M710" i="60"/>
  <c r="L710" i="60"/>
  <c r="J710" i="60"/>
  <c r="I710" i="60"/>
  <c r="H710" i="60"/>
  <c r="G710" i="60"/>
  <c r="F710" i="60"/>
  <c r="D710" i="60"/>
  <c r="S709" i="60"/>
  <c r="R709" i="60"/>
  <c r="N709" i="60"/>
  <c r="M709" i="60"/>
  <c r="L709" i="60"/>
  <c r="J709" i="60"/>
  <c r="I709" i="60"/>
  <c r="H709" i="60"/>
  <c r="G709" i="60"/>
  <c r="F709" i="60"/>
  <c r="D709" i="60"/>
  <c r="S708" i="60"/>
  <c r="R708" i="60"/>
  <c r="N708" i="60"/>
  <c r="M708" i="60"/>
  <c r="L708" i="60"/>
  <c r="J708" i="60"/>
  <c r="I708" i="60"/>
  <c r="H708" i="60"/>
  <c r="G708" i="60"/>
  <c r="F708" i="60"/>
  <c r="D708" i="60"/>
  <c r="S707" i="60"/>
  <c r="R707" i="60"/>
  <c r="N707" i="60"/>
  <c r="M707" i="60"/>
  <c r="L707" i="60"/>
  <c r="J707" i="60"/>
  <c r="I707" i="60"/>
  <c r="H707" i="60"/>
  <c r="G707" i="60"/>
  <c r="F707" i="60"/>
  <c r="D707" i="60"/>
  <c r="S706" i="60"/>
  <c r="R706" i="60"/>
  <c r="N706" i="60"/>
  <c r="M706" i="60"/>
  <c r="L706" i="60"/>
  <c r="J706" i="60"/>
  <c r="I706" i="60"/>
  <c r="H706" i="60"/>
  <c r="G706" i="60"/>
  <c r="F706" i="60"/>
  <c r="D706" i="60"/>
  <c r="S705" i="60"/>
  <c r="R705" i="60"/>
  <c r="N705" i="60"/>
  <c r="M705" i="60"/>
  <c r="L705" i="60"/>
  <c r="J705" i="60"/>
  <c r="I705" i="60"/>
  <c r="H705" i="60"/>
  <c r="G705" i="60"/>
  <c r="F705" i="60"/>
  <c r="D705" i="60"/>
  <c r="S704" i="60"/>
  <c r="R704" i="60"/>
  <c r="N704" i="60"/>
  <c r="M704" i="60"/>
  <c r="L704" i="60"/>
  <c r="J704" i="60"/>
  <c r="I704" i="60"/>
  <c r="H704" i="60"/>
  <c r="G704" i="60"/>
  <c r="F704" i="60"/>
  <c r="D704" i="60"/>
  <c r="N703" i="60"/>
  <c r="M703" i="60"/>
  <c r="L703" i="60"/>
  <c r="AQ518" i="60"/>
  <c r="AP518" i="60"/>
  <c r="AO518" i="60"/>
  <c r="AN518" i="60"/>
  <c r="AM518" i="60"/>
  <c r="AL518" i="60"/>
  <c r="AK518" i="60"/>
  <c r="AJ518" i="60"/>
  <c r="AI518" i="60"/>
  <c r="AH518" i="60"/>
  <c r="AG518" i="60"/>
  <c r="AF518" i="60"/>
  <c r="AE518" i="60"/>
  <c r="AD518" i="60"/>
  <c r="AC518" i="60"/>
  <c r="AB518" i="60"/>
  <c r="AA518" i="60"/>
  <c r="Z518" i="60"/>
  <c r="Y518" i="60"/>
  <c r="X518" i="60"/>
  <c r="W518" i="60"/>
  <c r="V518" i="60"/>
  <c r="U518" i="60"/>
  <c r="T518" i="60"/>
  <c r="G517" i="60"/>
  <c r="G591" i="60" s="1"/>
  <c r="G648" i="60" s="1"/>
  <c r="E366" i="61" s="1"/>
  <c r="E265" i="61" s="1"/>
  <c r="E124" i="61" s="1"/>
  <c r="DN124" i="61" s="1"/>
  <c r="F517" i="60"/>
  <c r="G515" i="60"/>
  <c r="G514" i="60"/>
  <c r="G588" i="60" s="1"/>
  <c r="G645" i="60" s="1"/>
  <c r="E363" i="61" s="1"/>
  <c r="E264" i="61" s="1"/>
  <c r="E123" i="61" s="1"/>
  <c r="DN123" i="61" s="1"/>
  <c r="F514" i="60"/>
  <c r="G513" i="60"/>
  <c r="G587" i="60" s="1"/>
  <c r="G644" i="60" s="1"/>
  <c r="E362" i="61" s="1"/>
  <c r="E225" i="61" s="1"/>
  <c r="E85" i="61" s="1"/>
  <c r="DN85" i="61" s="1"/>
  <c r="F513" i="60"/>
  <c r="F587" i="60" s="1"/>
  <c r="F644" i="60" s="1"/>
  <c r="G512" i="60"/>
  <c r="G586" i="60" s="1"/>
  <c r="G643" i="60" s="1"/>
  <c r="E361" i="61" s="1"/>
  <c r="E224" i="61" s="1"/>
  <c r="E84" i="61" s="1"/>
  <c r="G511" i="60"/>
  <c r="G580" i="60" s="1"/>
  <c r="G340" i="60" s="1"/>
  <c r="F511" i="60"/>
  <c r="G510" i="60"/>
  <c r="G579" i="60" s="1"/>
  <c r="G339" i="60" s="1"/>
  <c r="F510" i="60"/>
  <c r="F579" i="60" s="1"/>
  <c r="G509" i="60"/>
  <c r="G578" i="60" s="1"/>
  <c r="F509" i="60"/>
  <c r="F578" i="60" s="1"/>
  <c r="G508" i="60"/>
  <c r="G577" i="60" s="1"/>
  <c r="F508" i="60"/>
  <c r="G507" i="60"/>
  <c r="G576" i="60" s="1"/>
  <c r="F507" i="60"/>
  <c r="F576" i="60" s="1"/>
  <c r="G503" i="60"/>
  <c r="F503" i="60" s="1"/>
  <c r="G502" i="60"/>
  <c r="G499" i="60"/>
  <c r="G585" i="60" s="1"/>
  <c r="G642" i="60" s="1"/>
  <c r="E360" i="61" s="1"/>
  <c r="F499" i="60"/>
  <c r="F585" i="60" s="1"/>
  <c r="F642" i="60" s="1"/>
  <c r="G498" i="60"/>
  <c r="F496" i="60" s="1"/>
  <c r="G497" i="60"/>
  <c r="F495" i="60" s="1"/>
  <c r="F570" i="60" s="1"/>
  <c r="G496" i="60"/>
  <c r="G571" i="60" s="1"/>
  <c r="G338" i="60" s="1"/>
  <c r="G495" i="60"/>
  <c r="G570" i="60" s="1"/>
  <c r="G337" i="60" s="1"/>
  <c r="G494" i="60"/>
  <c r="G569" i="60" s="1"/>
  <c r="G336" i="60" s="1"/>
  <c r="F494" i="60"/>
  <c r="F630" i="60" s="1"/>
  <c r="G493" i="60"/>
  <c r="G568" i="60" s="1"/>
  <c r="F493" i="60"/>
  <c r="F568" i="60" s="1"/>
  <c r="G492" i="60"/>
  <c r="G567" i="60" s="1"/>
  <c r="G335" i="60" s="1"/>
  <c r="F492" i="60"/>
  <c r="F567" i="60" s="1"/>
  <c r="G491" i="60"/>
  <c r="G566" i="60" s="1"/>
  <c r="G334" i="60" s="1"/>
  <c r="F491" i="60"/>
  <c r="G490" i="60"/>
  <c r="G565" i="60" s="1"/>
  <c r="G333" i="60" s="1"/>
  <c r="F490" i="60"/>
  <c r="F565" i="60" s="1"/>
  <c r="G489" i="60"/>
  <c r="G564" i="60" s="1"/>
  <c r="F489" i="60"/>
  <c r="G485" i="60"/>
  <c r="F485" i="60" s="1"/>
  <c r="G484" i="60"/>
  <c r="G482" i="60" s="1"/>
  <c r="G561" i="60" s="1"/>
  <c r="G481" i="60"/>
  <c r="G584" i="60" s="1"/>
  <c r="G641" i="60" s="1"/>
  <c r="E359" i="61" s="1"/>
  <c r="E260" i="61" s="1"/>
  <c r="E119" i="61" s="1"/>
  <c r="F481" i="60"/>
  <c r="G480" i="60"/>
  <c r="F480" i="60" s="1"/>
  <c r="G479" i="60"/>
  <c r="F479" i="60" s="1"/>
  <c r="G476" i="60"/>
  <c r="G557" i="60" s="1"/>
  <c r="G332" i="60" s="1"/>
  <c r="F476" i="60"/>
  <c r="G475" i="60"/>
  <c r="G556" i="60" s="1"/>
  <c r="G331" i="60" s="1"/>
  <c r="F475" i="60"/>
  <c r="F556" i="60" s="1"/>
  <c r="G474" i="60"/>
  <c r="G555" i="60" s="1"/>
  <c r="G330" i="60" s="1"/>
  <c r="F474" i="60"/>
  <c r="F555" i="60" s="1"/>
  <c r="G473" i="60"/>
  <c r="G554" i="60" s="1"/>
  <c r="F473" i="60"/>
  <c r="F554" i="60" s="1"/>
  <c r="G472" i="60"/>
  <c r="G553" i="60" s="1"/>
  <c r="G329" i="60" s="1"/>
  <c r="F472" i="60"/>
  <c r="F553" i="60" s="1"/>
  <c r="G471" i="60"/>
  <c r="F471" i="60"/>
  <c r="G467" i="60"/>
  <c r="F465" i="60" s="1"/>
  <c r="F619" i="60" s="1"/>
  <c r="G466" i="60"/>
  <c r="F466" i="60" s="1"/>
  <c r="G463" i="60"/>
  <c r="G583" i="60" s="1"/>
  <c r="G640" i="60" s="1"/>
  <c r="E358" i="61" s="1"/>
  <c r="E259" i="61" s="1"/>
  <c r="E118" i="61" s="1"/>
  <c r="DN118" i="61" s="1"/>
  <c r="F463" i="60"/>
  <c r="F583" i="60" s="1"/>
  <c r="F640" i="60" s="1"/>
  <c r="G462" i="60"/>
  <c r="G548" i="60" s="1"/>
  <c r="G461" i="60"/>
  <c r="G547" i="60" s="1"/>
  <c r="F461" i="60"/>
  <c r="F547" i="60" s="1"/>
  <c r="G460" i="60"/>
  <c r="G546" i="60" s="1"/>
  <c r="G459" i="60"/>
  <c r="G545" i="60" s="1"/>
  <c r="F459" i="60"/>
  <c r="F545" i="60" s="1"/>
  <c r="G458" i="60"/>
  <c r="G544" i="60" s="1"/>
  <c r="G457" i="60"/>
  <c r="G543" i="60" s="1"/>
  <c r="G326" i="60" s="1"/>
  <c r="G456" i="60"/>
  <c r="G455" i="60"/>
  <c r="G541" i="60" s="1"/>
  <c r="G324" i="60" s="1"/>
  <c r="F455" i="60"/>
  <c r="F541" i="60" s="1"/>
  <c r="G454" i="60"/>
  <c r="G540" i="60" s="1"/>
  <c r="G453" i="60"/>
  <c r="G452" i="60"/>
  <c r="G538" i="60" s="1"/>
  <c r="G322" i="60" s="1"/>
  <c r="F452" i="60"/>
  <c r="F538" i="60" s="1"/>
  <c r="G448" i="60"/>
  <c r="G537" i="60" s="1"/>
  <c r="G321" i="60" s="1"/>
  <c r="G447" i="60"/>
  <c r="G536" i="60" s="1"/>
  <c r="G445" i="60"/>
  <c r="G582" i="60" s="1"/>
  <c r="G639" i="60" s="1"/>
  <c r="E357" i="61" s="1"/>
  <c r="E258" i="61" s="1"/>
  <c r="E117" i="61" s="1"/>
  <c r="DN117" i="61" s="1"/>
  <c r="G444" i="60"/>
  <c r="G534" i="60" s="1"/>
  <c r="G443" i="60"/>
  <c r="G533" i="60" s="1"/>
  <c r="F443" i="60"/>
  <c r="F533" i="60" s="1"/>
  <c r="G441" i="60"/>
  <c r="G531" i="60" s="1"/>
  <c r="G440" i="60"/>
  <c r="G530" i="60" s="1"/>
  <c r="G319" i="60" s="1"/>
  <c r="F440" i="60"/>
  <c r="F530" i="60" s="1"/>
  <c r="G439" i="60"/>
  <c r="G529" i="60" s="1"/>
  <c r="G318" i="60" s="1"/>
  <c r="F439" i="60"/>
  <c r="G438" i="60"/>
  <c r="G528" i="60" s="1"/>
  <c r="G317" i="60" s="1"/>
  <c r="F438" i="60"/>
  <c r="G437" i="60"/>
  <c r="G527" i="60" s="1"/>
  <c r="F437" i="60"/>
  <c r="F527" i="60" s="1"/>
  <c r="G436" i="60"/>
  <c r="G526" i="60" s="1"/>
  <c r="F436" i="60"/>
  <c r="G435" i="60"/>
  <c r="G525" i="60" s="1"/>
  <c r="G604" i="60" s="1"/>
  <c r="F435" i="60"/>
  <c r="F525" i="60" s="1"/>
  <c r="F604" i="60" s="1"/>
  <c r="G434" i="60"/>
  <c r="G581" i="60" s="1"/>
  <c r="G638" i="60" s="1"/>
  <c r="E356" i="61" s="1"/>
  <c r="E257" i="61" s="1"/>
  <c r="E116" i="61" s="1"/>
  <c r="DN116" i="61" s="1"/>
  <c r="G433" i="60"/>
  <c r="G524" i="60" s="1"/>
  <c r="G432" i="60"/>
  <c r="G602" i="60" s="1"/>
  <c r="E320" i="61" s="1"/>
  <c r="E188" i="61" s="1"/>
  <c r="E17" i="61" s="1"/>
  <c r="U17" i="61" s="1"/>
  <c r="G427" i="60"/>
  <c r="G355" i="60"/>
  <c r="R351" i="60"/>
  <c r="J351" i="60"/>
  <c r="P351" i="60" s="1"/>
  <c r="I351" i="60"/>
  <c r="O351" i="60" s="1"/>
  <c r="H351" i="60"/>
  <c r="N351" i="60" s="1"/>
  <c r="R350" i="60"/>
  <c r="J350" i="60"/>
  <c r="P350" i="60" s="1"/>
  <c r="I350" i="60"/>
  <c r="O350" i="60" s="1"/>
  <c r="H350" i="60"/>
  <c r="F345" i="60"/>
  <c r="F356" i="60" s="1"/>
  <c r="J344" i="60"/>
  <c r="I344" i="60"/>
  <c r="H344" i="60"/>
  <c r="G344" i="60"/>
  <c r="E344" i="60"/>
  <c r="J343" i="60"/>
  <c r="I343" i="60"/>
  <c r="H343" i="60"/>
  <c r="G343" i="60"/>
  <c r="E343" i="60"/>
  <c r="J342" i="60"/>
  <c r="I342" i="60"/>
  <c r="H342" i="60"/>
  <c r="G342" i="60"/>
  <c r="E342" i="60"/>
  <c r="J341" i="60"/>
  <c r="I341" i="60"/>
  <c r="H341" i="60"/>
  <c r="G341" i="60"/>
  <c r="E341" i="60"/>
  <c r="J340" i="60"/>
  <c r="I340" i="60"/>
  <c r="H340" i="60"/>
  <c r="E340" i="60"/>
  <c r="J339" i="60"/>
  <c r="I339" i="60"/>
  <c r="H339" i="60"/>
  <c r="E339" i="60"/>
  <c r="J338" i="60"/>
  <c r="I338" i="60"/>
  <c r="H338" i="60"/>
  <c r="E338" i="60"/>
  <c r="J337" i="60"/>
  <c r="I337" i="60"/>
  <c r="H337" i="60"/>
  <c r="E337" i="60"/>
  <c r="J336" i="60"/>
  <c r="I336" i="60"/>
  <c r="H336" i="60"/>
  <c r="E336" i="60"/>
  <c r="J335" i="60"/>
  <c r="I335" i="60"/>
  <c r="H335" i="60"/>
  <c r="E335" i="60"/>
  <c r="J334" i="60"/>
  <c r="I334" i="60"/>
  <c r="H334" i="60"/>
  <c r="E334" i="60"/>
  <c r="J333" i="60"/>
  <c r="I333" i="60"/>
  <c r="H333" i="60"/>
  <c r="E333" i="60"/>
  <c r="J332" i="60"/>
  <c r="I332" i="60"/>
  <c r="H332" i="60"/>
  <c r="E332" i="60"/>
  <c r="J331" i="60"/>
  <c r="I331" i="60"/>
  <c r="H331" i="60"/>
  <c r="E331" i="60"/>
  <c r="J330" i="60"/>
  <c r="I330" i="60"/>
  <c r="H330" i="60"/>
  <c r="E330" i="60"/>
  <c r="J329" i="60"/>
  <c r="I329" i="60"/>
  <c r="H329" i="60"/>
  <c r="E329" i="60"/>
  <c r="J328" i="60"/>
  <c r="I328" i="60"/>
  <c r="H328" i="60"/>
  <c r="E328" i="60"/>
  <c r="J327" i="60"/>
  <c r="I327" i="60"/>
  <c r="H327" i="60"/>
  <c r="E327" i="60"/>
  <c r="J326" i="60"/>
  <c r="I326" i="60"/>
  <c r="H326" i="60"/>
  <c r="E326" i="60"/>
  <c r="J325" i="60"/>
  <c r="I325" i="60"/>
  <c r="H325" i="60"/>
  <c r="E325" i="60"/>
  <c r="J324" i="60"/>
  <c r="I324" i="60"/>
  <c r="H324" i="60"/>
  <c r="E324" i="60"/>
  <c r="J323" i="60"/>
  <c r="I323" i="60"/>
  <c r="H323" i="60"/>
  <c r="E323" i="60"/>
  <c r="J322" i="60"/>
  <c r="I322" i="60"/>
  <c r="H322" i="60"/>
  <c r="E322" i="60"/>
  <c r="J321" i="60"/>
  <c r="I321" i="60"/>
  <c r="H321" i="60"/>
  <c r="E321" i="60"/>
  <c r="J320" i="60"/>
  <c r="I320" i="60"/>
  <c r="H320" i="60"/>
  <c r="G320" i="60"/>
  <c r="E320" i="60"/>
  <c r="J319" i="60"/>
  <c r="I319" i="60"/>
  <c r="H319" i="60"/>
  <c r="E319" i="60"/>
  <c r="J318" i="60"/>
  <c r="I318" i="60"/>
  <c r="H318" i="60"/>
  <c r="E318" i="60"/>
  <c r="J317" i="60"/>
  <c r="I317" i="60"/>
  <c r="H317" i="60"/>
  <c r="E317" i="60"/>
  <c r="G312" i="60"/>
  <c r="F312" i="60"/>
  <c r="F676" i="60" s="1"/>
  <c r="H311" i="60"/>
  <c r="I311" i="60" s="1"/>
  <c r="E311" i="60"/>
  <c r="H310" i="60"/>
  <c r="I310" i="60" s="1"/>
  <c r="E310" i="60"/>
  <c r="H309" i="60"/>
  <c r="E309" i="60"/>
  <c r="H308" i="60"/>
  <c r="I308" i="60" s="1"/>
  <c r="E308" i="60"/>
  <c r="H307" i="60"/>
  <c r="I307" i="60" s="1"/>
  <c r="J307" i="60" s="1"/>
  <c r="E307" i="60"/>
  <c r="H306" i="60"/>
  <c r="I306" i="60" s="1"/>
  <c r="E306" i="60"/>
  <c r="H305" i="60"/>
  <c r="I305" i="60" s="1"/>
  <c r="E305" i="60"/>
  <c r="H304" i="60"/>
  <c r="I304" i="60" s="1"/>
  <c r="J304" i="60" s="1"/>
  <c r="E304" i="60"/>
  <c r="H303" i="60"/>
  <c r="I303" i="60" s="1"/>
  <c r="E303" i="60"/>
  <c r="H302" i="60"/>
  <c r="I302" i="60" s="1"/>
  <c r="E302" i="60"/>
  <c r="H299" i="60"/>
  <c r="H298" i="60"/>
  <c r="I298" i="60" s="1"/>
  <c r="H297" i="60"/>
  <c r="I297" i="60" s="1"/>
  <c r="K289" i="60"/>
  <c r="K288" i="60"/>
  <c r="K287" i="60"/>
  <c r="K286" i="60"/>
  <c r="K285" i="60"/>
  <c r="K284" i="60"/>
  <c r="K283" i="60"/>
  <c r="K282" i="60"/>
  <c r="K281" i="60"/>
  <c r="K280" i="60"/>
  <c r="K279" i="60"/>
  <c r="J279" i="60"/>
  <c r="I279" i="60"/>
  <c r="H279" i="60"/>
  <c r="G279" i="60"/>
  <c r="K278" i="60"/>
  <c r="J278" i="60"/>
  <c r="I278" i="60"/>
  <c r="H278" i="60"/>
  <c r="G278" i="60"/>
  <c r="K277" i="60"/>
  <c r="J277" i="60"/>
  <c r="I277" i="60"/>
  <c r="H277" i="60"/>
  <c r="G277" i="60"/>
  <c r="K276" i="60"/>
  <c r="J276" i="60"/>
  <c r="I276" i="60"/>
  <c r="H276" i="60"/>
  <c r="G276" i="60"/>
  <c r="K275" i="60"/>
  <c r="J275" i="60"/>
  <c r="I275" i="60"/>
  <c r="H275" i="60"/>
  <c r="G275" i="60"/>
  <c r="K274" i="60"/>
  <c r="J274" i="60"/>
  <c r="I274" i="60"/>
  <c r="H274" i="60"/>
  <c r="G274" i="60"/>
  <c r="K273" i="60"/>
  <c r="J273" i="60"/>
  <c r="I273" i="60"/>
  <c r="H273" i="60"/>
  <c r="G273" i="60"/>
  <c r="K272" i="60"/>
  <c r="J272" i="60"/>
  <c r="I272" i="60"/>
  <c r="H272" i="60"/>
  <c r="G272" i="60"/>
  <c r="K271" i="60"/>
  <c r="J271" i="60"/>
  <c r="I271" i="60"/>
  <c r="H271" i="60"/>
  <c r="G271" i="60"/>
  <c r="K270" i="60"/>
  <c r="J270" i="60"/>
  <c r="I270" i="60"/>
  <c r="H270" i="60"/>
  <c r="G270" i="60"/>
  <c r="GN269" i="60"/>
  <c r="GM269" i="60"/>
  <c r="GL269" i="60"/>
  <c r="GK269" i="60"/>
  <c r="GJ269" i="60"/>
  <c r="GI269" i="60"/>
  <c r="GH269" i="60"/>
  <c r="GG269" i="60"/>
  <c r="GF269" i="60"/>
  <c r="GE269" i="60"/>
  <c r="GD269" i="60"/>
  <c r="GC269" i="60"/>
  <c r="GB269" i="60"/>
  <c r="GA269" i="60"/>
  <c r="FZ269" i="60"/>
  <c r="FY269" i="60"/>
  <c r="FX269" i="60"/>
  <c r="FW269" i="60"/>
  <c r="FV269" i="60"/>
  <c r="FU269" i="60"/>
  <c r="FT269" i="60"/>
  <c r="FS269" i="60"/>
  <c r="FR269" i="60"/>
  <c r="FQ269" i="60"/>
  <c r="FP269" i="60"/>
  <c r="FO269" i="60"/>
  <c r="FN269" i="60"/>
  <c r="FM269" i="60"/>
  <c r="FL269" i="60"/>
  <c r="FK269" i="60"/>
  <c r="FJ269" i="60"/>
  <c r="FI269" i="60"/>
  <c r="FH269" i="60"/>
  <c r="FG269" i="60"/>
  <c r="FF269" i="60"/>
  <c r="FE269" i="60"/>
  <c r="FD269" i="60"/>
  <c r="FC269" i="60"/>
  <c r="FB269" i="60"/>
  <c r="FA269" i="60"/>
  <c r="EZ269" i="60"/>
  <c r="EY269" i="60"/>
  <c r="EX269" i="60"/>
  <c r="EW269" i="60"/>
  <c r="EV269" i="60"/>
  <c r="EU269" i="60"/>
  <c r="ET269" i="60"/>
  <c r="ES269" i="60"/>
  <c r="ER269" i="60"/>
  <c r="EQ269" i="60"/>
  <c r="EP269" i="60"/>
  <c r="EO269" i="60"/>
  <c r="EN269" i="60"/>
  <c r="EM269" i="60"/>
  <c r="EL269" i="60"/>
  <c r="EK269" i="60"/>
  <c r="EJ269" i="60"/>
  <c r="EI269" i="60"/>
  <c r="EH269" i="60"/>
  <c r="EG269" i="60"/>
  <c r="EF269" i="60"/>
  <c r="EE269" i="60"/>
  <c r="ED269" i="60"/>
  <c r="EC269" i="60"/>
  <c r="EB269" i="60"/>
  <c r="EA269" i="60"/>
  <c r="DZ269" i="60"/>
  <c r="DY269" i="60"/>
  <c r="DX269" i="60"/>
  <c r="DW269" i="60"/>
  <c r="DV269" i="60"/>
  <c r="DU269" i="60"/>
  <c r="DT269" i="60"/>
  <c r="DS269" i="60"/>
  <c r="DR269" i="60"/>
  <c r="DQ269" i="60"/>
  <c r="DP269" i="60"/>
  <c r="DO269" i="60"/>
  <c r="DN269" i="60"/>
  <c r="DM269" i="60"/>
  <c r="DL269" i="60"/>
  <c r="DK269" i="60"/>
  <c r="DJ269" i="60"/>
  <c r="DI269" i="60"/>
  <c r="DH269" i="60"/>
  <c r="DG269" i="60"/>
  <c r="DF269" i="60"/>
  <c r="DE269" i="60"/>
  <c r="DD269" i="60"/>
  <c r="DC269" i="60"/>
  <c r="DB269" i="60"/>
  <c r="DA269" i="60"/>
  <c r="CZ269" i="60"/>
  <c r="CY269" i="60"/>
  <c r="CX269" i="60"/>
  <c r="CW269" i="60"/>
  <c r="CV269" i="60"/>
  <c r="CU269" i="60"/>
  <c r="CT269" i="60"/>
  <c r="CS269" i="60"/>
  <c r="CR269" i="60"/>
  <c r="CQ269" i="60"/>
  <c r="CP269" i="60"/>
  <c r="CO269" i="60"/>
  <c r="CN269" i="60"/>
  <c r="CM269" i="60"/>
  <c r="CL269" i="60"/>
  <c r="CK269" i="60"/>
  <c r="CJ269" i="60"/>
  <c r="CI269" i="60"/>
  <c r="CH269" i="60"/>
  <c r="CG269" i="60"/>
  <c r="CF269" i="60"/>
  <c r="CE269" i="60"/>
  <c r="CD269" i="60"/>
  <c r="CC269" i="60"/>
  <c r="CB269" i="60"/>
  <c r="CA269" i="60"/>
  <c r="BZ269" i="60"/>
  <c r="BY269" i="60"/>
  <c r="BX269" i="60"/>
  <c r="BW269" i="60"/>
  <c r="BV269" i="60"/>
  <c r="BU269" i="60"/>
  <c r="BT269" i="60"/>
  <c r="BS269" i="60"/>
  <c r="BR269" i="60"/>
  <c r="BQ269" i="60"/>
  <c r="BP269" i="60"/>
  <c r="BO269" i="60"/>
  <c r="BN269" i="60"/>
  <c r="BM269" i="60"/>
  <c r="BL269" i="60"/>
  <c r="BK269" i="60"/>
  <c r="BJ269" i="60"/>
  <c r="BI269" i="60"/>
  <c r="BH269" i="60"/>
  <c r="BG269" i="60"/>
  <c r="BF269" i="60"/>
  <c r="BE269" i="60"/>
  <c r="BD269" i="60"/>
  <c r="BC269" i="60"/>
  <c r="BB269" i="60"/>
  <c r="BA269" i="60"/>
  <c r="AZ269" i="60"/>
  <c r="AY269" i="60"/>
  <c r="AX269" i="60"/>
  <c r="AW269" i="60"/>
  <c r="AV269" i="60"/>
  <c r="AU269" i="60"/>
  <c r="AT269" i="60"/>
  <c r="AS269" i="60"/>
  <c r="AR269" i="60"/>
  <c r="AQ269" i="60"/>
  <c r="AP269" i="60"/>
  <c r="AO269" i="60"/>
  <c r="AN269" i="60"/>
  <c r="AM269" i="60"/>
  <c r="AL269" i="60"/>
  <c r="AK269" i="60"/>
  <c r="AJ269" i="60"/>
  <c r="AI269" i="60"/>
  <c r="AH269" i="60"/>
  <c r="AG269" i="60"/>
  <c r="AF269" i="60"/>
  <c r="AE269" i="60"/>
  <c r="AD269" i="60"/>
  <c r="AC269" i="60"/>
  <c r="AB269" i="60"/>
  <c r="AA269" i="60"/>
  <c r="Z269" i="60"/>
  <c r="Y269" i="60"/>
  <c r="X269" i="60"/>
  <c r="W269" i="60"/>
  <c r="V269" i="60"/>
  <c r="U269" i="60"/>
  <c r="T269" i="60"/>
  <c r="S269" i="60"/>
  <c r="K262" i="60"/>
  <c r="F262" i="60"/>
  <c r="E262" i="60"/>
  <c r="K261" i="60"/>
  <c r="F261" i="60"/>
  <c r="E261" i="60"/>
  <c r="K260" i="60"/>
  <c r="F260" i="60"/>
  <c r="E260" i="60"/>
  <c r="K259" i="60"/>
  <c r="F259" i="60"/>
  <c r="E259" i="60"/>
  <c r="K258" i="60"/>
  <c r="F258" i="60"/>
  <c r="E258" i="60"/>
  <c r="K257" i="60"/>
  <c r="F257" i="60"/>
  <c r="E257" i="60"/>
  <c r="K256" i="60"/>
  <c r="F256" i="60"/>
  <c r="E256" i="60"/>
  <c r="K255" i="60"/>
  <c r="F255" i="60"/>
  <c r="E255" i="60"/>
  <c r="K254" i="60"/>
  <c r="F254" i="60"/>
  <c r="E254" i="60"/>
  <c r="K253" i="60"/>
  <c r="F253" i="60"/>
  <c r="E253" i="60"/>
  <c r="K252" i="60"/>
  <c r="F252" i="60"/>
  <c r="K251" i="60"/>
  <c r="F251" i="60"/>
  <c r="K246" i="60"/>
  <c r="E246" i="60"/>
  <c r="K245" i="60"/>
  <c r="E245" i="60"/>
  <c r="K244" i="60"/>
  <c r="E244" i="60"/>
  <c r="K243" i="60"/>
  <c r="E243" i="60"/>
  <c r="K242" i="60"/>
  <c r="E242" i="60"/>
  <c r="K241" i="60"/>
  <c r="E241" i="60"/>
  <c r="K240" i="60"/>
  <c r="E240" i="60"/>
  <c r="K239" i="60"/>
  <c r="E239" i="60"/>
  <c r="K238" i="60"/>
  <c r="E238" i="60"/>
  <c r="K237" i="60"/>
  <c r="E237" i="60"/>
  <c r="K236" i="60"/>
  <c r="F236" i="60"/>
  <c r="K235" i="60"/>
  <c r="K234" i="60"/>
  <c r="J234" i="60"/>
  <c r="I234" i="60"/>
  <c r="H234" i="60"/>
  <c r="G234" i="60"/>
  <c r="E234" i="60"/>
  <c r="K233" i="60"/>
  <c r="J233" i="60"/>
  <c r="I233" i="60"/>
  <c r="H233" i="60"/>
  <c r="G233" i="60"/>
  <c r="E233" i="60"/>
  <c r="K232" i="60"/>
  <c r="J232" i="60"/>
  <c r="I232" i="60"/>
  <c r="H232" i="60"/>
  <c r="G232" i="60"/>
  <c r="E232" i="60"/>
  <c r="K231" i="60"/>
  <c r="J231" i="60"/>
  <c r="I231" i="60"/>
  <c r="H231" i="60"/>
  <c r="G231" i="60"/>
  <c r="E231" i="60"/>
  <c r="K230" i="60"/>
  <c r="J230" i="60"/>
  <c r="I230" i="60"/>
  <c r="H230" i="60"/>
  <c r="G230" i="60"/>
  <c r="E230" i="60"/>
  <c r="K229" i="60"/>
  <c r="J229" i="60"/>
  <c r="I229" i="60"/>
  <c r="H229" i="60"/>
  <c r="G229" i="60"/>
  <c r="E229" i="60"/>
  <c r="K228" i="60"/>
  <c r="J228" i="60"/>
  <c r="I228" i="60"/>
  <c r="H228" i="60"/>
  <c r="G228" i="60"/>
  <c r="E228" i="60"/>
  <c r="K227" i="60"/>
  <c r="J227" i="60"/>
  <c r="I227" i="60"/>
  <c r="H227" i="60"/>
  <c r="G227" i="60"/>
  <c r="E227" i="60"/>
  <c r="K226" i="60"/>
  <c r="J226" i="60"/>
  <c r="I226" i="60"/>
  <c r="H226" i="60"/>
  <c r="G226" i="60"/>
  <c r="E226" i="60"/>
  <c r="K225" i="60"/>
  <c r="J225" i="60"/>
  <c r="I225" i="60"/>
  <c r="H225" i="60"/>
  <c r="G225" i="60"/>
  <c r="E225" i="60"/>
  <c r="K224" i="60"/>
  <c r="J224" i="60"/>
  <c r="I224" i="60"/>
  <c r="H224" i="60"/>
  <c r="G224" i="60"/>
  <c r="K219" i="60"/>
  <c r="F219" i="60"/>
  <c r="K218" i="60"/>
  <c r="F218" i="60"/>
  <c r="J217" i="60"/>
  <c r="I217" i="60"/>
  <c r="H217" i="60"/>
  <c r="G217" i="60"/>
  <c r="J216" i="60"/>
  <c r="J215" i="60"/>
  <c r="J219" i="60" s="1"/>
  <c r="J214" i="60"/>
  <c r="I214" i="60"/>
  <c r="H214" i="60"/>
  <c r="G214" i="60"/>
  <c r="E214" i="60"/>
  <c r="J213" i="60"/>
  <c r="I213" i="60"/>
  <c r="H213" i="60"/>
  <c r="G213" i="60"/>
  <c r="E213" i="60"/>
  <c r="J212" i="60"/>
  <c r="I212" i="60"/>
  <c r="H212" i="60"/>
  <c r="G212" i="60"/>
  <c r="E212" i="60"/>
  <c r="J211" i="60"/>
  <c r="I211" i="60"/>
  <c r="H211" i="60"/>
  <c r="G211" i="60"/>
  <c r="E211" i="60"/>
  <c r="J210" i="60"/>
  <c r="I210" i="60"/>
  <c r="H210" i="60"/>
  <c r="G210" i="60"/>
  <c r="E210" i="60"/>
  <c r="J209" i="60"/>
  <c r="I209" i="60"/>
  <c r="H209" i="60"/>
  <c r="G209" i="60"/>
  <c r="E209" i="60"/>
  <c r="J208" i="60"/>
  <c r="I208" i="60"/>
  <c r="H208" i="60"/>
  <c r="G208" i="60"/>
  <c r="E208" i="60"/>
  <c r="J207" i="60"/>
  <c r="I207" i="60"/>
  <c r="H207" i="60"/>
  <c r="G207" i="60"/>
  <c r="E207" i="60"/>
  <c r="J206" i="60"/>
  <c r="I206" i="60"/>
  <c r="H206" i="60"/>
  <c r="G206" i="60"/>
  <c r="E206" i="60"/>
  <c r="J205" i="60"/>
  <c r="I205" i="60"/>
  <c r="H205" i="60"/>
  <c r="G205" i="60"/>
  <c r="E205" i="60"/>
  <c r="J204" i="60"/>
  <c r="J203" i="60"/>
  <c r="I203" i="60"/>
  <c r="H203" i="60"/>
  <c r="G203" i="60"/>
  <c r="E203" i="60"/>
  <c r="J202" i="60"/>
  <c r="I202" i="60"/>
  <c r="H202" i="60"/>
  <c r="G202" i="60"/>
  <c r="E202" i="60"/>
  <c r="J201" i="60"/>
  <c r="I201" i="60"/>
  <c r="H201" i="60"/>
  <c r="G201" i="60"/>
  <c r="E201" i="60"/>
  <c r="J200" i="60"/>
  <c r="I200" i="60"/>
  <c r="H200" i="60"/>
  <c r="G200" i="60"/>
  <c r="E200" i="60"/>
  <c r="J199" i="60"/>
  <c r="I199" i="60"/>
  <c r="H199" i="60"/>
  <c r="G199" i="60"/>
  <c r="E199" i="60"/>
  <c r="J198" i="60"/>
  <c r="I198" i="60"/>
  <c r="H198" i="60"/>
  <c r="G198" i="60"/>
  <c r="E198" i="60"/>
  <c r="J197" i="60"/>
  <c r="I197" i="60"/>
  <c r="H197" i="60"/>
  <c r="G197" i="60"/>
  <c r="E197" i="60"/>
  <c r="J196" i="60"/>
  <c r="I196" i="60"/>
  <c r="H196" i="60"/>
  <c r="G196" i="60"/>
  <c r="E196" i="60"/>
  <c r="J195" i="60"/>
  <c r="I195" i="60"/>
  <c r="H195" i="60"/>
  <c r="G195" i="60"/>
  <c r="E195" i="60"/>
  <c r="J194" i="60"/>
  <c r="I194" i="60"/>
  <c r="H194" i="60"/>
  <c r="G194" i="60"/>
  <c r="E194" i="60"/>
  <c r="J193" i="60"/>
  <c r="J192" i="60"/>
  <c r="I192" i="60"/>
  <c r="H192" i="60"/>
  <c r="G192" i="60"/>
  <c r="E192" i="60"/>
  <c r="J191" i="60"/>
  <c r="I191" i="60"/>
  <c r="H191" i="60"/>
  <c r="G191" i="60"/>
  <c r="E191" i="60"/>
  <c r="J190" i="60"/>
  <c r="I190" i="60"/>
  <c r="H190" i="60"/>
  <c r="G190" i="60"/>
  <c r="E190" i="60"/>
  <c r="J189" i="60"/>
  <c r="I189" i="60"/>
  <c r="H189" i="60"/>
  <c r="G189" i="60"/>
  <c r="E189" i="60"/>
  <c r="J188" i="60"/>
  <c r="I188" i="60"/>
  <c r="H188" i="60"/>
  <c r="G188" i="60"/>
  <c r="E188" i="60"/>
  <c r="J187" i="60"/>
  <c r="I187" i="60"/>
  <c r="H187" i="60"/>
  <c r="G187" i="60"/>
  <c r="E187" i="60"/>
  <c r="J186" i="60"/>
  <c r="I186" i="60"/>
  <c r="H186" i="60"/>
  <c r="G186" i="60"/>
  <c r="E186" i="60"/>
  <c r="J185" i="60"/>
  <c r="I185" i="60"/>
  <c r="H185" i="60"/>
  <c r="G185" i="60"/>
  <c r="E185" i="60"/>
  <c r="J184" i="60"/>
  <c r="I184" i="60"/>
  <c r="H184" i="60"/>
  <c r="G184" i="60"/>
  <c r="E184" i="60"/>
  <c r="J183" i="60"/>
  <c r="I183" i="60"/>
  <c r="H183" i="60"/>
  <c r="G183" i="60"/>
  <c r="E183" i="60"/>
  <c r="W182" i="60"/>
  <c r="J182" i="60"/>
  <c r="W181" i="60"/>
  <c r="J181" i="60"/>
  <c r="I181" i="60"/>
  <c r="H181" i="60"/>
  <c r="G181" i="60"/>
  <c r="E181" i="60"/>
  <c r="J180" i="60"/>
  <c r="I180" i="60"/>
  <c r="H180" i="60"/>
  <c r="G180" i="60"/>
  <c r="E180" i="60"/>
  <c r="J179" i="60"/>
  <c r="I179" i="60"/>
  <c r="H179" i="60"/>
  <c r="G179" i="60"/>
  <c r="E179" i="60"/>
  <c r="J178" i="60"/>
  <c r="I178" i="60"/>
  <c r="H178" i="60"/>
  <c r="G178" i="60"/>
  <c r="E178" i="60"/>
  <c r="J177" i="60"/>
  <c r="I177" i="60"/>
  <c r="H177" i="60"/>
  <c r="G177" i="60"/>
  <c r="E177" i="60"/>
  <c r="W176" i="60"/>
  <c r="J176" i="60"/>
  <c r="I176" i="60"/>
  <c r="H176" i="60"/>
  <c r="G176" i="60"/>
  <c r="E176" i="60"/>
  <c r="W175" i="60"/>
  <c r="J175" i="60"/>
  <c r="I175" i="60"/>
  <c r="H175" i="60"/>
  <c r="G175" i="60"/>
  <c r="E175" i="60"/>
  <c r="W174" i="60"/>
  <c r="J174" i="60"/>
  <c r="I174" i="60"/>
  <c r="H174" i="60"/>
  <c r="G174" i="60"/>
  <c r="E174" i="60"/>
  <c r="W173" i="60"/>
  <c r="J173" i="60"/>
  <c r="I173" i="60"/>
  <c r="H173" i="60"/>
  <c r="G173" i="60"/>
  <c r="E173" i="60"/>
  <c r="J172" i="60"/>
  <c r="I172" i="60"/>
  <c r="H172" i="60"/>
  <c r="G172" i="60"/>
  <c r="E172" i="60"/>
  <c r="J171" i="60"/>
  <c r="F168" i="60"/>
  <c r="K163" i="60"/>
  <c r="K164" i="60" s="1"/>
  <c r="F163" i="60"/>
  <c r="F164" i="60" s="1"/>
  <c r="F165" i="60" s="1"/>
  <c r="J162" i="60"/>
  <c r="I162" i="60"/>
  <c r="H162" i="60"/>
  <c r="G162" i="60"/>
  <c r="J161" i="60"/>
  <c r="J160" i="60"/>
  <c r="J159" i="60"/>
  <c r="I159" i="60"/>
  <c r="H159" i="60"/>
  <c r="G159" i="60"/>
  <c r="E159" i="60"/>
  <c r="J158" i="60"/>
  <c r="I158" i="60"/>
  <c r="H158" i="60"/>
  <c r="G158" i="60"/>
  <c r="E158" i="60"/>
  <c r="J157" i="60"/>
  <c r="I157" i="60"/>
  <c r="H157" i="60"/>
  <c r="G157" i="60"/>
  <c r="E157" i="60"/>
  <c r="J156" i="60"/>
  <c r="I156" i="60"/>
  <c r="H156" i="60"/>
  <c r="G156" i="60"/>
  <c r="E156" i="60"/>
  <c r="J155" i="60"/>
  <c r="I155" i="60"/>
  <c r="H155" i="60"/>
  <c r="G155" i="60"/>
  <c r="E155" i="60"/>
  <c r="J154" i="60"/>
  <c r="I154" i="60"/>
  <c r="H154" i="60"/>
  <c r="G154" i="60"/>
  <c r="E154" i="60"/>
  <c r="J153" i="60"/>
  <c r="I153" i="60"/>
  <c r="H153" i="60"/>
  <c r="G153" i="60"/>
  <c r="E153" i="60"/>
  <c r="J152" i="60"/>
  <c r="I152" i="60"/>
  <c r="H152" i="60"/>
  <c r="G152" i="60"/>
  <c r="E152" i="60"/>
  <c r="J151" i="60"/>
  <c r="I151" i="60"/>
  <c r="H151" i="60"/>
  <c r="G151" i="60"/>
  <c r="E151" i="60"/>
  <c r="J150" i="60"/>
  <c r="I150" i="60"/>
  <c r="H150" i="60"/>
  <c r="G150" i="60"/>
  <c r="E150" i="60"/>
  <c r="J149" i="60"/>
  <c r="J148" i="60"/>
  <c r="I148" i="60"/>
  <c r="H148" i="60"/>
  <c r="G148" i="60"/>
  <c r="E148" i="60"/>
  <c r="J147" i="60"/>
  <c r="I147" i="60"/>
  <c r="H147" i="60"/>
  <c r="G147" i="60"/>
  <c r="E147" i="60"/>
  <c r="J146" i="60"/>
  <c r="I146" i="60"/>
  <c r="H146" i="60"/>
  <c r="G146" i="60"/>
  <c r="E146" i="60"/>
  <c r="J145" i="60"/>
  <c r="I145" i="60"/>
  <c r="H145" i="60"/>
  <c r="G145" i="60"/>
  <c r="E145" i="60"/>
  <c r="J144" i="60"/>
  <c r="I144" i="60"/>
  <c r="H144" i="60"/>
  <c r="G144" i="60"/>
  <c r="E144" i="60"/>
  <c r="J143" i="60"/>
  <c r="I143" i="60"/>
  <c r="H143" i="60"/>
  <c r="G143" i="60"/>
  <c r="E143" i="60"/>
  <c r="J142" i="60"/>
  <c r="I142" i="60"/>
  <c r="H142" i="60"/>
  <c r="G142" i="60"/>
  <c r="E142" i="60"/>
  <c r="J141" i="60"/>
  <c r="I141" i="60"/>
  <c r="H141" i="60"/>
  <c r="G141" i="60"/>
  <c r="E141" i="60"/>
  <c r="J140" i="60"/>
  <c r="I140" i="60"/>
  <c r="H140" i="60"/>
  <c r="G140" i="60"/>
  <c r="E140" i="60"/>
  <c r="J139" i="60"/>
  <c r="I139" i="60"/>
  <c r="H139" i="60"/>
  <c r="G139" i="60"/>
  <c r="E139" i="60"/>
  <c r="J138" i="60"/>
  <c r="J137" i="60"/>
  <c r="I137" i="60"/>
  <c r="H137" i="60"/>
  <c r="G137" i="60"/>
  <c r="E137" i="60"/>
  <c r="J136" i="60"/>
  <c r="I136" i="60"/>
  <c r="H136" i="60"/>
  <c r="G136" i="60"/>
  <c r="E136" i="60"/>
  <c r="J135" i="60"/>
  <c r="I135" i="60"/>
  <c r="H135" i="60"/>
  <c r="G135" i="60"/>
  <c r="E135" i="60"/>
  <c r="J134" i="60"/>
  <c r="I134" i="60"/>
  <c r="H134" i="60"/>
  <c r="G134" i="60"/>
  <c r="E134" i="60"/>
  <c r="J133" i="60"/>
  <c r="I133" i="60"/>
  <c r="H133" i="60"/>
  <c r="G133" i="60"/>
  <c r="E133" i="60"/>
  <c r="J132" i="60"/>
  <c r="I132" i="60"/>
  <c r="H132" i="60"/>
  <c r="G132" i="60"/>
  <c r="E132" i="60"/>
  <c r="J131" i="60"/>
  <c r="I131" i="60"/>
  <c r="H131" i="60"/>
  <c r="G131" i="60"/>
  <c r="E131" i="60"/>
  <c r="J130" i="60"/>
  <c r="I130" i="60"/>
  <c r="H130" i="60"/>
  <c r="G130" i="60"/>
  <c r="E130" i="60"/>
  <c r="J129" i="60"/>
  <c r="I129" i="60"/>
  <c r="H129" i="60"/>
  <c r="G129" i="60"/>
  <c r="E129" i="60"/>
  <c r="J128" i="60"/>
  <c r="I128" i="60"/>
  <c r="H128" i="60"/>
  <c r="G128" i="60"/>
  <c r="E128" i="60"/>
  <c r="J127" i="60"/>
  <c r="J126" i="60"/>
  <c r="I126" i="60"/>
  <c r="H126" i="60"/>
  <c r="G126" i="60"/>
  <c r="E126" i="60"/>
  <c r="J125" i="60"/>
  <c r="I125" i="60"/>
  <c r="H125" i="60"/>
  <c r="G125" i="60"/>
  <c r="E125" i="60"/>
  <c r="J124" i="60"/>
  <c r="I124" i="60"/>
  <c r="H124" i="60"/>
  <c r="G124" i="60"/>
  <c r="E124" i="60"/>
  <c r="J123" i="60"/>
  <c r="I123" i="60"/>
  <c r="H123" i="60"/>
  <c r="G123" i="60"/>
  <c r="E123" i="60"/>
  <c r="J122" i="60"/>
  <c r="I122" i="60"/>
  <c r="H122" i="60"/>
  <c r="G122" i="60"/>
  <c r="E122" i="60"/>
  <c r="J121" i="60"/>
  <c r="I121" i="60"/>
  <c r="H121" i="60"/>
  <c r="G121" i="60"/>
  <c r="E121" i="60"/>
  <c r="J120" i="60"/>
  <c r="I120" i="60"/>
  <c r="H120" i="60"/>
  <c r="G120" i="60"/>
  <c r="E120" i="60"/>
  <c r="J119" i="60"/>
  <c r="I119" i="60"/>
  <c r="H119" i="60"/>
  <c r="G119" i="60"/>
  <c r="E119" i="60"/>
  <c r="J118" i="60"/>
  <c r="I118" i="60"/>
  <c r="H118" i="60"/>
  <c r="G118" i="60"/>
  <c r="E118" i="60"/>
  <c r="J117" i="60"/>
  <c r="I117" i="60"/>
  <c r="H117" i="60"/>
  <c r="G117" i="60"/>
  <c r="E117" i="60"/>
  <c r="J116" i="60"/>
  <c r="K113" i="60"/>
  <c r="J113" i="60"/>
  <c r="I113" i="60"/>
  <c r="H113" i="60"/>
  <c r="G113" i="60"/>
  <c r="K112" i="60"/>
  <c r="J112" i="60"/>
  <c r="I112" i="60"/>
  <c r="H112" i="60"/>
  <c r="G112" i="60"/>
  <c r="F111" i="60"/>
  <c r="E111" i="60"/>
  <c r="F110" i="60"/>
  <c r="E110" i="60"/>
  <c r="F109" i="60"/>
  <c r="E109" i="60"/>
  <c r="F108" i="60"/>
  <c r="E108" i="60"/>
  <c r="F107" i="60"/>
  <c r="E107" i="60"/>
  <c r="F106" i="60"/>
  <c r="E106" i="60"/>
  <c r="F105" i="60"/>
  <c r="E105" i="60"/>
  <c r="W104" i="60"/>
  <c r="F104" i="60"/>
  <c r="E104" i="60"/>
  <c r="W103" i="60"/>
  <c r="F103" i="60"/>
  <c r="E103" i="60"/>
  <c r="W102" i="60"/>
  <c r="F102" i="60"/>
  <c r="E102" i="60"/>
  <c r="F101" i="60"/>
  <c r="F235" i="60" s="1"/>
  <c r="F100" i="60"/>
  <c r="E100" i="60"/>
  <c r="F99" i="60"/>
  <c r="E99" i="60"/>
  <c r="F98" i="60"/>
  <c r="E98" i="60"/>
  <c r="F97" i="60"/>
  <c r="E97" i="60"/>
  <c r="F96" i="60"/>
  <c r="E96" i="60"/>
  <c r="F95" i="60"/>
  <c r="E95" i="60"/>
  <c r="F94" i="60"/>
  <c r="E94" i="60"/>
  <c r="F93" i="60"/>
  <c r="E93" i="60"/>
  <c r="F92" i="60"/>
  <c r="E92" i="60"/>
  <c r="F91" i="60"/>
  <c r="E91" i="60"/>
  <c r="F90" i="60"/>
  <c r="F224" i="60" s="1"/>
  <c r="E77" i="60"/>
  <c r="E76" i="60"/>
  <c r="E75" i="60"/>
  <c r="E74" i="60"/>
  <c r="E73" i="60"/>
  <c r="E72" i="60"/>
  <c r="E71" i="60"/>
  <c r="E70" i="60"/>
  <c r="E69" i="60"/>
  <c r="E68" i="60"/>
  <c r="K62" i="60"/>
  <c r="J62" i="60"/>
  <c r="I62" i="60"/>
  <c r="H62" i="60"/>
  <c r="G62" i="60"/>
  <c r="E62" i="60"/>
  <c r="K61" i="60"/>
  <c r="J61" i="60"/>
  <c r="I61" i="60"/>
  <c r="H61" i="60"/>
  <c r="G61" i="60"/>
  <c r="E61" i="60"/>
  <c r="K60" i="60"/>
  <c r="J60" i="60"/>
  <c r="I60" i="60"/>
  <c r="H60" i="60"/>
  <c r="G60" i="60"/>
  <c r="E60" i="60"/>
  <c r="K59" i="60"/>
  <c r="J59" i="60"/>
  <c r="I59" i="60"/>
  <c r="H59" i="60"/>
  <c r="G59" i="60"/>
  <c r="E59" i="60"/>
  <c r="K58" i="60"/>
  <c r="J58" i="60"/>
  <c r="I58" i="60"/>
  <c r="H58" i="60"/>
  <c r="G58" i="60"/>
  <c r="E58" i="60"/>
  <c r="K57" i="60"/>
  <c r="J57" i="60"/>
  <c r="I57" i="60"/>
  <c r="H57" i="60"/>
  <c r="G57" i="60"/>
  <c r="E57" i="60"/>
  <c r="K56" i="60"/>
  <c r="J56" i="60"/>
  <c r="I56" i="60"/>
  <c r="H56" i="60"/>
  <c r="G56" i="60"/>
  <c r="E56" i="60"/>
  <c r="K55" i="60"/>
  <c r="J55" i="60"/>
  <c r="I55" i="60"/>
  <c r="H55" i="60"/>
  <c r="G55" i="60"/>
  <c r="E55" i="60"/>
  <c r="K54" i="60"/>
  <c r="J54" i="60"/>
  <c r="I54" i="60"/>
  <c r="H54" i="60"/>
  <c r="G54" i="60"/>
  <c r="E54" i="60"/>
  <c r="K53" i="60"/>
  <c r="J53" i="60"/>
  <c r="I53" i="60"/>
  <c r="H53" i="60"/>
  <c r="G53" i="60"/>
  <c r="E53" i="60"/>
  <c r="K46" i="60"/>
  <c r="J46" i="60"/>
  <c r="I46" i="60"/>
  <c r="J352" i="60" s="1"/>
  <c r="H46" i="60"/>
  <c r="I352" i="60" s="1"/>
  <c r="G46" i="60"/>
  <c r="H352" i="60" s="1"/>
  <c r="F45" i="60"/>
  <c r="F44" i="60"/>
  <c r="M41" i="60"/>
  <c r="M103" i="60" s="1"/>
  <c r="M40" i="60"/>
  <c r="M48" i="60" s="1"/>
  <c r="F14" i="60"/>
  <c r="U10" i="60"/>
  <c r="T10" i="60"/>
  <c r="S10" i="60"/>
  <c r="F10" i="60"/>
  <c r="F273" i="1"/>
  <c r="G273" i="1"/>
  <c r="G269" i="1"/>
  <c r="G368" i="1" s="1"/>
  <c r="E676" i="55" s="1"/>
  <c r="E517" i="55" s="1"/>
  <c r="E402" i="55" s="1"/>
  <c r="E121" i="55" s="1"/>
  <c r="G265" i="1"/>
  <c r="G365" i="1" s="1"/>
  <c r="E673" i="55" s="1"/>
  <c r="E514" i="55" s="1"/>
  <c r="E395" i="55" s="1"/>
  <c r="E114" i="55" s="1"/>
  <c r="F254" i="1"/>
  <c r="G254" i="1"/>
  <c r="G354" i="1" s="1"/>
  <c r="E662" i="55" s="1"/>
  <c r="E503" i="55" s="1"/>
  <c r="E381" i="55" s="1"/>
  <c r="E95" i="55" s="1"/>
  <c r="E156" i="55" s="1"/>
  <c r="G246" i="1"/>
  <c r="G348" i="1" s="1"/>
  <c r="E656" i="55" s="1"/>
  <c r="E497" i="55" s="1"/>
  <c r="E378" i="55" s="1"/>
  <c r="E92" i="55" s="1"/>
  <c r="R92" i="55" s="1"/>
  <c r="G228" i="1"/>
  <c r="F228" i="1" s="1"/>
  <c r="G208" i="1"/>
  <c r="G316" i="1" s="1"/>
  <c r="E624" i="55" s="1"/>
  <c r="E465" i="55" s="1"/>
  <c r="E345" i="55" s="1"/>
  <c r="E49" i="55" s="1"/>
  <c r="E152" i="55" s="1"/>
  <c r="F204" i="1"/>
  <c r="F313" i="1" s="1"/>
  <c r="G204" i="1"/>
  <c r="G313" i="1" s="1"/>
  <c r="E621" i="55" s="1"/>
  <c r="E462" i="55" s="1"/>
  <c r="E342" i="55" s="1"/>
  <c r="E46" i="55" s="1"/>
  <c r="E141" i="55" s="1"/>
  <c r="G202" i="1"/>
  <c r="F202" i="1" s="1"/>
  <c r="G199" i="1"/>
  <c r="R114" i="55" l="1"/>
  <c r="R121" i="55"/>
  <c r="R95" i="55"/>
  <c r="R46" i="55"/>
  <c r="R49" i="55"/>
  <c r="G371" i="1"/>
  <c r="E679" i="55" s="1"/>
  <c r="E520" i="55" s="1"/>
  <c r="E398" i="55" s="1"/>
  <c r="E117" i="55" s="1"/>
  <c r="AG621" i="55"/>
  <c r="R462" i="55"/>
  <c r="R342" i="55" s="1"/>
  <c r="F263" i="1"/>
  <c r="G263" i="1"/>
  <c r="F265" i="1"/>
  <c r="F365" i="1" s="1"/>
  <c r="F269" i="1"/>
  <c r="F368" i="1" s="1"/>
  <c r="H367" i="60"/>
  <c r="E322" i="61"/>
  <c r="E190" i="61" s="1"/>
  <c r="E19" i="61" s="1"/>
  <c r="U19" i="61" s="1"/>
  <c r="F434" i="60"/>
  <c r="F581" i="60" s="1"/>
  <c r="F638" i="60" s="1"/>
  <c r="F246" i="1"/>
  <c r="F348" i="1" s="1"/>
  <c r="H383" i="60"/>
  <c r="F445" i="60"/>
  <c r="F582" i="60" s="1"/>
  <c r="F639" i="60" s="1"/>
  <c r="I378" i="60"/>
  <c r="I377" i="60"/>
  <c r="H377" i="60"/>
  <c r="I368" i="60"/>
  <c r="H368" i="60"/>
  <c r="I388" i="60"/>
  <c r="H388" i="60"/>
  <c r="G542" i="60"/>
  <c r="G325" i="60" s="1"/>
  <c r="H456" i="60"/>
  <c r="G552" i="60"/>
  <c r="G328" i="60" s="1"/>
  <c r="G470" i="60"/>
  <c r="F470" i="60" s="1"/>
  <c r="F552" i="60"/>
  <c r="G539" i="60"/>
  <c r="G323" i="60" s="1"/>
  <c r="F453" i="60"/>
  <c r="DT113" i="55"/>
  <c r="DU113" i="55" s="1"/>
  <c r="DN84" i="61"/>
  <c r="G13" i="62"/>
  <c r="F199" i="1"/>
  <c r="F308" i="1" s="1"/>
  <c r="R457" i="55" s="1"/>
  <c r="R340" i="55" s="1"/>
  <c r="F208" i="1"/>
  <c r="F316" i="1" s="1"/>
  <c r="F386" i="60"/>
  <c r="F376" i="60"/>
  <c r="H376" i="60" s="1"/>
  <c r="F384" i="60"/>
  <c r="I84" i="1"/>
  <c r="F365" i="60"/>
  <c r="F381" i="60"/>
  <c r="F366" i="60"/>
  <c r="F374" i="60"/>
  <c r="F380" i="60"/>
  <c r="F448" i="60" s="1"/>
  <c r="F375" i="60"/>
  <c r="H375" i="60" s="1"/>
  <c r="F387" i="60"/>
  <c r="G636" i="60"/>
  <c r="E354" i="61" s="1"/>
  <c r="E222" i="61" s="1"/>
  <c r="E63" i="61" s="1"/>
  <c r="U63" i="61" s="1"/>
  <c r="G331" i="1"/>
  <c r="E639" i="55" s="1"/>
  <c r="E480" i="55" s="1"/>
  <c r="E361" i="55" s="1"/>
  <c r="E70" i="55" s="1"/>
  <c r="R70" i="55" s="1"/>
  <c r="G308" i="1"/>
  <c r="E616" i="55" s="1"/>
  <c r="E457" i="55" s="1"/>
  <c r="E340" i="55" s="1"/>
  <c r="E44" i="55" s="1"/>
  <c r="G611" i="60"/>
  <c r="E329" i="61" s="1"/>
  <c r="E197" i="61" s="1"/>
  <c r="G603" i="60"/>
  <c r="E321" i="61" s="1"/>
  <c r="E189" i="61" s="1"/>
  <c r="E18" i="61" s="1"/>
  <c r="G626" i="60"/>
  <c r="E344" i="61" s="1"/>
  <c r="E212" i="61" s="1"/>
  <c r="E51" i="61" s="1"/>
  <c r="G630" i="60"/>
  <c r="E348" i="61" s="1"/>
  <c r="E216" i="61" s="1"/>
  <c r="E59" i="61" s="1"/>
  <c r="U59" i="61" s="1"/>
  <c r="G622" i="60"/>
  <c r="E340" i="61" s="1"/>
  <c r="E208" i="61" s="1"/>
  <c r="G614" i="60"/>
  <c r="E332" i="61" s="1"/>
  <c r="E200" i="61" s="1"/>
  <c r="G606" i="60"/>
  <c r="E324" i="61" s="1"/>
  <c r="E192" i="61" s="1"/>
  <c r="E26" i="61" s="1"/>
  <c r="U26" i="61" s="1"/>
  <c r="G637" i="60"/>
  <c r="E355" i="61" s="1"/>
  <c r="E223" i="61" s="1"/>
  <c r="E64" i="61" s="1"/>
  <c r="U64" i="61" s="1"/>
  <c r="G629" i="60"/>
  <c r="E347" i="61" s="1"/>
  <c r="E215" i="61" s="1"/>
  <c r="E53" i="61" s="1"/>
  <c r="G621" i="60"/>
  <c r="E339" i="61" s="1"/>
  <c r="E207" i="61" s="1"/>
  <c r="E42" i="61" s="1"/>
  <c r="U42" i="61" s="1"/>
  <c r="G613" i="60"/>
  <c r="E331" i="61" s="1"/>
  <c r="E199" i="61" s="1"/>
  <c r="E31" i="61" s="1"/>
  <c r="U31" i="61" s="1"/>
  <c r="G605" i="60"/>
  <c r="E323" i="61" s="1"/>
  <c r="E191" i="61" s="1"/>
  <c r="E20" i="61" s="1"/>
  <c r="U20" i="61" s="1"/>
  <c r="G628" i="60"/>
  <c r="E346" i="61" s="1"/>
  <c r="E214" i="61" s="1"/>
  <c r="G620" i="60"/>
  <c r="E338" i="61" s="1"/>
  <c r="E206" i="61" s="1"/>
  <c r="G612" i="60"/>
  <c r="E330" i="61" s="1"/>
  <c r="E198" i="61" s="1"/>
  <c r="E30" i="61" s="1"/>
  <c r="U30" i="61" s="1"/>
  <c r="L302" i="61"/>
  <c r="R302" i="61" s="1"/>
  <c r="K165" i="61"/>
  <c r="H165" i="61" s="1"/>
  <c r="E261" i="61"/>
  <c r="E120" i="61" s="1"/>
  <c r="DN120" i="61" s="1"/>
  <c r="L176" i="61"/>
  <c r="J302" i="61"/>
  <c r="P302" i="61" s="1"/>
  <c r="I165" i="61"/>
  <c r="F165" i="61" s="1"/>
  <c r="Q429" i="61"/>
  <c r="K302" i="61"/>
  <c r="J165" i="61"/>
  <c r="G165" i="61" s="1"/>
  <c r="Z65" i="61"/>
  <c r="U255" i="61"/>
  <c r="P429" i="61"/>
  <c r="AB450" i="61"/>
  <c r="DN119" i="61"/>
  <c r="P377" i="61"/>
  <c r="Q378" i="61"/>
  <c r="Q367" i="61"/>
  <c r="O374" i="61"/>
  <c r="P388" i="61"/>
  <c r="O386" i="61"/>
  <c r="AI65" i="61"/>
  <c r="O378" i="61"/>
  <c r="P376" i="61"/>
  <c r="O368" i="61"/>
  <c r="Q370" i="61"/>
  <c r="O376" i="61"/>
  <c r="O384" i="61"/>
  <c r="Q368" i="61"/>
  <c r="Q384" i="61"/>
  <c r="Q386" i="61"/>
  <c r="AE54" i="61"/>
  <c r="DN17" i="61"/>
  <c r="AD32" i="61"/>
  <c r="AE32" i="61"/>
  <c r="AF32" i="61"/>
  <c r="W54" i="61"/>
  <c r="AC65" i="61"/>
  <c r="W65" i="61"/>
  <c r="X65" i="61"/>
  <c r="Q375" i="61"/>
  <c r="Q383" i="61"/>
  <c r="N309" i="61"/>
  <c r="AG367" i="61"/>
  <c r="P375" i="61"/>
  <c r="O377" i="61"/>
  <c r="P378" i="61"/>
  <c r="AB449" i="61"/>
  <c r="O385" i="61"/>
  <c r="P387" i="61"/>
  <c r="P367" i="61"/>
  <c r="P372" i="61"/>
  <c r="O370" i="61"/>
  <c r="P374" i="61"/>
  <c r="P379" i="61"/>
  <c r="O380" i="61"/>
  <c r="O381" i="61"/>
  <c r="P382" i="61"/>
  <c r="X436" i="61"/>
  <c r="Y436" i="61" s="1"/>
  <c r="F629" i="60"/>
  <c r="F637" i="60"/>
  <c r="F605" i="60"/>
  <c r="F613" i="60"/>
  <c r="F621" i="60"/>
  <c r="F614" i="60"/>
  <c r="F622" i="60"/>
  <c r="F504" i="60"/>
  <c r="G504" i="60"/>
  <c r="F505" i="60"/>
  <c r="F632" i="60" s="1"/>
  <c r="G505" i="60"/>
  <c r="G632" i="60" s="1"/>
  <c r="E350" i="61" s="1"/>
  <c r="E218" i="61" s="1"/>
  <c r="F506" i="60"/>
  <c r="H510" i="60"/>
  <c r="F486" i="60"/>
  <c r="G486" i="60"/>
  <c r="F487" i="60"/>
  <c r="G487" i="60"/>
  <c r="H492" i="60"/>
  <c r="F488" i="60"/>
  <c r="F625" i="60" s="1"/>
  <c r="F468" i="60"/>
  <c r="G468" i="60"/>
  <c r="G615" i="60" s="1"/>
  <c r="E333" i="61" s="1"/>
  <c r="E201" i="61" s="1"/>
  <c r="G469" i="60"/>
  <c r="G616" i="60" s="1"/>
  <c r="E334" i="61" s="1"/>
  <c r="E202" i="61" s="1"/>
  <c r="F469" i="60"/>
  <c r="F616" i="60" s="1"/>
  <c r="H474" i="60"/>
  <c r="G449" i="60"/>
  <c r="G451" i="60"/>
  <c r="G609" i="60" s="1"/>
  <c r="E327" i="61" s="1"/>
  <c r="E195" i="61" s="1"/>
  <c r="E28" i="61" s="1"/>
  <c r="U28" i="61" s="1"/>
  <c r="G741" i="60"/>
  <c r="E788" i="60"/>
  <c r="J77" i="60" s="1"/>
  <c r="F788" i="60"/>
  <c r="G77" i="60" s="1"/>
  <c r="G450" i="60"/>
  <c r="G608" i="60" s="1"/>
  <c r="E326" i="61" s="1"/>
  <c r="E194" i="61" s="1"/>
  <c r="G776" i="60"/>
  <c r="I789" i="60"/>
  <c r="H71" i="60"/>
  <c r="K114" i="60"/>
  <c r="K167" i="60" s="1"/>
  <c r="Y173" i="60"/>
  <c r="X173" i="60" s="1"/>
  <c r="F498" i="60"/>
  <c r="F220" i="60"/>
  <c r="F677" i="60" s="1"/>
  <c r="M58" i="60"/>
  <c r="P58" i="60" s="1"/>
  <c r="M57" i="60"/>
  <c r="P57" i="60" s="1"/>
  <c r="J114" i="60"/>
  <c r="Y181" i="60"/>
  <c r="X181" i="60" s="1"/>
  <c r="Y182" i="60"/>
  <c r="X182" i="60" s="1"/>
  <c r="E784" i="60"/>
  <c r="J73" i="60" s="1"/>
  <c r="F784" i="60"/>
  <c r="G73" i="60" s="1"/>
  <c r="J251" i="60"/>
  <c r="Y175" i="60"/>
  <c r="X175" i="60" s="1"/>
  <c r="L44" i="60"/>
  <c r="O44" i="60" s="1"/>
  <c r="I260" i="60"/>
  <c r="G262" i="60"/>
  <c r="E782" i="60"/>
  <c r="J71" i="60" s="1"/>
  <c r="J256" i="60"/>
  <c r="F446" i="60"/>
  <c r="G784" i="60"/>
  <c r="K64" i="60"/>
  <c r="G442" i="60"/>
  <c r="G446" i="60"/>
  <c r="Y103" i="60"/>
  <c r="X103" i="60" s="1"/>
  <c r="G775" i="60"/>
  <c r="F46" i="60"/>
  <c r="F352" i="60" s="1"/>
  <c r="F54" i="60"/>
  <c r="H114" i="60"/>
  <c r="G465" i="60"/>
  <c r="D786" i="60"/>
  <c r="K75" i="60" s="1"/>
  <c r="I114" i="60"/>
  <c r="Y104" i="60"/>
  <c r="X104" i="60" s="1"/>
  <c r="M44" i="60"/>
  <c r="P44" i="60" s="1"/>
  <c r="F62" i="60"/>
  <c r="G114" i="60"/>
  <c r="F467" i="60"/>
  <c r="D784" i="60"/>
  <c r="K73" i="60" s="1"/>
  <c r="L781" i="60"/>
  <c r="I70" i="60"/>
  <c r="M93" i="60"/>
  <c r="M272" i="60" s="1"/>
  <c r="M53" i="60"/>
  <c r="P53" i="60" s="1"/>
  <c r="M62" i="60"/>
  <c r="P62" i="60" s="1"/>
  <c r="N55" i="60"/>
  <c r="Q55" i="60" s="1"/>
  <c r="M61" i="60"/>
  <c r="P61" i="60" s="1"/>
  <c r="M54" i="60"/>
  <c r="P54" i="60" s="1"/>
  <c r="Q351" i="60"/>
  <c r="L784" i="60"/>
  <c r="I73" i="60"/>
  <c r="N60" i="60"/>
  <c r="Q60" i="60" s="1"/>
  <c r="F59" i="60"/>
  <c r="G345" i="60"/>
  <c r="D781" i="60"/>
  <c r="K70" i="60" s="1"/>
  <c r="D785" i="60"/>
  <c r="K74" i="60" s="1"/>
  <c r="G261" i="60"/>
  <c r="N44" i="60"/>
  <c r="Q44" i="60" s="1"/>
  <c r="L56" i="60"/>
  <c r="O56" i="60" s="1"/>
  <c r="N57" i="60"/>
  <c r="Q57" i="60" s="1"/>
  <c r="K168" i="60"/>
  <c r="I254" i="60"/>
  <c r="G258" i="60"/>
  <c r="J259" i="60"/>
  <c r="H261" i="60"/>
  <c r="H345" i="60"/>
  <c r="H356" i="60" s="1"/>
  <c r="F477" i="60"/>
  <c r="E781" i="60"/>
  <c r="J70" i="60" s="1"/>
  <c r="G253" i="60"/>
  <c r="Y174" i="60"/>
  <c r="X174" i="60" s="1"/>
  <c r="H258" i="60"/>
  <c r="K291" i="60"/>
  <c r="G477" i="60"/>
  <c r="F483" i="60"/>
  <c r="F512" i="60"/>
  <c r="F781" i="60"/>
  <c r="G64" i="60"/>
  <c r="L54" i="60"/>
  <c r="O54" i="60" s="1"/>
  <c r="N56" i="60"/>
  <c r="Q56" i="60" s="1"/>
  <c r="N59" i="60"/>
  <c r="Q59" i="60" s="1"/>
  <c r="L62" i="60"/>
  <c r="O62" i="60" s="1"/>
  <c r="H253" i="60"/>
  <c r="I258" i="60"/>
  <c r="J261" i="60"/>
  <c r="K220" i="60"/>
  <c r="F464" i="60"/>
  <c r="G478" i="60"/>
  <c r="G559" i="60" s="1"/>
  <c r="G483" i="60"/>
  <c r="G781" i="60"/>
  <c r="M59" i="60"/>
  <c r="P59" i="60" s="1"/>
  <c r="F55" i="60"/>
  <c r="Y102" i="60"/>
  <c r="X102" i="60" s="1"/>
  <c r="H260" i="60"/>
  <c r="J252" i="60"/>
  <c r="G464" i="60"/>
  <c r="F484" i="60"/>
  <c r="G572" i="60"/>
  <c r="D787" i="60"/>
  <c r="K76" i="60" s="1"/>
  <c r="L58" i="60"/>
  <c r="O58" i="60" s="1"/>
  <c r="I64" i="60"/>
  <c r="L60" i="60"/>
  <c r="O60" i="60" s="1"/>
  <c r="N61" i="60"/>
  <c r="Q61" i="60" s="1"/>
  <c r="I257" i="60"/>
  <c r="F779" i="60"/>
  <c r="J64" i="60"/>
  <c r="F58" i="60"/>
  <c r="G259" i="60"/>
  <c r="J260" i="60"/>
  <c r="H262" i="60"/>
  <c r="F460" i="60"/>
  <c r="F546" i="60" s="1"/>
  <c r="G742" i="60"/>
  <c r="D782" i="60"/>
  <c r="K71" i="60" s="1"/>
  <c r="D788" i="60"/>
  <c r="K77" i="60" s="1"/>
  <c r="P103" i="60"/>
  <c r="N54" i="60"/>
  <c r="Q54" i="60" s="1"/>
  <c r="N58" i="60"/>
  <c r="Q58" i="60" s="1"/>
  <c r="N62" i="60"/>
  <c r="Q62" i="60" s="1"/>
  <c r="M45" i="60"/>
  <c r="P45" i="60" s="1"/>
  <c r="N93" i="60"/>
  <c r="L102" i="60"/>
  <c r="N45" i="60"/>
  <c r="L53" i="60"/>
  <c r="M55" i="60"/>
  <c r="P55" i="60" s="1"/>
  <c r="M56" i="60"/>
  <c r="P56" i="60" s="1"/>
  <c r="L57" i="60"/>
  <c r="O57" i="60" s="1"/>
  <c r="M60" i="60"/>
  <c r="P60" i="60" s="1"/>
  <c r="L61" i="60"/>
  <c r="O61" i="60" s="1"/>
  <c r="L91" i="60"/>
  <c r="M92" i="60"/>
  <c r="M100" i="60"/>
  <c r="M102" i="60"/>
  <c r="M90" i="60"/>
  <c r="M91" i="60"/>
  <c r="N92" i="60"/>
  <c r="F228" i="60"/>
  <c r="F273" i="60"/>
  <c r="N100" i="60"/>
  <c r="F53" i="60"/>
  <c r="F61" i="60"/>
  <c r="N90" i="60"/>
  <c r="N91" i="60"/>
  <c r="L94" i="60"/>
  <c r="F57" i="60"/>
  <c r="M101" i="60"/>
  <c r="N53" i="60"/>
  <c r="L55" i="60"/>
  <c r="O55" i="60" s="1"/>
  <c r="L59" i="60"/>
  <c r="O59" i="60" s="1"/>
  <c r="F684" i="60"/>
  <c r="G351" i="60"/>
  <c r="F351" i="60"/>
  <c r="H64" i="60"/>
  <c r="F274" i="60"/>
  <c r="F229" i="60"/>
  <c r="N99" i="60"/>
  <c r="N101" i="60"/>
  <c r="L93" i="60"/>
  <c r="N104" i="60"/>
  <c r="F686" i="60"/>
  <c r="G350" i="60"/>
  <c r="F350" i="60"/>
  <c r="L45" i="60"/>
  <c r="O45" i="60" s="1"/>
  <c r="L111" i="60"/>
  <c r="M110" i="60"/>
  <c r="N109" i="60"/>
  <c r="L110" i="60"/>
  <c r="M109" i="60"/>
  <c r="N108" i="60"/>
  <c r="N102" i="60"/>
  <c r="L109" i="60"/>
  <c r="M108" i="60"/>
  <c r="N107" i="60"/>
  <c r="L108" i="60"/>
  <c r="M107" i="60"/>
  <c r="N106" i="60"/>
  <c r="L107" i="60"/>
  <c r="M106" i="60"/>
  <c r="N105" i="60"/>
  <c r="M104" i="60"/>
  <c r="L103" i="60"/>
  <c r="L101" i="60"/>
  <c r="L106" i="60"/>
  <c r="M105" i="60"/>
  <c r="L104" i="60"/>
  <c r="N111" i="60"/>
  <c r="L105" i="60"/>
  <c r="M111" i="60"/>
  <c r="N110" i="60"/>
  <c r="M49" i="60"/>
  <c r="L141" i="60" s="1"/>
  <c r="O141" i="60" s="1"/>
  <c r="L96" i="60"/>
  <c r="M95" i="60"/>
  <c r="N94" i="60"/>
  <c r="L95" i="60"/>
  <c r="M94" i="60"/>
  <c r="L100" i="60"/>
  <c r="M99" i="60"/>
  <c r="N98" i="60"/>
  <c r="L99" i="60"/>
  <c r="M98" i="60"/>
  <c r="N97" i="60"/>
  <c r="L98" i="60"/>
  <c r="M97" i="60"/>
  <c r="N96" i="60"/>
  <c r="L90" i="60"/>
  <c r="L97" i="60"/>
  <c r="M96" i="60"/>
  <c r="N95" i="60"/>
  <c r="F56" i="60"/>
  <c r="F60" i="60"/>
  <c r="L92" i="60"/>
  <c r="N103" i="60"/>
  <c r="F232" i="60"/>
  <c r="F277" i="60"/>
  <c r="F283" i="60"/>
  <c r="F240" i="60"/>
  <c r="J235" i="60"/>
  <c r="J238" i="60"/>
  <c r="J281" i="60"/>
  <c r="J283" i="60"/>
  <c r="J240" i="60"/>
  <c r="J285" i="60"/>
  <c r="J242" i="60"/>
  <c r="J287" i="60"/>
  <c r="J244" i="60"/>
  <c r="J289" i="60"/>
  <c r="J246" i="60"/>
  <c r="K165" i="60"/>
  <c r="I253" i="60"/>
  <c r="G254" i="60"/>
  <c r="G255" i="60"/>
  <c r="H256" i="60"/>
  <c r="H259" i="60"/>
  <c r="I262" i="60"/>
  <c r="J218" i="60"/>
  <c r="J220" i="60" s="1"/>
  <c r="F270" i="60"/>
  <c r="F225" i="60"/>
  <c r="F278" i="60"/>
  <c r="F233" i="60"/>
  <c r="F282" i="60"/>
  <c r="F239" i="60"/>
  <c r="F284" i="60"/>
  <c r="F241" i="60"/>
  <c r="G237" i="60"/>
  <c r="G280" i="60"/>
  <c r="G282" i="60"/>
  <c r="G239" i="60"/>
  <c r="G284" i="60"/>
  <c r="G241" i="60"/>
  <c r="G286" i="60"/>
  <c r="G243" i="60"/>
  <c r="G245" i="60"/>
  <c r="G288" i="60"/>
  <c r="J253" i="60"/>
  <c r="H254" i="60"/>
  <c r="H255" i="60"/>
  <c r="I256" i="60"/>
  <c r="J257" i="60"/>
  <c r="I259" i="60"/>
  <c r="G260" i="60"/>
  <c r="F271" i="60"/>
  <c r="F226" i="60"/>
  <c r="F279" i="60"/>
  <c r="F234" i="60"/>
  <c r="F281" i="60"/>
  <c r="F238" i="60"/>
  <c r="F285" i="60"/>
  <c r="F242" i="60"/>
  <c r="H237" i="60"/>
  <c r="H280" i="60"/>
  <c r="H282" i="60"/>
  <c r="H239" i="60"/>
  <c r="H241" i="60"/>
  <c r="H284" i="60"/>
  <c r="H243" i="60"/>
  <c r="H286" i="60"/>
  <c r="H288" i="60"/>
  <c r="H245" i="60"/>
  <c r="I255" i="60"/>
  <c r="Y176" i="60"/>
  <c r="X176" i="60" s="1"/>
  <c r="F272" i="60"/>
  <c r="F227" i="60"/>
  <c r="F237" i="60"/>
  <c r="F280" i="60"/>
  <c r="F243" i="60"/>
  <c r="F286" i="60"/>
  <c r="F113" i="60"/>
  <c r="I280" i="60"/>
  <c r="I237" i="60"/>
  <c r="I282" i="60"/>
  <c r="I239" i="60"/>
  <c r="I284" i="60"/>
  <c r="I241" i="60"/>
  <c r="I243" i="60"/>
  <c r="I286" i="60"/>
  <c r="I288" i="60"/>
  <c r="I245" i="60"/>
  <c r="J163" i="60"/>
  <c r="J255" i="60"/>
  <c r="F287" i="60"/>
  <c r="F244" i="60"/>
  <c r="J280" i="60"/>
  <c r="J237" i="60"/>
  <c r="J282" i="60"/>
  <c r="J239" i="60"/>
  <c r="J241" i="60"/>
  <c r="J284" i="60"/>
  <c r="J286" i="60"/>
  <c r="J243" i="60"/>
  <c r="J288" i="60"/>
  <c r="J245" i="60"/>
  <c r="F288" i="60"/>
  <c r="F245" i="60"/>
  <c r="G281" i="60"/>
  <c r="G238" i="60"/>
  <c r="G240" i="60"/>
  <c r="G283" i="60"/>
  <c r="G285" i="60"/>
  <c r="G242" i="60"/>
  <c r="G287" i="60"/>
  <c r="G244" i="60"/>
  <c r="G246" i="60"/>
  <c r="G289" i="60"/>
  <c r="F275" i="60"/>
  <c r="F230" i="60"/>
  <c r="F289" i="60"/>
  <c r="F246" i="60"/>
  <c r="F112" i="60"/>
  <c r="H281" i="60"/>
  <c r="H238" i="60"/>
  <c r="H240" i="60"/>
  <c r="H283" i="60"/>
  <c r="H285" i="60"/>
  <c r="H242" i="60"/>
  <c r="H287" i="60"/>
  <c r="H244" i="60"/>
  <c r="H289" i="60"/>
  <c r="H246" i="60"/>
  <c r="G257" i="60"/>
  <c r="I261" i="60"/>
  <c r="F276" i="60"/>
  <c r="F231" i="60"/>
  <c r="I238" i="60"/>
  <c r="I281" i="60"/>
  <c r="I283" i="60"/>
  <c r="I240" i="60"/>
  <c r="I285" i="60"/>
  <c r="I242" i="60"/>
  <c r="I244" i="60"/>
  <c r="I287" i="60"/>
  <c r="I289" i="60"/>
  <c r="I246" i="60"/>
  <c r="J164" i="60"/>
  <c r="J168" i="60" s="1"/>
  <c r="J236" i="60"/>
  <c r="G256" i="60"/>
  <c r="H257" i="60"/>
  <c r="J254" i="60"/>
  <c r="J258" i="60"/>
  <c r="J262" i="60"/>
  <c r="J303" i="60"/>
  <c r="J297" i="60"/>
  <c r="J310" i="60"/>
  <c r="J298" i="60"/>
  <c r="J311" i="60"/>
  <c r="J302" i="60"/>
  <c r="J305" i="60"/>
  <c r="J308" i="60"/>
  <c r="N350" i="60"/>
  <c r="F528" i="60"/>
  <c r="F529" i="60"/>
  <c r="I345" i="60"/>
  <c r="I356" i="60" s="1"/>
  <c r="F550" i="60"/>
  <c r="I299" i="60"/>
  <c r="J306" i="60"/>
  <c r="I309" i="60"/>
  <c r="J345" i="60"/>
  <c r="J356" i="60" s="1"/>
  <c r="H312" i="60"/>
  <c r="H355" i="60" s="1"/>
  <c r="F355" i="60"/>
  <c r="F526" i="60"/>
  <c r="F557" i="60"/>
  <c r="F584" i="60"/>
  <c r="F641" i="60" s="1"/>
  <c r="F571" i="60"/>
  <c r="F501" i="60"/>
  <c r="F635" i="60" s="1"/>
  <c r="G523" i="60"/>
  <c r="F482" i="60"/>
  <c r="F626" i="60" s="1"/>
  <c r="F564" i="60"/>
  <c r="F497" i="60"/>
  <c r="G501" i="60"/>
  <c r="F502" i="60"/>
  <c r="F636" i="60" s="1"/>
  <c r="G500" i="60"/>
  <c r="G575" i="60"/>
  <c r="F500" i="60"/>
  <c r="F634" i="60" s="1"/>
  <c r="F591" i="60"/>
  <c r="F648" i="60" s="1"/>
  <c r="F478" i="60"/>
  <c r="F462" i="60"/>
  <c r="F569" i="60"/>
  <c r="G589" i="60"/>
  <c r="G646" i="60" s="1"/>
  <c r="E364" i="61" s="1"/>
  <c r="E226" i="61" s="1"/>
  <c r="E93" i="61" s="1"/>
  <c r="F515" i="60"/>
  <c r="G516" i="60"/>
  <c r="G590" i="60" s="1"/>
  <c r="G647" i="60" s="1"/>
  <c r="E365" i="61" s="1"/>
  <c r="E227" i="61" s="1"/>
  <c r="E94" i="61" s="1"/>
  <c r="DN94" i="61" s="1"/>
  <c r="F566" i="60"/>
  <c r="F580" i="60"/>
  <c r="F588" i="60"/>
  <c r="F645" i="60" s="1"/>
  <c r="F560" i="60"/>
  <c r="G563" i="60"/>
  <c r="G560" i="60"/>
  <c r="F577" i="60"/>
  <c r="G551" i="60"/>
  <c r="I715" i="60"/>
  <c r="H52" i="60" s="1"/>
  <c r="G717" i="60"/>
  <c r="F780" i="60"/>
  <c r="H782" i="60"/>
  <c r="E783" i="60"/>
  <c r="J72" i="60" s="1"/>
  <c r="G785" i="60"/>
  <c r="H74" i="60" s="1"/>
  <c r="G786" i="60"/>
  <c r="H75" i="60" s="1"/>
  <c r="G787" i="60"/>
  <c r="H76" i="60" s="1"/>
  <c r="H788" i="60"/>
  <c r="I77" i="60" s="1"/>
  <c r="J715" i="60"/>
  <c r="I52" i="60" s="1"/>
  <c r="G718" i="60"/>
  <c r="K67" i="60" s="1"/>
  <c r="K78" i="60" s="1"/>
  <c r="G780" i="60"/>
  <c r="F783" i="60"/>
  <c r="H785" i="60"/>
  <c r="I74" i="60" s="1"/>
  <c r="H786" i="60"/>
  <c r="I75" i="60" s="1"/>
  <c r="H787" i="60"/>
  <c r="I76" i="60" s="1"/>
  <c r="H780" i="60"/>
  <c r="G783" i="60"/>
  <c r="G716" i="60"/>
  <c r="J67" i="60" s="1"/>
  <c r="J78" i="60" s="1"/>
  <c r="D779" i="60"/>
  <c r="K68" i="60" s="1"/>
  <c r="H783" i="60"/>
  <c r="H716" i="60"/>
  <c r="G67" i="60" s="1"/>
  <c r="E779" i="60"/>
  <c r="J68" i="60" s="1"/>
  <c r="I716" i="60"/>
  <c r="H67" i="60" s="1"/>
  <c r="G715" i="60"/>
  <c r="J716" i="60"/>
  <c r="I67" i="60" s="1"/>
  <c r="G779" i="60"/>
  <c r="K779" i="60" s="1"/>
  <c r="D780" i="60"/>
  <c r="K69" i="60" s="1"/>
  <c r="F782" i="60"/>
  <c r="E785" i="60"/>
  <c r="J74" i="60" s="1"/>
  <c r="E786" i="60"/>
  <c r="J75" i="60" s="1"/>
  <c r="E787" i="60"/>
  <c r="J76" i="60" s="1"/>
  <c r="H715" i="60"/>
  <c r="G52" i="60" s="1"/>
  <c r="F354" i="1"/>
  <c r="F371" i="1"/>
  <c r="F311" i="1"/>
  <c r="G311" i="1"/>
  <c r="E619" i="55" s="1"/>
  <c r="E460" i="55" s="1"/>
  <c r="E349" i="55" s="1"/>
  <c r="E53" i="55" s="1"/>
  <c r="F331" i="1"/>
  <c r="F267" i="1"/>
  <c r="F197" i="1"/>
  <c r="F248" i="1"/>
  <c r="G248" i="1"/>
  <c r="G349" i="1" s="1"/>
  <c r="E657" i="55" s="1"/>
  <c r="E498" i="55" s="1"/>
  <c r="E383" i="55" s="1"/>
  <c r="E97" i="55" s="1"/>
  <c r="F244" i="1"/>
  <c r="G244" i="1"/>
  <c r="G346" i="1" s="1"/>
  <c r="E654" i="55" s="1"/>
  <c r="E495" i="55" s="1"/>
  <c r="E376" i="55" s="1"/>
  <c r="E90" i="55" s="1"/>
  <c r="G197" i="1"/>
  <c r="G306" i="1" s="1"/>
  <c r="E158" i="55" l="1"/>
  <c r="R117" i="55"/>
  <c r="E134" i="55"/>
  <c r="R97" i="55"/>
  <c r="R53" i="55"/>
  <c r="R460" i="55"/>
  <c r="R349" i="55" s="1"/>
  <c r="AG619" i="55"/>
  <c r="AG656" i="55"/>
  <c r="R497" i="55"/>
  <c r="R378" i="55" s="1"/>
  <c r="R517" i="55"/>
  <c r="R402" i="55" s="1"/>
  <c r="AG676" i="55"/>
  <c r="AG673" i="55"/>
  <c r="R514" i="55"/>
  <c r="R395" i="55" s="1"/>
  <c r="AG639" i="55"/>
  <c r="R480" i="55"/>
  <c r="R361" i="55" s="1"/>
  <c r="R520" i="55"/>
  <c r="R398" i="55" s="1"/>
  <c r="AG679" i="55"/>
  <c r="R503" i="55"/>
  <c r="R381" i="55" s="1"/>
  <c r="AG662" i="55"/>
  <c r="AG624" i="55"/>
  <c r="R465" i="55"/>
  <c r="R345" i="55" s="1"/>
  <c r="AG616" i="55"/>
  <c r="DN19" i="61"/>
  <c r="I386" i="60"/>
  <c r="H386" i="60"/>
  <c r="E614" i="55"/>
  <c r="E455" i="55" s="1"/>
  <c r="E338" i="55" s="1"/>
  <c r="E42" i="55" s="1"/>
  <c r="I380" i="60"/>
  <c r="H380" i="60"/>
  <c r="I387" i="60"/>
  <c r="H387" i="60"/>
  <c r="I366" i="60"/>
  <c r="H366" i="60"/>
  <c r="I381" i="60"/>
  <c r="H381" i="60"/>
  <c r="I374" i="60"/>
  <c r="H374" i="60"/>
  <c r="H384" i="60"/>
  <c r="I384" i="60"/>
  <c r="I365" i="60"/>
  <c r="H365" i="60"/>
  <c r="F444" i="60"/>
  <c r="F534" i="60" s="1"/>
  <c r="I376" i="60"/>
  <c r="F442" i="60"/>
  <c r="F532" i="60" s="1"/>
  <c r="I375" i="60"/>
  <c r="H450" i="60"/>
  <c r="F539" i="60"/>
  <c r="F665" i="60" s="1"/>
  <c r="J665" i="60" s="1"/>
  <c r="G777" i="60"/>
  <c r="G14" i="62"/>
  <c r="F441" i="60"/>
  <c r="F454" i="60"/>
  <c r="G488" i="60"/>
  <c r="G625" i="60" s="1"/>
  <c r="E343" i="61" s="1"/>
  <c r="E211" i="61" s="1"/>
  <c r="E50" i="61" s="1"/>
  <c r="U50" i="61" s="1"/>
  <c r="G631" i="60"/>
  <c r="E349" i="61" s="1"/>
  <c r="E217" i="61" s="1"/>
  <c r="E60" i="61" s="1"/>
  <c r="U60" i="61" s="1"/>
  <c r="G506" i="60"/>
  <c r="G633" i="60" s="1"/>
  <c r="E351" i="61" s="1"/>
  <c r="E219" i="61" s="1"/>
  <c r="E61" i="61" s="1"/>
  <c r="U61" i="61" s="1"/>
  <c r="F457" i="60"/>
  <c r="F543" i="60" s="1"/>
  <c r="F669" i="60" s="1"/>
  <c r="J669" i="60" s="1"/>
  <c r="F433" i="60"/>
  <c r="F447" i="60"/>
  <c r="F456" i="60"/>
  <c r="H451" i="60" s="1"/>
  <c r="F449" i="60" s="1"/>
  <c r="F432" i="60"/>
  <c r="F427" i="60"/>
  <c r="F359" i="60" s="1"/>
  <c r="DN93" i="61"/>
  <c r="DN51" i="61"/>
  <c r="U51" i="61"/>
  <c r="DN18" i="61"/>
  <c r="U18" i="61"/>
  <c r="DN53" i="61"/>
  <c r="U53" i="61"/>
  <c r="E75" i="61"/>
  <c r="G10" i="62" s="1"/>
  <c r="U254" i="61"/>
  <c r="DN64" i="61"/>
  <c r="E21" i="61"/>
  <c r="DN21" i="61" s="1"/>
  <c r="DN20" i="61"/>
  <c r="DN59" i="61"/>
  <c r="DN31" i="61"/>
  <c r="G535" i="60"/>
  <c r="G610" i="60"/>
  <c r="E328" i="61" s="1"/>
  <c r="E196" i="61" s="1"/>
  <c r="E29" i="61" s="1"/>
  <c r="U29" i="61" s="1"/>
  <c r="G573" i="60"/>
  <c r="G634" i="60"/>
  <c r="E352" i="61" s="1"/>
  <c r="E220" i="61" s="1"/>
  <c r="E62" i="61" s="1"/>
  <c r="G549" i="60"/>
  <c r="G618" i="60"/>
  <c r="E336" i="61" s="1"/>
  <c r="E204" i="61" s="1"/>
  <c r="E40" i="61" s="1"/>
  <c r="G532" i="60"/>
  <c r="G607" i="60"/>
  <c r="E325" i="61" s="1"/>
  <c r="G624" i="60"/>
  <c r="E342" i="61" s="1"/>
  <c r="E210" i="61" s="1"/>
  <c r="DN42" i="61"/>
  <c r="E38" i="61"/>
  <c r="G574" i="60"/>
  <c r="G635" i="60"/>
  <c r="E353" i="61" s="1"/>
  <c r="E221" i="61" s="1"/>
  <c r="G550" i="60"/>
  <c r="G619" i="60"/>
  <c r="E337" i="61" s="1"/>
  <c r="E205" i="61" s="1"/>
  <c r="E41" i="61"/>
  <c r="U41" i="61" s="1"/>
  <c r="G558" i="60"/>
  <c r="G623" i="60"/>
  <c r="E341" i="61" s="1"/>
  <c r="E209" i="61" s="1"/>
  <c r="E49" i="61" s="1"/>
  <c r="G562" i="60"/>
  <c r="G627" i="60"/>
  <c r="E345" i="61" s="1"/>
  <c r="E213" i="61" s="1"/>
  <c r="F631" i="60"/>
  <c r="E52" i="61"/>
  <c r="U52" i="61" s="1"/>
  <c r="E37" i="61"/>
  <c r="H470" i="60"/>
  <c r="G617" i="60"/>
  <c r="E335" i="61" s="1"/>
  <c r="E203" i="61" s="1"/>
  <c r="E39" i="61" s="1"/>
  <c r="E48" i="61"/>
  <c r="U48" i="61" s="1"/>
  <c r="H585" i="60"/>
  <c r="Q302" i="61"/>
  <c r="L165" i="61"/>
  <c r="DN26" i="61"/>
  <c r="AO65" i="61"/>
  <c r="AL65" i="61"/>
  <c r="AA54" i="61"/>
  <c r="AA43" i="61"/>
  <c r="Y65" i="61"/>
  <c r="AA65" i="61"/>
  <c r="AB65" i="61"/>
  <c r="AB54" i="61"/>
  <c r="Z54" i="61"/>
  <c r="AC54" i="61"/>
  <c r="F624" i="60"/>
  <c r="F627" i="60"/>
  <c r="F615" i="60"/>
  <c r="F563" i="60"/>
  <c r="F628" i="60"/>
  <c r="F558" i="60"/>
  <c r="F623" i="60"/>
  <c r="F633" i="60"/>
  <c r="F620" i="60"/>
  <c r="F535" i="60"/>
  <c r="F610" i="60"/>
  <c r="F549" i="60"/>
  <c r="F618" i="60"/>
  <c r="F537" i="60"/>
  <c r="F612" i="60"/>
  <c r="F551" i="60"/>
  <c r="H488" i="60"/>
  <c r="G327" i="60"/>
  <c r="F667" i="60"/>
  <c r="J667" i="60" s="1"/>
  <c r="H506" i="60"/>
  <c r="K169" i="60"/>
  <c r="K268" i="60" s="1"/>
  <c r="K290" i="60" s="1"/>
  <c r="K292" i="60" s="1"/>
  <c r="G743" i="60"/>
  <c r="R57" i="60"/>
  <c r="F562" i="60"/>
  <c r="R56" i="60"/>
  <c r="R58" i="60"/>
  <c r="R54" i="60"/>
  <c r="I781" i="60"/>
  <c r="F683" i="60"/>
  <c r="J683" i="60" s="1"/>
  <c r="J784" i="60"/>
  <c r="R60" i="60"/>
  <c r="I312" i="60"/>
  <c r="I355" i="60" s="1"/>
  <c r="N125" i="60"/>
  <c r="Q125" i="60" s="1"/>
  <c r="N210" i="60"/>
  <c r="Q210" i="60" s="1"/>
  <c r="R59" i="60"/>
  <c r="M176" i="60"/>
  <c r="P176" i="60" s="1"/>
  <c r="R55" i="60"/>
  <c r="I784" i="60"/>
  <c r="R62" i="60"/>
  <c r="N196" i="60"/>
  <c r="Q196" i="60" s="1"/>
  <c r="G352" i="60"/>
  <c r="G291" i="60"/>
  <c r="R44" i="60"/>
  <c r="L46" i="60"/>
  <c r="K352" i="60" s="1"/>
  <c r="K784" i="60"/>
  <c r="H73" i="60"/>
  <c r="F73" i="60" s="1"/>
  <c r="M46" i="60"/>
  <c r="L352" i="60" s="1"/>
  <c r="O352" i="60" s="1"/>
  <c r="P93" i="60"/>
  <c r="P272" i="60" s="1"/>
  <c r="M227" i="60"/>
  <c r="N142" i="60"/>
  <c r="Q142" i="60" s="1"/>
  <c r="I785" i="60"/>
  <c r="L176" i="60"/>
  <c r="O176" i="60" s="1"/>
  <c r="N194" i="60"/>
  <c r="Q194" i="60" s="1"/>
  <c r="M172" i="60"/>
  <c r="P172" i="60" s="1"/>
  <c r="L206" i="60"/>
  <c r="O206" i="60" s="1"/>
  <c r="H291" i="60"/>
  <c r="M217" i="60"/>
  <c r="P217" i="60" s="1"/>
  <c r="L126" i="60"/>
  <c r="O126" i="60" s="1"/>
  <c r="R61" i="60"/>
  <c r="H493" i="60"/>
  <c r="L186" i="60"/>
  <c r="O186" i="60" s="1"/>
  <c r="L202" i="60"/>
  <c r="O202" i="60" s="1"/>
  <c r="L210" i="60"/>
  <c r="O210" i="60" s="1"/>
  <c r="K781" i="60"/>
  <c r="H70" i="60"/>
  <c r="M70" i="60" s="1"/>
  <c r="P70" i="60" s="1"/>
  <c r="J781" i="60"/>
  <c r="G70" i="60"/>
  <c r="L70" i="60" s="1"/>
  <c r="O70" i="60" s="1"/>
  <c r="I779" i="60"/>
  <c r="N123" i="60"/>
  <c r="Q123" i="60" s="1"/>
  <c r="N117" i="60"/>
  <c r="Q117" i="60" s="1"/>
  <c r="L162" i="60"/>
  <c r="O162" i="60" s="1"/>
  <c r="M208" i="60"/>
  <c r="P208" i="60" s="1"/>
  <c r="L198" i="60"/>
  <c r="O198" i="60" s="1"/>
  <c r="N172" i="60"/>
  <c r="Q172" i="60" s="1"/>
  <c r="J779" i="60"/>
  <c r="M779" i="60" s="1"/>
  <c r="G68" i="60"/>
  <c r="F68" i="60" s="1"/>
  <c r="F586" i="60"/>
  <c r="N214" i="60"/>
  <c r="Q214" i="60" s="1"/>
  <c r="M214" i="60"/>
  <c r="P214" i="60" s="1"/>
  <c r="L194" i="60"/>
  <c r="O194" i="60" s="1"/>
  <c r="M210" i="60"/>
  <c r="P210" i="60" s="1"/>
  <c r="F64" i="60"/>
  <c r="I291" i="60"/>
  <c r="N75" i="60"/>
  <c r="Q75" i="60" s="1"/>
  <c r="M75" i="60"/>
  <c r="P75" i="60" s="1"/>
  <c r="L157" i="60"/>
  <c r="O157" i="60" s="1"/>
  <c r="L190" i="60"/>
  <c r="O190" i="60" s="1"/>
  <c r="N206" i="60"/>
  <c r="Q206" i="60" s="1"/>
  <c r="M155" i="60"/>
  <c r="P155" i="60" s="1"/>
  <c r="M200" i="60"/>
  <c r="P200" i="60" s="1"/>
  <c r="L188" i="60"/>
  <c r="O188" i="60" s="1"/>
  <c r="L180" i="60"/>
  <c r="O180" i="60" s="1"/>
  <c r="P64" i="60"/>
  <c r="N76" i="60"/>
  <c r="Q76" i="60" s="1"/>
  <c r="L217" i="60"/>
  <c r="O217" i="60" s="1"/>
  <c r="N121" i="60"/>
  <c r="Q121" i="60" s="1"/>
  <c r="L212" i="60"/>
  <c r="O212" i="60" s="1"/>
  <c r="N202" i="60"/>
  <c r="Q202" i="60" s="1"/>
  <c r="M196" i="60"/>
  <c r="P196" i="60" s="1"/>
  <c r="L155" i="60"/>
  <c r="O155" i="60" s="1"/>
  <c r="M157" i="60"/>
  <c r="P157" i="60" s="1"/>
  <c r="N190" i="60"/>
  <c r="Q190" i="60" s="1"/>
  <c r="N74" i="60"/>
  <c r="Q74" i="60" s="1"/>
  <c r="I787" i="60"/>
  <c r="K79" i="60"/>
  <c r="K80" i="60" s="1"/>
  <c r="M212" i="60"/>
  <c r="P212" i="60" s="1"/>
  <c r="M190" i="60"/>
  <c r="P190" i="60" s="1"/>
  <c r="N200" i="60"/>
  <c r="Q200" i="60" s="1"/>
  <c r="J291" i="60"/>
  <c r="L178" i="60"/>
  <c r="O178" i="60" s="1"/>
  <c r="L172" i="60"/>
  <c r="L177" i="60"/>
  <c r="N155" i="60"/>
  <c r="Q155" i="60" s="1"/>
  <c r="J782" i="60"/>
  <c r="I782" i="60"/>
  <c r="G71" i="60"/>
  <c r="F67" i="60"/>
  <c r="G78" i="60"/>
  <c r="L67" i="60"/>
  <c r="L783" i="60"/>
  <c r="I72" i="60"/>
  <c r="N72" i="60" s="1"/>
  <c r="Q72" i="60" s="1"/>
  <c r="M74" i="60"/>
  <c r="P74" i="60" s="1"/>
  <c r="F74" i="60"/>
  <c r="L184" i="60"/>
  <c r="O184" i="60" s="1"/>
  <c r="M153" i="60"/>
  <c r="P153" i="60" s="1"/>
  <c r="N174" i="60"/>
  <c r="N198" i="60"/>
  <c r="Q198" i="60" s="1"/>
  <c r="M206" i="60"/>
  <c r="P206" i="60" s="1"/>
  <c r="L196" i="60"/>
  <c r="O196" i="60" s="1"/>
  <c r="N178" i="60"/>
  <c r="L192" i="60"/>
  <c r="O192" i="60" s="1"/>
  <c r="N276" i="60"/>
  <c r="N231" i="60"/>
  <c r="Q97" i="60"/>
  <c r="N228" i="60"/>
  <c r="N273" i="60"/>
  <c r="Q94" i="60"/>
  <c r="O104" i="60"/>
  <c r="O107" i="60"/>
  <c r="Q108" i="60"/>
  <c r="M162" i="60"/>
  <c r="P162" i="60" s="1"/>
  <c r="O46" i="60"/>
  <c r="N148" i="60"/>
  <c r="Q148" i="60" s="1"/>
  <c r="Q101" i="60"/>
  <c r="P46" i="60"/>
  <c r="L122" i="60"/>
  <c r="O122" i="60" s="1"/>
  <c r="M120" i="60"/>
  <c r="P120" i="60" s="1"/>
  <c r="M189" i="60"/>
  <c r="P189" i="60" s="1"/>
  <c r="N279" i="60"/>
  <c r="S279" i="60" s="1"/>
  <c r="N234" i="60"/>
  <c r="Q100" i="60"/>
  <c r="P102" i="60"/>
  <c r="M71" i="60"/>
  <c r="P71" i="60" s="1"/>
  <c r="F675" i="60"/>
  <c r="F575" i="60"/>
  <c r="J309" i="60"/>
  <c r="N274" i="60"/>
  <c r="N229" i="60"/>
  <c r="Q95" i="60"/>
  <c r="M232" i="60"/>
  <c r="M277" i="60"/>
  <c r="P98" i="60"/>
  <c r="M274" i="60"/>
  <c r="M229" i="60"/>
  <c r="P95" i="60"/>
  <c r="P105" i="60"/>
  <c r="Q106" i="60"/>
  <c r="P109" i="60"/>
  <c r="N150" i="60"/>
  <c r="Q150" i="60" s="1"/>
  <c r="N140" i="60"/>
  <c r="Q140" i="60" s="1"/>
  <c r="N156" i="60"/>
  <c r="Q156" i="60" s="1"/>
  <c r="N278" i="60"/>
  <c r="N233" i="60"/>
  <c r="Q99" i="60"/>
  <c r="N186" i="60"/>
  <c r="Q186" i="60" s="1"/>
  <c r="P101" i="60"/>
  <c r="M151" i="60"/>
  <c r="P151" i="60" s="1"/>
  <c r="L273" i="60"/>
  <c r="L228" i="60"/>
  <c r="O94" i="60"/>
  <c r="M144" i="60"/>
  <c r="P144" i="60" s="1"/>
  <c r="M279" i="60"/>
  <c r="M234" i="60"/>
  <c r="P100" i="60"/>
  <c r="K780" i="60"/>
  <c r="H69" i="60"/>
  <c r="F589" i="60"/>
  <c r="F646" i="60" s="1"/>
  <c r="F516" i="60"/>
  <c r="M202" i="60"/>
  <c r="P202" i="60" s="1"/>
  <c r="L208" i="60"/>
  <c r="O208" i="60" s="1"/>
  <c r="L181" i="60"/>
  <c r="N217" i="60"/>
  <c r="Q217" i="60" s="1"/>
  <c r="M177" i="60"/>
  <c r="M134" i="60"/>
  <c r="P134" i="60" s="1"/>
  <c r="M275" i="60"/>
  <c r="M230" i="60"/>
  <c r="P96" i="60"/>
  <c r="L278" i="60"/>
  <c r="L233" i="60"/>
  <c r="O99" i="60"/>
  <c r="L275" i="60"/>
  <c r="L230" i="60"/>
  <c r="O96" i="60"/>
  <c r="O106" i="60"/>
  <c r="P107" i="60"/>
  <c r="O110" i="60"/>
  <c r="L147" i="60"/>
  <c r="O147" i="60" s="1"/>
  <c r="M132" i="60"/>
  <c r="P132" i="60" s="1"/>
  <c r="M148" i="60"/>
  <c r="P148" i="60" s="1"/>
  <c r="M183" i="60"/>
  <c r="P183" i="60" s="1"/>
  <c r="M146" i="60"/>
  <c r="P146" i="60" s="1"/>
  <c r="N270" i="60"/>
  <c r="N225" i="60"/>
  <c r="Q91" i="60"/>
  <c r="N113" i="60"/>
  <c r="L151" i="60"/>
  <c r="O151" i="60" s="1"/>
  <c r="M271" i="60"/>
  <c r="M226" i="60"/>
  <c r="P92" i="60"/>
  <c r="J783" i="60"/>
  <c r="I783" i="60"/>
  <c r="G72" i="60"/>
  <c r="N67" i="60"/>
  <c r="I78" i="60"/>
  <c r="K783" i="60"/>
  <c r="H72" i="60"/>
  <c r="M72" i="60" s="1"/>
  <c r="P72" i="60" s="1"/>
  <c r="L782" i="60"/>
  <c r="I71" i="60"/>
  <c r="N71" i="60" s="1"/>
  <c r="Q71" i="60" s="1"/>
  <c r="F572" i="60"/>
  <c r="L276" i="60"/>
  <c r="L231" i="60"/>
  <c r="O97" i="60"/>
  <c r="N232" i="60"/>
  <c r="N277" i="60"/>
  <c r="Q98" i="60"/>
  <c r="M294" i="60"/>
  <c r="L299" i="60" s="1"/>
  <c r="O299" i="60" s="1"/>
  <c r="N203" i="60"/>
  <c r="Q203" i="60" s="1"/>
  <c r="N201" i="60"/>
  <c r="Q201" i="60" s="1"/>
  <c r="N199" i="60"/>
  <c r="Q199" i="60" s="1"/>
  <c r="N197" i="60"/>
  <c r="Q197" i="60" s="1"/>
  <c r="N195" i="60"/>
  <c r="Q195" i="60" s="1"/>
  <c r="N213" i="60"/>
  <c r="Q213" i="60" s="1"/>
  <c r="M213" i="60"/>
  <c r="P213" i="60" s="1"/>
  <c r="M211" i="60"/>
  <c r="P211" i="60" s="1"/>
  <c r="M209" i="60"/>
  <c r="P209" i="60" s="1"/>
  <c r="M207" i="60"/>
  <c r="P207" i="60" s="1"/>
  <c r="M205" i="60"/>
  <c r="P205" i="60" s="1"/>
  <c r="M203" i="60"/>
  <c r="P203" i="60" s="1"/>
  <c r="M201" i="60"/>
  <c r="P201" i="60" s="1"/>
  <c r="M199" i="60"/>
  <c r="P199" i="60" s="1"/>
  <c r="M197" i="60"/>
  <c r="P197" i="60" s="1"/>
  <c r="M195" i="60"/>
  <c r="P195" i="60" s="1"/>
  <c r="N179" i="60"/>
  <c r="N158" i="60"/>
  <c r="Q158" i="60" s="1"/>
  <c r="N154" i="60"/>
  <c r="Q154" i="60" s="1"/>
  <c r="M152" i="60"/>
  <c r="P152" i="60" s="1"/>
  <c r="M150" i="60"/>
  <c r="P150" i="60" s="1"/>
  <c r="L148" i="60"/>
  <c r="O148" i="60" s="1"/>
  <c r="L146" i="60"/>
  <c r="O146" i="60" s="1"/>
  <c r="L144" i="60"/>
  <c r="O144" i="60" s="1"/>
  <c r="L142" i="60"/>
  <c r="O142" i="60" s="1"/>
  <c r="L140" i="60"/>
  <c r="O140" i="60" s="1"/>
  <c r="N209" i="60"/>
  <c r="Q209" i="60" s="1"/>
  <c r="L207" i="60"/>
  <c r="O207" i="60" s="1"/>
  <c r="L203" i="60"/>
  <c r="O203" i="60" s="1"/>
  <c r="L201" i="60"/>
  <c r="O201" i="60" s="1"/>
  <c r="L199" i="60"/>
  <c r="O199" i="60" s="1"/>
  <c r="L197" i="60"/>
  <c r="O197" i="60" s="1"/>
  <c r="L195" i="60"/>
  <c r="O195" i="60" s="1"/>
  <c r="L185" i="60"/>
  <c r="O185" i="60" s="1"/>
  <c r="M179" i="60"/>
  <c r="N173" i="60"/>
  <c r="M158" i="60"/>
  <c r="P158" i="60" s="1"/>
  <c r="M154" i="60"/>
  <c r="P154" i="60" s="1"/>
  <c r="L152" i="60"/>
  <c r="O152" i="60" s="1"/>
  <c r="L150" i="60"/>
  <c r="O150" i="60" s="1"/>
  <c r="N137" i="60"/>
  <c r="Q137" i="60" s="1"/>
  <c r="N135" i="60"/>
  <c r="Q135" i="60" s="1"/>
  <c r="N133" i="60"/>
  <c r="Q133" i="60" s="1"/>
  <c r="N131" i="60"/>
  <c r="Q131" i="60" s="1"/>
  <c r="N129" i="60"/>
  <c r="Q129" i="60" s="1"/>
  <c r="M125" i="60"/>
  <c r="P125" i="60" s="1"/>
  <c r="M123" i="60"/>
  <c r="P123" i="60" s="1"/>
  <c r="M121" i="60"/>
  <c r="P121" i="60" s="1"/>
  <c r="M119" i="60"/>
  <c r="P119" i="60" s="1"/>
  <c r="M117" i="60"/>
  <c r="P117" i="60" s="1"/>
  <c r="L209" i="60"/>
  <c r="O209" i="60" s="1"/>
  <c r="N191" i="60"/>
  <c r="Q191" i="60" s="1"/>
  <c r="M188" i="60"/>
  <c r="P188" i="60" s="1"/>
  <c r="N187" i="60"/>
  <c r="Q187" i="60" s="1"/>
  <c r="L179" i="60"/>
  <c r="M174" i="60"/>
  <c r="M173" i="60"/>
  <c r="L158" i="60"/>
  <c r="O158" i="60" s="1"/>
  <c r="L154" i="60"/>
  <c r="O154" i="60" s="1"/>
  <c r="N147" i="60"/>
  <c r="Q147" i="60" s="1"/>
  <c r="N145" i="60"/>
  <c r="Q145" i="60" s="1"/>
  <c r="N143" i="60"/>
  <c r="Q143" i="60" s="1"/>
  <c r="N141" i="60"/>
  <c r="Q141" i="60" s="1"/>
  <c r="N139" i="60"/>
  <c r="Q139" i="60" s="1"/>
  <c r="M137" i="60"/>
  <c r="P137" i="60" s="1"/>
  <c r="M135" i="60"/>
  <c r="P135" i="60" s="1"/>
  <c r="M133" i="60"/>
  <c r="P133" i="60" s="1"/>
  <c r="M131" i="60"/>
  <c r="P131" i="60" s="1"/>
  <c r="M129" i="60"/>
  <c r="P129" i="60" s="1"/>
  <c r="L125" i="60"/>
  <c r="O125" i="60" s="1"/>
  <c r="L123" i="60"/>
  <c r="O123" i="60" s="1"/>
  <c r="L121" i="60"/>
  <c r="O121" i="60" s="1"/>
  <c r="L119" i="60"/>
  <c r="O119" i="60" s="1"/>
  <c r="L117" i="60"/>
  <c r="O117" i="60" s="1"/>
  <c r="N211" i="60"/>
  <c r="Q211" i="60" s="1"/>
  <c r="N192" i="60"/>
  <c r="Q192" i="60" s="1"/>
  <c r="M191" i="60"/>
  <c r="P191" i="60" s="1"/>
  <c r="M187" i="60"/>
  <c r="P187" i="60" s="1"/>
  <c r="N184" i="60"/>
  <c r="Q184" i="60" s="1"/>
  <c r="N181" i="60"/>
  <c r="M178" i="60"/>
  <c r="M175" i="60"/>
  <c r="L174" i="60"/>
  <c r="L173" i="60"/>
  <c r="N151" i="60"/>
  <c r="Q151" i="60" s="1"/>
  <c r="M147" i="60"/>
  <c r="P147" i="60" s="1"/>
  <c r="M145" i="60"/>
  <c r="P145" i="60" s="1"/>
  <c r="M143" i="60"/>
  <c r="P143" i="60" s="1"/>
  <c r="M141" i="60"/>
  <c r="P141" i="60" s="1"/>
  <c r="M139" i="60"/>
  <c r="P139" i="60" s="1"/>
  <c r="L137" i="60"/>
  <c r="O137" i="60" s="1"/>
  <c r="L135" i="60"/>
  <c r="O135" i="60" s="1"/>
  <c r="L133" i="60"/>
  <c r="O133" i="60" s="1"/>
  <c r="L131" i="60"/>
  <c r="O131" i="60" s="1"/>
  <c r="L129" i="60"/>
  <c r="O129" i="60" s="1"/>
  <c r="L211" i="60"/>
  <c r="O211" i="60" s="1"/>
  <c r="L191" i="60"/>
  <c r="O191" i="60" s="1"/>
  <c r="L187" i="60"/>
  <c r="O187" i="60" s="1"/>
  <c r="M184" i="60"/>
  <c r="P184" i="60" s="1"/>
  <c r="M181" i="60"/>
  <c r="N162" i="60"/>
  <c r="Q162" i="60" s="1"/>
  <c r="N157" i="60"/>
  <c r="Q157" i="60" s="1"/>
  <c r="N153" i="60"/>
  <c r="Q153" i="60" s="1"/>
  <c r="N126" i="60"/>
  <c r="Q126" i="60" s="1"/>
  <c r="N124" i="60"/>
  <c r="Q124" i="60" s="1"/>
  <c r="N122" i="60"/>
  <c r="Q122" i="60" s="1"/>
  <c r="N120" i="60"/>
  <c r="Q120" i="60" s="1"/>
  <c r="N118" i="60"/>
  <c r="Q118" i="60" s="1"/>
  <c r="N177" i="60"/>
  <c r="N176" i="60"/>
  <c r="M156" i="60"/>
  <c r="P156" i="60" s="1"/>
  <c r="L213" i="60"/>
  <c r="O213" i="60" s="1"/>
  <c r="L183" i="60"/>
  <c r="O183" i="60" s="1"/>
  <c r="L156" i="60"/>
  <c r="O156" i="60" s="1"/>
  <c r="N207" i="60"/>
  <c r="Q207" i="60" s="1"/>
  <c r="N205" i="60"/>
  <c r="Q205" i="60" s="1"/>
  <c r="L189" i="60"/>
  <c r="O189" i="60" s="1"/>
  <c r="L76" i="60"/>
  <c r="O76" i="60" s="1"/>
  <c r="N73" i="60"/>
  <c r="Q73" i="60" s="1"/>
  <c r="L75" i="60"/>
  <c r="O75" i="60" s="1"/>
  <c r="L73" i="60"/>
  <c r="O73" i="60" s="1"/>
  <c r="M68" i="60"/>
  <c r="M77" i="60"/>
  <c r="P77" i="60" s="1"/>
  <c r="N70" i="60"/>
  <c r="Q70" i="60" s="1"/>
  <c r="O101" i="60"/>
  <c r="O108" i="60"/>
  <c r="Q109" i="60"/>
  <c r="M142" i="60"/>
  <c r="P142" i="60" s="1"/>
  <c r="L124" i="60"/>
  <c r="O124" i="60" s="1"/>
  <c r="L145" i="60"/>
  <c r="O145" i="60" s="1"/>
  <c r="N159" i="60"/>
  <c r="Q159" i="60" s="1"/>
  <c r="L143" i="60"/>
  <c r="O143" i="60" s="1"/>
  <c r="N224" i="60"/>
  <c r="N112" i="60"/>
  <c r="Q90" i="60"/>
  <c r="N144" i="60"/>
  <c r="Q144" i="60" s="1"/>
  <c r="N271" i="60"/>
  <c r="N226" i="60"/>
  <c r="Q92" i="60"/>
  <c r="L136" i="60"/>
  <c r="O136" i="60" s="1"/>
  <c r="L270" i="60"/>
  <c r="L225" i="60"/>
  <c r="L113" i="60"/>
  <c r="O91" i="60"/>
  <c r="O53" i="60"/>
  <c r="L64" i="60"/>
  <c r="F52" i="60"/>
  <c r="F63" i="60" s="1"/>
  <c r="L52" i="60"/>
  <c r="G63" i="60"/>
  <c r="G65" i="60" s="1"/>
  <c r="I786" i="60"/>
  <c r="G719" i="60"/>
  <c r="J52" i="60"/>
  <c r="J63" i="60" s="1"/>
  <c r="J65" i="60" s="1"/>
  <c r="L780" i="60"/>
  <c r="I69" i="60"/>
  <c r="N52" i="60"/>
  <c r="I63" i="60"/>
  <c r="I65" i="60" s="1"/>
  <c r="AC13" i="60"/>
  <c r="J780" i="60"/>
  <c r="I780" i="60"/>
  <c r="G69" i="60"/>
  <c r="I788" i="60"/>
  <c r="H511" i="60"/>
  <c r="N119" i="60"/>
  <c r="Q119" i="60" s="1"/>
  <c r="N180" i="60"/>
  <c r="F114" i="60"/>
  <c r="N208" i="60"/>
  <c r="Q208" i="60" s="1"/>
  <c r="M198" i="60"/>
  <c r="P198" i="60" s="1"/>
  <c r="M192" i="60"/>
  <c r="P192" i="60" s="1"/>
  <c r="N175" i="60"/>
  <c r="F291" i="60"/>
  <c r="L118" i="60"/>
  <c r="O118" i="60" s="1"/>
  <c r="L224" i="60"/>
  <c r="L112" i="60"/>
  <c r="O90" i="60"/>
  <c r="M278" i="60"/>
  <c r="M233" i="60"/>
  <c r="P99" i="60"/>
  <c r="Q110" i="60"/>
  <c r="O103" i="60"/>
  <c r="Q107" i="60"/>
  <c r="P110" i="60"/>
  <c r="L139" i="60"/>
  <c r="O139" i="60" s="1"/>
  <c r="M140" i="60"/>
  <c r="P140" i="60" s="1"/>
  <c r="F75" i="60"/>
  <c r="L153" i="60"/>
  <c r="O153" i="60" s="1"/>
  <c r="M270" i="60"/>
  <c r="M225" i="60"/>
  <c r="M113" i="60"/>
  <c r="P91" i="60"/>
  <c r="N134" i="60"/>
  <c r="Q134" i="60" s="1"/>
  <c r="Q45" i="60"/>
  <c r="Q46" i="60" s="1"/>
  <c r="N46" i="60"/>
  <c r="M352" i="60" s="1"/>
  <c r="L77" i="60"/>
  <c r="O77" i="60" s="1"/>
  <c r="M67" i="60"/>
  <c r="H78" i="60"/>
  <c r="F673" i="60"/>
  <c r="F574" i="60"/>
  <c r="J299" i="60"/>
  <c r="F664" i="60"/>
  <c r="J165" i="60"/>
  <c r="J167" i="60"/>
  <c r="J169" i="60" s="1"/>
  <c r="J268" i="60" s="1"/>
  <c r="J290" i="60" s="1"/>
  <c r="Q103" i="60"/>
  <c r="N275" i="60"/>
  <c r="N230" i="60"/>
  <c r="Q96" i="60"/>
  <c r="L279" i="60"/>
  <c r="L234" i="60"/>
  <c r="O100" i="60"/>
  <c r="P111" i="60"/>
  <c r="P104" i="60"/>
  <c r="P108" i="60"/>
  <c r="O111" i="60"/>
  <c r="L134" i="60"/>
  <c r="O134" i="60" s="1"/>
  <c r="N188" i="60"/>
  <c r="Q188" i="60" s="1"/>
  <c r="Q104" i="60"/>
  <c r="L132" i="60"/>
  <c r="O132" i="60" s="1"/>
  <c r="N146" i="60"/>
  <c r="Q146" i="60" s="1"/>
  <c r="N136" i="60"/>
  <c r="Q136" i="60" s="1"/>
  <c r="M136" i="60"/>
  <c r="P136" i="60" s="1"/>
  <c r="M224" i="60"/>
  <c r="M112" i="60"/>
  <c r="P90" i="60"/>
  <c r="L128" i="60"/>
  <c r="O128" i="60" s="1"/>
  <c r="L74" i="60"/>
  <c r="O74" i="60" s="1"/>
  <c r="F77" i="60"/>
  <c r="N77" i="60"/>
  <c r="Q77" i="60" s="1"/>
  <c r="J79" i="60"/>
  <c r="M76" i="60"/>
  <c r="P76" i="60" s="1"/>
  <c r="F76" i="60"/>
  <c r="G720" i="60"/>
  <c r="K52" i="60"/>
  <c r="K63" i="60" s="1"/>
  <c r="K65" i="60" s="1"/>
  <c r="F559" i="60"/>
  <c r="F573" i="60"/>
  <c r="F561" i="60"/>
  <c r="M159" i="60"/>
  <c r="P159" i="60" s="1"/>
  <c r="L214" i="60"/>
  <c r="O214" i="60" s="1"/>
  <c r="M194" i="60"/>
  <c r="P194" i="60" s="1"/>
  <c r="L159" i="60"/>
  <c r="O159" i="60" s="1"/>
  <c r="L200" i="60"/>
  <c r="O200" i="60" s="1"/>
  <c r="M180" i="60"/>
  <c r="N212" i="60"/>
  <c r="Q212" i="60" s="1"/>
  <c r="L271" i="60"/>
  <c r="L226" i="60"/>
  <c r="O92" i="60"/>
  <c r="M276" i="60"/>
  <c r="M231" i="60"/>
  <c r="P97" i="60"/>
  <c r="M228" i="60"/>
  <c r="M273" i="60"/>
  <c r="P94" i="60"/>
  <c r="O105" i="60"/>
  <c r="Q105" i="60"/>
  <c r="O109" i="60"/>
  <c r="L205" i="60"/>
  <c r="O205" i="60" s="1"/>
  <c r="N132" i="60"/>
  <c r="Q132" i="60" s="1"/>
  <c r="M185" i="60"/>
  <c r="P185" i="60" s="1"/>
  <c r="L272" i="60"/>
  <c r="L227" i="60"/>
  <c r="O93" i="60"/>
  <c r="N130" i="60"/>
  <c r="Q130" i="60" s="1"/>
  <c r="N189" i="60"/>
  <c r="Q189" i="60" s="1"/>
  <c r="L130" i="60"/>
  <c r="O130" i="60" s="1"/>
  <c r="M128" i="60"/>
  <c r="P128" i="60" s="1"/>
  <c r="M64" i="60"/>
  <c r="M126" i="60"/>
  <c r="P126" i="60" s="1"/>
  <c r="O102" i="60"/>
  <c r="M52" i="60"/>
  <c r="AB13" i="60"/>
  <c r="H63" i="60"/>
  <c r="H65" i="60" s="1"/>
  <c r="F548" i="60"/>
  <c r="Q350" i="60"/>
  <c r="L277" i="60"/>
  <c r="L232" i="60"/>
  <c r="O98" i="60"/>
  <c r="L274" i="60"/>
  <c r="L229" i="60"/>
  <c r="O95" i="60"/>
  <c r="Q111" i="60"/>
  <c r="P106" i="60"/>
  <c r="Q102" i="60"/>
  <c r="N185" i="60"/>
  <c r="Q185" i="60" s="1"/>
  <c r="M124" i="60"/>
  <c r="P124" i="60" s="1"/>
  <c r="L175" i="60"/>
  <c r="N183" i="60"/>
  <c r="Q183" i="60" s="1"/>
  <c r="M122" i="60"/>
  <c r="P122" i="60" s="1"/>
  <c r="N64" i="60"/>
  <c r="Q53" i="60"/>
  <c r="Q64" i="60" s="1"/>
  <c r="M130" i="60"/>
  <c r="P130" i="60" s="1"/>
  <c r="M186" i="60"/>
  <c r="P186" i="60" s="1"/>
  <c r="N128" i="60"/>
  <c r="Q128" i="60" s="1"/>
  <c r="L120" i="60"/>
  <c r="O120" i="60" s="1"/>
  <c r="N152" i="60"/>
  <c r="Q152" i="60" s="1"/>
  <c r="M118" i="60"/>
  <c r="N272" i="60"/>
  <c r="N227" i="60"/>
  <c r="Q93" i="60"/>
  <c r="N68" i="60"/>
  <c r="F366" i="1"/>
  <c r="F349" i="1"/>
  <c r="F363" i="1"/>
  <c r="F346" i="1"/>
  <c r="F306" i="1"/>
  <c r="R455" i="55" s="1"/>
  <c r="R338" i="55" s="1"/>
  <c r="H110" i="1"/>
  <c r="H103" i="1"/>
  <c r="H100" i="1"/>
  <c r="R42" i="55" l="1"/>
  <c r="R495" i="55"/>
  <c r="R376" i="55" s="1"/>
  <c r="AG654" i="55"/>
  <c r="AG671" i="55"/>
  <c r="R512" i="55"/>
  <c r="R393" i="55" s="1"/>
  <c r="AG674" i="55"/>
  <c r="R515" i="55"/>
  <c r="R400" i="55" s="1"/>
  <c r="AG657" i="55"/>
  <c r="R498" i="55"/>
  <c r="R383" i="55" s="1"/>
  <c r="AG614" i="55"/>
  <c r="R96" i="55"/>
  <c r="R118" i="55"/>
  <c r="R91" i="55"/>
  <c r="R43" i="55"/>
  <c r="R90" i="55"/>
  <c r="I665" i="60"/>
  <c r="F407" i="1"/>
  <c r="F661" i="60"/>
  <c r="DN60" i="61"/>
  <c r="F602" i="60"/>
  <c r="F523" i="60"/>
  <c r="F658" i="60" s="1"/>
  <c r="F536" i="60"/>
  <c r="F662" i="60" s="1"/>
  <c r="F611" i="60"/>
  <c r="F603" i="60"/>
  <c r="F524" i="60"/>
  <c r="F659" i="60" s="1"/>
  <c r="F540" i="60"/>
  <c r="F666" i="60" s="1"/>
  <c r="H457" i="60"/>
  <c r="F450" i="60"/>
  <c r="F608" i="60" s="1"/>
  <c r="G518" i="60"/>
  <c r="F606" i="60"/>
  <c r="F531" i="60"/>
  <c r="F671" i="60" s="1"/>
  <c r="F542" i="60"/>
  <c r="F668" i="60" s="1"/>
  <c r="F451" i="60"/>
  <c r="F609" i="60" s="1"/>
  <c r="F607" i="60"/>
  <c r="DN39" i="61"/>
  <c r="U39" i="61"/>
  <c r="DN40" i="61"/>
  <c r="U40" i="61"/>
  <c r="DN38" i="61"/>
  <c r="U38" i="61"/>
  <c r="DN37" i="61"/>
  <c r="U37" i="61"/>
  <c r="DN49" i="61"/>
  <c r="U49" i="61"/>
  <c r="DN62" i="61"/>
  <c r="U62" i="61"/>
  <c r="E70" i="61"/>
  <c r="G5" i="62" s="1"/>
  <c r="E65" i="61"/>
  <c r="DN65" i="61" s="1"/>
  <c r="H580" i="60"/>
  <c r="F617" i="60"/>
  <c r="E73" i="61"/>
  <c r="H475" i="60"/>
  <c r="E74" i="61"/>
  <c r="G9" i="62" s="1"/>
  <c r="G592" i="60"/>
  <c r="DN29" i="61"/>
  <c r="E193" i="61"/>
  <c r="E54" i="61"/>
  <c r="DN48" i="61"/>
  <c r="E72" i="61"/>
  <c r="G8" i="62" s="1"/>
  <c r="F643" i="60"/>
  <c r="F663" i="60"/>
  <c r="X54" i="61"/>
  <c r="Y54" i="61"/>
  <c r="AR65" i="61"/>
  <c r="AO54" i="61"/>
  <c r="AR54" i="61"/>
  <c r="AG65" i="61"/>
  <c r="AJ65" i="61"/>
  <c r="AH65" i="61"/>
  <c r="AK65" i="61"/>
  <c r="AI54" i="61"/>
  <c r="AL54" i="61"/>
  <c r="X43" i="61"/>
  <c r="AK54" i="61"/>
  <c r="I667" i="60"/>
  <c r="P227" i="60"/>
  <c r="M308" i="60"/>
  <c r="P308" i="60" s="1"/>
  <c r="N114" i="60"/>
  <c r="M784" i="60"/>
  <c r="I669" i="60"/>
  <c r="R74" i="60"/>
  <c r="R217" i="60"/>
  <c r="L258" i="60"/>
  <c r="R214" i="60"/>
  <c r="G683" i="60"/>
  <c r="H683" i="60" s="1"/>
  <c r="O177" i="60"/>
  <c r="O285" i="60" s="1"/>
  <c r="R157" i="60"/>
  <c r="J292" i="60"/>
  <c r="R205" i="60"/>
  <c r="M114" i="60"/>
  <c r="F65" i="60"/>
  <c r="R210" i="60"/>
  <c r="S102" i="60"/>
  <c r="R123" i="60"/>
  <c r="I683" i="60"/>
  <c r="M73" i="60"/>
  <c r="P73" i="60" s="1"/>
  <c r="R73" i="60" s="1"/>
  <c r="R186" i="60"/>
  <c r="N238" i="60"/>
  <c r="R153" i="60"/>
  <c r="R143" i="60"/>
  <c r="R194" i="60"/>
  <c r="R212" i="60"/>
  <c r="K82" i="60"/>
  <c r="M303" i="60"/>
  <c r="P303" i="60" s="1"/>
  <c r="R70" i="60"/>
  <c r="M241" i="60"/>
  <c r="R200" i="60"/>
  <c r="R75" i="60"/>
  <c r="R198" i="60"/>
  <c r="R188" i="60"/>
  <c r="L68" i="60"/>
  <c r="O68" i="60" s="1"/>
  <c r="R134" i="60"/>
  <c r="L253" i="60"/>
  <c r="R155" i="60"/>
  <c r="R126" i="60"/>
  <c r="L240" i="60"/>
  <c r="R159" i="60"/>
  <c r="H81" i="60"/>
  <c r="AA13" i="60"/>
  <c r="R202" i="60"/>
  <c r="R206" i="60"/>
  <c r="R196" i="60"/>
  <c r="R190" i="60"/>
  <c r="R162" i="60"/>
  <c r="R139" i="60"/>
  <c r="U104" i="60"/>
  <c r="L283" i="60"/>
  <c r="N281" i="60"/>
  <c r="N245" i="60"/>
  <c r="M780" i="60"/>
  <c r="R131" i="60"/>
  <c r="R135" i="60"/>
  <c r="R120" i="60"/>
  <c r="M302" i="60"/>
  <c r="P302" i="60" s="1"/>
  <c r="L244" i="60"/>
  <c r="R150" i="60"/>
  <c r="R142" i="60"/>
  <c r="F672" i="60"/>
  <c r="O172" i="60"/>
  <c r="R172" i="60" s="1"/>
  <c r="M298" i="60"/>
  <c r="P298" i="60" s="1"/>
  <c r="R145" i="60"/>
  <c r="R197" i="60"/>
  <c r="F70" i="60"/>
  <c r="L237" i="60"/>
  <c r="M284" i="60"/>
  <c r="M243" i="60"/>
  <c r="N240" i="60"/>
  <c r="S181" i="60"/>
  <c r="H568" i="60"/>
  <c r="M286" i="60"/>
  <c r="N242" i="60"/>
  <c r="L114" i="60"/>
  <c r="R141" i="60"/>
  <c r="R154" i="60"/>
  <c r="M781" i="60"/>
  <c r="L280" i="60"/>
  <c r="N289" i="60"/>
  <c r="L257" i="60"/>
  <c r="R119" i="60"/>
  <c r="R158" i="60"/>
  <c r="R201" i="60"/>
  <c r="R148" i="60"/>
  <c r="Q272" i="60"/>
  <c r="Q227" i="60"/>
  <c r="T102" i="60"/>
  <c r="Q246" i="60"/>
  <c r="N282" i="60"/>
  <c r="P233" i="60"/>
  <c r="P278" i="60"/>
  <c r="N261" i="60"/>
  <c r="Q180" i="60"/>
  <c r="Q261" i="60" s="1"/>
  <c r="Q280" i="60"/>
  <c r="Q237" i="60"/>
  <c r="N246" i="60"/>
  <c r="L287" i="60"/>
  <c r="P273" i="60"/>
  <c r="P228" i="60"/>
  <c r="N352" i="60"/>
  <c r="U103" i="60"/>
  <c r="M315" i="60"/>
  <c r="M78" i="60"/>
  <c r="P67" i="60"/>
  <c r="P78" i="60" s="1"/>
  <c r="N285" i="60"/>
  <c r="N256" i="60"/>
  <c r="T176" i="60"/>
  <c r="Q175" i="60"/>
  <c r="Q256" i="60" s="1"/>
  <c r="G721" i="60"/>
  <c r="L63" i="60"/>
  <c r="L65" i="60" s="1"/>
  <c r="O52" i="60"/>
  <c r="Q271" i="60"/>
  <c r="Q226" i="60"/>
  <c r="O286" i="60"/>
  <c r="O243" i="60"/>
  <c r="R108" i="60"/>
  <c r="P68" i="60"/>
  <c r="R156" i="60"/>
  <c r="N258" i="60"/>
  <c r="Q177" i="60"/>
  <c r="Q258" i="60" s="1"/>
  <c r="R211" i="60"/>
  <c r="M256" i="60"/>
  <c r="U176" i="60"/>
  <c r="P175" i="60"/>
  <c r="P256" i="60" s="1"/>
  <c r="R117" i="60"/>
  <c r="R199" i="60"/>
  <c r="R146" i="60"/>
  <c r="R151" i="60"/>
  <c r="M242" i="60"/>
  <c r="O278" i="60"/>
  <c r="O233" i="60"/>
  <c r="R99" i="60"/>
  <c r="M305" i="60"/>
  <c r="P305" i="60" s="1"/>
  <c r="F660" i="60"/>
  <c r="Q241" i="60"/>
  <c r="Q253" i="60"/>
  <c r="M253" i="60"/>
  <c r="M309" i="60"/>
  <c r="P309" i="60" s="1"/>
  <c r="Q279" i="60"/>
  <c r="Q234" i="60"/>
  <c r="N243" i="60"/>
  <c r="L239" i="60"/>
  <c r="R192" i="60"/>
  <c r="P239" i="60"/>
  <c r="R77" i="60"/>
  <c r="O238" i="60"/>
  <c r="R103" i="60"/>
  <c r="L243" i="60"/>
  <c r="M259" i="60"/>
  <c r="P178" i="60"/>
  <c r="P259" i="60" s="1"/>
  <c r="O276" i="60"/>
  <c r="O231" i="60"/>
  <c r="R97" i="60"/>
  <c r="S104" i="60"/>
  <c r="M258" i="60"/>
  <c r="P177" i="60"/>
  <c r="P258" i="60" s="1"/>
  <c r="P279" i="60"/>
  <c r="P234" i="60"/>
  <c r="N241" i="60"/>
  <c r="P277" i="60"/>
  <c r="P232" i="60"/>
  <c r="N253" i="60"/>
  <c r="L309" i="60"/>
  <c r="O309" i="60" s="1"/>
  <c r="N286" i="60"/>
  <c r="Q273" i="60"/>
  <c r="Q228" i="60"/>
  <c r="N259" i="60"/>
  <c r="Q178" i="60"/>
  <c r="Q259" i="60" s="1"/>
  <c r="M311" i="60"/>
  <c r="P311" i="60" s="1"/>
  <c r="M782" i="60"/>
  <c r="N237" i="60"/>
  <c r="O272" i="60"/>
  <c r="O227" i="60"/>
  <c r="R93" i="60"/>
  <c r="P118" i="60"/>
  <c r="R118" i="60" s="1"/>
  <c r="M281" i="60"/>
  <c r="M238" i="60"/>
  <c r="N280" i="60"/>
  <c r="O274" i="60"/>
  <c r="O229" i="60"/>
  <c r="R95" i="60"/>
  <c r="H556" i="60"/>
  <c r="R130" i="60"/>
  <c r="Q240" i="60"/>
  <c r="O246" i="60"/>
  <c r="R111" i="60"/>
  <c r="M282" i="60"/>
  <c r="Q275" i="60"/>
  <c r="Q230" i="60"/>
  <c r="P352" i="60"/>
  <c r="L238" i="60"/>
  <c r="O224" i="60"/>
  <c r="O112" i="60"/>
  <c r="R90" i="60"/>
  <c r="O64" i="60"/>
  <c r="R53" i="60"/>
  <c r="R64" i="60" s="1"/>
  <c r="L286" i="60"/>
  <c r="R129" i="60"/>
  <c r="N262" i="60"/>
  <c r="T182" i="60"/>
  <c r="Q181" i="60"/>
  <c r="Q262" i="60" s="1"/>
  <c r="R121" i="60"/>
  <c r="M254" i="60"/>
  <c r="U174" i="60"/>
  <c r="P173" i="60"/>
  <c r="P254" i="60" s="1"/>
  <c r="R209" i="60"/>
  <c r="N254" i="60"/>
  <c r="T174" i="60"/>
  <c r="Q173" i="60"/>
  <c r="Q254" i="60" s="1"/>
  <c r="R203" i="60"/>
  <c r="M310" i="60"/>
  <c r="P310" i="60" s="1"/>
  <c r="L72" i="60"/>
  <c r="O72" i="60" s="1"/>
  <c r="R72" i="60" s="1"/>
  <c r="F72" i="60"/>
  <c r="Q225" i="60"/>
  <c r="Q270" i="60"/>
  <c r="Q113" i="60"/>
  <c r="R147" i="60"/>
  <c r="O284" i="60"/>
  <c r="O241" i="60"/>
  <c r="R106" i="60"/>
  <c r="F674" i="60"/>
  <c r="N284" i="60"/>
  <c r="U181" i="60"/>
  <c r="O242" i="60"/>
  <c r="R107" i="60"/>
  <c r="Q68" i="60"/>
  <c r="M261" i="60"/>
  <c r="P180" i="60"/>
  <c r="P261" i="60" s="1"/>
  <c r="R132" i="60"/>
  <c r="M239" i="60"/>
  <c r="P245" i="60"/>
  <c r="R124" i="60"/>
  <c r="R101" i="60"/>
  <c r="R183" i="60"/>
  <c r="M262" i="60"/>
  <c r="P181" i="60"/>
  <c r="P262" i="60" s="1"/>
  <c r="U182" i="60"/>
  <c r="M255" i="60"/>
  <c r="P174" i="60"/>
  <c r="P255" i="60" s="1"/>
  <c r="U175" i="60"/>
  <c r="M260" i="60"/>
  <c r="P179" i="60"/>
  <c r="P260" i="60" s="1"/>
  <c r="R207" i="60"/>
  <c r="M306" i="60"/>
  <c r="P306" i="60" s="1"/>
  <c r="O245" i="60"/>
  <c r="O288" i="60"/>
  <c r="R110" i="60"/>
  <c r="L241" i="60"/>
  <c r="P275" i="60"/>
  <c r="P230" i="60"/>
  <c r="L262" i="60"/>
  <c r="S182" i="60"/>
  <c r="O181" i="60"/>
  <c r="O289" i="60" s="1"/>
  <c r="P240" i="60"/>
  <c r="P257" i="60"/>
  <c r="U102" i="60"/>
  <c r="L242" i="60"/>
  <c r="O259" i="60"/>
  <c r="P276" i="60"/>
  <c r="P231" i="60"/>
  <c r="O257" i="60"/>
  <c r="R128" i="60"/>
  <c r="L246" i="60"/>
  <c r="M299" i="60"/>
  <c r="P299" i="60" s="1"/>
  <c r="L281" i="60"/>
  <c r="O270" i="60"/>
  <c r="O225" i="60"/>
  <c r="O113" i="60"/>
  <c r="R91" i="60"/>
  <c r="L256" i="60"/>
  <c r="O175" i="60"/>
  <c r="O283" i="60" s="1"/>
  <c r="S176" i="60"/>
  <c r="P284" i="60"/>
  <c r="P241" i="60"/>
  <c r="L259" i="60"/>
  <c r="O237" i="60"/>
  <c r="R102" i="60"/>
  <c r="N283" i="60"/>
  <c r="P224" i="60"/>
  <c r="P112" i="60"/>
  <c r="T103" i="60"/>
  <c r="L289" i="60"/>
  <c r="P246" i="60"/>
  <c r="S173" i="60"/>
  <c r="M245" i="60"/>
  <c r="Q245" i="60"/>
  <c r="N63" i="60"/>
  <c r="N65" i="60" s="1"/>
  <c r="Q52" i="60"/>
  <c r="Q63" i="60" s="1"/>
  <c r="Q65" i="60" s="1"/>
  <c r="Q224" i="60"/>
  <c r="Q112" i="60"/>
  <c r="R76" i="60"/>
  <c r="R213" i="60"/>
  <c r="R133" i="60"/>
  <c r="R125" i="60"/>
  <c r="L260" i="60"/>
  <c r="O179" i="60"/>
  <c r="O287" i="60" s="1"/>
  <c r="R185" i="60"/>
  <c r="M783" i="60"/>
  <c r="L245" i="60"/>
  <c r="L284" i="60"/>
  <c r="R208" i="60"/>
  <c r="M69" i="60"/>
  <c r="P69" i="60" s="1"/>
  <c r="H79" i="60"/>
  <c r="P244" i="60"/>
  <c r="M240" i="60"/>
  <c r="Q274" i="60"/>
  <c r="Q229" i="60"/>
  <c r="M257" i="60"/>
  <c r="P280" i="60"/>
  <c r="P237" i="60"/>
  <c r="L285" i="60"/>
  <c r="Q276" i="60"/>
  <c r="Q231" i="60"/>
  <c r="L78" i="60"/>
  <c r="O67" i="60"/>
  <c r="O232" i="60"/>
  <c r="O277" i="60"/>
  <c r="R98" i="60"/>
  <c r="Q239" i="60"/>
  <c r="P243" i="60"/>
  <c r="M246" i="60"/>
  <c r="Q238" i="60"/>
  <c r="P225" i="60"/>
  <c r="P270" i="60"/>
  <c r="P113" i="60"/>
  <c r="M288" i="60"/>
  <c r="N69" i="60"/>
  <c r="Q69" i="60" s="1"/>
  <c r="I79" i="60"/>
  <c r="K81" i="60"/>
  <c r="Q244" i="60"/>
  <c r="R189" i="60"/>
  <c r="R140" i="60"/>
  <c r="M343" i="60"/>
  <c r="P343" i="60" s="1"/>
  <c r="M341" i="60"/>
  <c r="P341" i="60" s="1"/>
  <c r="M339" i="60"/>
  <c r="P339" i="60" s="1"/>
  <c r="M337" i="60"/>
  <c r="P337" i="60" s="1"/>
  <c r="M335" i="60"/>
  <c r="P335" i="60" s="1"/>
  <c r="M333" i="60"/>
  <c r="P333" i="60" s="1"/>
  <c r="M331" i="60"/>
  <c r="P331" i="60" s="1"/>
  <c r="M329" i="60"/>
  <c r="P329" i="60" s="1"/>
  <c r="M327" i="60"/>
  <c r="P327" i="60" s="1"/>
  <c r="M325" i="60"/>
  <c r="P325" i="60" s="1"/>
  <c r="M323" i="60"/>
  <c r="P323" i="60" s="1"/>
  <c r="M321" i="60"/>
  <c r="P321" i="60" s="1"/>
  <c r="M319" i="60"/>
  <c r="P319" i="60" s="1"/>
  <c r="L343" i="60"/>
  <c r="O343" i="60" s="1"/>
  <c r="L341" i="60"/>
  <c r="O341" i="60" s="1"/>
  <c r="L339" i="60"/>
  <c r="O339" i="60" s="1"/>
  <c r="L337" i="60"/>
  <c r="O337" i="60" s="1"/>
  <c r="K343" i="60"/>
  <c r="N343" i="60" s="1"/>
  <c r="K341" i="60"/>
  <c r="N341" i="60" s="1"/>
  <c r="K339" i="60"/>
  <c r="N339" i="60" s="1"/>
  <c r="K337" i="60"/>
  <c r="N337" i="60" s="1"/>
  <c r="K335" i="60"/>
  <c r="N335" i="60" s="1"/>
  <c r="K333" i="60"/>
  <c r="N333" i="60" s="1"/>
  <c r="K331" i="60"/>
  <c r="N331" i="60" s="1"/>
  <c r="K329" i="60"/>
  <c r="N329" i="60" s="1"/>
  <c r="K327" i="60"/>
  <c r="N327" i="60" s="1"/>
  <c r="K325" i="60"/>
  <c r="N325" i="60" s="1"/>
  <c r="K323" i="60"/>
  <c r="N323" i="60" s="1"/>
  <c r="K321" i="60"/>
  <c r="N321" i="60" s="1"/>
  <c r="K319" i="60"/>
  <c r="N319" i="60" s="1"/>
  <c r="K317" i="60"/>
  <c r="K306" i="60"/>
  <c r="N306" i="60" s="1"/>
  <c r="K311" i="60"/>
  <c r="N311" i="60" s="1"/>
  <c r="K303" i="60"/>
  <c r="N303" i="60" s="1"/>
  <c r="K298" i="60"/>
  <c r="N298" i="60" s="1"/>
  <c r="M344" i="60"/>
  <c r="P344" i="60" s="1"/>
  <c r="M342" i="60"/>
  <c r="P342" i="60" s="1"/>
  <c r="M340" i="60"/>
  <c r="P340" i="60" s="1"/>
  <c r="M338" i="60"/>
  <c r="P338" i="60" s="1"/>
  <c r="M336" i="60"/>
  <c r="P336" i="60" s="1"/>
  <c r="M334" i="60"/>
  <c r="P334" i="60" s="1"/>
  <c r="M332" i="60"/>
  <c r="P332" i="60" s="1"/>
  <c r="M330" i="60"/>
  <c r="P330" i="60" s="1"/>
  <c r="M328" i="60"/>
  <c r="P328" i="60" s="1"/>
  <c r="M326" i="60"/>
  <c r="P326" i="60" s="1"/>
  <c r="M324" i="60"/>
  <c r="P324" i="60" s="1"/>
  <c r="M322" i="60"/>
  <c r="P322" i="60" s="1"/>
  <c r="M320" i="60"/>
  <c r="P320" i="60" s="1"/>
  <c r="M318" i="60"/>
  <c r="P318" i="60" s="1"/>
  <c r="K308" i="60"/>
  <c r="N308" i="60" s="1"/>
  <c r="L344" i="60"/>
  <c r="O344" i="60" s="1"/>
  <c r="L320" i="60"/>
  <c r="O320" i="60" s="1"/>
  <c r="L319" i="60"/>
  <c r="O319" i="60" s="1"/>
  <c r="K309" i="60"/>
  <c r="N309" i="60" s="1"/>
  <c r="L325" i="60"/>
  <c r="O325" i="60" s="1"/>
  <c r="L327" i="60"/>
  <c r="O327" i="60" s="1"/>
  <c r="K299" i="60"/>
  <c r="N299" i="60" s="1"/>
  <c r="L324" i="60"/>
  <c r="O324" i="60" s="1"/>
  <c r="K318" i="60"/>
  <c r="N318" i="60" s="1"/>
  <c r="K326" i="60"/>
  <c r="N326" i="60" s="1"/>
  <c r="K334" i="60"/>
  <c r="N334" i="60" s="1"/>
  <c r="L297" i="60"/>
  <c r="L330" i="60"/>
  <c r="O330" i="60" s="1"/>
  <c r="L298" i="60"/>
  <c r="O298" i="60" s="1"/>
  <c r="L329" i="60"/>
  <c r="O329" i="60" s="1"/>
  <c r="L302" i="60"/>
  <c r="O302" i="60" s="1"/>
  <c r="L321" i="60"/>
  <c r="O321" i="60" s="1"/>
  <c r="K302" i="60"/>
  <c r="N302" i="60" s="1"/>
  <c r="L318" i="60"/>
  <c r="O318" i="60" s="1"/>
  <c r="L323" i="60"/>
  <c r="O323" i="60" s="1"/>
  <c r="L333" i="60"/>
  <c r="O333" i="60" s="1"/>
  <c r="K304" i="60"/>
  <c r="N304" i="60" s="1"/>
  <c r="L335" i="60"/>
  <c r="O335" i="60" s="1"/>
  <c r="L332" i="60"/>
  <c r="O332" i="60" s="1"/>
  <c r="M304" i="60"/>
  <c r="P304" i="60" s="1"/>
  <c r="K320" i="60"/>
  <c r="N320" i="60" s="1"/>
  <c r="K328" i="60"/>
  <c r="N328" i="60" s="1"/>
  <c r="K336" i="60"/>
  <c r="N336" i="60" s="1"/>
  <c r="L328" i="60"/>
  <c r="O328" i="60" s="1"/>
  <c r="L338" i="60"/>
  <c r="O338" i="60" s="1"/>
  <c r="L304" i="60"/>
  <c r="O304" i="60" s="1"/>
  <c r="M307" i="60"/>
  <c r="P307" i="60" s="1"/>
  <c r="L305" i="60"/>
  <c r="O305" i="60" s="1"/>
  <c r="K338" i="60"/>
  <c r="N338" i="60" s="1"/>
  <c r="K297" i="60"/>
  <c r="L326" i="60"/>
  <c r="O326" i="60" s="1"/>
  <c r="K307" i="60"/>
  <c r="N307" i="60" s="1"/>
  <c r="L340" i="60"/>
  <c r="O340" i="60" s="1"/>
  <c r="L334" i="60"/>
  <c r="O334" i="60" s="1"/>
  <c r="L307" i="60"/>
  <c r="O307" i="60" s="1"/>
  <c r="K322" i="60"/>
  <c r="N322" i="60" s="1"/>
  <c r="K330" i="60"/>
  <c r="N330" i="60" s="1"/>
  <c r="K340" i="60"/>
  <c r="N340" i="60" s="1"/>
  <c r="L336" i="60"/>
  <c r="O336" i="60" s="1"/>
  <c r="L310" i="60"/>
  <c r="O310" i="60" s="1"/>
  <c r="M317" i="60"/>
  <c r="L311" i="60"/>
  <c r="O311" i="60" s="1"/>
  <c r="K342" i="60"/>
  <c r="N342" i="60" s="1"/>
  <c r="K305" i="60"/>
  <c r="N305" i="60" s="1"/>
  <c r="L331" i="60"/>
  <c r="O331" i="60" s="1"/>
  <c r="L303" i="60"/>
  <c r="O303" i="60" s="1"/>
  <c r="L306" i="60"/>
  <c r="O306" i="60" s="1"/>
  <c r="L317" i="60"/>
  <c r="L322" i="60"/>
  <c r="O322" i="60" s="1"/>
  <c r="L308" i="60"/>
  <c r="O308" i="60" s="1"/>
  <c r="L342" i="60"/>
  <c r="O342" i="60" s="1"/>
  <c r="K310" i="60"/>
  <c r="N310" i="60" s="1"/>
  <c r="K324" i="60"/>
  <c r="N324" i="60" s="1"/>
  <c r="K332" i="60"/>
  <c r="N332" i="60" s="1"/>
  <c r="K344" i="60"/>
  <c r="N344" i="60" s="1"/>
  <c r="O261" i="60"/>
  <c r="F670" i="60"/>
  <c r="P271" i="60"/>
  <c r="P226" i="60"/>
  <c r="L288" i="60"/>
  <c r="O275" i="60"/>
  <c r="O230" i="60"/>
  <c r="R96" i="60"/>
  <c r="M244" i="60"/>
  <c r="M283" i="60"/>
  <c r="M297" i="60"/>
  <c r="M237" i="60"/>
  <c r="R45" i="60"/>
  <c r="R46" i="60" s="1"/>
  <c r="O239" i="60"/>
  <c r="R104" i="60"/>
  <c r="N255" i="60"/>
  <c r="Q174" i="60"/>
  <c r="Q255" i="60" s="1"/>
  <c r="T175" i="60"/>
  <c r="F78" i="60"/>
  <c r="G81" i="60"/>
  <c r="M63" i="60"/>
  <c r="M65" i="60" s="1"/>
  <c r="P52" i="60"/>
  <c r="P63" i="60" s="1"/>
  <c r="P65" i="60" s="1"/>
  <c r="O271" i="60"/>
  <c r="O226" i="60"/>
  <c r="R92" i="60"/>
  <c r="J80" i="60"/>
  <c r="J82" i="60"/>
  <c r="N239" i="60"/>
  <c r="M289" i="60"/>
  <c r="Q242" i="60"/>
  <c r="N288" i="60"/>
  <c r="G354" i="60"/>
  <c r="F167" i="60"/>
  <c r="F169" i="60" s="1"/>
  <c r="N244" i="60"/>
  <c r="R187" i="60"/>
  <c r="R137" i="60"/>
  <c r="L254" i="60"/>
  <c r="O173" i="60"/>
  <c r="O281" i="60" s="1"/>
  <c r="S174" i="60"/>
  <c r="R195" i="60"/>
  <c r="Q277" i="60"/>
  <c r="Q232" i="60"/>
  <c r="L261" i="60"/>
  <c r="I81" i="60"/>
  <c r="P242" i="60"/>
  <c r="F590" i="60"/>
  <c r="F647" i="60" s="1"/>
  <c r="J81" i="60"/>
  <c r="O273" i="60"/>
  <c r="O228" i="60"/>
  <c r="R94" i="60"/>
  <c r="Q233" i="60"/>
  <c r="Q278" i="60"/>
  <c r="M287" i="60"/>
  <c r="P274" i="60"/>
  <c r="P229" i="60"/>
  <c r="U173" i="60"/>
  <c r="M280" i="60"/>
  <c r="R122" i="60"/>
  <c r="S103" i="60"/>
  <c r="O240" i="60"/>
  <c r="R105" i="60"/>
  <c r="O244" i="60"/>
  <c r="R109" i="60"/>
  <c r="O279" i="60"/>
  <c r="O234" i="60"/>
  <c r="R100" i="60"/>
  <c r="F69" i="60"/>
  <c r="L69" i="60"/>
  <c r="O69" i="60" s="1"/>
  <c r="G79" i="60"/>
  <c r="R136" i="60"/>
  <c r="N287" i="60"/>
  <c r="N257" i="60"/>
  <c r="Q176" i="60"/>
  <c r="Q257" i="60" s="1"/>
  <c r="T181" i="60"/>
  <c r="R191" i="60"/>
  <c r="L255" i="60"/>
  <c r="O174" i="60"/>
  <c r="O282" i="60" s="1"/>
  <c r="S175" i="60"/>
  <c r="R152" i="60"/>
  <c r="R144" i="60"/>
  <c r="N260" i="60"/>
  <c r="Q179" i="60"/>
  <c r="Q260" i="60" s="1"/>
  <c r="Q67" i="60"/>
  <c r="Q78" i="60" s="1"/>
  <c r="N78" i="60"/>
  <c r="M285" i="60"/>
  <c r="T104" i="60"/>
  <c r="T173" i="60"/>
  <c r="P253" i="60"/>
  <c r="J312" i="60"/>
  <c r="J355" i="60" s="1"/>
  <c r="Q243" i="60"/>
  <c r="L282" i="60"/>
  <c r="R184" i="60"/>
  <c r="F71" i="60"/>
  <c r="L71" i="60"/>
  <c r="O71" i="60" s="1"/>
  <c r="R71" i="60" s="1"/>
  <c r="E3" i="46"/>
  <c r="K27" i="46"/>
  <c r="J27" i="46"/>
  <c r="I27" i="46"/>
  <c r="K26" i="46"/>
  <c r="J26" i="46"/>
  <c r="I26" i="46"/>
  <c r="K25" i="46"/>
  <c r="J25" i="46"/>
  <c r="I25" i="46"/>
  <c r="K24" i="46"/>
  <c r="J24" i="46"/>
  <c r="I24" i="46"/>
  <c r="K23" i="46"/>
  <c r="J23" i="46"/>
  <c r="I23" i="46"/>
  <c r="R40" i="55" l="1"/>
  <c r="S40" i="55" s="1"/>
  <c r="H452" i="60"/>
  <c r="F518" i="60"/>
  <c r="H544" i="60"/>
  <c r="H530" i="60"/>
  <c r="H605" i="60"/>
  <c r="J666" i="60"/>
  <c r="I666" i="60"/>
  <c r="J668" i="60"/>
  <c r="I668" i="60"/>
  <c r="E43" i="61"/>
  <c r="DN43" i="61" s="1"/>
  <c r="DN54" i="61"/>
  <c r="G7" i="62"/>
  <c r="H591" i="60"/>
  <c r="E27" i="61"/>
  <c r="U27" i="61" s="1"/>
  <c r="O253" i="60"/>
  <c r="F592" i="60"/>
  <c r="F428" i="60" s="1"/>
  <c r="AN54" i="61"/>
  <c r="AQ54" i="61"/>
  <c r="AH54" i="61"/>
  <c r="W32" i="61"/>
  <c r="AM54" i="61"/>
  <c r="AP54" i="61"/>
  <c r="AG54" i="61"/>
  <c r="AJ54" i="61"/>
  <c r="AN65" i="61"/>
  <c r="AQ65" i="61"/>
  <c r="AM65" i="61"/>
  <c r="AP65" i="61"/>
  <c r="AG43" i="61"/>
  <c r="AM43" i="61"/>
  <c r="O280" i="60"/>
  <c r="O291" i="60" s="1"/>
  <c r="O258" i="60"/>
  <c r="G649" i="60"/>
  <c r="L81" i="60"/>
  <c r="P286" i="60"/>
  <c r="K83" i="60"/>
  <c r="P285" i="60"/>
  <c r="P283" i="60"/>
  <c r="Q114" i="60"/>
  <c r="P289" i="60"/>
  <c r="R180" i="60"/>
  <c r="R261" i="60" s="1"/>
  <c r="Q288" i="60"/>
  <c r="Q283" i="60"/>
  <c r="F81" i="60"/>
  <c r="Q286" i="60"/>
  <c r="N81" i="60"/>
  <c r="R69" i="60"/>
  <c r="Q332" i="60"/>
  <c r="Q338" i="60"/>
  <c r="Q339" i="60"/>
  <c r="M785" i="60"/>
  <c r="M786" i="60" s="1"/>
  <c r="L291" i="60"/>
  <c r="Q324" i="60"/>
  <c r="Q330" i="60"/>
  <c r="Q320" i="60"/>
  <c r="Q302" i="60"/>
  <c r="M291" i="60"/>
  <c r="Q310" i="60"/>
  <c r="Q305" i="60"/>
  <c r="Q79" i="60"/>
  <c r="Q80" i="60" s="1"/>
  <c r="Q344" i="60"/>
  <c r="Q335" i="60"/>
  <c r="Q285" i="60"/>
  <c r="Q340" i="60"/>
  <c r="Q328" i="60"/>
  <c r="Q334" i="60"/>
  <c r="Q321" i="60"/>
  <c r="Q337" i="60"/>
  <c r="Q322" i="60"/>
  <c r="Q298" i="60"/>
  <c r="Q281" i="60"/>
  <c r="Q308" i="60"/>
  <c r="Q327" i="60"/>
  <c r="Q343" i="60"/>
  <c r="N291" i="60"/>
  <c r="Q81" i="60"/>
  <c r="N79" i="60"/>
  <c r="N82" i="60" s="1"/>
  <c r="Q342" i="60"/>
  <c r="O255" i="60"/>
  <c r="R174" i="60"/>
  <c r="R255" i="60" s="1"/>
  <c r="F79" i="60"/>
  <c r="G82" i="60"/>
  <c r="G80" i="60"/>
  <c r="R244" i="60"/>
  <c r="R275" i="60"/>
  <c r="R230" i="60"/>
  <c r="J670" i="60"/>
  <c r="I670" i="60"/>
  <c r="Q299" i="60"/>
  <c r="Q311" i="60"/>
  <c r="Q329" i="60"/>
  <c r="I80" i="60"/>
  <c r="I82" i="60"/>
  <c r="I83" i="60" s="1"/>
  <c r="J353" i="60" s="1"/>
  <c r="R253" i="60"/>
  <c r="R178" i="60"/>
  <c r="R259" i="60" s="1"/>
  <c r="R274" i="60"/>
  <c r="R229" i="60"/>
  <c r="R238" i="60"/>
  <c r="M79" i="60"/>
  <c r="Q303" i="60"/>
  <c r="J83" i="60"/>
  <c r="M345" i="60"/>
  <c r="M356" i="60" s="1"/>
  <c r="P317" i="60"/>
  <c r="P345" i="60" s="1"/>
  <c r="P356" i="60" s="1"/>
  <c r="Q304" i="60"/>
  <c r="Q306" i="60"/>
  <c r="Q331" i="60"/>
  <c r="O78" i="60"/>
  <c r="R67" i="60"/>
  <c r="R78" i="60" s="1"/>
  <c r="P287" i="60"/>
  <c r="O256" i="60"/>
  <c r="R175" i="60"/>
  <c r="R256" i="60" s="1"/>
  <c r="R241" i="60"/>
  <c r="R246" i="60"/>
  <c r="P79" i="60"/>
  <c r="P81" i="60"/>
  <c r="R177" i="60"/>
  <c r="R258" i="60" s="1"/>
  <c r="J671" i="60"/>
  <c r="I671" i="60"/>
  <c r="R273" i="60"/>
  <c r="R228" i="60"/>
  <c r="L345" i="60"/>
  <c r="L356" i="60" s="1"/>
  <c r="O317" i="60"/>
  <c r="O345" i="60" s="1"/>
  <c r="O356" i="60" s="1"/>
  <c r="Q307" i="60"/>
  <c r="N317" i="60"/>
  <c r="K345" i="60"/>
  <c r="K356" i="60" s="1"/>
  <c r="Q333" i="60"/>
  <c r="R280" i="60"/>
  <c r="R237" i="60"/>
  <c r="P282" i="60"/>
  <c r="R243" i="60"/>
  <c r="M81" i="60"/>
  <c r="F685" i="60"/>
  <c r="O254" i="60"/>
  <c r="R173" i="60"/>
  <c r="R254" i="60" s="1"/>
  <c r="F679" i="60"/>
  <c r="F268" i="60"/>
  <c r="F290" i="60" s="1"/>
  <c r="F292" i="60" s="1"/>
  <c r="F354" i="60" s="1"/>
  <c r="M312" i="60"/>
  <c r="M355" i="60" s="1"/>
  <c r="P355" i="60" s="1"/>
  <c r="P297" i="60"/>
  <c r="P312" i="60" s="1"/>
  <c r="Q336" i="60"/>
  <c r="L312" i="60"/>
  <c r="L355" i="60" s="1"/>
  <c r="O355" i="60" s="1"/>
  <c r="O297" i="60"/>
  <c r="O312" i="60" s="1"/>
  <c r="Q309" i="60"/>
  <c r="Q319" i="60"/>
  <c r="L79" i="60"/>
  <c r="R231" i="60"/>
  <c r="R276" i="60"/>
  <c r="Q284" i="60"/>
  <c r="R239" i="60"/>
  <c r="K312" i="60"/>
  <c r="N297" i="60"/>
  <c r="O79" i="60"/>
  <c r="O82" i="60" s="1"/>
  <c r="R68" i="60"/>
  <c r="H80" i="60"/>
  <c r="H82" i="60"/>
  <c r="H83" i="60" s="1"/>
  <c r="I353" i="60" s="1"/>
  <c r="R270" i="60"/>
  <c r="R225" i="60"/>
  <c r="R113" i="60"/>
  <c r="R176" i="60"/>
  <c r="R257" i="60" s="1"/>
  <c r="R242" i="60"/>
  <c r="Q352" i="60"/>
  <c r="Q289" i="60"/>
  <c r="R355" i="60"/>
  <c r="Q326" i="60"/>
  <c r="Q323" i="60"/>
  <c r="R245" i="60"/>
  <c r="R240" i="60"/>
  <c r="Q318" i="60"/>
  <c r="Q325" i="60"/>
  <c r="Q341" i="60"/>
  <c r="Q287" i="60"/>
  <c r="R277" i="60"/>
  <c r="R232" i="60"/>
  <c r="O260" i="60"/>
  <c r="R179" i="60"/>
  <c r="R260" i="60" s="1"/>
  <c r="P114" i="60"/>
  <c r="P288" i="60"/>
  <c r="R224" i="60"/>
  <c r="R112" i="60"/>
  <c r="P281" i="60"/>
  <c r="P238" i="60"/>
  <c r="R278" i="60"/>
  <c r="R233" i="60"/>
  <c r="R271" i="60"/>
  <c r="R226" i="60"/>
  <c r="R279" i="60"/>
  <c r="T279" i="60" s="1"/>
  <c r="R234" i="60"/>
  <c r="Q282" i="60"/>
  <c r="O262" i="60"/>
  <c r="R181" i="60"/>
  <c r="R262" i="60" s="1"/>
  <c r="O114" i="60"/>
  <c r="R227" i="60"/>
  <c r="R272" i="60"/>
  <c r="O63" i="60"/>
  <c r="R63" i="60" s="1"/>
  <c r="R65" i="60" s="1"/>
  <c r="R52" i="60"/>
  <c r="R288" i="60" l="1"/>
  <c r="E71" i="61"/>
  <c r="E32" i="61"/>
  <c r="DN32" i="61" s="1"/>
  <c r="DN27" i="61"/>
  <c r="Z43" i="61"/>
  <c r="Z32" i="61"/>
  <c r="W43" i="61"/>
  <c r="AC32" i="61"/>
  <c r="AJ43" i="61"/>
  <c r="AP43" i="61"/>
  <c r="AA32" i="61"/>
  <c r="AB43" i="61"/>
  <c r="F593" i="60"/>
  <c r="S592" i="60" s="1"/>
  <c r="F649" i="60"/>
  <c r="F650" i="60" s="1"/>
  <c r="Q82" i="60"/>
  <c r="Q83" i="60" s="1"/>
  <c r="R283" i="60"/>
  <c r="N83" i="60"/>
  <c r="M353" i="60" s="1"/>
  <c r="P353" i="60" s="1"/>
  <c r="R285" i="60"/>
  <c r="P291" i="60"/>
  <c r="N80" i="60"/>
  <c r="Q291" i="60"/>
  <c r="R282" i="60"/>
  <c r="R114" i="60"/>
  <c r="R79" i="60"/>
  <c r="R82" i="60" s="1"/>
  <c r="O81" i="60"/>
  <c r="O83" i="60" s="1"/>
  <c r="L80" i="60"/>
  <c r="L82" i="60"/>
  <c r="L83" i="60" s="1"/>
  <c r="N345" i="60"/>
  <c r="N356" i="60" s="1"/>
  <c r="Q317" i="60"/>
  <c r="Q345" i="60" s="1"/>
  <c r="Q356" i="60" s="1"/>
  <c r="R289" i="60"/>
  <c r="O80" i="60"/>
  <c r="R284" i="60"/>
  <c r="M80" i="60"/>
  <c r="M82" i="60"/>
  <c r="M83" i="60" s="1"/>
  <c r="L353" i="60" s="1"/>
  <c r="Q297" i="60"/>
  <c r="Q312" i="60" s="1"/>
  <c r="N312" i="60"/>
  <c r="G676" i="60"/>
  <c r="K355" i="60"/>
  <c r="N355" i="60" s="1"/>
  <c r="Q355" i="60" s="1"/>
  <c r="P80" i="60"/>
  <c r="P82" i="60"/>
  <c r="P83" i="60" s="1"/>
  <c r="R81" i="60"/>
  <c r="J685" i="60"/>
  <c r="I685" i="60"/>
  <c r="F687" i="60"/>
  <c r="R281" i="60"/>
  <c r="R287" i="60"/>
  <c r="F80" i="60"/>
  <c r="O65" i="60"/>
  <c r="R286" i="60"/>
  <c r="G83" i="60"/>
  <c r="H353" i="60" s="1"/>
  <c r="F82" i="60"/>
  <c r="F83" i="60" s="1"/>
  <c r="H97" i="58"/>
  <c r="G97" i="58"/>
  <c r="F97" i="58"/>
  <c r="H96" i="58"/>
  <c r="G96" i="58"/>
  <c r="F96" i="58"/>
  <c r="H95" i="58"/>
  <c r="G95" i="58"/>
  <c r="F95" i="58"/>
  <c r="H94" i="58"/>
  <c r="G94" i="58"/>
  <c r="F94" i="58"/>
  <c r="H93" i="58"/>
  <c r="G93" i="58"/>
  <c r="F93" i="58"/>
  <c r="H92" i="58"/>
  <c r="G92" i="58"/>
  <c r="F92" i="58"/>
  <c r="H91" i="58"/>
  <c r="G91" i="58"/>
  <c r="F91" i="58"/>
  <c r="H90" i="58"/>
  <c r="G90" i="58"/>
  <c r="F90" i="58"/>
  <c r="H89" i="58"/>
  <c r="G89" i="58"/>
  <c r="F89" i="58"/>
  <c r="H88" i="58"/>
  <c r="G88" i="58"/>
  <c r="F88" i="58"/>
  <c r="H87" i="58"/>
  <c r="G87" i="58"/>
  <c r="F87" i="58"/>
  <c r="H86" i="58"/>
  <c r="G86" i="58"/>
  <c r="F86" i="58"/>
  <c r="H85" i="58"/>
  <c r="G85" i="58"/>
  <c r="F85" i="58"/>
  <c r="H84" i="58"/>
  <c r="G84" i="58"/>
  <c r="F84" i="58"/>
  <c r="H73" i="58"/>
  <c r="G73" i="58"/>
  <c r="F73" i="58"/>
  <c r="H72" i="58"/>
  <c r="G72" i="58"/>
  <c r="F72" i="58"/>
  <c r="H61" i="58"/>
  <c r="G61" i="58"/>
  <c r="F61" i="58"/>
  <c r="H60" i="58"/>
  <c r="G60" i="58"/>
  <c r="F60" i="58"/>
  <c r="H49" i="58"/>
  <c r="G49" i="58"/>
  <c r="F49" i="58"/>
  <c r="H48" i="58"/>
  <c r="G48" i="58"/>
  <c r="F48" i="58"/>
  <c r="H37" i="58"/>
  <c r="G37" i="58"/>
  <c r="F37" i="58"/>
  <c r="H36" i="58"/>
  <c r="G36" i="58"/>
  <c r="F36" i="58"/>
  <c r="H35" i="58"/>
  <c r="G35" i="58"/>
  <c r="F35" i="58"/>
  <c r="H34" i="58"/>
  <c r="G34" i="58"/>
  <c r="F34" i="58"/>
  <c r="H23" i="58"/>
  <c r="G23" i="58"/>
  <c r="F23" i="58"/>
  <c r="H22" i="58"/>
  <c r="G22" i="58"/>
  <c r="F22" i="58"/>
  <c r="H21" i="58"/>
  <c r="G21" i="58"/>
  <c r="F21" i="58"/>
  <c r="H20" i="58"/>
  <c r="G20" i="58"/>
  <c r="F20" i="58"/>
  <c r="E76" i="61" l="1"/>
  <c r="G6" i="62"/>
  <c r="AB32" i="61"/>
  <c r="Y32" i="61"/>
  <c r="AI43" i="61"/>
  <c r="AL43" i="61"/>
  <c r="AO43" i="61"/>
  <c r="AC43" i="61"/>
  <c r="AI32" i="61"/>
  <c r="AL32" i="61"/>
  <c r="Y43" i="61"/>
  <c r="X32" i="61"/>
  <c r="U593" i="60"/>
  <c r="V593" i="60"/>
  <c r="W593" i="60"/>
  <c r="AA593" i="60"/>
  <c r="AB593" i="60" s="1"/>
  <c r="R83" i="60"/>
  <c r="R291" i="60"/>
  <c r="R80" i="60"/>
  <c r="F681" i="60"/>
  <c r="G353" i="60"/>
  <c r="G357" i="60" s="1"/>
  <c r="F353" i="60"/>
  <c r="R353" i="60"/>
  <c r="O353" i="60"/>
  <c r="G681" i="60"/>
  <c r="K353" i="60"/>
  <c r="H676" i="60"/>
  <c r="I676" i="60" s="1"/>
  <c r="J676" i="60"/>
  <c r="I687" i="60"/>
  <c r="F688" i="60"/>
  <c r="AB487" i="58"/>
  <c r="AA487" i="58"/>
  <c r="Z487" i="58"/>
  <c r="AE476" i="58"/>
  <c r="AD476" i="58"/>
  <c r="AC476" i="58"/>
  <c r="AB476" i="58"/>
  <c r="AA476" i="58"/>
  <c r="Z476" i="58"/>
  <c r="AE475" i="58"/>
  <c r="AD475" i="58"/>
  <c r="AC475" i="58"/>
  <c r="AB475" i="58"/>
  <c r="AA475" i="58"/>
  <c r="Z475" i="58"/>
  <c r="AF466" i="58"/>
  <c r="AF465" i="58"/>
  <c r="L462" i="58"/>
  <c r="AA462" i="58" s="1"/>
  <c r="K462" i="58"/>
  <c r="AB462" i="58" s="1"/>
  <c r="J462" i="58"/>
  <c r="Z462" i="58" s="1"/>
  <c r="AB455" i="58"/>
  <c r="K455" i="58" s="1"/>
  <c r="Q455" i="58" s="1"/>
  <c r="AA455" i="58"/>
  <c r="L455" i="58" s="1"/>
  <c r="V455" i="58" s="1"/>
  <c r="Z455" i="58"/>
  <c r="J455" i="58" s="1"/>
  <c r="AA448" i="58"/>
  <c r="AA442" i="58"/>
  <c r="AA441" i="58"/>
  <c r="AA433" i="58"/>
  <c r="E430" i="58"/>
  <c r="N417" i="58"/>
  <c r="N274" i="58" s="1"/>
  <c r="M417" i="58"/>
  <c r="M274" i="58" s="1"/>
  <c r="L417" i="58"/>
  <c r="L274" i="58" s="1"/>
  <c r="K417" i="58"/>
  <c r="K274" i="58" s="1"/>
  <c r="J417" i="58"/>
  <c r="J274" i="58" s="1"/>
  <c r="I417" i="58"/>
  <c r="I274" i="58" s="1"/>
  <c r="N416" i="58"/>
  <c r="M416" i="58"/>
  <c r="M273" i="58" s="1"/>
  <c r="L416" i="58"/>
  <c r="L273" i="58" s="1"/>
  <c r="K416" i="58"/>
  <c r="K273" i="58" s="1"/>
  <c r="J416" i="58"/>
  <c r="J273" i="58" s="1"/>
  <c r="I416" i="58"/>
  <c r="I273" i="58" s="1"/>
  <c r="N415" i="58"/>
  <c r="N272" i="58" s="1"/>
  <c r="M415" i="58"/>
  <c r="M272" i="58" s="1"/>
  <c r="L415" i="58"/>
  <c r="K415" i="58"/>
  <c r="K272" i="58" s="1"/>
  <c r="J415" i="58"/>
  <c r="J272" i="58" s="1"/>
  <c r="I415" i="58"/>
  <c r="I272" i="58" s="1"/>
  <c r="N414" i="58"/>
  <c r="N271" i="58" s="1"/>
  <c r="M414" i="58"/>
  <c r="M271" i="58" s="1"/>
  <c r="L414" i="58"/>
  <c r="L271" i="58" s="1"/>
  <c r="K414" i="58"/>
  <c r="K271" i="58" s="1"/>
  <c r="J414" i="58"/>
  <c r="I414" i="58"/>
  <c r="N413" i="58"/>
  <c r="M413" i="58"/>
  <c r="M270" i="58" s="1"/>
  <c r="L413" i="58"/>
  <c r="L270" i="58" s="1"/>
  <c r="K413" i="58"/>
  <c r="K270" i="58" s="1"/>
  <c r="J413" i="58"/>
  <c r="J270" i="58" s="1"/>
  <c r="I413" i="58"/>
  <c r="N412" i="58"/>
  <c r="M412" i="58"/>
  <c r="M269" i="58" s="1"/>
  <c r="L412" i="58"/>
  <c r="K412" i="58"/>
  <c r="K269" i="58" s="1"/>
  <c r="J412" i="58"/>
  <c r="J269" i="58" s="1"/>
  <c r="I412" i="58"/>
  <c r="N411" i="58"/>
  <c r="N268" i="58" s="1"/>
  <c r="M411" i="58"/>
  <c r="M268" i="58" s="1"/>
  <c r="L411" i="58"/>
  <c r="K411" i="58"/>
  <c r="K268" i="58" s="1"/>
  <c r="J411" i="58"/>
  <c r="I411" i="58"/>
  <c r="I268" i="58" s="1"/>
  <c r="N410" i="58"/>
  <c r="N267" i="58" s="1"/>
  <c r="M410" i="58"/>
  <c r="M267" i="58" s="1"/>
  <c r="L410" i="58"/>
  <c r="L267" i="58" s="1"/>
  <c r="K410" i="58"/>
  <c r="K267" i="58" s="1"/>
  <c r="J410" i="58"/>
  <c r="J267" i="58" s="1"/>
  <c r="I410" i="58"/>
  <c r="I267" i="58" s="1"/>
  <c r="N409" i="58"/>
  <c r="N266" i="58" s="1"/>
  <c r="M409" i="58"/>
  <c r="M266" i="58" s="1"/>
  <c r="L409" i="58"/>
  <c r="L266" i="58" s="1"/>
  <c r="K409" i="58"/>
  <c r="K266" i="58" s="1"/>
  <c r="J409" i="58"/>
  <c r="J266" i="58" s="1"/>
  <c r="I409" i="58"/>
  <c r="I266" i="58" s="1"/>
  <c r="N408" i="58"/>
  <c r="N265" i="58" s="1"/>
  <c r="M408" i="58"/>
  <c r="M265" i="58" s="1"/>
  <c r="L408" i="58"/>
  <c r="L265" i="58" s="1"/>
  <c r="K408" i="58"/>
  <c r="K265" i="58" s="1"/>
  <c r="J408" i="58"/>
  <c r="J265" i="58" s="1"/>
  <c r="I408" i="58"/>
  <c r="I265" i="58" s="1"/>
  <c r="N407" i="58"/>
  <c r="N264" i="58" s="1"/>
  <c r="M407" i="58"/>
  <c r="M264" i="58" s="1"/>
  <c r="L407" i="58"/>
  <c r="L264" i="58" s="1"/>
  <c r="K407" i="58"/>
  <c r="K264" i="58" s="1"/>
  <c r="J407" i="58"/>
  <c r="J264" i="58" s="1"/>
  <c r="I407" i="58"/>
  <c r="I264" i="58" s="1"/>
  <c r="N406" i="58"/>
  <c r="N263" i="58" s="1"/>
  <c r="M406" i="58"/>
  <c r="M263" i="58" s="1"/>
  <c r="L406" i="58"/>
  <c r="L263" i="58" s="1"/>
  <c r="K406" i="58"/>
  <c r="K263" i="58" s="1"/>
  <c r="J406" i="58"/>
  <c r="J263" i="58" s="1"/>
  <c r="I406" i="58"/>
  <c r="N405" i="58"/>
  <c r="N262" i="58" s="1"/>
  <c r="M405" i="58"/>
  <c r="M262" i="58" s="1"/>
  <c r="L405" i="58"/>
  <c r="L262" i="58" s="1"/>
  <c r="K405" i="58"/>
  <c r="K262" i="58" s="1"/>
  <c r="J405" i="58"/>
  <c r="J262" i="58" s="1"/>
  <c r="I405" i="58"/>
  <c r="N404" i="58"/>
  <c r="N261" i="58" s="1"/>
  <c r="M404" i="58"/>
  <c r="M261" i="58" s="1"/>
  <c r="L404" i="58"/>
  <c r="L261" i="58" s="1"/>
  <c r="K404" i="58"/>
  <c r="J404" i="58"/>
  <c r="J261" i="58" s="1"/>
  <c r="I404" i="58"/>
  <c r="N403" i="58"/>
  <c r="N260" i="58" s="1"/>
  <c r="M403" i="58"/>
  <c r="M260" i="58" s="1"/>
  <c r="L403" i="58"/>
  <c r="L260" i="58" s="1"/>
  <c r="K403" i="58"/>
  <c r="K260" i="58" s="1"/>
  <c r="J403" i="58"/>
  <c r="I403" i="58"/>
  <c r="I260" i="58" s="1"/>
  <c r="N402" i="58"/>
  <c r="N259" i="58" s="1"/>
  <c r="M402" i="58"/>
  <c r="M259" i="58" s="1"/>
  <c r="L402" i="58"/>
  <c r="L259" i="58" s="1"/>
  <c r="K402" i="58"/>
  <c r="K259" i="58" s="1"/>
  <c r="J402" i="58"/>
  <c r="I402" i="58"/>
  <c r="I259" i="58" s="1"/>
  <c r="N401" i="58"/>
  <c r="N258" i="58" s="1"/>
  <c r="M401" i="58"/>
  <c r="M258" i="58" s="1"/>
  <c r="L401" i="58"/>
  <c r="L258" i="58" s="1"/>
  <c r="K401" i="58"/>
  <c r="K258" i="58" s="1"/>
  <c r="J401" i="58"/>
  <c r="J258" i="58" s="1"/>
  <c r="I401" i="58"/>
  <c r="I258" i="58" s="1"/>
  <c r="N400" i="58"/>
  <c r="N257" i="58" s="1"/>
  <c r="M400" i="58"/>
  <c r="L400" i="58"/>
  <c r="L257" i="58" s="1"/>
  <c r="K400" i="58"/>
  <c r="K257" i="58" s="1"/>
  <c r="J400" i="58"/>
  <c r="J257" i="58" s="1"/>
  <c r="I400" i="58"/>
  <c r="I257" i="58" s="1"/>
  <c r="N399" i="58"/>
  <c r="N256" i="58" s="1"/>
  <c r="M399" i="58"/>
  <c r="M256" i="58" s="1"/>
  <c r="L399" i="58"/>
  <c r="L256" i="58" s="1"/>
  <c r="K399" i="58"/>
  <c r="K256" i="58" s="1"/>
  <c r="J399" i="58"/>
  <c r="J256" i="58" s="1"/>
  <c r="I399" i="58"/>
  <c r="I256" i="58" s="1"/>
  <c r="N398" i="58"/>
  <c r="N255" i="58" s="1"/>
  <c r="M398" i="58"/>
  <c r="M255" i="58" s="1"/>
  <c r="L398" i="58"/>
  <c r="L255" i="58" s="1"/>
  <c r="K398" i="58"/>
  <c r="K255" i="58" s="1"/>
  <c r="J398" i="58"/>
  <c r="I398" i="58"/>
  <c r="I255" i="58" s="1"/>
  <c r="N397" i="58"/>
  <c r="N254" i="58" s="1"/>
  <c r="M397" i="58"/>
  <c r="M254" i="58" s="1"/>
  <c r="L397" i="58"/>
  <c r="L254" i="58" s="1"/>
  <c r="K397" i="58"/>
  <c r="K254" i="58" s="1"/>
  <c r="J397" i="58"/>
  <c r="I397" i="58"/>
  <c r="I254" i="58" s="1"/>
  <c r="N396" i="58"/>
  <c r="N253" i="58" s="1"/>
  <c r="M396" i="58"/>
  <c r="M253" i="58" s="1"/>
  <c r="L396" i="58"/>
  <c r="L253" i="58" s="1"/>
  <c r="K396" i="58"/>
  <c r="K253" i="58" s="1"/>
  <c r="J396" i="58"/>
  <c r="I396" i="58"/>
  <c r="I253" i="58" s="1"/>
  <c r="E350" i="58"/>
  <c r="E213" i="58" s="1"/>
  <c r="D341" i="58"/>
  <c r="D340" i="58"/>
  <c r="L335" i="58"/>
  <c r="K335" i="58"/>
  <c r="J335" i="58"/>
  <c r="O328" i="58"/>
  <c r="N328" i="58"/>
  <c r="M328" i="58"/>
  <c r="E325" i="58"/>
  <c r="E324" i="58"/>
  <c r="E312" i="58"/>
  <c r="E303" i="58"/>
  <c r="E302" i="58"/>
  <c r="E274" i="58"/>
  <c r="N273" i="58"/>
  <c r="E273" i="58"/>
  <c r="L272" i="58"/>
  <c r="E272" i="58"/>
  <c r="J271" i="58"/>
  <c r="E271" i="58"/>
  <c r="N270" i="58"/>
  <c r="E270" i="58"/>
  <c r="N269" i="58"/>
  <c r="L269" i="58"/>
  <c r="E269" i="58"/>
  <c r="L268" i="58"/>
  <c r="E268" i="58"/>
  <c r="E267" i="58"/>
  <c r="E266" i="58"/>
  <c r="E265" i="58"/>
  <c r="E264" i="58"/>
  <c r="E263" i="58"/>
  <c r="E262" i="58"/>
  <c r="E261" i="58"/>
  <c r="E260" i="58"/>
  <c r="E259" i="58"/>
  <c r="E258" i="58"/>
  <c r="E257" i="58"/>
  <c r="E256" i="58"/>
  <c r="E255" i="58"/>
  <c r="E254" i="58"/>
  <c r="E253" i="58"/>
  <c r="D204" i="58"/>
  <c r="V200" i="58"/>
  <c r="V198" i="58"/>
  <c r="K198" i="58"/>
  <c r="H201" i="58" s="1"/>
  <c r="J198" i="58"/>
  <c r="G201" i="58" s="1"/>
  <c r="I198" i="58"/>
  <c r="F201" i="58" s="1"/>
  <c r="AJ87" i="58"/>
  <c r="AI87" i="58"/>
  <c r="AH87" i="58"/>
  <c r="AJ86" i="58"/>
  <c r="AJ99" i="58" s="1"/>
  <c r="AI86" i="58"/>
  <c r="AI99" i="58" s="1"/>
  <c r="AH86" i="58"/>
  <c r="AH99" i="58" s="1"/>
  <c r="AJ74" i="58"/>
  <c r="AJ75" i="58" s="1"/>
  <c r="AI74" i="58"/>
  <c r="AI75" i="58" s="1"/>
  <c r="AH74" i="58"/>
  <c r="AH75" i="58" s="1"/>
  <c r="AJ62" i="58"/>
  <c r="AJ63" i="58" s="1"/>
  <c r="AI62" i="58"/>
  <c r="AI63" i="58" s="1"/>
  <c r="AH62" i="58"/>
  <c r="AJ50" i="58"/>
  <c r="AJ51" i="58" s="1"/>
  <c r="AI50" i="58"/>
  <c r="AI51" i="58" s="1"/>
  <c r="AH50" i="58"/>
  <c r="AH51" i="58" s="1"/>
  <c r="AJ38" i="58"/>
  <c r="AI38" i="58"/>
  <c r="AH38" i="58"/>
  <c r="AJ37" i="58"/>
  <c r="AI37" i="58"/>
  <c r="AH37" i="58"/>
  <c r="D11" i="58"/>
  <c r="D10" i="58"/>
  <c r="AN32" i="61" l="1"/>
  <c r="AH32" i="61"/>
  <c r="AK32" i="61"/>
  <c r="AR43" i="61"/>
  <c r="AO32" i="61"/>
  <c r="AG32" i="61"/>
  <c r="AJ32" i="61"/>
  <c r="AH43" i="61"/>
  <c r="AN43" i="61"/>
  <c r="N353" i="60"/>
  <c r="Q353" i="60" s="1"/>
  <c r="F597" i="60"/>
  <c r="F358" i="60"/>
  <c r="F360" i="60" s="1"/>
  <c r="J681" i="60"/>
  <c r="H681" i="60"/>
  <c r="I681" i="60" s="1"/>
  <c r="P272" i="58"/>
  <c r="Q411" i="58"/>
  <c r="P256" i="58"/>
  <c r="P261" i="58"/>
  <c r="P265" i="58"/>
  <c r="O399" i="58"/>
  <c r="Q396" i="58"/>
  <c r="Q400" i="58"/>
  <c r="O410" i="58"/>
  <c r="O256" i="58"/>
  <c r="Q404" i="58"/>
  <c r="J187" i="58"/>
  <c r="G187" i="58" s="1"/>
  <c r="K187" i="58"/>
  <c r="H187" i="58" s="1"/>
  <c r="K328" i="58"/>
  <c r="Q328" i="58" s="1"/>
  <c r="L328" i="58"/>
  <c r="V328" i="58" s="1"/>
  <c r="O264" i="58"/>
  <c r="P263" i="58"/>
  <c r="O272" i="58"/>
  <c r="Q253" i="58"/>
  <c r="Q406" i="58"/>
  <c r="P401" i="58"/>
  <c r="O402" i="58"/>
  <c r="K261" i="58"/>
  <c r="Q261" i="58" s="1"/>
  <c r="Q272" i="58"/>
  <c r="O417" i="58"/>
  <c r="Q263" i="58"/>
  <c r="O274" i="58"/>
  <c r="O398" i="58"/>
  <c r="Q403" i="58"/>
  <c r="O258" i="58"/>
  <c r="P262" i="58"/>
  <c r="P274" i="58"/>
  <c r="P408" i="58"/>
  <c r="P416" i="58"/>
  <c r="O254" i="58"/>
  <c r="O397" i="58"/>
  <c r="P406" i="58"/>
  <c r="Q408" i="58"/>
  <c r="Q412" i="58"/>
  <c r="P414" i="58"/>
  <c r="Q414" i="58"/>
  <c r="O253" i="58"/>
  <c r="Q397" i="58"/>
  <c r="P409" i="58"/>
  <c r="Q257" i="58"/>
  <c r="O260" i="58"/>
  <c r="P273" i="58"/>
  <c r="L198" i="58"/>
  <c r="O259" i="58"/>
  <c r="O407" i="58"/>
  <c r="O409" i="58"/>
  <c r="P412" i="58"/>
  <c r="Q413" i="58"/>
  <c r="P264" i="58"/>
  <c r="O411" i="58"/>
  <c r="O415" i="58"/>
  <c r="Q416" i="58"/>
  <c r="O257" i="58"/>
  <c r="P258" i="58"/>
  <c r="Q262" i="58"/>
  <c r="Q266" i="58"/>
  <c r="Q274" i="58"/>
  <c r="P405" i="58"/>
  <c r="Q268" i="58"/>
  <c r="P404" i="58"/>
  <c r="Q405" i="58"/>
  <c r="Q260" i="58"/>
  <c r="Q264" i="58"/>
  <c r="O267" i="58"/>
  <c r="Q269" i="58"/>
  <c r="Q256" i="58"/>
  <c r="O403" i="58"/>
  <c r="P413" i="58"/>
  <c r="O404" i="58"/>
  <c r="I261" i="58"/>
  <c r="O261" i="58" s="1"/>
  <c r="P400" i="58"/>
  <c r="M257" i="58"/>
  <c r="P257" i="58" s="1"/>
  <c r="O412" i="58"/>
  <c r="I269" i="58"/>
  <c r="O269" i="58" s="1"/>
  <c r="P398" i="58"/>
  <c r="J255" i="58"/>
  <c r="P255" i="58" s="1"/>
  <c r="J254" i="58"/>
  <c r="P254" i="58" s="1"/>
  <c r="P397" i="58"/>
  <c r="O406" i="58"/>
  <c r="I263" i="58"/>
  <c r="O263" i="58" s="1"/>
  <c r="P455" i="58"/>
  <c r="J328" i="58"/>
  <c r="P328" i="58" s="1"/>
  <c r="I187" i="58"/>
  <c r="I270" i="58"/>
  <c r="O270" i="58" s="1"/>
  <c r="O413" i="58"/>
  <c r="P267" i="58"/>
  <c r="J253" i="58"/>
  <c r="P253" i="58" s="1"/>
  <c r="P396" i="58"/>
  <c r="O405" i="58"/>
  <c r="I262" i="58"/>
  <c r="O262" i="58" s="1"/>
  <c r="I271" i="58"/>
  <c r="O271" i="58" s="1"/>
  <c r="O414" i="58"/>
  <c r="O255" i="58"/>
  <c r="P269" i="58"/>
  <c r="P270" i="58"/>
  <c r="P271" i="58"/>
  <c r="Q273" i="58"/>
  <c r="Q402" i="58"/>
  <c r="Q407" i="58"/>
  <c r="P410" i="58"/>
  <c r="Q415" i="58"/>
  <c r="P417" i="58"/>
  <c r="O266" i="58"/>
  <c r="Q270" i="58"/>
  <c r="Q271" i="58"/>
  <c r="Q401" i="58"/>
  <c r="O408" i="58"/>
  <c r="Q410" i="58"/>
  <c r="O416" i="58"/>
  <c r="Q417" i="58"/>
  <c r="O265" i="58"/>
  <c r="P266" i="58"/>
  <c r="Q267" i="58"/>
  <c r="O401" i="58"/>
  <c r="Q409" i="58"/>
  <c r="O396" i="58"/>
  <c r="AF476" i="58"/>
  <c r="Q259" i="58"/>
  <c r="O273" i="58"/>
  <c r="Q255" i="58"/>
  <c r="Q258" i="58"/>
  <c r="Q265" i="58"/>
  <c r="Q399" i="58"/>
  <c r="AH39" i="58"/>
  <c r="AI39" i="58"/>
  <c r="AH63" i="58"/>
  <c r="AJ39" i="58"/>
  <c r="O268" i="58"/>
  <c r="N335" i="58"/>
  <c r="Q254" i="58"/>
  <c r="P403" i="58"/>
  <c r="J260" i="58"/>
  <c r="P260" i="58" s="1"/>
  <c r="P411" i="58"/>
  <c r="J268" i="58"/>
  <c r="P268" i="58" s="1"/>
  <c r="P402" i="58"/>
  <c r="J259" i="58"/>
  <c r="P259" i="58" s="1"/>
  <c r="O400" i="58"/>
  <c r="P399" i="58"/>
  <c r="AC462" i="58"/>
  <c r="P407" i="58"/>
  <c r="P415" i="58"/>
  <c r="Q398" i="58"/>
  <c r="AF475" i="58"/>
  <c r="AG285" i="1"/>
  <c r="G283" i="1"/>
  <c r="G282" i="1"/>
  <c r="G380" i="1" s="1"/>
  <c r="E688" i="55" s="1"/>
  <c r="E529" i="55" s="1"/>
  <c r="E408" i="55" s="1"/>
  <c r="F282" i="1"/>
  <c r="F380" i="1" s="1"/>
  <c r="G281" i="1"/>
  <c r="E388" i="58"/>
  <c r="E247" i="58" s="1"/>
  <c r="E73" i="58" s="1"/>
  <c r="G271" i="1"/>
  <c r="G262" i="1"/>
  <c r="E380" i="58"/>
  <c r="E240" i="58" s="1"/>
  <c r="E61" i="58" s="1"/>
  <c r="G252" i="1"/>
  <c r="E375" i="58"/>
  <c r="E236" i="58" s="1"/>
  <c r="E57" i="58" s="1"/>
  <c r="DR57" i="58" s="1"/>
  <c r="G243" i="1"/>
  <c r="G235" i="1"/>
  <c r="G233" i="1"/>
  <c r="G231" i="1"/>
  <c r="G334" i="1" s="1"/>
  <c r="E642" i="55" s="1"/>
  <c r="E483" i="55" s="1"/>
  <c r="E368" i="55" s="1"/>
  <c r="E77" i="55" s="1"/>
  <c r="E137" i="55" s="1"/>
  <c r="G226" i="1"/>
  <c r="G329" i="1" s="1"/>
  <c r="E637" i="55" s="1"/>
  <c r="E478" i="55" s="1"/>
  <c r="E359" i="55" s="1"/>
  <c r="E68" i="55" s="1"/>
  <c r="G225" i="1"/>
  <c r="E364" i="58"/>
  <c r="E226" i="58" s="1"/>
  <c r="E37" i="58" s="1"/>
  <c r="E94" i="58" s="1"/>
  <c r="G207" i="1"/>
  <c r="E362" i="58"/>
  <c r="E224" i="58" s="1"/>
  <c r="E35" i="58" s="1"/>
  <c r="E87" i="58" s="1"/>
  <c r="G203" i="1"/>
  <c r="E357" i="58"/>
  <c r="E220" i="58" s="1"/>
  <c r="E31" i="58" s="1"/>
  <c r="DR31" i="58" s="1"/>
  <c r="G196" i="1"/>
  <c r="G187" i="1"/>
  <c r="G296" i="1" s="1"/>
  <c r="G186" i="1"/>
  <c r="G295" i="1" s="1"/>
  <c r="G185" i="1"/>
  <c r="G294" i="1" s="1"/>
  <c r="G184" i="1"/>
  <c r="G293" i="1" s="1"/>
  <c r="G183" i="1"/>
  <c r="G292" i="1" s="1"/>
  <c r="G182" i="1"/>
  <c r="G291" i="1" s="1"/>
  <c r="G181" i="1"/>
  <c r="G290" i="1" s="1"/>
  <c r="G176" i="1"/>
  <c r="H173" i="1"/>
  <c r="H144" i="1"/>
  <c r="H143" i="1"/>
  <c r="H131" i="1"/>
  <c r="H129" i="1"/>
  <c r="H128" i="1"/>
  <c r="H106" i="1"/>
  <c r="H90" i="1"/>
  <c r="H89" i="1"/>
  <c r="H88" i="1"/>
  <c r="H87" i="1"/>
  <c r="H86" i="1"/>
  <c r="H85" i="1"/>
  <c r="H84" i="1"/>
  <c r="H73" i="1"/>
  <c r="H10" i="66" s="1"/>
  <c r="K21" i="66" s="1"/>
  <c r="H21" i="66" s="1"/>
  <c r="H72" i="1"/>
  <c r="H9" i="66" s="1"/>
  <c r="H20" i="66" s="1"/>
  <c r="G57" i="1"/>
  <c r="F36" i="1"/>
  <c r="F38" i="1" s="1"/>
  <c r="F46" i="1" s="1"/>
  <c r="F419" i="1" s="1"/>
  <c r="V428" i="61"/>
  <c r="F14" i="1"/>
  <c r="U10" i="1"/>
  <c r="T10" i="1"/>
  <c r="S10" i="1"/>
  <c r="F10" i="1"/>
  <c r="P751" i="55" s="1"/>
  <c r="R77" i="55" l="1"/>
  <c r="R529" i="55"/>
  <c r="R408" i="55" s="1"/>
  <c r="AG688" i="55"/>
  <c r="AG717" i="55"/>
  <c r="H36" i="66"/>
  <c r="H48" i="66" s="1"/>
  <c r="S704" i="55"/>
  <c r="E603" i="55"/>
  <c r="E444" i="55" s="1"/>
  <c r="E326" i="55" s="1"/>
  <c r="E25" i="55" s="1"/>
  <c r="E149" i="55" s="1"/>
  <c r="E604" i="55"/>
  <c r="E445" i="55" s="1"/>
  <c r="E327" i="55" s="1"/>
  <c r="E26" i="55" s="1"/>
  <c r="E150" i="55" s="1"/>
  <c r="E598" i="55"/>
  <c r="E599" i="55"/>
  <c r="E440" i="55" s="1"/>
  <c r="E323" i="55" s="1"/>
  <c r="E22" i="55" s="1"/>
  <c r="E600" i="55"/>
  <c r="E441" i="55" s="1"/>
  <c r="E328" i="55" s="1"/>
  <c r="E27" i="55" s="1"/>
  <c r="E601" i="55"/>
  <c r="E442" i="55" s="1"/>
  <c r="E324" i="55" s="1"/>
  <c r="E23" i="55" s="1"/>
  <c r="E138" i="55" s="1"/>
  <c r="E602" i="55"/>
  <c r="E443" i="55" s="1"/>
  <c r="E325" i="55" s="1"/>
  <c r="E24" i="55" s="1"/>
  <c r="E139" i="55" s="1"/>
  <c r="Z418" i="58"/>
  <c r="Z474" i="58" s="1"/>
  <c r="V392" i="61"/>
  <c r="AA431" i="58"/>
  <c r="W405" i="61"/>
  <c r="Z427" i="58"/>
  <c r="J427" i="58" s="1"/>
  <c r="J302" i="58" s="1"/>
  <c r="I164" i="58" s="1"/>
  <c r="V401" i="61"/>
  <c r="AA432" i="58"/>
  <c r="W406" i="61"/>
  <c r="E366" i="58"/>
  <c r="E228" i="58" s="1"/>
  <c r="E44" i="58" s="1"/>
  <c r="DR44" i="58" s="1"/>
  <c r="G328" i="1"/>
  <c r="E636" i="55" s="1"/>
  <c r="E477" i="55" s="1"/>
  <c r="E356" i="55" s="1"/>
  <c r="E65" i="55" s="1"/>
  <c r="V430" i="61"/>
  <c r="J428" i="61"/>
  <c r="AG470" i="58"/>
  <c r="AG478" i="58" s="1"/>
  <c r="AC444" i="61"/>
  <c r="AC452" i="61" s="1"/>
  <c r="E418" i="58"/>
  <c r="E275" i="58" s="1"/>
  <c r="E124" i="58" s="1"/>
  <c r="E392" i="61"/>
  <c r="AK43" i="61"/>
  <c r="AQ43" i="61"/>
  <c r="AM32" i="61"/>
  <c r="G381" i="1"/>
  <c r="E689" i="55" s="1"/>
  <c r="E530" i="55" s="1"/>
  <c r="E409" i="55" s="1"/>
  <c r="E356" i="58"/>
  <c r="E219" i="58" s="1"/>
  <c r="E30" i="58" s="1"/>
  <c r="DR30" i="58" s="1"/>
  <c r="G305" i="1"/>
  <c r="E355" i="58"/>
  <c r="E218" i="58" s="1"/>
  <c r="E24" i="58" s="1"/>
  <c r="DR24" i="58" s="1"/>
  <c r="E365" i="58"/>
  <c r="E227" i="58" s="1"/>
  <c r="E38" i="58" s="1"/>
  <c r="DR38" i="58" s="1"/>
  <c r="E374" i="58"/>
  <c r="E235" i="58" s="1"/>
  <c r="E56" i="58" s="1"/>
  <c r="DR56" i="58" s="1"/>
  <c r="G345" i="1"/>
  <c r="E653" i="55" s="1"/>
  <c r="E494" i="55" s="1"/>
  <c r="E373" i="55" s="1"/>
  <c r="E87" i="55" s="1"/>
  <c r="E384" i="58"/>
  <c r="E287" i="58" s="1"/>
  <c r="E142" i="58" s="1"/>
  <c r="DR142" i="58" s="1"/>
  <c r="E387" i="58"/>
  <c r="E246" i="58" s="1"/>
  <c r="E72" i="58" s="1"/>
  <c r="E90" i="58" s="1"/>
  <c r="G369" i="1"/>
  <c r="E677" i="55" s="1"/>
  <c r="E518" i="55" s="1"/>
  <c r="E396" i="55" s="1"/>
  <c r="E115" i="55" s="1"/>
  <c r="E376" i="58"/>
  <c r="E286" i="58" s="1"/>
  <c r="E141" i="58" s="1"/>
  <c r="DR141" i="58" s="1"/>
  <c r="E358" i="58"/>
  <c r="E284" i="58" s="1"/>
  <c r="E139" i="58" s="1"/>
  <c r="DR139" i="58" s="1"/>
  <c r="E368" i="58"/>
  <c r="E285" i="58" s="1"/>
  <c r="E140" i="58" s="1"/>
  <c r="DR140" i="58" s="1"/>
  <c r="E379" i="58"/>
  <c r="E239" i="58" s="1"/>
  <c r="E60" i="58" s="1"/>
  <c r="DR60" i="58" s="1"/>
  <c r="G352" i="1"/>
  <c r="E660" i="55" s="1"/>
  <c r="E501" i="55" s="1"/>
  <c r="E379" i="55" s="1"/>
  <c r="E93" i="55" s="1"/>
  <c r="E389" i="58"/>
  <c r="E248" i="58" s="1"/>
  <c r="E74" i="58" s="1"/>
  <c r="DR74" i="58" s="1"/>
  <c r="E361" i="58"/>
  <c r="E223" i="58" s="1"/>
  <c r="E34" i="58" s="1"/>
  <c r="E86" i="58" s="1"/>
  <c r="G312" i="1"/>
  <c r="E620" i="55" s="1"/>
  <c r="E461" i="55" s="1"/>
  <c r="E341" i="55" s="1"/>
  <c r="E45" i="55" s="1"/>
  <c r="E140" i="55" s="1"/>
  <c r="E390" i="58"/>
  <c r="E249" i="58" s="1"/>
  <c r="E106" i="58" s="1"/>
  <c r="DR106" i="58" s="1"/>
  <c r="G379" i="1"/>
  <c r="E687" i="55" s="1"/>
  <c r="E528" i="55" s="1"/>
  <c r="E407" i="55" s="1"/>
  <c r="E371" i="58"/>
  <c r="E232" i="58" s="1"/>
  <c r="E48" i="58" s="1"/>
  <c r="DR48" i="58" s="1"/>
  <c r="G335" i="1"/>
  <c r="E643" i="55" s="1"/>
  <c r="E484" i="55" s="1"/>
  <c r="E362" i="55" s="1"/>
  <c r="E71" i="55" s="1"/>
  <c r="E143" i="55" s="1"/>
  <c r="E381" i="58"/>
  <c r="E241" i="58" s="1"/>
  <c r="E62" i="58" s="1"/>
  <c r="DR62" i="58" s="1"/>
  <c r="E363" i="58"/>
  <c r="E225" i="58" s="1"/>
  <c r="E36" i="58" s="1"/>
  <c r="E93" i="58" s="1"/>
  <c r="G315" i="1"/>
  <c r="E623" i="55" s="1"/>
  <c r="E464" i="55" s="1"/>
  <c r="E344" i="55" s="1"/>
  <c r="E48" i="55" s="1"/>
  <c r="E151" i="55" s="1"/>
  <c r="E372" i="58"/>
  <c r="E233" i="58" s="1"/>
  <c r="E49" i="58" s="1"/>
  <c r="E95" i="58" s="1"/>
  <c r="G337" i="1"/>
  <c r="E645" i="55" s="1"/>
  <c r="E486" i="55" s="1"/>
  <c r="E364" i="55" s="1"/>
  <c r="E73" i="55" s="1"/>
  <c r="E154" i="55" s="1"/>
  <c r="E382" i="58"/>
  <c r="E242" i="58" s="1"/>
  <c r="E68" i="58" s="1"/>
  <c r="DR68" i="58" s="1"/>
  <c r="G362" i="1"/>
  <c r="E670" i="55" s="1"/>
  <c r="E511" i="55" s="1"/>
  <c r="E390" i="55" s="1"/>
  <c r="E109" i="55" s="1"/>
  <c r="E391" i="58"/>
  <c r="E250" i="58" s="1"/>
  <c r="E107" i="58" s="1"/>
  <c r="DR107" i="58" s="1"/>
  <c r="E373" i="58"/>
  <c r="E234" i="58" s="1"/>
  <c r="E50" i="58" s="1"/>
  <c r="DR50" i="58" s="1"/>
  <c r="E383" i="58"/>
  <c r="E243" i="58" s="1"/>
  <c r="E69" i="58" s="1"/>
  <c r="DR69" i="58" s="1"/>
  <c r="G363" i="1"/>
  <c r="E671" i="55" s="1"/>
  <c r="E512" i="55" s="1"/>
  <c r="E393" i="55" s="1"/>
  <c r="E112" i="55" s="1"/>
  <c r="E349" i="58"/>
  <c r="E212" i="58" s="1"/>
  <c r="E19" i="58" s="1"/>
  <c r="DR19" i="58" s="1"/>
  <c r="E351" i="58"/>
  <c r="E214" i="58" s="1"/>
  <c r="E20" i="58" s="1"/>
  <c r="E84" i="58" s="1"/>
  <c r="E352" i="58"/>
  <c r="E215" i="58" s="1"/>
  <c r="E21" i="58" s="1"/>
  <c r="E85" i="58" s="1"/>
  <c r="E348" i="58"/>
  <c r="E283" i="58" s="1"/>
  <c r="E138" i="58" s="1"/>
  <c r="DR138" i="58" s="1"/>
  <c r="E353" i="58"/>
  <c r="E216" i="58" s="1"/>
  <c r="E22" i="58" s="1"/>
  <c r="DR22" i="58" s="1"/>
  <c r="E354" i="58"/>
  <c r="E217" i="58" s="1"/>
  <c r="E23" i="58" s="1"/>
  <c r="E92" i="58" s="1"/>
  <c r="E346" i="58"/>
  <c r="E210" i="58" s="1"/>
  <c r="E17" i="58" s="1"/>
  <c r="DR17" i="58" s="1"/>
  <c r="E347" i="58"/>
  <c r="E211" i="58" s="1"/>
  <c r="E18" i="58" s="1"/>
  <c r="DR18" i="58" s="1"/>
  <c r="F229" i="1"/>
  <c r="F231" i="1"/>
  <c r="F334" i="1" s="1"/>
  <c r="E367" i="58"/>
  <c r="E229" i="58" s="1"/>
  <c r="E45" i="58" s="1"/>
  <c r="DR45" i="58" s="1"/>
  <c r="F226" i="1"/>
  <c r="F200" i="1"/>
  <c r="V256" i="58"/>
  <c r="V265" i="58"/>
  <c r="V264" i="58"/>
  <c r="V259" i="58"/>
  <c r="V258" i="58"/>
  <c r="V253" i="58"/>
  <c r="V263" i="58"/>
  <c r="V255" i="58"/>
  <c r="G267" i="1"/>
  <c r="G366" i="1" s="1"/>
  <c r="E674" i="55" s="1"/>
  <c r="E515" i="55" s="1"/>
  <c r="E400" i="55" s="1"/>
  <c r="E119" i="55" s="1"/>
  <c r="V260" i="58"/>
  <c r="V262" i="58"/>
  <c r="V257" i="58"/>
  <c r="V267" i="58"/>
  <c r="V271" i="58"/>
  <c r="V274" i="58"/>
  <c r="V272" i="58"/>
  <c r="V261" i="58"/>
  <c r="H11" i="66"/>
  <c r="K22" i="66" s="1"/>
  <c r="Z454" i="58"/>
  <c r="F281" i="1"/>
  <c r="E395" i="58"/>
  <c r="E291" i="58" s="1"/>
  <c r="E146" i="58" s="1"/>
  <c r="DR146" i="58" s="1"/>
  <c r="E386" i="58"/>
  <c r="E245" i="58" s="1"/>
  <c r="E71" i="58" s="1"/>
  <c r="DR71" i="58" s="1"/>
  <c r="E392" i="58"/>
  <c r="E290" i="58" s="1"/>
  <c r="F283" i="1"/>
  <c r="F381" i="1" s="1"/>
  <c r="E393" i="58"/>
  <c r="E251" i="58" s="1"/>
  <c r="E115" i="58" s="1"/>
  <c r="DR73" i="58"/>
  <c r="E97" i="58"/>
  <c r="E96" i="58"/>
  <c r="DR61" i="58"/>
  <c r="E378" i="58"/>
  <c r="E238" i="58" s="1"/>
  <c r="E59" i="58" s="1"/>
  <c r="E370" i="58"/>
  <c r="E231" i="58" s="1"/>
  <c r="E47" i="58" s="1"/>
  <c r="G229" i="1"/>
  <c r="G332" i="1" s="1"/>
  <c r="E640" i="55" s="1"/>
  <c r="E481" i="55" s="1"/>
  <c r="E366" i="55" s="1"/>
  <c r="E75" i="55" s="1"/>
  <c r="DR37" i="58"/>
  <c r="DR35" i="58"/>
  <c r="G200" i="1"/>
  <c r="G309" i="1" s="1"/>
  <c r="E617" i="55" s="1"/>
  <c r="E458" i="55" s="1"/>
  <c r="E347" i="55" s="1"/>
  <c r="E51" i="55" s="1"/>
  <c r="E360" i="58"/>
  <c r="E222" i="58" s="1"/>
  <c r="E33" i="58" s="1"/>
  <c r="L187" i="58"/>
  <c r="F187" i="58"/>
  <c r="V254" i="58"/>
  <c r="V266" i="58"/>
  <c r="V270" i="58"/>
  <c r="V269" i="58"/>
  <c r="V273" i="58"/>
  <c r="V268" i="58"/>
  <c r="G284" i="1"/>
  <c r="G382" i="1" s="1"/>
  <c r="E690" i="55" s="1"/>
  <c r="E531" i="55" s="1"/>
  <c r="E410" i="55" s="1"/>
  <c r="E147" i="55" l="1"/>
  <c r="R115" i="55"/>
  <c r="E135" i="55"/>
  <c r="R119" i="55"/>
  <c r="R93" i="55"/>
  <c r="E145" i="55"/>
  <c r="E132" i="55"/>
  <c r="R112" i="55"/>
  <c r="R73" i="55"/>
  <c r="R75" i="55"/>
  <c r="R51" i="55"/>
  <c r="W48" i="55"/>
  <c r="W45" i="55"/>
  <c r="R24" i="55"/>
  <c r="R26" i="55"/>
  <c r="R25" i="55"/>
  <c r="R27" i="55"/>
  <c r="AG642" i="55"/>
  <c r="R483" i="55"/>
  <c r="R368" i="55" s="1"/>
  <c r="R530" i="55"/>
  <c r="R409" i="55" s="1"/>
  <c r="AG689" i="55"/>
  <c r="G394" i="1"/>
  <c r="E204" i="55"/>
  <c r="Q43" i="66"/>
  <c r="K43" i="66" s="1"/>
  <c r="AC704" i="55"/>
  <c r="AS704" i="55" s="1"/>
  <c r="G392" i="1"/>
  <c r="I418" i="58"/>
  <c r="I275" i="58" s="1"/>
  <c r="I124" i="58" s="1"/>
  <c r="E613" i="55"/>
  <c r="E454" i="55" s="1"/>
  <c r="E333" i="55" s="1"/>
  <c r="E37" i="55" s="1"/>
  <c r="DR72" i="58"/>
  <c r="E249" i="61"/>
  <c r="E394" i="61"/>
  <c r="J401" i="61"/>
  <c r="J430" i="61"/>
  <c r="J301" i="61"/>
  <c r="J303" i="61" s="1"/>
  <c r="I159" i="61"/>
  <c r="V448" i="61"/>
  <c r="I392" i="61"/>
  <c r="DR36" i="58"/>
  <c r="E88" i="58"/>
  <c r="E98" i="58"/>
  <c r="E89" i="58"/>
  <c r="DR49" i="58"/>
  <c r="F379" i="1"/>
  <c r="F309" i="1"/>
  <c r="DR34" i="58"/>
  <c r="F332" i="1"/>
  <c r="F329" i="1"/>
  <c r="E91" i="58"/>
  <c r="DR21" i="58"/>
  <c r="E80" i="58"/>
  <c r="DR20" i="58"/>
  <c r="DR23" i="58"/>
  <c r="Y280" i="58"/>
  <c r="E25" i="58"/>
  <c r="DR25" i="58" s="1"/>
  <c r="E81" i="58"/>
  <c r="E385" i="58"/>
  <c r="E244" i="58" s="1"/>
  <c r="E70" i="58" s="1"/>
  <c r="DR70" i="58" s="1"/>
  <c r="E359" i="58"/>
  <c r="E221" i="58" s="1"/>
  <c r="E32" i="58" s="1"/>
  <c r="E39" i="58" s="1"/>
  <c r="DR39" i="58" s="1"/>
  <c r="Z456" i="58"/>
  <c r="J454" i="58"/>
  <c r="E145" i="58"/>
  <c r="DR145" i="58" s="1"/>
  <c r="Y281" i="58"/>
  <c r="G285" i="1"/>
  <c r="E394" i="58"/>
  <c r="E252" i="58" s="1"/>
  <c r="E116" i="58" s="1"/>
  <c r="DR115" i="58"/>
  <c r="E377" i="58"/>
  <c r="E237" i="58" s="1"/>
  <c r="E58" i="58" s="1"/>
  <c r="DR59" i="58"/>
  <c r="E369" i="58"/>
  <c r="E230" i="58" s="1"/>
  <c r="DR47" i="58"/>
  <c r="DR33" i="58"/>
  <c r="E83" i="58"/>
  <c r="V116" i="58"/>
  <c r="V107" i="58"/>
  <c r="R458" i="55" l="1"/>
  <c r="R347" i="55" s="1"/>
  <c r="AG617" i="55"/>
  <c r="AG637" i="55"/>
  <c r="R478" i="55"/>
  <c r="R359" i="55" s="1"/>
  <c r="AG640" i="55"/>
  <c r="R481" i="55"/>
  <c r="R366" i="55" s="1"/>
  <c r="AG687" i="55"/>
  <c r="R528" i="55"/>
  <c r="R407" i="55" s="1"/>
  <c r="R71" i="55"/>
  <c r="E212" i="55"/>
  <c r="E213" i="55"/>
  <c r="E203" i="55"/>
  <c r="F704" i="55"/>
  <c r="Q68" i="66" s="1"/>
  <c r="K68" i="66" s="1"/>
  <c r="F413" i="1"/>
  <c r="F410" i="1"/>
  <c r="J276" i="61"/>
  <c r="I249" i="61"/>
  <c r="E102" i="61"/>
  <c r="E251" i="61"/>
  <c r="U253" i="61" s="1"/>
  <c r="U256" i="61" s="1"/>
  <c r="E75" i="58"/>
  <c r="DR75" i="58" s="1"/>
  <c r="DR32" i="58"/>
  <c r="E420" i="58"/>
  <c r="J456" i="58"/>
  <c r="J327" i="58"/>
  <c r="J329" i="58" s="1"/>
  <c r="I181" i="58"/>
  <c r="DR116" i="58"/>
  <c r="E63" i="58"/>
  <c r="DR63" i="58" s="1"/>
  <c r="DR58" i="58"/>
  <c r="E46" i="58"/>
  <c r="E277" i="58"/>
  <c r="Y279" i="58" s="1"/>
  <c r="Y282" i="58" s="1"/>
  <c r="V124" i="58"/>
  <c r="V115" i="58"/>
  <c r="V106" i="58"/>
  <c r="F176" i="1"/>
  <c r="E104" i="55" l="1"/>
  <c r="E60" i="55"/>
  <c r="E126" i="55"/>
  <c r="E82" i="55"/>
  <c r="W47" i="55"/>
  <c r="R74" i="55"/>
  <c r="R72" i="55"/>
  <c r="W44" i="55"/>
  <c r="R94" i="55"/>
  <c r="I403" i="61"/>
  <c r="D403" i="61"/>
  <c r="E267" i="61" s="1"/>
  <c r="E126" i="61" s="1"/>
  <c r="DN126" i="61" s="1"/>
  <c r="I413" i="61"/>
  <c r="D413" i="61"/>
  <c r="E266" i="61" s="1"/>
  <c r="E109" i="61"/>
  <c r="G12" i="62"/>
  <c r="I102" i="61"/>
  <c r="I142" i="61"/>
  <c r="D429" i="58"/>
  <c r="D439" i="58"/>
  <c r="DR46" i="58"/>
  <c r="E51" i="58"/>
  <c r="DR51" i="58" s="1"/>
  <c r="E82" i="58"/>
  <c r="E99" i="58" s="1"/>
  <c r="E131" i="58" s="1"/>
  <c r="E270" i="61" l="1"/>
  <c r="U257" i="61"/>
  <c r="E125" i="61"/>
  <c r="DN125" i="61" s="1"/>
  <c r="E293" i="58"/>
  <c r="E148" i="58" s="1"/>
  <c r="DR148" i="58" s="1"/>
  <c r="Y283" i="58"/>
  <c r="I429" i="58"/>
  <c r="E292" i="58"/>
  <c r="I439" i="58"/>
  <c r="E129" i="61" l="1"/>
  <c r="G11" i="62" s="1"/>
  <c r="E147" i="58"/>
  <c r="E296" i="58"/>
  <c r="DR147" i="58" l="1"/>
  <c r="E151" i="58"/>
  <c r="R204" i="55"/>
  <c r="Z350" i="58" l="1"/>
  <c r="I350" i="58" s="1"/>
  <c r="I213" i="58" s="1"/>
  <c r="AA350" i="58"/>
  <c r="K350" i="58" s="1"/>
  <c r="K213" i="58" s="1"/>
  <c r="AB350" i="58"/>
  <c r="J350" i="58" s="1"/>
  <c r="J213" i="58" s="1"/>
  <c r="Y427" i="56"/>
  <c r="X427" i="56"/>
  <c r="W427" i="56"/>
  <c r="I402" i="56"/>
  <c r="H402" i="56"/>
  <c r="G402" i="56"/>
  <c r="Y401" i="56"/>
  <c r="X401" i="56"/>
  <c r="W401" i="56"/>
  <c r="Y395" i="56"/>
  <c r="H395" i="56" s="1"/>
  <c r="X395" i="56"/>
  <c r="I395" i="56" s="1"/>
  <c r="H164" i="56" s="1"/>
  <c r="W395" i="56"/>
  <c r="G395" i="56" s="1"/>
  <c r="F164" i="56" s="1"/>
  <c r="Y386" i="56"/>
  <c r="X386" i="56"/>
  <c r="W386" i="56"/>
  <c r="AC380" i="56"/>
  <c r="AA380" i="56"/>
  <c r="AC379" i="56"/>
  <c r="AA379" i="56"/>
  <c r="E303" i="56"/>
  <c r="E190" i="56" s="1"/>
  <c r="E20" i="56" s="1"/>
  <c r="D295" i="56"/>
  <c r="D294" i="56"/>
  <c r="I289" i="56"/>
  <c r="H289" i="56"/>
  <c r="G289" i="56"/>
  <c r="D181" i="56"/>
  <c r="H175" i="56"/>
  <c r="G175" i="56"/>
  <c r="F175" i="56"/>
  <c r="D11" i="56"/>
  <c r="D10" i="56"/>
  <c r="AB416" i="56"/>
  <c r="AA416" i="56"/>
  <c r="Z416" i="56"/>
  <c r="Y416" i="56"/>
  <c r="X416" i="56"/>
  <c r="W416" i="56"/>
  <c r="AB415" i="56"/>
  <c r="AA415" i="56"/>
  <c r="Z415" i="56"/>
  <c r="Y415" i="56"/>
  <c r="X415" i="56"/>
  <c r="W415" i="56"/>
  <c r="AC406" i="56"/>
  <c r="AC405" i="56"/>
  <c r="AD370" i="56"/>
  <c r="K358" i="56"/>
  <c r="K245" i="56" s="1"/>
  <c r="J358" i="56"/>
  <c r="J245" i="56" s="1"/>
  <c r="I358" i="56"/>
  <c r="I245" i="56" s="1"/>
  <c r="H358" i="56"/>
  <c r="H245" i="56" s="1"/>
  <c r="G358" i="56"/>
  <c r="G245" i="56" s="1"/>
  <c r="F358" i="56"/>
  <c r="F245" i="56" s="1"/>
  <c r="K357" i="56"/>
  <c r="K244" i="56" s="1"/>
  <c r="J357" i="56"/>
  <c r="J244" i="56" s="1"/>
  <c r="I357" i="56"/>
  <c r="I244" i="56" s="1"/>
  <c r="H357" i="56"/>
  <c r="H244" i="56" s="1"/>
  <c r="G357" i="56"/>
  <c r="G244" i="56" s="1"/>
  <c r="F357" i="56"/>
  <c r="F244" i="56" s="1"/>
  <c r="K356" i="56"/>
  <c r="K243" i="56" s="1"/>
  <c r="J356" i="56"/>
  <c r="J243" i="56" s="1"/>
  <c r="I356" i="56"/>
  <c r="I243" i="56" s="1"/>
  <c r="H356" i="56"/>
  <c r="H243" i="56" s="1"/>
  <c r="G356" i="56"/>
  <c r="G243" i="56" s="1"/>
  <c r="F356" i="56"/>
  <c r="F243" i="56" s="1"/>
  <c r="K355" i="56"/>
  <c r="K242" i="56" s="1"/>
  <c r="J355" i="56"/>
  <c r="J242" i="56" s="1"/>
  <c r="I355" i="56"/>
  <c r="I242" i="56" s="1"/>
  <c r="H355" i="56"/>
  <c r="H242" i="56" s="1"/>
  <c r="G355" i="56"/>
  <c r="G242" i="56" s="1"/>
  <c r="F355" i="56"/>
  <c r="F242" i="56" s="1"/>
  <c r="K354" i="56"/>
  <c r="K241" i="56" s="1"/>
  <c r="J354" i="56"/>
  <c r="J241" i="56" s="1"/>
  <c r="I354" i="56"/>
  <c r="I241" i="56" s="1"/>
  <c r="H354" i="56"/>
  <c r="H241" i="56" s="1"/>
  <c r="G354" i="56"/>
  <c r="G241" i="56" s="1"/>
  <c r="F354" i="56"/>
  <c r="F241" i="56" s="1"/>
  <c r="K353" i="56"/>
  <c r="K240" i="56" s="1"/>
  <c r="J353" i="56"/>
  <c r="J240" i="56" s="1"/>
  <c r="I353" i="56"/>
  <c r="I240" i="56" s="1"/>
  <c r="H353" i="56"/>
  <c r="H240" i="56" s="1"/>
  <c r="G353" i="56"/>
  <c r="G240" i="56" s="1"/>
  <c r="F353" i="56"/>
  <c r="F240" i="56" s="1"/>
  <c r="K352" i="56"/>
  <c r="K239" i="56" s="1"/>
  <c r="J352" i="56"/>
  <c r="J239" i="56" s="1"/>
  <c r="I352" i="56"/>
  <c r="I239" i="56" s="1"/>
  <c r="H352" i="56"/>
  <c r="H239" i="56" s="1"/>
  <c r="G352" i="56"/>
  <c r="G239" i="56" s="1"/>
  <c r="F352" i="56"/>
  <c r="F239" i="56" s="1"/>
  <c r="K351" i="56"/>
  <c r="K238" i="56" s="1"/>
  <c r="J351" i="56"/>
  <c r="J238" i="56" s="1"/>
  <c r="I351" i="56"/>
  <c r="I238" i="56" s="1"/>
  <c r="H351" i="56"/>
  <c r="H238" i="56" s="1"/>
  <c r="G351" i="56"/>
  <c r="G238" i="56" s="1"/>
  <c r="F351" i="56"/>
  <c r="F238" i="56" s="1"/>
  <c r="K350" i="56"/>
  <c r="K237" i="56" s="1"/>
  <c r="J350" i="56"/>
  <c r="J237" i="56" s="1"/>
  <c r="I350" i="56"/>
  <c r="I237" i="56" s="1"/>
  <c r="H350" i="56"/>
  <c r="H237" i="56" s="1"/>
  <c r="G350" i="56"/>
  <c r="G237" i="56" s="1"/>
  <c r="F350" i="56"/>
  <c r="F237" i="56" s="1"/>
  <c r="K349" i="56"/>
  <c r="K236" i="56" s="1"/>
  <c r="J349" i="56"/>
  <c r="J236" i="56" s="1"/>
  <c r="I349" i="56"/>
  <c r="I236" i="56" s="1"/>
  <c r="H349" i="56"/>
  <c r="H236" i="56" s="1"/>
  <c r="G349" i="56"/>
  <c r="F349" i="56"/>
  <c r="F236" i="56" s="1"/>
  <c r="K348" i="56"/>
  <c r="K235" i="56" s="1"/>
  <c r="J348" i="56"/>
  <c r="J235" i="56" s="1"/>
  <c r="I348" i="56"/>
  <c r="I235" i="56" s="1"/>
  <c r="H348" i="56"/>
  <c r="H235" i="56" s="1"/>
  <c r="G348" i="56"/>
  <c r="G235" i="56" s="1"/>
  <c r="F348" i="56"/>
  <c r="F235" i="56" s="1"/>
  <c r="K347" i="56"/>
  <c r="K234" i="56" s="1"/>
  <c r="J347" i="56"/>
  <c r="J234" i="56" s="1"/>
  <c r="I347" i="56"/>
  <c r="I234" i="56" s="1"/>
  <c r="H347" i="56"/>
  <c r="H234" i="56" s="1"/>
  <c r="G347" i="56"/>
  <c r="G234" i="56" s="1"/>
  <c r="F347" i="56"/>
  <c r="F234" i="56" s="1"/>
  <c r="K346" i="56"/>
  <c r="J346" i="56"/>
  <c r="J233" i="56" s="1"/>
  <c r="I346" i="56"/>
  <c r="I233" i="56" s="1"/>
  <c r="H346" i="56"/>
  <c r="H233" i="56" s="1"/>
  <c r="G346" i="56"/>
  <c r="G233" i="56" s="1"/>
  <c r="F346" i="56"/>
  <c r="K345" i="56"/>
  <c r="K232" i="56" s="1"/>
  <c r="J345" i="56"/>
  <c r="J232" i="56" s="1"/>
  <c r="I345" i="56"/>
  <c r="I232" i="56" s="1"/>
  <c r="H345" i="56"/>
  <c r="H232" i="56" s="1"/>
  <c r="G345" i="56"/>
  <c r="G232" i="56" s="1"/>
  <c r="F345" i="56"/>
  <c r="F232" i="56" s="1"/>
  <c r="K344" i="56"/>
  <c r="K231" i="56" s="1"/>
  <c r="J344" i="56"/>
  <c r="J231" i="56" s="1"/>
  <c r="I344" i="56"/>
  <c r="I231" i="56" s="1"/>
  <c r="H344" i="56"/>
  <c r="G344" i="56"/>
  <c r="G231" i="56" s="1"/>
  <c r="F344" i="56"/>
  <c r="F231" i="56" s="1"/>
  <c r="K343" i="56"/>
  <c r="K230" i="56" s="1"/>
  <c r="J343" i="56"/>
  <c r="J230" i="56" s="1"/>
  <c r="I343" i="56"/>
  <c r="I230" i="56" s="1"/>
  <c r="H343" i="56"/>
  <c r="H230" i="56" s="1"/>
  <c r="G343" i="56"/>
  <c r="G230" i="56" s="1"/>
  <c r="F343" i="56"/>
  <c r="F230" i="56" s="1"/>
  <c r="K342" i="56"/>
  <c r="K229" i="56" s="1"/>
  <c r="J342" i="56"/>
  <c r="J229" i="56" s="1"/>
  <c r="I342" i="56"/>
  <c r="I229" i="56" s="1"/>
  <c r="H342" i="56"/>
  <c r="H229" i="56" s="1"/>
  <c r="G342" i="56"/>
  <c r="G229" i="56" s="1"/>
  <c r="F342" i="56"/>
  <c r="F229" i="56" s="1"/>
  <c r="K341" i="56"/>
  <c r="K228" i="56" s="1"/>
  <c r="J341" i="56"/>
  <c r="J228" i="56" s="1"/>
  <c r="I341" i="56"/>
  <c r="I228" i="56" s="1"/>
  <c r="H341" i="56"/>
  <c r="H228" i="56" s="1"/>
  <c r="G341" i="56"/>
  <c r="G228" i="56" s="1"/>
  <c r="F341" i="56"/>
  <c r="F228" i="56" s="1"/>
  <c r="K340" i="56"/>
  <c r="K227" i="56" s="1"/>
  <c r="J340" i="56"/>
  <c r="J227" i="56" s="1"/>
  <c r="I340" i="56"/>
  <c r="I227" i="56" s="1"/>
  <c r="H340" i="56"/>
  <c r="H227" i="56" s="1"/>
  <c r="G340" i="56"/>
  <c r="G227" i="56" s="1"/>
  <c r="F340" i="56"/>
  <c r="F227" i="56" s="1"/>
  <c r="K339" i="56"/>
  <c r="K226" i="56" s="1"/>
  <c r="J339" i="56"/>
  <c r="J226" i="56" s="1"/>
  <c r="I339" i="56"/>
  <c r="I226" i="56" s="1"/>
  <c r="H339" i="56"/>
  <c r="H226" i="56" s="1"/>
  <c r="G339" i="56"/>
  <c r="G226" i="56" s="1"/>
  <c r="F339" i="56"/>
  <c r="F226" i="56" s="1"/>
  <c r="K338" i="56"/>
  <c r="K225" i="56" s="1"/>
  <c r="J338" i="56"/>
  <c r="J225" i="56" s="1"/>
  <c r="I338" i="56"/>
  <c r="I225" i="56" s="1"/>
  <c r="H338" i="56"/>
  <c r="H225" i="56" s="1"/>
  <c r="G338" i="56"/>
  <c r="G225" i="56" s="1"/>
  <c r="F338" i="56"/>
  <c r="F225" i="56" s="1"/>
  <c r="K337" i="56"/>
  <c r="K224" i="56" s="1"/>
  <c r="J337" i="56"/>
  <c r="J224" i="56" s="1"/>
  <c r="I337" i="56"/>
  <c r="I224" i="56" s="1"/>
  <c r="H337" i="56"/>
  <c r="H224" i="56" s="1"/>
  <c r="G337" i="56"/>
  <c r="F337" i="56"/>
  <c r="P282" i="56"/>
  <c r="K282" i="56"/>
  <c r="J282" i="56"/>
  <c r="E279" i="56"/>
  <c r="E278" i="56"/>
  <c r="E266" i="56"/>
  <c r="E257" i="56"/>
  <c r="E256" i="56"/>
  <c r="E245" i="56"/>
  <c r="E244" i="56"/>
  <c r="E243" i="56"/>
  <c r="E242" i="56"/>
  <c r="E241" i="56"/>
  <c r="E240" i="56"/>
  <c r="E239" i="56"/>
  <c r="E238" i="56"/>
  <c r="E237" i="56"/>
  <c r="E236" i="56"/>
  <c r="E235" i="56"/>
  <c r="E234" i="56"/>
  <c r="E233" i="56"/>
  <c r="E232" i="56"/>
  <c r="E231" i="56"/>
  <c r="E230" i="56"/>
  <c r="E229" i="56"/>
  <c r="E228" i="56"/>
  <c r="E227" i="56"/>
  <c r="E226" i="56"/>
  <c r="E225" i="56"/>
  <c r="E224" i="56"/>
  <c r="O187" i="56"/>
  <c r="N187" i="56"/>
  <c r="M187" i="56"/>
  <c r="L187" i="56"/>
  <c r="S177" i="56"/>
  <c r="S175" i="56"/>
  <c r="N96" i="56"/>
  <c r="M96" i="56"/>
  <c r="L96" i="56"/>
  <c r="AG84" i="56"/>
  <c r="AF84" i="56"/>
  <c r="AE84" i="56"/>
  <c r="AG83" i="56"/>
  <c r="AF83" i="56"/>
  <c r="AE83" i="56"/>
  <c r="N72" i="56"/>
  <c r="M72" i="56"/>
  <c r="L72" i="56"/>
  <c r="AG71" i="56"/>
  <c r="AG72" i="56" s="1"/>
  <c r="AF71" i="56"/>
  <c r="AF72" i="56" s="1"/>
  <c r="AE71" i="56"/>
  <c r="AE72" i="56" s="1"/>
  <c r="N61" i="56"/>
  <c r="M61" i="56"/>
  <c r="L61" i="56"/>
  <c r="AG60" i="56"/>
  <c r="AF60" i="56"/>
  <c r="AF61" i="56" s="1"/>
  <c r="AE60" i="56"/>
  <c r="N50" i="56"/>
  <c r="M50" i="56"/>
  <c r="L50" i="56"/>
  <c r="AG49" i="56"/>
  <c r="AG50" i="56" s="1"/>
  <c r="AF49" i="56"/>
  <c r="AF50" i="56" s="1"/>
  <c r="AE49" i="56"/>
  <c r="AE50" i="56" s="1"/>
  <c r="N39" i="56"/>
  <c r="M39" i="56"/>
  <c r="L39" i="56"/>
  <c r="AG38" i="56"/>
  <c r="AF38" i="56"/>
  <c r="AE38" i="56"/>
  <c r="AG37" i="56"/>
  <c r="AF37" i="56"/>
  <c r="AE37" i="56"/>
  <c r="N25" i="56"/>
  <c r="M25" i="56"/>
  <c r="L25" i="56"/>
  <c r="P240" i="56" l="1"/>
  <c r="V131" i="58"/>
  <c r="P229" i="56"/>
  <c r="Q344" i="56"/>
  <c r="P337" i="56"/>
  <c r="R225" i="56"/>
  <c r="R227" i="56"/>
  <c r="Q229" i="56"/>
  <c r="P346" i="56"/>
  <c r="R229" i="56"/>
  <c r="R234" i="56"/>
  <c r="R244" i="56"/>
  <c r="Q230" i="56"/>
  <c r="Q349" i="56"/>
  <c r="R344" i="56"/>
  <c r="P232" i="56"/>
  <c r="R346" i="56"/>
  <c r="P225" i="56"/>
  <c r="R232" i="56"/>
  <c r="Q238" i="56"/>
  <c r="Q242" i="56"/>
  <c r="Q226" i="56"/>
  <c r="P226" i="56"/>
  <c r="R237" i="56"/>
  <c r="Q234" i="56"/>
  <c r="R236" i="56"/>
  <c r="R224" i="56"/>
  <c r="G236" i="56"/>
  <c r="Q236" i="56" s="1"/>
  <c r="Q337" i="56"/>
  <c r="P345" i="56"/>
  <c r="R226" i="56"/>
  <c r="R228" i="56"/>
  <c r="H231" i="56"/>
  <c r="R231" i="56" s="1"/>
  <c r="K233" i="56"/>
  <c r="R233" i="56" s="1"/>
  <c r="P243" i="56"/>
  <c r="P245" i="56"/>
  <c r="R337" i="56"/>
  <c r="Q345" i="56"/>
  <c r="Q237" i="56"/>
  <c r="F224" i="56"/>
  <c r="P224" i="56" s="1"/>
  <c r="Q227" i="56"/>
  <c r="F233" i="56"/>
  <c r="P233" i="56" s="1"/>
  <c r="P239" i="56"/>
  <c r="R242" i="56"/>
  <c r="R349" i="56"/>
  <c r="P241" i="56"/>
  <c r="P338" i="56"/>
  <c r="R339" i="56"/>
  <c r="Q243" i="56"/>
  <c r="P244" i="56"/>
  <c r="R245" i="56"/>
  <c r="P228" i="56"/>
  <c r="AF39" i="56"/>
  <c r="R235" i="56"/>
  <c r="K289" i="56"/>
  <c r="W303" i="56"/>
  <c r="F303" i="56" s="1"/>
  <c r="X303" i="56"/>
  <c r="H303" i="56" s="1"/>
  <c r="Y303" i="56"/>
  <c r="G303" i="56" s="1"/>
  <c r="G190" i="56" s="1"/>
  <c r="G20" i="56" s="1"/>
  <c r="G81" i="56" s="1"/>
  <c r="E81" i="56"/>
  <c r="O81" i="56" s="1"/>
  <c r="DM20" i="56"/>
  <c r="O20" i="56"/>
  <c r="AG39" i="56"/>
  <c r="P230" i="56"/>
  <c r="R241" i="56"/>
  <c r="Q228" i="56"/>
  <c r="P347" i="56"/>
  <c r="R348" i="56"/>
  <c r="P238" i="56"/>
  <c r="R239" i="56"/>
  <c r="P242" i="56"/>
  <c r="R243" i="56"/>
  <c r="G224" i="56"/>
  <c r="Q224" i="56" s="1"/>
  <c r="P234" i="56"/>
  <c r="Q245" i="56"/>
  <c r="P340" i="56"/>
  <c r="P344" i="56"/>
  <c r="Q347" i="56"/>
  <c r="P235" i="56"/>
  <c r="P236" i="56"/>
  <c r="P237" i="56"/>
  <c r="Q240" i="56"/>
  <c r="Q340" i="56"/>
  <c r="Q346" i="56"/>
  <c r="R347" i="56"/>
  <c r="P350" i="56"/>
  <c r="AC416" i="56"/>
  <c r="P227" i="56"/>
  <c r="P231" i="56"/>
  <c r="Q232" i="56"/>
  <c r="Q233" i="56"/>
  <c r="R240" i="56"/>
  <c r="P339" i="56"/>
  <c r="R340" i="56"/>
  <c r="R345" i="56"/>
  <c r="Q350" i="56"/>
  <c r="Q231" i="56"/>
  <c r="Q339" i="56"/>
  <c r="P349" i="56"/>
  <c r="R350" i="56"/>
  <c r="Q235" i="56"/>
  <c r="AG61" i="56"/>
  <c r="AE39" i="56"/>
  <c r="AE61" i="56"/>
  <c r="DO20" i="56"/>
  <c r="DP20" i="56" s="1"/>
  <c r="AE96" i="56"/>
  <c r="AF96" i="56"/>
  <c r="R230" i="56"/>
  <c r="AG96" i="56"/>
  <c r="Q239" i="56"/>
  <c r="Q244" i="56"/>
  <c r="H282" i="56"/>
  <c r="R282" i="56" s="1"/>
  <c r="R395" i="56"/>
  <c r="G164" i="56"/>
  <c r="Q225" i="56"/>
  <c r="R238" i="56"/>
  <c r="Q241" i="56"/>
  <c r="I282" i="56"/>
  <c r="S395" i="56"/>
  <c r="G282" i="56"/>
  <c r="Q282" i="56" s="1"/>
  <c r="Q395" i="56"/>
  <c r="Q338" i="56"/>
  <c r="P348" i="56"/>
  <c r="R338" i="56"/>
  <c r="Q348" i="56"/>
  <c r="AC415" i="56"/>
  <c r="S244" i="56" l="1"/>
  <c r="S229" i="56"/>
  <c r="S225" i="56"/>
  <c r="S232" i="56"/>
  <c r="S237" i="56"/>
  <c r="S226" i="56"/>
  <c r="S230" i="56"/>
  <c r="S231" i="56"/>
  <c r="S224" i="56"/>
  <c r="S227" i="56"/>
  <c r="S243" i="56"/>
  <c r="S242" i="56"/>
  <c r="S236" i="56"/>
  <c r="S238" i="56"/>
  <c r="S241" i="56"/>
  <c r="S245" i="56"/>
  <c r="S234" i="56"/>
  <c r="S233" i="56"/>
  <c r="S228" i="56"/>
  <c r="S239" i="56"/>
  <c r="H190" i="56"/>
  <c r="S235" i="56"/>
  <c r="S240" i="56"/>
  <c r="F190" i="56"/>
  <c r="S282" i="56"/>
  <c r="H20" i="56" l="1"/>
  <c r="F20" i="56"/>
  <c r="H81" i="56" l="1"/>
  <c r="F81" i="56"/>
  <c r="DN20" i="56"/>
  <c r="M67" i="1" l="1"/>
  <c r="K67" i="1" l="1"/>
  <c r="L67" i="1"/>
  <c r="N37" i="1"/>
  <c r="Q37" i="1" s="1"/>
  <c r="M37" i="1"/>
  <c r="P37" i="1" s="1"/>
  <c r="L37" i="1"/>
  <c r="O37" i="1" s="1"/>
  <c r="L36" i="1"/>
  <c r="N36" i="1"/>
  <c r="M36" i="1"/>
  <c r="Q37" i="54"/>
  <c r="F182" i="1"/>
  <c r="F183" i="1"/>
  <c r="F262" i="1"/>
  <c r="F243" i="1"/>
  <c r="F225" i="1"/>
  <c r="F196" i="1"/>
  <c r="N38" i="1" l="1"/>
  <c r="M38" i="1"/>
  <c r="R37" i="1"/>
  <c r="L38" i="1"/>
  <c r="F362" i="1"/>
  <c r="F291" i="1"/>
  <c r="R440" i="55" s="1"/>
  <c r="R323" i="55" s="1"/>
  <c r="F328" i="1"/>
  <c r="F292" i="1"/>
  <c r="R441" i="55" s="1"/>
  <c r="R328" i="55" s="1"/>
  <c r="F305" i="1"/>
  <c r="R454" i="55" s="1"/>
  <c r="R333" i="55" s="1"/>
  <c r="F345" i="1"/>
  <c r="E333" i="56"/>
  <c r="E220" i="56" s="1"/>
  <c r="E70" i="56" s="1"/>
  <c r="DO70" i="56" s="1"/>
  <c r="E332" i="56"/>
  <c r="E219" i="56" s="1"/>
  <c r="E69" i="56" s="1"/>
  <c r="E87" i="56" s="1"/>
  <c r="E326" i="56"/>
  <c r="E213" i="56" s="1"/>
  <c r="E58" i="56" s="1"/>
  <c r="DO58" i="56" s="1"/>
  <c r="E325" i="56"/>
  <c r="E212" i="56" s="1"/>
  <c r="E57" i="56" s="1"/>
  <c r="DO57" i="56" s="1"/>
  <c r="E319" i="56"/>
  <c r="E206" i="56" s="1"/>
  <c r="E46" i="56" s="1"/>
  <c r="DO46" i="56" s="1"/>
  <c r="E318" i="56"/>
  <c r="E205" i="56" s="1"/>
  <c r="E45" i="56" s="1"/>
  <c r="DO45" i="56" s="1"/>
  <c r="E310" i="56"/>
  <c r="E197" i="56" s="1"/>
  <c r="E32" i="56" s="1"/>
  <c r="DO32" i="56" s="1"/>
  <c r="E309" i="56"/>
  <c r="E196" i="56" s="1"/>
  <c r="E31" i="56" s="1"/>
  <c r="DO31" i="56" s="1"/>
  <c r="E301" i="56"/>
  <c r="E188" i="56" s="1"/>
  <c r="E18" i="56" s="1"/>
  <c r="DO18" i="56" s="1"/>
  <c r="E335" i="56"/>
  <c r="E222" i="56" s="1"/>
  <c r="E103" i="56" s="1"/>
  <c r="E328" i="56"/>
  <c r="E215" i="56" s="1"/>
  <c r="E60" i="56" s="1"/>
  <c r="E302" i="56"/>
  <c r="E189" i="56" s="1"/>
  <c r="E19" i="56" s="1"/>
  <c r="E321" i="56"/>
  <c r="E208" i="56" s="1"/>
  <c r="E48" i="56" s="1"/>
  <c r="C36" i="54"/>
  <c r="Q43" i="54"/>
  <c r="Q44" i="54" s="1"/>
  <c r="R69" i="55"/>
  <c r="E36" i="54"/>
  <c r="F36" i="54"/>
  <c r="G36" i="54"/>
  <c r="H36" i="54"/>
  <c r="I36" i="54"/>
  <c r="J36" i="54"/>
  <c r="K36" i="54"/>
  <c r="L36" i="54"/>
  <c r="Q54" i="54"/>
  <c r="Q60" i="54" s="1"/>
  <c r="Q58" i="54"/>
  <c r="Q64" i="54" s="1"/>
  <c r="Q57" i="54"/>
  <c r="Q63" i="54" s="1"/>
  <c r="Q56" i="54"/>
  <c r="Q62" i="54" s="1"/>
  <c r="Q55" i="54"/>
  <c r="Q61" i="54" s="1"/>
  <c r="AG636" i="55" l="1"/>
  <c r="R477" i="55"/>
  <c r="R356" i="55" s="1"/>
  <c r="AG670" i="55"/>
  <c r="R511" i="55"/>
  <c r="R390" i="55" s="1"/>
  <c r="AG653" i="55"/>
  <c r="R494" i="55"/>
  <c r="R373" i="55" s="1"/>
  <c r="AG613" i="55"/>
  <c r="AG600" i="55"/>
  <c r="AG599" i="55"/>
  <c r="F405" i="1"/>
  <c r="F408" i="1"/>
  <c r="DO69" i="56"/>
  <c r="E94" i="56"/>
  <c r="E86" i="56"/>
  <c r="E312" i="56"/>
  <c r="E199" i="56" s="1"/>
  <c r="E34" i="56" s="1"/>
  <c r="DO19" i="56"/>
  <c r="E79" i="56"/>
  <c r="DO48" i="56"/>
  <c r="E92" i="56"/>
  <c r="E327" i="56"/>
  <c r="E214" i="56" s="1"/>
  <c r="E59" i="56" s="1"/>
  <c r="R19" i="55"/>
  <c r="S19" i="55" s="1"/>
  <c r="DO60" i="56"/>
  <c r="DO103" i="56"/>
  <c r="E334" i="56"/>
  <c r="E221" i="56" s="1"/>
  <c r="E71" i="56" s="1"/>
  <c r="E320" i="56"/>
  <c r="E207" i="56" s="1"/>
  <c r="E47" i="56" s="1"/>
  <c r="R68" i="55"/>
  <c r="P22" i="54"/>
  <c r="C22" i="54" s="1"/>
  <c r="P27" i="54"/>
  <c r="C27" i="54" s="1"/>
  <c r="P6" i="54"/>
  <c r="C6" i="54" s="1"/>
  <c r="P17" i="54"/>
  <c r="C17" i="54" s="1"/>
  <c r="P12" i="54" l="1"/>
  <c r="C12" i="54" s="1"/>
  <c r="R113" i="55"/>
  <c r="E85" i="56"/>
  <c r="DO47" i="56"/>
  <c r="E93" i="56"/>
  <c r="DO59" i="56"/>
  <c r="E311" i="56"/>
  <c r="E198" i="56" s="1"/>
  <c r="E33" i="56" s="1"/>
  <c r="E83" i="56"/>
  <c r="DO34" i="56"/>
  <c r="DO71" i="56"/>
  <c r="R41" i="55" l="1"/>
  <c r="S41" i="55" s="1"/>
  <c r="P11" i="54"/>
  <c r="C11" i="54" s="1"/>
  <c r="DO33" i="56"/>
  <c r="F284" i="1" l="1"/>
  <c r="F382" i="1" s="1"/>
  <c r="E336" i="56"/>
  <c r="E223" i="56" s="1"/>
  <c r="E111" i="56" s="1"/>
  <c r="DO111" i="56" s="1"/>
  <c r="E330" i="56"/>
  <c r="E217" i="56" s="1"/>
  <c r="E67" i="56" s="1"/>
  <c r="DO67" i="56" s="1"/>
  <c r="E331" i="56"/>
  <c r="E218" i="56" s="1"/>
  <c r="E68" i="56" s="1"/>
  <c r="E80" i="56" s="1"/>
  <c r="E329" i="56"/>
  <c r="E216" i="56" s="1"/>
  <c r="E66" i="56" s="1"/>
  <c r="DO66" i="56" s="1"/>
  <c r="E324" i="56"/>
  <c r="E211" i="56" s="1"/>
  <c r="E56" i="56" s="1"/>
  <c r="E323" i="56"/>
  <c r="E210" i="56" s="1"/>
  <c r="E55" i="56" s="1"/>
  <c r="DO55" i="56" s="1"/>
  <c r="E322" i="56"/>
  <c r="E209" i="56" s="1"/>
  <c r="E49" i="56" s="1"/>
  <c r="E317" i="56"/>
  <c r="E204" i="56" s="1"/>
  <c r="E44" i="56" s="1"/>
  <c r="DO44" i="56" s="1"/>
  <c r="E315" i="56"/>
  <c r="E202" i="56" s="1"/>
  <c r="E37" i="56" s="1"/>
  <c r="E91" i="56" s="1"/>
  <c r="E316" i="56"/>
  <c r="E203" i="56" s="1"/>
  <c r="E38" i="56" s="1"/>
  <c r="DO38" i="56" s="1"/>
  <c r="E314" i="56"/>
  <c r="E201" i="56" s="1"/>
  <c r="E36" i="56" s="1"/>
  <c r="E90" i="56" s="1"/>
  <c r="E313" i="56"/>
  <c r="E200" i="56" s="1"/>
  <c r="E35" i="56" s="1"/>
  <c r="DO35" i="56" s="1"/>
  <c r="F271" i="1"/>
  <c r="F252" i="1"/>
  <c r="F235" i="1"/>
  <c r="F233" i="1"/>
  <c r="F203" i="1"/>
  <c r="F207" i="1"/>
  <c r="F187" i="1"/>
  <c r="F185" i="1"/>
  <c r="F184" i="1"/>
  <c r="F186" i="1"/>
  <c r="AG690" i="55" l="1"/>
  <c r="R531" i="55"/>
  <c r="R410" i="55" s="1"/>
  <c r="AG708" i="55"/>
  <c r="F414" i="1"/>
  <c r="F315" i="1"/>
  <c r="F295" i="1"/>
  <c r="F335" i="1"/>
  <c r="F293" i="1"/>
  <c r="F312" i="1"/>
  <c r="F337" i="1"/>
  <c r="F294" i="1"/>
  <c r="R443" i="55" s="1"/>
  <c r="R325" i="55" s="1"/>
  <c r="F352" i="1"/>
  <c r="F296" i="1"/>
  <c r="R445" i="55" s="1"/>
  <c r="R327" i="55" s="1"/>
  <c r="F369" i="1"/>
  <c r="F411" i="1" s="1"/>
  <c r="R213" i="55"/>
  <c r="E61" i="56"/>
  <c r="DO61" i="56" s="1"/>
  <c r="E72" i="56"/>
  <c r="DO72" i="56" s="1"/>
  <c r="DO36" i="56"/>
  <c r="DO68" i="56"/>
  <c r="DO37" i="56"/>
  <c r="E78" i="56"/>
  <c r="DO56" i="56"/>
  <c r="DO49" i="56"/>
  <c r="E50" i="56"/>
  <c r="DO50" i="56" s="1"/>
  <c r="E84" i="56"/>
  <c r="E308" i="56"/>
  <c r="E195" i="56" s="1"/>
  <c r="E30" i="56" s="1"/>
  <c r="DO30" i="56" s="1"/>
  <c r="E306" i="56"/>
  <c r="E193" i="56" s="1"/>
  <c r="E23" i="56" s="1"/>
  <c r="E89" i="56" s="1"/>
  <c r="E307" i="56"/>
  <c r="E194" i="56" s="1"/>
  <c r="E24" i="56" s="1"/>
  <c r="E95" i="56" s="1"/>
  <c r="E305" i="56"/>
  <c r="E192" i="56" s="1"/>
  <c r="E22" i="56" s="1"/>
  <c r="E88" i="56" s="1"/>
  <c r="E304" i="56"/>
  <c r="E191" i="56" s="1"/>
  <c r="E21" i="56" s="1"/>
  <c r="DO21" i="56" s="1"/>
  <c r="J208" i="53"/>
  <c r="E329" i="19"/>
  <c r="E222" i="19" s="1"/>
  <c r="E59" i="19" s="1"/>
  <c r="J205" i="53"/>
  <c r="R135" i="53"/>
  <c r="R134" i="53"/>
  <c r="R133" i="53"/>
  <c r="R132" i="53"/>
  <c r="R131" i="53"/>
  <c r="R130" i="53"/>
  <c r="R129" i="53"/>
  <c r="R128" i="53"/>
  <c r="R111" i="53"/>
  <c r="R110" i="53"/>
  <c r="R109" i="53"/>
  <c r="R108" i="53"/>
  <c r="R107" i="53"/>
  <c r="R106" i="53"/>
  <c r="R105" i="53"/>
  <c r="R104" i="53"/>
  <c r="R87" i="53"/>
  <c r="R86" i="53"/>
  <c r="R85" i="53"/>
  <c r="R84" i="53"/>
  <c r="R83" i="53"/>
  <c r="R82" i="53"/>
  <c r="R81" i="53"/>
  <c r="R80" i="53"/>
  <c r="R63" i="53"/>
  <c r="R62" i="53"/>
  <c r="R61" i="53"/>
  <c r="R60" i="53"/>
  <c r="R59" i="53"/>
  <c r="R58" i="53"/>
  <c r="R57" i="53"/>
  <c r="R56" i="53"/>
  <c r="R47" i="53"/>
  <c r="R46" i="53"/>
  <c r="R45" i="53"/>
  <c r="R44" i="53"/>
  <c r="Q39" i="53"/>
  <c r="Q134" i="53" s="1"/>
  <c r="S134" i="53" s="1"/>
  <c r="Q38" i="53"/>
  <c r="Q80" i="53" s="1"/>
  <c r="M203" i="53"/>
  <c r="E340" i="19"/>
  <c r="E233" i="19" s="1"/>
  <c r="E75" i="19" s="1"/>
  <c r="H5" i="40"/>
  <c r="D10" i="55"/>
  <c r="K57" i="1"/>
  <c r="G110" i="37"/>
  <c r="E9" i="9"/>
  <c r="T40" i="54"/>
  <c r="S40" i="54"/>
  <c r="R40" i="54"/>
  <c r="T285" i="1"/>
  <c r="U285" i="1"/>
  <c r="V285" i="1"/>
  <c r="W285" i="1"/>
  <c r="X285" i="1"/>
  <c r="Y285" i="1"/>
  <c r="Z285" i="1"/>
  <c r="AA285" i="1"/>
  <c r="AB285" i="1"/>
  <c r="AC285" i="1"/>
  <c r="AD285" i="1"/>
  <c r="AE285" i="1"/>
  <c r="AF285" i="1"/>
  <c r="AH285" i="1"/>
  <c r="AI285" i="1"/>
  <c r="AJ285" i="1"/>
  <c r="AK285" i="1"/>
  <c r="AL285" i="1"/>
  <c r="AM285" i="1"/>
  <c r="AN285" i="1"/>
  <c r="AO285" i="1"/>
  <c r="AP285" i="1"/>
  <c r="AQ285" i="1"/>
  <c r="AA374" i="19"/>
  <c r="K282" i="19"/>
  <c r="Y756" i="55"/>
  <c r="Y755" i="55"/>
  <c r="H745" i="55"/>
  <c r="I745" i="55"/>
  <c r="H295" i="55" s="1"/>
  <c r="G745" i="55"/>
  <c r="F295" i="55" s="1"/>
  <c r="L580" i="55"/>
  <c r="K580" i="55"/>
  <c r="J580" i="55"/>
  <c r="E577" i="55"/>
  <c r="E576" i="55"/>
  <c r="E564" i="55"/>
  <c r="E555" i="55"/>
  <c r="E554" i="55"/>
  <c r="O308" i="55"/>
  <c r="O306" i="55"/>
  <c r="AA400" i="19"/>
  <c r="AA399" i="19"/>
  <c r="L193" i="19"/>
  <c r="M193" i="19"/>
  <c r="N193" i="19"/>
  <c r="O193" i="19"/>
  <c r="AW44" i="53"/>
  <c r="AV44" i="53"/>
  <c r="AU44" i="53"/>
  <c r="E16" i="47"/>
  <c r="H32" i="47"/>
  <c r="H31" i="47"/>
  <c r="H30" i="47"/>
  <c r="H29" i="47"/>
  <c r="H38" i="47"/>
  <c r="H39" i="47"/>
  <c r="H44" i="47"/>
  <c r="H49" i="47"/>
  <c r="H50" i="47"/>
  <c r="H51" i="47"/>
  <c r="H54" i="47"/>
  <c r="H55" i="47"/>
  <c r="L91" i="19"/>
  <c r="M91" i="19"/>
  <c r="N91" i="19"/>
  <c r="L92" i="19"/>
  <c r="M92" i="19"/>
  <c r="N92" i="19"/>
  <c r="L95" i="19"/>
  <c r="AC95" i="19" s="1"/>
  <c r="M95" i="19"/>
  <c r="AD95" i="19" s="1"/>
  <c r="N95" i="19"/>
  <c r="AE95" i="19" s="1"/>
  <c r="L97" i="19"/>
  <c r="M97" i="19"/>
  <c r="N97" i="19"/>
  <c r="L98" i="19"/>
  <c r="M98" i="19"/>
  <c r="N98" i="19"/>
  <c r="L99" i="19"/>
  <c r="M99" i="19"/>
  <c r="N99" i="19"/>
  <c r="L100" i="19"/>
  <c r="M100" i="19"/>
  <c r="N100" i="19"/>
  <c r="L101" i="19"/>
  <c r="M101" i="19"/>
  <c r="N101" i="19"/>
  <c r="F114" i="47"/>
  <c r="E114" i="47"/>
  <c r="F110" i="47"/>
  <c r="E110" i="47"/>
  <c r="F57" i="47"/>
  <c r="E57" i="47"/>
  <c r="F56" i="47"/>
  <c r="E56" i="47"/>
  <c r="F53" i="47"/>
  <c r="E53" i="47"/>
  <c r="F52" i="47"/>
  <c r="H52" i="47" s="1"/>
  <c r="E52" i="47"/>
  <c r="F48" i="47"/>
  <c r="E48" i="47"/>
  <c r="F47" i="47"/>
  <c r="H47" i="47" s="1"/>
  <c r="E47" i="47"/>
  <c r="F46" i="47"/>
  <c r="E46" i="47"/>
  <c r="F45" i="47"/>
  <c r="E45" i="47"/>
  <c r="F43" i="47"/>
  <c r="E43" i="47"/>
  <c r="F42" i="47"/>
  <c r="H42" i="47" s="1"/>
  <c r="E42" i="47"/>
  <c r="F41" i="47"/>
  <c r="E41" i="47"/>
  <c r="F40" i="47"/>
  <c r="E40" i="47"/>
  <c r="F37" i="47"/>
  <c r="E37" i="47"/>
  <c r="F36" i="47"/>
  <c r="E36" i="47"/>
  <c r="F35" i="47"/>
  <c r="H35" i="47" s="1"/>
  <c r="E35" i="47"/>
  <c r="F34" i="47"/>
  <c r="E34" i="47"/>
  <c r="F33" i="47"/>
  <c r="H33" i="47" s="1"/>
  <c r="E33" i="47"/>
  <c r="F28" i="47"/>
  <c r="H28" i="47" s="1"/>
  <c r="E28" i="47"/>
  <c r="F27" i="47"/>
  <c r="E27" i="47"/>
  <c r="F26" i="47"/>
  <c r="E26" i="47"/>
  <c r="F25" i="47"/>
  <c r="H25" i="47" s="1"/>
  <c r="E25" i="47"/>
  <c r="F24" i="47"/>
  <c r="H24" i="47" s="1"/>
  <c r="E24" i="47"/>
  <c r="F23" i="47"/>
  <c r="H23" i="47" s="1"/>
  <c r="E23" i="47"/>
  <c r="F22" i="47"/>
  <c r="H22" i="47" s="1"/>
  <c r="E22" i="47"/>
  <c r="F21" i="47"/>
  <c r="E21" i="47"/>
  <c r="F20" i="47"/>
  <c r="H20" i="47" s="1"/>
  <c r="E20" i="47"/>
  <c r="F19" i="47"/>
  <c r="H19" i="47" s="1"/>
  <c r="E19" i="47"/>
  <c r="F18" i="47"/>
  <c r="H18" i="47" s="1"/>
  <c r="E18" i="47"/>
  <c r="F17" i="47"/>
  <c r="H17" i="47" s="1"/>
  <c r="E17" i="47"/>
  <c r="F16" i="47"/>
  <c r="F15" i="47"/>
  <c r="E15" i="47"/>
  <c r="F14" i="47"/>
  <c r="E14" i="47"/>
  <c r="F13" i="47"/>
  <c r="E13" i="47"/>
  <c r="F12" i="47"/>
  <c r="E12" i="47"/>
  <c r="E8" i="47"/>
  <c r="E6" i="47"/>
  <c r="G6" i="47" s="1"/>
  <c r="G5" i="47"/>
  <c r="H26" i="47"/>
  <c r="K21" i="39"/>
  <c r="E10" i="49"/>
  <c r="E11" i="49"/>
  <c r="E12" i="49"/>
  <c r="E20" i="49"/>
  <c r="E21" i="49"/>
  <c r="E22" i="49"/>
  <c r="M28" i="49"/>
  <c r="M83" i="49" s="1"/>
  <c r="N28" i="49"/>
  <c r="N83" i="49" s="1"/>
  <c r="N86" i="49" s="1"/>
  <c r="O28" i="49"/>
  <c r="O83" i="49" s="1"/>
  <c r="O29" i="49"/>
  <c r="E36" i="49"/>
  <c r="E37" i="49"/>
  <c r="E38" i="49"/>
  <c r="E39" i="49"/>
  <c r="E40" i="49"/>
  <c r="E41" i="49"/>
  <c r="E42" i="49"/>
  <c r="E43" i="49"/>
  <c r="E44" i="49"/>
  <c r="E45" i="49"/>
  <c r="M46" i="49"/>
  <c r="M84" i="49" s="1"/>
  <c r="M93" i="49" s="1"/>
  <c r="N46" i="49"/>
  <c r="O46" i="49"/>
  <c r="O84" i="49" s="1"/>
  <c r="O93" i="49" s="1"/>
  <c r="O47" i="49"/>
  <c r="E54" i="49"/>
  <c r="E55" i="49"/>
  <c r="E56" i="49"/>
  <c r="E57" i="49"/>
  <c r="E58" i="49"/>
  <c r="E59" i="49"/>
  <c r="E60" i="49"/>
  <c r="E61" i="49"/>
  <c r="E62" i="49"/>
  <c r="E63" i="49"/>
  <c r="M64" i="49"/>
  <c r="M85" i="49" s="1"/>
  <c r="M94" i="49" s="1"/>
  <c r="N64" i="49"/>
  <c r="N85" i="49" s="1"/>
  <c r="N94" i="49" s="1"/>
  <c r="O64" i="49"/>
  <c r="O85" i="49" s="1"/>
  <c r="O94" i="49" s="1"/>
  <c r="O65" i="49"/>
  <c r="E72" i="49"/>
  <c r="E119" i="49"/>
  <c r="F119" i="49"/>
  <c r="G119" i="49"/>
  <c r="H119" i="49"/>
  <c r="I119" i="49"/>
  <c r="K119" i="49"/>
  <c r="E120" i="49"/>
  <c r="F120" i="49"/>
  <c r="G120" i="49"/>
  <c r="H120" i="49"/>
  <c r="I120" i="49"/>
  <c r="K120" i="49"/>
  <c r="E121" i="49"/>
  <c r="F121" i="49"/>
  <c r="G121" i="49"/>
  <c r="H121" i="49"/>
  <c r="I121" i="49"/>
  <c r="K121" i="49"/>
  <c r="E122" i="49"/>
  <c r="F122" i="49"/>
  <c r="G122" i="49"/>
  <c r="H122" i="49"/>
  <c r="I122" i="49"/>
  <c r="K122" i="49"/>
  <c r="E123" i="49"/>
  <c r="F123" i="49"/>
  <c r="G123" i="49"/>
  <c r="H123" i="49"/>
  <c r="I123" i="49"/>
  <c r="K123" i="49"/>
  <c r="E124" i="49"/>
  <c r="F124" i="49"/>
  <c r="G124" i="49"/>
  <c r="H124" i="49"/>
  <c r="I124" i="49"/>
  <c r="K124" i="49"/>
  <c r="E125" i="49"/>
  <c r="F125" i="49"/>
  <c r="G125" i="49"/>
  <c r="H125" i="49"/>
  <c r="I125" i="49"/>
  <c r="K125" i="49"/>
  <c r="E126" i="49"/>
  <c r="F126" i="49"/>
  <c r="G126" i="49"/>
  <c r="H126" i="49"/>
  <c r="I126" i="49"/>
  <c r="K126" i="49"/>
  <c r="E127" i="49"/>
  <c r="L127" i="49" s="1"/>
  <c r="E128" i="49"/>
  <c r="L128" i="49" s="1"/>
  <c r="E129" i="49"/>
  <c r="L129" i="49" s="1"/>
  <c r="E130" i="49"/>
  <c r="L130" i="49" s="1"/>
  <c r="E131" i="49"/>
  <c r="L131" i="49" s="1"/>
  <c r="E132" i="49"/>
  <c r="L132" i="49" s="1"/>
  <c r="E133" i="49"/>
  <c r="L133" i="49" s="1"/>
  <c r="E134" i="49"/>
  <c r="L134" i="49" s="1"/>
  <c r="E135" i="49"/>
  <c r="L135" i="49" s="1"/>
  <c r="E136" i="49"/>
  <c r="F136" i="49"/>
  <c r="G136" i="49"/>
  <c r="H136" i="49"/>
  <c r="I136" i="49"/>
  <c r="K136" i="49"/>
  <c r="L137" i="49"/>
  <c r="F141" i="49"/>
  <c r="G141" i="49"/>
  <c r="H141" i="49"/>
  <c r="I141" i="49"/>
  <c r="K141" i="49"/>
  <c r="L141" i="49"/>
  <c r="F143" i="49"/>
  <c r="G143" i="49"/>
  <c r="H143" i="49"/>
  <c r="I143" i="49"/>
  <c r="K143" i="49"/>
  <c r="L143" i="49"/>
  <c r="F145" i="49"/>
  <c r="G145" i="49"/>
  <c r="H145" i="49"/>
  <c r="I145" i="49"/>
  <c r="K145" i="49"/>
  <c r="L145" i="49"/>
  <c r="F147" i="49"/>
  <c r="G147" i="49"/>
  <c r="H147" i="49"/>
  <c r="I147" i="49"/>
  <c r="K147" i="49"/>
  <c r="L148" i="49"/>
  <c r="L149" i="49"/>
  <c r="L150" i="49"/>
  <c r="L151" i="49"/>
  <c r="L152" i="49"/>
  <c r="L153" i="49"/>
  <c r="L154" i="49"/>
  <c r="L155" i="49"/>
  <c r="L156" i="49"/>
  <c r="L157" i="49"/>
  <c r="E162" i="49"/>
  <c r="E163" i="49"/>
  <c r="E164" i="49"/>
  <c r="E165" i="49"/>
  <c r="E166" i="49"/>
  <c r="E167" i="49"/>
  <c r="E168" i="49"/>
  <c r="E169" i="49"/>
  <c r="E170" i="49"/>
  <c r="E171" i="49"/>
  <c r="E172" i="49"/>
  <c r="E173" i="49"/>
  <c r="E174" i="49"/>
  <c r="E175" i="49"/>
  <c r="E176" i="49"/>
  <c r="E177" i="49"/>
  <c r="E178" i="49"/>
  <c r="E179" i="49"/>
  <c r="E180" i="49"/>
  <c r="E181" i="49"/>
  <c r="E182" i="49"/>
  <c r="E183" i="49"/>
  <c r="E184" i="49"/>
  <c r="E185" i="49"/>
  <c r="E186" i="49"/>
  <c r="E187" i="49"/>
  <c r="E188" i="49"/>
  <c r="E189" i="49"/>
  <c r="E190" i="49"/>
  <c r="E191" i="49"/>
  <c r="E192" i="49"/>
  <c r="E193" i="49"/>
  <c r="E194" i="49"/>
  <c r="E195" i="49"/>
  <c r="E196" i="49"/>
  <c r="E197" i="49"/>
  <c r="E198" i="49"/>
  <c r="E199" i="49"/>
  <c r="E200" i="49"/>
  <c r="E201" i="49"/>
  <c r="E202" i="49"/>
  <c r="E203" i="49"/>
  <c r="E204" i="49"/>
  <c r="E205" i="49"/>
  <c r="E206" i="49"/>
  <c r="E207" i="49"/>
  <c r="E208" i="49"/>
  <c r="E209" i="49"/>
  <c r="E210" i="49"/>
  <c r="E211" i="49"/>
  <c r="E212" i="49"/>
  <c r="E213" i="49"/>
  <c r="E214" i="49"/>
  <c r="E215" i="49"/>
  <c r="AA28" i="50"/>
  <c r="AB28" i="50"/>
  <c r="AC28" i="50"/>
  <c r="AD28" i="50"/>
  <c r="AE28" i="50"/>
  <c r="AF28" i="50"/>
  <c r="AC29" i="50"/>
  <c r="AD29" i="50"/>
  <c r="AE29" i="50"/>
  <c r="AF29" i="50"/>
  <c r="AD30" i="50"/>
  <c r="AE30" i="50"/>
  <c r="AF30" i="50"/>
  <c r="AD31" i="50"/>
  <c r="AE31" i="50"/>
  <c r="AF31" i="50"/>
  <c r="S36" i="50"/>
  <c r="S37" i="50"/>
  <c r="S38" i="50"/>
  <c r="S39" i="50"/>
  <c r="S40" i="50"/>
  <c r="S41" i="50"/>
  <c r="S42" i="50"/>
  <c r="S43" i="50"/>
  <c r="S44" i="50"/>
  <c r="S45" i="50"/>
  <c r="AA46" i="50"/>
  <c r="AB46" i="50"/>
  <c r="AC46" i="50"/>
  <c r="AD46" i="50"/>
  <c r="AE46" i="50"/>
  <c r="AF46" i="50"/>
  <c r="AC47" i="50"/>
  <c r="AD47" i="50"/>
  <c r="AE47" i="50"/>
  <c r="AF47" i="50"/>
  <c r="AD48" i="50"/>
  <c r="AE48" i="50"/>
  <c r="AF48" i="50"/>
  <c r="AD49" i="50"/>
  <c r="AE49" i="50"/>
  <c r="AF49" i="50"/>
  <c r="S54" i="50"/>
  <c r="S55" i="50"/>
  <c r="S56" i="50"/>
  <c r="S57" i="50"/>
  <c r="S58" i="50"/>
  <c r="S59" i="50"/>
  <c r="S60" i="50"/>
  <c r="S61" i="50"/>
  <c r="S62" i="50"/>
  <c r="S63" i="50"/>
  <c r="AA64" i="50"/>
  <c r="AB64" i="50"/>
  <c r="AC64" i="50"/>
  <c r="AD64" i="50"/>
  <c r="AE64" i="50"/>
  <c r="AC65" i="50"/>
  <c r="AD65" i="50"/>
  <c r="AE65" i="50"/>
  <c r="AD66" i="50"/>
  <c r="AE66" i="50"/>
  <c r="AD67" i="50"/>
  <c r="AE67" i="50"/>
  <c r="E10" i="48"/>
  <c r="E11" i="48"/>
  <c r="E12" i="48"/>
  <c r="E20" i="48"/>
  <c r="E21" i="48"/>
  <c r="E22" i="48"/>
  <c r="E28" i="48"/>
  <c r="F28" i="48"/>
  <c r="G28" i="48"/>
  <c r="H28" i="48"/>
  <c r="I28" i="48"/>
  <c r="I28" i="49" s="1"/>
  <c r="I83" i="49" s="1"/>
  <c r="J28" i="48"/>
  <c r="L28" i="48"/>
  <c r="E29" i="48"/>
  <c r="F29" i="48"/>
  <c r="G29" i="48"/>
  <c r="H29" i="48"/>
  <c r="I29" i="48"/>
  <c r="I29" i="49" s="1"/>
  <c r="J29" i="48"/>
  <c r="J29" i="49" s="1"/>
  <c r="K29" i="48"/>
  <c r="L29" i="48"/>
  <c r="M29" i="48"/>
  <c r="M29" i="49" s="1"/>
  <c r="N29" i="48"/>
  <c r="E30" i="48"/>
  <c r="F30" i="48"/>
  <c r="G30" i="48"/>
  <c r="H30" i="48"/>
  <c r="I30" i="48"/>
  <c r="I30" i="49" s="1"/>
  <c r="J30" i="48"/>
  <c r="J30" i="49" s="1"/>
  <c r="K30" i="48"/>
  <c r="K30" i="49" s="1"/>
  <c r="L30" i="48"/>
  <c r="M30" i="48"/>
  <c r="N30" i="48"/>
  <c r="N30" i="49" s="1"/>
  <c r="O30" i="48"/>
  <c r="O30" i="49" s="1"/>
  <c r="E31" i="48"/>
  <c r="F31" i="48"/>
  <c r="G31" i="48"/>
  <c r="H31" i="48"/>
  <c r="I31" i="48"/>
  <c r="I31" i="49" s="1"/>
  <c r="J31" i="48"/>
  <c r="K31" i="48"/>
  <c r="K31" i="49" s="1"/>
  <c r="L31" i="48"/>
  <c r="M31" i="48"/>
  <c r="M31" i="49" s="1"/>
  <c r="N31" i="48"/>
  <c r="N31" i="49" s="1"/>
  <c r="O31" i="48"/>
  <c r="E32" i="48"/>
  <c r="E33" i="48"/>
  <c r="E34" i="48"/>
  <c r="E35" i="48"/>
  <c r="E46" i="48"/>
  <c r="F46" i="48"/>
  <c r="G46" i="48"/>
  <c r="H46" i="48"/>
  <c r="I46" i="48"/>
  <c r="J46" i="48"/>
  <c r="J46" i="49" s="1"/>
  <c r="J84" i="49" s="1"/>
  <c r="J93" i="49" s="1"/>
  <c r="L46" i="48"/>
  <c r="E47" i="48"/>
  <c r="F47" i="48"/>
  <c r="G47" i="48"/>
  <c r="H47" i="48"/>
  <c r="I47" i="48"/>
  <c r="J47" i="48"/>
  <c r="J47" i="49" s="1"/>
  <c r="K47" i="48"/>
  <c r="L47" i="48"/>
  <c r="M47" i="48"/>
  <c r="M47" i="49" s="1"/>
  <c r="N47" i="48"/>
  <c r="N47" i="49" s="1"/>
  <c r="E48" i="48"/>
  <c r="F48" i="48"/>
  <c r="G48" i="48"/>
  <c r="H48" i="48"/>
  <c r="I48" i="48"/>
  <c r="J48" i="48"/>
  <c r="J48" i="49" s="1"/>
  <c r="K48" i="48"/>
  <c r="L48" i="48"/>
  <c r="M48" i="48"/>
  <c r="M48" i="49" s="1"/>
  <c r="N48" i="48"/>
  <c r="O48" i="48"/>
  <c r="E49" i="48"/>
  <c r="F49" i="48"/>
  <c r="G49" i="48"/>
  <c r="H49" i="48"/>
  <c r="I49" i="48"/>
  <c r="I49" i="49" s="1"/>
  <c r="J49" i="48"/>
  <c r="J49" i="49" s="1"/>
  <c r="K49" i="48"/>
  <c r="K49" i="49" s="1"/>
  <c r="L49" i="48"/>
  <c r="M49" i="48"/>
  <c r="M49" i="49" s="1"/>
  <c r="N49" i="48"/>
  <c r="N49" i="49" s="1"/>
  <c r="O49" i="48"/>
  <c r="O49" i="49" s="1"/>
  <c r="E50" i="48"/>
  <c r="E51" i="48"/>
  <c r="E52" i="48"/>
  <c r="E53" i="48"/>
  <c r="E64" i="48"/>
  <c r="F64" i="48"/>
  <c r="G64" i="48"/>
  <c r="H64" i="48"/>
  <c r="I64" i="48"/>
  <c r="I64" i="49" s="1"/>
  <c r="I85" i="49" s="1"/>
  <c r="I94" i="49" s="1"/>
  <c r="J64" i="48"/>
  <c r="J64" i="49" s="1"/>
  <c r="J85" i="49" s="1"/>
  <c r="J94" i="49" s="1"/>
  <c r="L64" i="48"/>
  <c r="E65" i="48"/>
  <c r="F65" i="48"/>
  <c r="G65" i="48"/>
  <c r="H65" i="48"/>
  <c r="I65" i="48"/>
  <c r="I65" i="49" s="1"/>
  <c r="J65" i="48"/>
  <c r="K65" i="48"/>
  <c r="K65" i="49" s="1"/>
  <c r="L65" i="48"/>
  <c r="M65" i="48"/>
  <c r="M65" i="49" s="1"/>
  <c r="N65" i="48"/>
  <c r="N65" i="49" s="1"/>
  <c r="E66" i="48"/>
  <c r="F66" i="48"/>
  <c r="G66" i="48"/>
  <c r="H66" i="48"/>
  <c r="I66" i="48"/>
  <c r="I66" i="49" s="1"/>
  <c r="J66" i="48"/>
  <c r="J66" i="49" s="1"/>
  <c r="K66" i="48"/>
  <c r="K66" i="49" s="1"/>
  <c r="L66" i="48"/>
  <c r="M66" i="48"/>
  <c r="M66" i="49" s="1"/>
  <c r="N66" i="48"/>
  <c r="N66" i="49" s="1"/>
  <c r="O66" i="48"/>
  <c r="O66" i="49" s="1"/>
  <c r="E67" i="48"/>
  <c r="F67" i="48"/>
  <c r="G67" i="48"/>
  <c r="H67" i="48"/>
  <c r="I67" i="48"/>
  <c r="I67" i="49" s="1"/>
  <c r="J67" i="48"/>
  <c r="J67" i="49" s="1"/>
  <c r="K67" i="48"/>
  <c r="K67" i="49" s="1"/>
  <c r="L67" i="48"/>
  <c r="M67" i="48"/>
  <c r="M67" i="49" s="1"/>
  <c r="N67" i="48"/>
  <c r="N67" i="49" s="1"/>
  <c r="O67" i="48"/>
  <c r="E68" i="48"/>
  <c r="E69" i="48"/>
  <c r="E70" i="48"/>
  <c r="E71" i="48"/>
  <c r="K98" i="48"/>
  <c r="K140" i="48" s="1"/>
  <c r="M98" i="48"/>
  <c r="N98" i="48"/>
  <c r="O98" i="48"/>
  <c r="E99" i="48"/>
  <c r="P99" i="48" s="1"/>
  <c r="O100" i="48"/>
  <c r="E101" i="48"/>
  <c r="E143" i="48" s="1"/>
  <c r="E103" i="48"/>
  <c r="E105" i="48"/>
  <c r="E147" i="48" s="1"/>
  <c r="E107" i="48"/>
  <c r="P107" i="48" s="1"/>
  <c r="E109" i="48"/>
  <c r="P109" i="48" s="1"/>
  <c r="E111" i="48"/>
  <c r="E153" i="48" s="1"/>
  <c r="E113" i="48"/>
  <c r="E155" i="48" s="1"/>
  <c r="E115" i="48"/>
  <c r="P115" i="48" s="1"/>
  <c r="E119" i="48"/>
  <c r="F119" i="48"/>
  <c r="G119" i="48"/>
  <c r="H119" i="48"/>
  <c r="I119" i="48"/>
  <c r="K119" i="48"/>
  <c r="E120" i="48"/>
  <c r="F120" i="48"/>
  <c r="G120" i="48"/>
  <c r="H120" i="48"/>
  <c r="I120" i="48"/>
  <c r="K120" i="48"/>
  <c r="E121" i="48"/>
  <c r="F121" i="48"/>
  <c r="G121" i="48"/>
  <c r="H121" i="48"/>
  <c r="I121" i="48"/>
  <c r="K121" i="48"/>
  <c r="E122" i="48"/>
  <c r="F122" i="48"/>
  <c r="G122" i="48"/>
  <c r="H122" i="48"/>
  <c r="I122" i="48"/>
  <c r="K122" i="48"/>
  <c r="E123" i="48"/>
  <c r="F123" i="48"/>
  <c r="G123" i="48"/>
  <c r="H123" i="48"/>
  <c r="I123" i="48"/>
  <c r="K123" i="48"/>
  <c r="E124" i="48"/>
  <c r="F124" i="48"/>
  <c r="G124" i="48"/>
  <c r="H124" i="48"/>
  <c r="I124" i="48"/>
  <c r="K124" i="48"/>
  <c r="E125" i="48"/>
  <c r="F125" i="48"/>
  <c r="G125" i="48"/>
  <c r="H125" i="48"/>
  <c r="I125" i="48"/>
  <c r="K125" i="48"/>
  <c r="E126" i="48"/>
  <c r="F126" i="48"/>
  <c r="G126" i="48"/>
  <c r="H126" i="48"/>
  <c r="I126" i="48"/>
  <c r="K126" i="48"/>
  <c r="E127" i="48"/>
  <c r="L127" i="48" s="1"/>
  <c r="E128" i="48"/>
  <c r="L128" i="48" s="1"/>
  <c r="E129" i="48"/>
  <c r="L129" i="48" s="1"/>
  <c r="E130" i="48"/>
  <c r="L130" i="48" s="1"/>
  <c r="E131" i="48"/>
  <c r="L131" i="48" s="1"/>
  <c r="E132" i="48"/>
  <c r="L132" i="48" s="1"/>
  <c r="E133" i="48"/>
  <c r="L133" i="48" s="1"/>
  <c r="E134" i="48"/>
  <c r="L134" i="48" s="1"/>
  <c r="E135" i="48"/>
  <c r="L135" i="48" s="1"/>
  <c r="E136" i="48"/>
  <c r="F136" i="48"/>
  <c r="G136" i="48"/>
  <c r="H136" i="48"/>
  <c r="I136" i="48"/>
  <c r="K136" i="48"/>
  <c r="L137" i="48"/>
  <c r="F141" i="48"/>
  <c r="G141" i="48"/>
  <c r="H141" i="48"/>
  <c r="I141" i="48"/>
  <c r="K141" i="48"/>
  <c r="L141" i="48"/>
  <c r="F143" i="48"/>
  <c r="G143" i="48"/>
  <c r="H143" i="48"/>
  <c r="I143" i="48"/>
  <c r="K143" i="48"/>
  <c r="L143" i="48"/>
  <c r="F145" i="48"/>
  <c r="G145" i="48"/>
  <c r="H145" i="48"/>
  <c r="I145" i="48"/>
  <c r="K145" i="48"/>
  <c r="L145" i="48"/>
  <c r="F147" i="48"/>
  <c r="G147" i="48"/>
  <c r="H147" i="48"/>
  <c r="I147" i="48"/>
  <c r="K147" i="48"/>
  <c r="L148" i="48"/>
  <c r="L149" i="48"/>
  <c r="L150" i="48"/>
  <c r="L151" i="48"/>
  <c r="L152" i="48"/>
  <c r="L153" i="48"/>
  <c r="L154" i="48"/>
  <c r="L155" i="48"/>
  <c r="L156" i="48"/>
  <c r="L157" i="48"/>
  <c r="E162" i="48"/>
  <c r="E163" i="48"/>
  <c r="E164" i="48"/>
  <c r="E165" i="48"/>
  <c r="E166" i="48"/>
  <c r="E167" i="48"/>
  <c r="E168" i="48"/>
  <c r="E169" i="48"/>
  <c r="E170" i="48"/>
  <c r="E171" i="48"/>
  <c r="E172" i="48"/>
  <c r="E173" i="48"/>
  <c r="E174" i="48"/>
  <c r="E175" i="48"/>
  <c r="E176" i="48"/>
  <c r="E177" i="48"/>
  <c r="E178" i="48"/>
  <c r="E179" i="48"/>
  <c r="E180" i="48"/>
  <c r="E181" i="48"/>
  <c r="E182" i="48"/>
  <c r="E183" i="48"/>
  <c r="E184" i="48"/>
  <c r="E185" i="48"/>
  <c r="E186" i="48"/>
  <c r="E187" i="48"/>
  <c r="E188" i="48"/>
  <c r="E189" i="48"/>
  <c r="E190" i="48"/>
  <c r="E191" i="48"/>
  <c r="E192" i="48"/>
  <c r="E193" i="48"/>
  <c r="E194" i="48"/>
  <c r="E195" i="48"/>
  <c r="E196" i="48"/>
  <c r="E197" i="48"/>
  <c r="E198" i="48"/>
  <c r="E199" i="48"/>
  <c r="E200" i="48"/>
  <c r="E201" i="48"/>
  <c r="E202" i="48"/>
  <c r="E203" i="48"/>
  <c r="E204" i="48"/>
  <c r="E205" i="48"/>
  <c r="E206" i="48"/>
  <c r="E207" i="48"/>
  <c r="E208" i="48"/>
  <c r="E209" i="48"/>
  <c r="E210" i="48"/>
  <c r="E211" i="48"/>
  <c r="E212" i="48"/>
  <c r="E213" i="48"/>
  <c r="E214" i="48"/>
  <c r="E215" i="48"/>
  <c r="B7" i="35"/>
  <c r="C7" i="35"/>
  <c r="D7" i="35"/>
  <c r="E7" i="35"/>
  <c r="F7" i="35"/>
  <c r="B9" i="35"/>
  <c r="C9" i="35"/>
  <c r="D9" i="35"/>
  <c r="E9" i="35"/>
  <c r="F9" i="35"/>
  <c r="A14" i="35"/>
  <c r="B18" i="35"/>
  <c r="C18" i="35"/>
  <c r="D18" i="35"/>
  <c r="E18" i="35"/>
  <c r="F18" i="35"/>
  <c r="B20" i="35"/>
  <c r="C20" i="35"/>
  <c r="D20" i="35"/>
  <c r="E20" i="35"/>
  <c r="F20" i="35"/>
  <c r="A24" i="35"/>
  <c r="B28" i="35"/>
  <c r="C28" i="35"/>
  <c r="D28" i="35"/>
  <c r="E28" i="35"/>
  <c r="F28" i="35"/>
  <c r="B30" i="35"/>
  <c r="C30" i="35"/>
  <c r="D30" i="35"/>
  <c r="E30" i="35"/>
  <c r="F30" i="35"/>
  <c r="A34" i="35"/>
  <c r="B38" i="35"/>
  <c r="C38" i="35"/>
  <c r="D38" i="35"/>
  <c r="E38" i="35"/>
  <c r="F38" i="35"/>
  <c r="B40" i="35"/>
  <c r="C40" i="35"/>
  <c r="D40" i="35"/>
  <c r="E40" i="35"/>
  <c r="F40" i="35"/>
  <c r="A44" i="35"/>
  <c r="B48" i="35"/>
  <c r="C48" i="35"/>
  <c r="D48" i="35"/>
  <c r="E48" i="35"/>
  <c r="F48" i="35"/>
  <c r="B50" i="35"/>
  <c r="C50" i="35"/>
  <c r="D50" i="35"/>
  <c r="E50" i="35"/>
  <c r="F50" i="35"/>
  <c r="A54" i="35"/>
  <c r="B58" i="35"/>
  <c r="C58" i="35"/>
  <c r="D58" i="35"/>
  <c r="E58" i="35"/>
  <c r="F58" i="35"/>
  <c r="B60" i="35"/>
  <c r="C60" i="35"/>
  <c r="D60" i="35"/>
  <c r="E60" i="35"/>
  <c r="F60" i="35"/>
  <c r="A64" i="35"/>
  <c r="B68" i="35"/>
  <c r="C68" i="35"/>
  <c r="D68" i="35"/>
  <c r="E68" i="35"/>
  <c r="F68" i="35"/>
  <c r="B70" i="35"/>
  <c r="C70" i="35"/>
  <c r="D70" i="35"/>
  <c r="E70" i="35"/>
  <c r="F70" i="35"/>
  <c r="A73" i="35"/>
  <c r="B77" i="35"/>
  <c r="C77" i="35"/>
  <c r="D77" i="35"/>
  <c r="E77" i="35"/>
  <c r="F77" i="35"/>
  <c r="B79" i="35"/>
  <c r="C79" i="35"/>
  <c r="D79" i="35"/>
  <c r="E79" i="35"/>
  <c r="F79" i="35"/>
  <c r="A82" i="35"/>
  <c r="B86" i="35"/>
  <c r="C86" i="35"/>
  <c r="D86" i="35"/>
  <c r="E86" i="35"/>
  <c r="F86" i="35"/>
  <c r="B88" i="35"/>
  <c r="C88" i="35"/>
  <c r="D88" i="35"/>
  <c r="E88" i="35"/>
  <c r="F88" i="35"/>
  <c r="A91" i="35"/>
  <c r="B95" i="35"/>
  <c r="C95" i="35"/>
  <c r="D95" i="35"/>
  <c r="E95" i="35"/>
  <c r="F95" i="35"/>
  <c r="B97" i="35"/>
  <c r="C97" i="35"/>
  <c r="D97" i="35"/>
  <c r="E97" i="35"/>
  <c r="F97" i="35"/>
  <c r="A100" i="35"/>
  <c r="B104" i="35"/>
  <c r="C104" i="35"/>
  <c r="D104" i="35"/>
  <c r="E104" i="35"/>
  <c r="F104" i="35"/>
  <c r="B106" i="35"/>
  <c r="C106" i="35"/>
  <c r="D106" i="35"/>
  <c r="E106" i="35"/>
  <c r="F106" i="35"/>
  <c r="D122" i="35"/>
  <c r="E122" i="35"/>
  <c r="F122" i="35"/>
  <c r="B7" i="34"/>
  <c r="B9" i="34"/>
  <c r="C9" i="34"/>
  <c r="D9" i="34"/>
  <c r="E9" i="34"/>
  <c r="F9" i="34"/>
  <c r="A14" i="34"/>
  <c r="B18" i="34"/>
  <c r="B20" i="34"/>
  <c r="A24" i="34"/>
  <c r="B28" i="34"/>
  <c r="B30" i="34"/>
  <c r="C30" i="34"/>
  <c r="D30" i="34"/>
  <c r="E30" i="34"/>
  <c r="F30" i="34"/>
  <c r="A34" i="34"/>
  <c r="B38" i="34"/>
  <c r="B40" i="34"/>
  <c r="C40" i="34"/>
  <c r="D40" i="34"/>
  <c r="E40" i="34"/>
  <c r="F40" i="34"/>
  <c r="A44" i="34"/>
  <c r="B48" i="34"/>
  <c r="B50" i="34"/>
  <c r="C50" i="34"/>
  <c r="D50" i="34"/>
  <c r="E50" i="34"/>
  <c r="F50" i="34"/>
  <c r="A54" i="34"/>
  <c r="B58" i="34"/>
  <c r="B60" i="34"/>
  <c r="C60" i="34"/>
  <c r="D60" i="34"/>
  <c r="E60" i="34"/>
  <c r="F60" i="34"/>
  <c r="A64" i="34"/>
  <c r="B68" i="34"/>
  <c r="B70" i="34"/>
  <c r="C70" i="34"/>
  <c r="D70" i="34"/>
  <c r="E70" i="34"/>
  <c r="F70" i="34"/>
  <c r="A73" i="34"/>
  <c r="B77" i="34"/>
  <c r="A82" i="34"/>
  <c r="B86" i="34"/>
  <c r="A91" i="34"/>
  <c r="B95" i="34"/>
  <c r="A100" i="34"/>
  <c r="B104" i="34"/>
  <c r="B106" i="34"/>
  <c r="C106" i="34"/>
  <c r="D106" i="34"/>
  <c r="E106" i="34"/>
  <c r="F106" i="34"/>
  <c r="D122" i="34"/>
  <c r="E122" i="34"/>
  <c r="F122" i="34"/>
  <c r="B9" i="33"/>
  <c r="B114" i="33" s="1"/>
  <c r="C9" i="33"/>
  <c r="D9" i="33"/>
  <c r="D114" i="33" s="1"/>
  <c r="E9" i="33"/>
  <c r="E114" i="33" s="1"/>
  <c r="F9" i="33"/>
  <c r="F114" i="33" s="1"/>
  <c r="A14" i="33"/>
  <c r="B20" i="33"/>
  <c r="C20" i="33"/>
  <c r="D20" i="33"/>
  <c r="E20" i="33"/>
  <c r="F20" i="33"/>
  <c r="A24" i="33"/>
  <c r="B30" i="33"/>
  <c r="C30" i="33"/>
  <c r="D30" i="33"/>
  <c r="E30" i="33"/>
  <c r="F30" i="33"/>
  <c r="A34" i="33"/>
  <c r="B40" i="33"/>
  <c r="C40" i="33"/>
  <c r="D40" i="33"/>
  <c r="E40" i="33"/>
  <c r="F40" i="33"/>
  <c r="A44" i="33"/>
  <c r="B50" i="33"/>
  <c r="C50" i="33"/>
  <c r="D50" i="33"/>
  <c r="E50" i="33"/>
  <c r="F50" i="33"/>
  <c r="A54" i="33"/>
  <c r="B60" i="33"/>
  <c r="C60" i="33"/>
  <c r="D60" i="33"/>
  <c r="E60" i="33"/>
  <c r="F60" i="33"/>
  <c r="A64" i="33"/>
  <c r="A73" i="33"/>
  <c r="A82" i="33"/>
  <c r="A91" i="33"/>
  <c r="B97" i="33"/>
  <c r="C97" i="33"/>
  <c r="A100" i="33"/>
  <c r="B106" i="33"/>
  <c r="C106" i="33"/>
  <c r="D122" i="33"/>
  <c r="E122" i="33"/>
  <c r="F122" i="33"/>
  <c r="B8" i="40"/>
  <c r="C8" i="40"/>
  <c r="D8" i="40"/>
  <c r="K8" i="40"/>
  <c r="B9" i="40"/>
  <c r="C9" i="40"/>
  <c r="D9" i="40"/>
  <c r="K9" i="40"/>
  <c r="B10" i="40"/>
  <c r="C10" i="40"/>
  <c r="D10" i="40"/>
  <c r="B11" i="40"/>
  <c r="C11" i="40"/>
  <c r="D11" i="40"/>
  <c r="K11" i="40"/>
  <c r="B12" i="40"/>
  <c r="C12" i="40"/>
  <c r="D12" i="40"/>
  <c r="K12" i="40"/>
  <c r="B13" i="40"/>
  <c r="C13" i="40"/>
  <c r="D13" i="40"/>
  <c r="K13" i="40"/>
  <c r="B14" i="40"/>
  <c r="C14" i="40"/>
  <c r="D14" i="40"/>
  <c r="K14" i="40"/>
  <c r="B15" i="40"/>
  <c r="C15" i="40"/>
  <c r="D15" i="40"/>
  <c r="K15" i="40"/>
  <c r="B16" i="40"/>
  <c r="C16" i="40"/>
  <c r="D16" i="40"/>
  <c r="K16" i="40"/>
  <c r="B17" i="40"/>
  <c r="C17" i="40"/>
  <c r="D17" i="40"/>
  <c r="K17" i="40"/>
  <c r="C8" i="38"/>
  <c r="C108" i="38" s="1"/>
  <c r="D8" i="38"/>
  <c r="D108" i="38" s="1"/>
  <c r="E8" i="38"/>
  <c r="E108" i="38" s="1"/>
  <c r="F8" i="38"/>
  <c r="F108" i="38" s="1"/>
  <c r="A13" i="38"/>
  <c r="A22" i="38"/>
  <c r="C27" i="38"/>
  <c r="D27" i="38"/>
  <c r="E27" i="38"/>
  <c r="F27" i="38"/>
  <c r="A31" i="38"/>
  <c r="C36" i="38"/>
  <c r="D36" i="38"/>
  <c r="E36" i="38"/>
  <c r="F36" i="38"/>
  <c r="A40" i="38"/>
  <c r="A49" i="38"/>
  <c r="C54" i="38"/>
  <c r="A58" i="38"/>
  <c r="C63" i="38"/>
  <c r="A67" i="38"/>
  <c r="C72" i="38"/>
  <c r="D72" i="38"/>
  <c r="E72" i="38"/>
  <c r="F72" i="38"/>
  <c r="A76" i="38"/>
  <c r="C81" i="38"/>
  <c r="D81" i="38"/>
  <c r="E81" i="38"/>
  <c r="F81" i="38"/>
  <c r="A85" i="38"/>
  <c r="C90" i="38"/>
  <c r="D90" i="38"/>
  <c r="E90" i="38"/>
  <c r="F90" i="38"/>
  <c r="A94" i="38"/>
  <c r="A13" i="37"/>
  <c r="A22" i="37"/>
  <c r="A31" i="37"/>
  <c r="A40" i="37"/>
  <c r="A49" i="37"/>
  <c r="A58" i="37"/>
  <c r="A66" i="37"/>
  <c r="A74" i="37"/>
  <c r="A82" i="37"/>
  <c r="A90" i="37"/>
  <c r="C95" i="37"/>
  <c r="D95" i="37"/>
  <c r="E95" i="37"/>
  <c r="F95" i="37"/>
  <c r="G104" i="37"/>
  <c r="G106" i="37"/>
  <c r="F19" i="7"/>
  <c r="I19" i="7" s="1"/>
  <c r="G19" i="7"/>
  <c r="H19" i="7"/>
  <c r="F26" i="7"/>
  <c r="I26" i="7" s="1"/>
  <c r="G26" i="7"/>
  <c r="H26" i="7"/>
  <c r="F27" i="7"/>
  <c r="I27" i="7" s="1"/>
  <c r="G27" i="7"/>
  <c r="H27" i="7"/>
  <c r="F28" i="7"/>
  <c r="I28" i="7" s="1"/>
  <c r="G28" i="7"/>
  <c r="H28" i="7"/>
  <c r="B10" i="8"/>
  <c r="C12" i="13" s="1"/>
  <c r="C10" i="8"/>
  <c r="D10" i="8"/>
  <c r="E10" i="8"/>
  <c r="E12" i="13" s="1"/>
  <c r="F10" i="8"/>
  <c r="F12" i="13" s="1"/>
  <c r="G10" i="8"/>
  <c r="B12" i="9"/>
  <c r="C12" i="9"/>
  <c r="B15" i="9"/>
  <c r="C15" i="9"/>
  <c r="D15" i="9"/>
  <c r="E15" i="9"/>
  <c r="F15" i="9"/>
  <c r="G15" i="9"/>
  <c r="B20" i="10"/>
  <c r="C20" i="10"/>
  <c r="E20" i="10" s="1"/>
  <c r="D20" i="10"/>
  <c r="B11" i="11"/>
  <c r="E11" i="11" s="1"/>
  <c r="C11" i="11"/>
  <c r="D11" i="11"/>
  <c r="B13" i="11"/>
  <c r="E13" i="11" s="1"/>
  <c r="C13" i="11"/>
  <c r="D13" i="11"/>
  <c r="B15" i="15"/>
  <c r="E15" i="15" s="1"/>
  <c r="C15" i="15"/>
  <c r="D15" i="15"/>
  <c r="B16" i="15"/>
  <c r="E16" i="15" s="1"/>
  <c r="C16" i="15"/>
  <c r="D16" i="15"/>
  <c r="B17" i="15"/>
  <c r="E17" i="15" s="1"/>
  <c r="C17" i="15"/>
  <c r="D17" i="15"/>
  <c r="B18" i="15"/>
  <c r="E18" i="15" s="1"/>
  <c r="C18" i="15"/>
  <c r="D18" i="15"/>
  <c r="B19" i="15"/>
  <c r="E19" i="15" s="1"/>
  <c r="C19" i="15"/>
  <c r="D19" i="15"/>
  <c r="B20" i="15"/>
  <c r="E20" i="15" s="1"/>
  <c r="C20" i="15"/>
  <c r="D20" i="15"/>
  <c r="A12" i="14"/>
  <c r="D187" i="19"/>
  <c r="E256" i="19"/>
  <c r="E257" i="19"/>
  <c r="E266" i="19"/>
  <c r="E278" i="19"/>
  <c r="E279" i="19"/>
  <c r="J282" i="19"/>
  <c r="P282" i="19"/>
  <c r="D117" i="38"/>
  <c r="H17" i="36"/>
  <c r="D17" i="36" s="1"/>
  <c r="AB364" i="19"/>
  <c r="Y374" i="19"/>
  <c r="U389" i="19"/>
  <c r="G389" i="19" s="1"/>
  <c r="V389" i="19"/>
  <c r="I389" i="19" s="1"/>
  <c r="H170" i="19" s="1"/>
  <c r="W389" i="19"/>
  <c r="H389" i="19" s="1"/>
  <c r="R389" i="19" s="1"/>
  <c r="S9" i="16"/>
  <c r="K704" i="60" s="1"/>
  <c r="S10" i="16"/>
  <c r="S11" i="16"/>
  <c r="T11" i="16"/>
  <c r="U11" i="16" s="1"/>
  <c r="S12" i="16"/>
  <c r="T12" i="16"/>
  <c r="S13" i="16"/>
  <c r="T13" i="16"/>
  <c r="W13" i="16" s="1"/>
  <c r="AL13" i="16" s="1"/>
  <c r="S14" i="16"/>
  <c r="T14" i="16"/>
  <c r="W14" i="16" s="1"/>
  <c r="AL14" i="16" s="1"/>
  <c r="S15" i="16"/>
  <c r="T15" i="16"/>
  <c r="U15" i="16" s="1"/>
  <c r="S16" i="16"/>
  <c r="K711" i="60" s="1"/>
  <c r="T16" i="16"/>
  <c r="U16" i="16" s="1"/>
  <c r="S17" i="16"/>
  <c r="T17" i="16"/>
  <c r="V17" i="16" s="1"/>
  <c r="S18" i="16"/>
  <c r="T18" i="16"/>
  <c r="W18" i="16" s="1"/>
  <c r="AL18" i="16" s="1"/>
  <c r="L17" i="64" s="1"/>
  <c r="F422" i="1"/>
  <c r="T9" i="16"/>
  <c r="Z374" i="19"/>
  <c r="R72" i="1"/>
  <c r="N73" i="1"/>
  <c r="I73" i="1"/>
  <c r="J73" i="1"/>
  <c r="R73" i="1"/>
  <c r="H10" i="40"/>
  <c r="B10" i="10"/>
  <c r="C10" i="10"/>
  <c r="D10" i="10"/>
  <c r="C10" i="6"/>
  <c r="D10" i="6"/>
  <c r="E10" i="6"/>
  <c r="B11" i="10"/>
  <c r="D11" i="10"/>
  <c r="C11" i="6"/>
  <c r="D11" i="6"/>
  <c r="E11" i="6"/>
  <c r="B12" i="6"/>
  <c r="C12" i="10"/>
  <c r="D12" i="10"/>
  <c r="C12" i="6"/>
  <c r="D12" i="6"/>
  <c r="E12" i="6"/>
  <c r="C13" i="10"/>
  <c r="D13" i="10"/>
  <c r="C13" i="6"/>
  <c r="D13" i="6"/>
  <c r="E13" i="6"/>
  <c r="B14" i="10"/>
  <c r="C14" i="10"/>
  <c r="D14" i="10"/>
  <c r="C14" i="6"/>
  <c r="D14" i="6"/>
  <c r="E14" i="6"/>
  <c r="B15" i="6"/>
  <c r="C15" i="10"/>
  <c r="D15" i="10"/>
  <c r="C15" i="6"/>
  <c r="D15" i="6"/>
  <c r="E15" i="6"/>
  <c r="C16" i="10"/>
  <c r="D16" i="10"/>
  <c r="C16" i="6"/>
  <c r="D16" i="6"/>
  <c r="E16" i="6"/>
  <c r="C17" i="10"/>
  <c r="D17" i="10"/>
  <c r="C17" i="6"/>
  <c r="D17" i="6"/>
  <c r="E17" i="6"/>
  <c r="C18" i="10"/>
  <c r="D18" i="10"/>
  <c r="C18" i="6"/>
  <c r="D18" i="6"/>
  <c r="E18" i="6"/>
  <c r="D19" i="10"/>
  <c r="C19" i="6"/>
  <c r="D19" i="6"/>
  <c r="E19" i="6"/>
  <c r="F14" i="7"/>
  <c r="I14" i="7" s="1"/>
  <c r="H14" i="7"/>
  <c r="G14" i="7"/>
  <c r="F15" i="7"/>
  <c r="I15" i="7" s="1"/>
  <c r="H15" i="7"/>
  <c r="G15" i="7"/>
  <c r="F16" i="7"/>
  <c r="I16" i="7" s="1"/>
  <c r="H16" i="7"/>
  <c r="G16" i="7"/>
  <c r="F8" i="42"/>
  <c r="G8" i="42"/>
  <c r="H8" i="42"/>
  <c r="T10" i="16"/>
  <c r="U10" i="16" s="1"/>
  <c r="E12" i="40"/>
  <c r="F86" i="34"/>
  <c r="E10" i="40"/>
  <c r="F48" i="34"/>
  <c r="D14" i="15"/>
  <c r="H12" i="40"/>
  <c r="G35" i="40"/>
  <c r="E48" i="34"/>
  <c r="D48" i="34"/>
  <c r="C87" i="37"/>
  <c r="I12" i="40"/>
  <c r="E35" i="40"/>
  <c r="E86" i="34"/>
  <c r="B14" i="15"/>
  <c r="E14" i="15" s="1"/>
  <c r="F117" i="38"/>
  <c r="C14" i="15"/>
  <c r="C86" i="34"/>
  <c r="D86" i="34"/>
  <c r="AA48" i="50"/>
  <c r="E117" i="38"/>
  <c r="G12" i="40"/>
  <c r="G10" i="40"/>
  <c r="C48" i="34"/>
  <c r="F10" i="40"/>
  <c r="J10" i="40"/>
  <c r="I10" i="40"/>
  <c r="F12" i="40"/>
  <c r="J12" i="40"/>
  <c r="F35" i="40"/>
  <c r="E17" i="36"/>
  <c r="AA66" i="50"/>
  <c r="AC30" i="50"/>
  <c r="G17" i="36"/>
  <c r="E87" i="37"/>
  <c r="AA30" i="50"/>
  <c r="F87" i="37"/>
  <c r="AA29" i="50"/>
  <c r="F17" i="36"/>
  <c r="D87" i="37"/>
  <c r="AB66" i="50"/>
  <c r="AA65" i="50"/>
  <c r="AB65" i="50"/>
  <c r="AB67" i="50"/>
  <c r="AA47" i="50"/>
  <c r="AB47" i="50"/>
  <c r="AB30" i="50"/>
  <c r="AC67" i="50"/>
  <c r="AB29" i="50"/>
  <c r="AB49" i="50"/>
  <c r="AA31" i="50"/>
  <c r="AC31" i="50"/>
  <c r="AB31" i="50"/>
  <c r="AC66" i="50"/>
  <c r="AC48" i="50"/>
  <c r="AB48" i="50"/>
  <c r="AC49" i="50"/>
  <c r="AA67" i="50"/>
  <c r="AA49" i="50"/>
  <c r="AC79" i="19"/>
  <c r="AC86" i="19" s="1"/>
  <c r="AC37" i="19"/>
  <c r="AC63" i="19"/>
  <c r="AC53" i="19"/>
  <c r="AC65" i="19"/>
  <c r="AC49" i="19"/>
  <c r="AD63" i="19"/>
  <c r="AD49" i="19"/>
  <c r="AD65" i="19"/>
  <c r="AD53" i="19"/>
  <c r="AD79" i="19"/>
  <c r="AD86" i="19" s="1"/>
  <c r="AD47" i="19"/>
  <c r="AE79" i="19"/>
  <c r="AE86" i="19" s="1"/>
  <c r="AE65" i="19"/>
  <c r="AE63" i="19"/>
  <c r="AE47" i="19"/>
  <c r="AE37" i="19"/>
  <c r="AD37" i="19"/>
  <c r="AC33" i="19"/>
  <c r="AC47" i="19"/>
  <c r="AD33" i="19"/>
  <c r="AE33" i="19"/>
  <c r="AE53" i="19"/>
  <c r="AE49" i="19"/>
  <c r="K10" i="40"/>
  <c r="E145" i="48"/>
  <c r="P103" i="48"/>
  <c r="B5" i="10"/>
  <c r="S181" i="19"/>
  <c r="S183" i="19"/>
  <c r="V766" i="55"/>
  <c r="X766" i="55"/>
  <c r="X765" i="55"/>
  <c r="V765" i="55"/>
  <c r="W766" i="55"/>
  <c r="W765" i="55"/>
  <c r="Y49" i="50"/>
  <c r="X49" i="50"/>
  <c r="Y47" i="50"/>
  <c r="X31" i="50"/>
  <c r="X47" i="50"/>
  <c r="Y48" i="50"/>
  <c r="X67" i="50"/>
  <c r="W47" i="50"/>
  <c r="Y31" i="50"/>
  <c r="W46" i="50"/>
  <c r="Y67" i="50"/>
  <c r="Y66" i="50"/>
  <c r="Y29" i="50"/>
  <c r="X65" i="50"/>
  <c r="W48" i="50"/>
  <c r="Y30" i="50"/>
  <c r="X29" i="50"/>
  <c r="W64" i="50"/>
  <c r="W49" i="50"/>
  <c r="W28" i="50"/>
  <c r="Y65" i="50"/>
  <c r="X46" i="50"/>
  <c r="Y46" i="50"/>
  <c r="K46" i="49"/>
  <c r="X30" i="50"/>
  <c r="W30" i="50"/>
  <c r="X64" i="50"/>
  <c r="K28" i="49"/>
  <c r="Y28" i="50"/>
  <c r="W66" i="50"/>
  <c r="W67" i="50"/>
  <c r="W31" i="50"/>
  <c r="X66" i="50"/>
  <c r="X28" i="50"/>
  <c r="K64" i="49"/>
  <c r="Y64" i="50"/>
  <c r="W29" i="50"/>
  <c r="X48" i="50"/>
  <c r="W65" i="50"/>
  <c r="Q45" i="53"/>
  <c r="Q106" i="53"/>
  <c r="S106" i="53" s="1"/>
  <c r="Q81" i="53"/>
  <c r="S81" i="53" s="1"/>
  <c r="Q44" i="53"/>
  <c r="Q130" i="53"/>
  <c r="S130" i="53" s="1"/>
  <c r="Q57" i="53"/>
  <c r="S57" i="53" s="1"/>
  <c r="Q129" i="53"/>
  <c r="S129" i="53" s="1"/>
  <c r="Q83" i="53"/>
  <c r="S83" i="53" s="1"/>
  <c r="Q105" i="53"/>
  <c r="S105" i="53" s="1"/>
  <c r="Q131" i="53"/>
  <c r="S131" i="53" s="1"/>
  <c r="Q56" i="53"/>
  <c r="Q107" i="53"/>
  <c r="S107" i="53" s="1"/>
  <c r="Q82" i="53"/>
  <c r="S82" i="53" s="1"/>
  <c r="Q58" i="53"/>
  <c r="S58" i="53" s="1"/>
  <c r="J209" i="53"/>
  <c r="I212" i="53"/>
  <c r="Q60" i="53"/>
  <c r="Q86" i="53"/>
  <c r="S86" i="53" s="1"/>
  <c r="J220" i="53"/>
  <c r="E350" i="19"/>
  <c r="E243" i="19" s="1"/>
  <c r="E85" i="19" s="1"/>
  <c r="J193" i="53"/>
  <c r="I193" i="53"/>
  <c r="I198" i="53"/>
  <c r="I219" i="53"/>
  <c r="E352" i="19"/>
  <c r="E245" i="19" s="1"/>
  <c r="E117" i="19" s="1"/>
  <c r="F412" i="1" l="1"/>
  <c r="R442" i="55"/>
  <c r="R324" i="55" s="1"/>
  <c r="R444" i="55"/>
  <c r="R326" i="55" s="1"/>
  <c r="R518" i="55"/>
  <c r="R396" i="55" s="1"/>
  <c r="AG677" i="55"/>
  <c r="AG660" i="55"/>
  <c r="R501" i="55"/>
  <c r="R379" i="55" s="1"/>
  <c r="AG645" i="55"/>
  <c r="R486" i="55"/>
  <c r="R364" i="55" s="1"/>
  <c r="AG643" i="55"/>
  <c r="R484" i="55"/>
  <c r="R362" i="55" s="1"/>
  <c r="AG623" i="55"/>
  <c r="R464" i="55"/>
  <c r="R344" i="55" s="1"/>
  <c r="AG620" i="55"/>
  <c r="R461" i="55"/>
  <c r="R341" i="55" s="1"/>
  <c r="O73" i="1"/>
  <c r="O10" i="66" s="1"/>
  <c r="R21" i="66" s="1"/>
  <c r="I10" i="66"/>
  <c r="L21" i="66" s="1"/>
  <c r="I21" i="66" s="1"/>
  <c r="P73" i="1"/>
  <c r="P10" i="66" s="1"/>
  <c r="S21" i="66" s="1"/>
  <c r="J10" i="66"/>
  <c r="M21" i="66" s="1"/>
  <c r="J21" i="66" s="1"/>
  <c r="AG604" i="55"/>
  <c r="AG603" i="55"/>
  <c r="AG602" i="55"/>
  <c r="AG601" i="55"/>
  <c r="R10" i="66"/>
  <c r="R9" i="66"/>
  <c r="N10" i="66"/>
  <c r="Q21" i="66" s="1"/>
  <c r="F15" i="66"/>
  <c r="AQ18" i="16"/>
  <c r="AO16" i="16"/>
  <c r="AJ16" i="16"/>
  <c r="AJ15" i="16"/>
  <c r="AO15" i="16"/>
  <c r="AQ14" i="16"/>
  <c r="AQ13" i="16"/>
  <c r="AO11" i="16"/>
  <c r="AJ11" i="16"/>
  <c r="AO10" i="16"/>
  <c r="AJ10" i="16"/>
  <c r="D114" i="35"/>
  <c r="K713" i="60"/>
  <c r="K709" i="60"/>
  <c r="K712" i="60"/>
  <c r="K710" i="60"/>
  <c r="K708" i="60"/>
  <c r="K707" i="60"/>
  <c r="K706" i="60"/>
  <c r="K705" i="60"/>
  <c r="AB454" i="58"/>
  <c r="K454" i="58" s="1"/>
  <c r="X428" i="61"/>
  <c r="AA454" i="58"/>
  <c r="AA456" i="58" s="1"/>
  <c r="W428" i="61"/>
  <c r="D427" i="58"/>
  <c r="D302" i="58" s="1"/>
  <c r="C164" i="58" s="1"/>
  <c r="D401" i="61"/>
  <c r="Q84" i="53"/>
  <c r="Q61" i="53"/>
  <c r="S61" i="53" s="1"/>
  <c r="Q63" i="53"/>
  <c r="S63" i="53" s="1"/>
  <c r="Q111" i="53"/>
  <c r="S111" i="53" s="1"/>
  <c r="Q62" i="53"/>
  <c r="S62" i="53" s="1"/>
  <c r="Q47" i="53"/>
  <c r="Q85" i="53"/>
  <c r="S85" i="53" s="1"/>
  <c r="Q135" i="53"/>
  <c r="S135" i="53" s="1"/>
  <c r="Q132" i="53"/>
  <c r="Q133" i="53"/>
  <c r="S133" i="53" s="1"/>
  <c r="Q109" i="53"/>
  <c r="S109" i="53" s="1"/>
  <c r="Q110" i="53"/>
  <c r="S110" i="53" s="1"/>
  <c r="Q108" i="53"/>
  <c r="Q46" i="53"/>
  <c r="Q87" i="53"/>
  <c r="S87" i="53" s="1"/>
  <c r="G20" i="10"/>
  <c r="F20" i="10"/>
  <c r="S389" i="19"/>
  <c r="I282" i="19"/>
  <c r="F106" i="33" s="1"/>
  <c r="DO23" i="56"/>
  <c r="E82" i="56"/>
  <c r="N92" i="49"/>
  <c r="N95" i="49" s="1"/>
  <c r="D368" i="56"/>
  <c r="D256" i="56" s="1"/>
  <c r="C141" i="56" s="1"/>
  <c r="X394" i="56"/>
  <c r="I394" i="56" s="1"/>
  <c r="I281" i="56" s="1"/>
  <c r="I283" i="56" s="1"/>
  <c r="E39" i="56"/>
  <c r="DO39" i="56" s="1"/>
  <c r="W359" i="56"/>
  <c r="F359" i="56" s="1"/>
  <c r="F246" i="56" s="1"/>
  <c r="F119" i="56" s="1"/>
  <c r="DO22" i="56"/>
  <c r="DO24" i="56"/>
  <c r="AB380" i="56"/>
  <c r="Y394" i="56"/>
  <c r="H394" i="56" s="1"/>
  <c r="W394" i="56"/>
  <c r="G394" i="56" s="1"/>
  <c r="G15" i="10"/>
  <c r="H27" i="47"/>
  <c r="E111" i="49"/>
  <c r="P111" i="49" s="1"/>
  <c r="E115" i="49"/>
  <c r="P115" i="49" s="1"/>
  <c r="E105" i="49"/>
  <c r="L105" i="49" s="1"/>
  <c r="L147" i="49" s="1"/>
  <c r="D294" i="19"/>
  <c r="B5" i="11"/>
  <c r="B5" i="6"/>
  <c r="A22" i="15"/>
  <c r="B5" i="8"/>
  <c r="A10" i="8"/>
  <c r="A15" i="9"/>
  <c r="A21" i="15"/>
  <c r="B5" i="9"/>
  <c r="A12" i="9"/>
  <c r="D8" i="19"/>
  <c r="A23" i="15"/>
  <c r="D592" i="55"/>
  <c r="A11" i="14"/>
  <c r="B5" i="14"/>
  <c r="C7" i="7"/>
  <c r="A16" i="10" s="1"/>
  <c r="A16" i="6" s="1"/>
  <c r="O83" i="48"/>
  <c r="O92" i="48" s="1"/>
  <c r="N104" i="48"/>
  <c r="L83" i="48"/>
  <c r="L92" i="48" s="1"/>
  <c r="E341" i="19"/>
  <c r="E234" i="19" s="1"/>
  <c r="E76" i="19" s="1"/>
  <c r="I202" i="53"/>
  <c r="I208" i="53"/>
  <c r="I213" i="53"/>
  <c r="E330" i="19"/>
  <c r="E223" i="19" s="1"/>
  <c r="E60" i="19" s="1"/>
  <c r="I215" i="53"/>
  <c r="I217" i="53"/>
  <c r="I204" i="53"/>
  <c r="E301" i="19"/>
  <c r="E194" i="19" s="1"/>
  <c r="E16" i="19" s="1"/>
  <c r="G84" i="48"/>
  <c r="G93" i="48" s="1"/>
  <c r="B14" i="6"/>
  <c r="I205" i="53"/>
  <c r="O745" i="55"/>
  <c r="I580" i="55"/>
  <c r="O580" i="55" s="1"/>
  <c r="V13" i="16"/>
  <c r="B10" i="6"/>
  <c r="F12" i="10"/>
  <c r="V11" i="16"/>
  <c r="F73" i="1"/>
  <c r="F10" i="66" s="1"/>
  <c r="J200" i="53"/>
  <c r="G73" i="1"/>
  <c r="G10" i="66" s="1"/>
  <c r="W16" i="16"/>
  <c r="AL16" i="16" s="1"/>
  <c r="L15" i="64" s="1"/>
  <c r="V16" i="16"/>
  <c r="E113" i="49"/>
  <c r="E155" i="49" s="1"/>
  <c r="E114" i="35"/>
  <c r="E84" i="48"/>
  <c r="E93" i="48" s="1"/>
  <c r="K98" i="49"/>
  <c r="K140" i="49" s="1"/>
  <c r="E13" i="10"/>
  <c r="H98" i="48"/>
  <c r="H140" i="48" s="1"/>
  <c r="E110" i="48"/>
  <c r="P110" i="48" s="1"/>
  <c r="G100" i="48"/>
  <c r="G142" i="48" s="1"/>
  <c r="O98" i="49"/>
  <c r="O117" i="49" s="1"/>
  <c r="U17" i="16"/>
  <c r="H48" i="47"/>
  <c r="F15" i="10"/>
  <c r="F85" i="48"/>
  <c r="F94" i="48" s="1"/>
  <c r="L100" i="48"/>
  <c r="L142" i="48" s="1"/>
  <c r="Q128" i="53"/>
  <c r="Q104" i="53"/>
  <c r="Q59" i="53"/>
  <c r="S59" i="53" s="1"/>
  <c r="E47" i="36"/>
  <c r="F120" i="35"/>
  <c r="G181" i="19"/>
  <c r="C4" i="13"/>
  <c r="AA373" i="19"/>
  <c r="H82" i="39"/>
  <c r="H53" i="47"/>
  <c r="G98" i="48"/>
  <c r="G140" i="48" s="1"/>
  <c r="H104" i="48"/>
  <c r="H146" i="48" s="1"/>
  <c r="L104" i="48"/>
  <c r="L146" i="48" s="1"/>
  <c r="I100" i="48"/>
  <c r="I142" i="48" s="1"/>
  <c r="L98" i="48"/>
  <c r="L140" i="48" s="1"/>
  <c r="E157" i="48"/>
  <c r="E112" i="48"/>
  <c r="P112" i="48" s="1"/>
  <c r="K83" i="48"/>
  <c r="K92" i="48" s="1"/>
  <c r="J84" i="48"/>
  <c r="J93" i="48" s="1"/>
  <c r="J102" i="48"/>
  <c r="P113" i="48"/>
  <c r="W17" i="16"/>
  <c r="AL17" i="16" s="1"/>
  <c r="L16" i="64" s="1"/>
  <c r="A14" i="11"/>
  <c r="B5" i="15"/>
  <c r="B114" i="35"/>
  <c r="B118" i="35" s="1"/>
  <c r="J102" i="49"/>
  <c r="H45" i="47"/>
  <c r="F14" i="10"/>
  <c r="O84" i="48"/>
  <c r="O93" i="48" s="1"/>
  <c r="G104" i="48"/>
  <c r="G146" i="48" s="1"/>
  <c r="G85" i="48"/>
  <c r="G94" i="48" s="1"/>
  <c r="W11" i="16"/>
  <c r="AL11" i="16" s="1"/>
  <c r="P101" i="48"/>
  <c r="D20" i="40"/>
  <c r="D28" i="40" s="1"/>
  <c r="B6" i="10"/>
  <c r="D593" i="55"/>
  <c r="G282" i="19"/>
  <c r="F170" i="19"/>
  <c r="M104" i="49"/>
  <c r="B13" i="6"/>
  <c r="B13" i="10"/>
  <c r="J31" i="49"/>
  <c r="J104" i="49" s="1"/>
  <c r="J104" i="48"/>
  <c r="M102" i="48"/>
  <c r="M30" i="49"/>
  <c r="M102" i="49" s="1"/>
  <c r="F83" i="48"/>
  <c r="F92" i="48" s="1"/>
  <c r="F98" i="48"/>
  <c r="F140" i="48" s="1"/>
  <c r="O100" i="49"/>
  <c r="C11" i="10"/>
  <c r="F11" i="10" s="1"/>
  <c r="Q389" i="19"/>
  <c r="K100" i="48"/>
  <c r="K142" i="48" s="1"/>
  <c r="K47" i="49"/>
  <c r="N29" i="49"/>
  <c r="N100" i="49" s="1"/>
  <c r="N100" i="48"/>
  <c r="H36" i="47"/>
  <c r="O86" i="49"/>
  <c r="O92" i="49"/>
  <c r="O95" i="49" s="1"/>
  <c r="G17" i="10"/>
  <c r="M85" i="48"/>
  <c r="M94" i="48" s="1"/>
  <c r="N84" i="48"/>
  <c r="N93" i="48" s="1"/>
  <c r="N104" i="49"/>
  <c r="J98" i="48"/>
  <c r="F13" i="10"/>
  <c r="G13" i="10"/>
  <c r="O85" i="48"/>
  <c r="O94" i="48" s="1"/>
  <c r="O67" i="49"/>
  <c r="F10" i="10"/>
  <c r="I47" i="49"/>
  <c r="I100" i="49" s="1"/>
  <c r="I142" i="49" s="1"/>
  <c r="M83" i="48"/>
  <c r="M92" i="48" s="1"/>
  <c r="B109" i="35"/>
  <c r="B116" i="35" s="1"/>
  <c r="F109" i="35"/>
  <c r="F116" i="35" s="1"/>
  <c r="E100" i="48"/>
  <c r="E142" i="48" s="1"/>
  <c r="M98" i="49"/>
  <c r="M117" i="49" s="1"/>
  <c r="E149" i="48"/>
  <c r="U13" i="16"/>
  <c r="J28" i="49"/>
  <c r="J98" i="49" s="1"/>
  <c r="J117" i="49" s="1"/>
  <c r="M100" i="48"/>
  <c r="E151" i="48"/>
  <c r="H85" i="48"/>
  <c r="H94" i="48" s="1"/>
  <c r="E114" i="48"/>
  <c r="P114" i="48" s="1"/>
  <c r="E103" i="49"/>
  <c r="H57" i="47"/>
  <c r="K85" i="49"/>
  <c r="K94" i="49" s="1"/>
  <c r="H15" i="9"/>
  <c r="B114" i="34"/>
  <c r="B118" i="34" s="1"/>
  <c r="E109" i="49"/>
  <c r="P109" i="49" s="1"/>
  <c r="O48" i="49"/>
  <c r="O102" i="49" s="1"/>
  <c r="E109" i="35"/>
  <c r="E116" i="35" s="1"/>
  <c r="H37" i="47"/>
  <c r="H56" i="47"/>
  <c r="F114" i="35"/>
  <c r="N48" i="49"/>
  <c r="N102" i="49" s="1"/>
  <c r="I85" i="48"/>
  <c r="I94" i="48" s="1"/>
  <c r="K29" i="49"/>
  <c r="K83" i="49" s="1"/>
  <c r="K92" i="49" s="1"/>
  <c r="L105" i="48"/>
  <c r="L147" i="48" s="1"/>
  <c r="E8" i="42"/>
  <c r="R8" i="42" s="1"/>
  <c r="F104" i="48"/>
  <c r="F146" i="48" s="1"/>
  <c r="U388" i="19"/>
  <c r="G388" i="19" s="1"/>
  <c r="F164" i="19" s="1"/>
  <c r="K85" i="48"/>
  <c r="K94" i="48" s="1"/>
  <c r="M104" i="48"/>
  <c r="K104" i="48"/>
  <c r="K146" i="48" s="1"/>
  <c r="M84" i="48"/>
  <c r="M93" i="48" s="1"/>
  <c r="E99" i="49"/>
  <c r="P99" i="49" s="1"/>
  <c r="H41" i="47"/>
  <c r="J194" i="53"/>
  <c r="B6" i="11"/>
  <c r="B6" i="6"/>
  <c r="B6" i="14"/>
  <c r="D295" i="19"/>
  <c r="D11" i="55"/>
  <c r="C8" i="7"/>
  <c r="A11" i="11" s="1"/>
  <c r="A13" i="11" s="1"/>
  <c r="D9" i="19"/>
  <c r="B6" i="9"/>
  <c r="J218" i="53"/>
  <c r="D9" i="9"/>
  <c r="B6" i="8"/>
  <c r="B6" i="15"/>
  <c r="W15" i="16"/>
  <c r="AL15" i="16" s="1"/>
  <c r="V18" i="16"/>
  <c r="U18" i="16"/>
  <c r="V15" i="16"/>
  <c r="F102" i="48"/>
  <c r="F144" i="48" s="1"/>
  <c r="I84" i="48"/>
  <c r="I93" i="48" s="1"/>
  <c r="I104" i="49"/>
  <c r="I146" i="49" s="1"/>
  <c r="H100" i="48"/>
  <c r="H142" i="48" s="1"/>
  <c r="F84" i="48"/>
  <c r="F93" i="48" s="1"/>
  <c r="M100" i="49"/>
  <c r="L84" i="48"/>
  <c r="L93" i="48" s="1"/>
  <c r="K104" i="49"/>
  <c r="K146" i="49" s="1"/>
  <c r="G83" i="48"/>
  <c r="G92" i="48" s="1"/>
  <c r="E83" i="48"/>
  <c r="E92" i="48" s="1"/>
  <c r="N102" i="48"/>
  <c r="J197" i="53"/>
  <c r="J216" i="53"/>
  <c r="I86" i="49"/>
  <c r="I92" i="49"/>
  <c r="I95" i="49" s="1"/>
  <c r="C19" i="10"/>
  <c r="G19" i="10" s="1"/>
  <c r="E108" i="48"/>
  <c r="B11" i="6"/>
  <c r="E107" i="49"/>
  <c r="P107" i="49" s="1"/>
  <c r="H21" i="47"/>
  <c r="J83" i="48"/>
  <c r="J92" i="48" s="1"/>
  <c r="I98" i="48"/>
  <c r="I140" i="48" s="1"/>
  <c r="I46" i="49"/>
  <c r="I84" i="49" s="1"/>
  <c r="I93" i="49" s="1"/>
  <c r="G102" i="48"/>
  <c r="G144" i="48" s="1"/>
  <c r="H40" i="47"/>
  <c r="P111" i="48"/>
  <c r="H57" i="1"/>
  <c r="U717" i="55" s="1"/>
  <c r="N83" i="48"/>
  <c r="E104" i="48"/>
  <c r="E146" i="48" s="1"/>
  <c r="E101" i="49"/>
  <c r="H84" i="48"/>
  <c r="H93" i="48" s="1"/>
  <c r="G9" i="9"/>
  <c r="G13" i="9" s="1"/>
  <c r="D38" i="10"/>
  <c r="O102" i="48"/>
  <c r="N85" i="48"/>
  <c r="N94" i="48" s="1"/>
  <c r="V421" i="19"/>
  <c r="E106" i="48"/>
  <c r="F100" i="48"/>
  <c r="E114" i="49"/>
  <c r="P114" i="49" s="1"/>
  <c r="E141" i="48"/>
  <c r="F120" i="34"/>
  <c r="I396" i="19"/>
  <c r="E17" i="10"/>
  <c r="H46" i="47"/>
  <c r="E15" i="10"/>
  <c r="Y373" i="19"/>
  <c r="E349" i="19"/>
  <c r="E242" i="19" s="1"/>
  <c r="E84" i="19" s="1"/>
  <c r="W421" i="19"/>
  <c r="E308" i="19"/>
  <c r="E201" i="19" s="1"/>
  <c r="E28" i="19" s="1"/>
  <c r="F110" i="37"/>
  <c r="V14" i="16"/>
  <c r="U14" i="16"/>
  <c r="F18" i="10"/>
  <c r="B15" i="10"/>
  <c r="E10" i="10"/>
  <c r="U9" i="16"/>
  <c r="W9" i="16"/>
  <c r="V9" i="16"/>
  <c r="W12" i="16"/>
  <c r="AL12" i="16" s="1"/>
  <c r="V12" i="16"/>
  <c r="U12" i="16"/>
  <c r="G10" i="10"/>
  <c r="D41" i="10"/>
  <c r="Y49" i="1"/>
  <c r="X49" i="1" s="1"/>
  <c r="B12" i="10"/>
  <c r="B19" i="6"/>
  <c r="B19" i="10"/>
  <c r="I11" i="66"/>
  <c r="L22" i="66" s="1"/>
  <c r="V388" i="19"/>
  <c r="I388" i="19" s="1"/>
  <c r="G12" i="10"/>
  <c r="E12" i="10"/>
  <c r="G580" i="55"/>
  <c r="M580" i="55" s="1"/>
  <c r="M745" i="55"/>
  <c r="C11" i="13"/>
  <c r="E305" i="19"/>
  <c r="E198" i="19" s="1"/>
  <c r="E20" i="19" s="1"/>
  <c r="I214" i="53"/>
  <c r="J210" i="53"/>
  <c r="E120" i="35"/>
  <c r="E328" i="19"/>
  <c r="E221" i="19" s="1"/>
  <c r="E53" i="19" s="1"/>
  <c r="E110" i="37"/>
  <c r="J72" i="1"/>
  <c r="E114" i="38"/>
  <c r="J203" i="53"/>
  <c r="H396" i="19"/>
  <c r="H289" i="19"/>
  <c r="I57" i="1"/>
  <c r="T717" i="55" s="1"/>
  <c r="AD717" i="55" s="1"/>
  <c r="H717" i="55" s="1"/>
  <c r="W395" i="19"/>
  <c r="F32" i="40"/>
  <c r="H6" i="42"/>
  <c r="H587" i="55"/>
  <c r="I196" i="53"/>
  <c r="F9" i="9"/>
  <c r="F13" i="9" s="1"/>
  <c r="U777" i="55"/>
  <c r="F47" i="36"/>
  <c r="W380" i="19"/>
  <c r="G306" i="55"/>
  <c r="E120" i="34"/>
  <c r="E319" i="19"/>
  <c r="E212" i="19" s="1"/>
  <c r="E44" i="19" s="1"/>
  <c r="H752" i="55"/>
  <c r="U752" i="55" s="1"/>
  <c r="G87" i="39"/>
  <c r="J207" i="53"/>
  <c r="E120" i="33"/>
  <c r="D717" i="55"/>
  <c r="D362" i="19"/>
  <c r="D256" i="19" s="1"/>
  <c r="U704" i="55"/>
  <c r="E316" i="19"/>
  <c r="E209" i="19" s="1"/>
  <c r="E36" i="19" s="1"/>
  <c r="J204" i="53"/>
  <c r="F14" i="66"/>
  <c r="I216" i="53"/>
  <c r="G76" i="1"/>
  <c r="G14" i="66" s="1"/>
  <c r="B9" i="9"/>
  <c r="M92" i="49"/>
  <c r="M95" i="49" s="1"/>
  <c r="M86" i="49"/>
  <c r="E58" i="47"/>
  <c r="G16" i="47" s="1"/>
  <c r="H43" i="47"/>
  <c r="F58" i="47"/>
  <c r="J215" i="53"/>
  <c r="J196" i="53"/>
  <c r="K31" i="39"/>
  <c r="E339" i="19"/>
  <c r="E232" i="19" s="1"/>
  <c r="E69" i="19" s="1"/>
  <c r="G18" i="10"/>
  <c r="E18" i="10"/>
  <c r="G16" i="10"/>
  <c r="E16" i="10"/>
  <c r="F16" i="10"/>
  <c r="L33" i="47"/>
  <c r="H34" i="47"/>
  <c r="H16" i="47"/>
  <c r="E317" i="19"/>
  <c r="E210" i="19" s="1"/>
  <c r="E37" i="19" s="1"/>
  <c r="I211" i="53"/>
  <c r="H102" i="48"/>
  <c r="H83" i="48"/>
  <c r="N84" i="49"/>
  <c r="N93" i="49" s="1"/>
  <c r="N98" i="49"/>
  <c r="N117" i="49" s="1"/>
  <c r="B17" i="10"/>
  <c r="B17" i="6"/>
  <c r="K72" i="39"/>
  <c r="D109" i="35"/>
  <c r="D116" i="35" s="1"/>
  <c r="D118" i="35" s="1"/>
  <c r="E98" i="48"/>
  <c r="E85" i="48"/>
  <c r="K48" i="49"/>
  <c r="K102" i="49" s="1"/>
  <c r="K144" i="49" s="1"/>
  <c r="K102" i="48"/>
  <c r="K144" i="48" s="1"/>
  <c r="K84" i="48"/>
  <c r="G14" i="10"/>
  <c r="E14" i="10"/>
  <c r="G170" i="19"/>
  <c r="H282" i="19"/>
  <c r="L102" i="48"/>
  <c r="L85" i="48"/>
  <c r="L94" i="48" s="1"/>
  <c r="J100" i="48"/>
  <c r="J65" i="49"/>
  <c r="J100" i="49" s="1"/>
  <c r="J85" i="48"/>
  <c r="J94" i="48" s="1"/>
  <c r="I102" i="48"/>
  <c r="I144" i="48" s="1"/>
  <c r="I48" i="49"/>
  <c r="I102" i="49" s="1"/>
  <c r="I144" i="49" s="1"/>
  <c r="O104" i="48"/>
  <c r="O31" i="49"/>
  <c r="I83" i="48"/>
  <c r="I104" i="48"/>
  <c r="I146" i="48" s="1"/>
  <c r="F17" i="10"/>
  <c r="W388" i="19"/>
  <c r="H388" i="19" s="1"/>
  <c r="J11" i="66"/>
  <c r="M22" i="66" s="1"/>
  <c r="G12" i="13"/>
  <c r="H12" i="13" s="1"/>
  <c r="D12" i="13" s="1"/>
  <c r="H10" i="8"/>
  <c r="V10" i="16"/>
  <c r="W10" i="16"/>
  <c r="AL10" i="16" s="1"/>
  <c r="B18" i="6"/>
  <c r="B18" i="10"/>
  <c r="B16" i="6"/>
  <c r="B16" i="10"/>
  <c r="G295" i="55"/>
  <c r="I295" i="55" s="1"/>
  <c r="N745" i="55"/>
  <c r="H580" i="55"/>
  <c r="N580" i="55" s="1"/>
  <c r="G108" i="37"/>
  <c r="E102" i="48"/>
  <c r="L122" i="48"/>
  <c r="L120" i="49"/>
  <c r="P105" i="48"/>
  <c r="I201" i="53"/>
  <c r="F306" i="55"/>
  <c r="U380" i="19"/>
  <c r="G752" i="55"/>
  <c r="S752" i="55" s="1"/>
  <c r="G289" i="19"/>
  <c r="D110" i="37"/>
  <c r="E32" i="40"/>
  <c r="D114" i="38"/>
  <c r="G587" i="55"/>
  <c r="F6" i="42"/>
  <c r="D120" i="35"/>
  <c r="G396" i="19"/>
  <c r="U421" i="19"/>
  <c r="U395" i="19"/>
  <c r="S777" i="55"/>
  <c r="B9" i="8"/>
  <c r="D9" i="8" s="1"/>
  <c r="K59" i="1"/>
  <c r="E13" i="9"/>
  <c r="H13" i="9" s="1"/>
  <c r="H9" i="9"/>
  <c r="J217" i="53"/>
  <c r="J202" i="53"/>
  <c r="E312" i="19"/>
  <c r="E205" i="19" s="1"/>
  <c r="E32" i="19" s="1"/>
  <c r="J213" i="53"/>
  <c r="B11" i="9"/>
  <c r="K58" i="1"/>
  <c r="I200" i="53"/>
  <c r="E306" i="19"/>
  <c r="E199" i="19" s="1"/>
  <c r="E21" i="19" s="1"/>
  <c r="J198" i="53"/>
  <c r="F87" i="39"/>
  <c r="D120" i="33"/>
  <c r="I207" i="53"/>
  <c r="E351" i="19"/>
  <c r="E244" i="19" s="1"/>
  <c r="E109" i="19" s="1"/>
  <c r="K51" i="39"/>
  <c r="F59" i="1"/>
  <c r="J212" i="53"/>
  <c r="D120" i="34"/>
  <c r="F181" i="19"/>
  <c r="J214" i="53"/>
  <c r="I197" i="53"/>
  <c r="I209" i="53"/>
  <c r="J195" i="53"/>
  <c r="G47" i="36"/>
  <c r="I289" i="19"/>
  <c r="F120" i="33"/>
  <c r="G6" i="42"/>
  <c r="H181" i="19"/>
  <c r="I72" i="1"/>
  <c r="T777" i="55"/>
  <c r="H87" i="39"/>
  <c r="G32" i="40"/>
  <c r="I587" i="55"/>
  <c r="V395" i="19"/>
  <c r="V380" i="19"/>
  <c r="H306" i="55"/>
  <c r="I752" i="55"/>
  <c r="T752" i="55" s="1"/>
  <c r="I218" i="53"/>
  <c r="D5" i="40"/>
  <c r="D26" i="40" s="1"/>
  <c r="J201" i="53"/>
  <c r="J211" i="53"/>
  <c r="I195" i="53"/>
  <c r="I203" i="53"/>
  <c r="J219" i="53"/>
  <c r="I220" i="53"/>
  <c r="I210" i="53"/>
  <c r="F114" i="38"/>
  <c r="U353" i="19"/>
  <c r="H14" i="66"/>
  <c r="K25" i="66" s="1"/>
  <c r="I194" i="53"/>
  <c r="H138" i="49"/>
  <c r="F138" i="49"/>
  <c r="E138" i="48"/>
  <c r="L123" i="49"/>
  <c r="L119" i="49"/>
  <c r="L121" i="48"/>
  <c r="L136" i="48"/>
  <c r="L124" i="49"/>
  <c r="L136" i="49"/>
  <c r="L125" i="49"/>
  <c r="H138" i="48"/>
  <c r="L125" i="48"/>
  <c r="L126" i="48"/>
  <c r="L123" i="48"/>
  <c r="G138" i="48"/>
  <c r="G138" i="49"/>
  <c r="L121" i="49"/>
  <c r="K138" i="49"/>
  <c r="L120" i="48"/>
  <c r="I138" i="48"/>
  <c r="K138" i="48"/>
  <c r="E138" i="49"/>
  <c r="F138" i="48"/>
  <c r="L119" i="48"/>
  <c r="L126" i="49"/>
  <c r="I138" i="49"/>
  <c r="L122" i="49"/>
  <c r="L124" i="48"/>
  <c r="K716" i="60" l="1"/>
  <c r="K62" i="1"/>
  <c r="Q73" i="1"/>
  <c r="Q10" i="66" s="1"/>
  <c r="T21" i="66" s="1"/>
  <c r="K15" i="64"/>
  <c r="N15" i="64" s="1"/>
  <c r="F39" i="66"/>
  <c r="G39" i="66" s="1"/>
  <c r="R564" i="55"/>
  <c r="AG728" i="55"/>
  <c r="P72" i="1"/>
  <c r="P9" i="66" s="1"/>
  <c r="J9" i="66"/>
  <c r="J20" i="66" s="1"/>
  <c r="J36" i="66" s="1"/>
  <c r="J48" i="66" s="1"/>
  <c r="O72" i="1"/>
  <c r="O9" i="66" s="1"/>
  <c r="I9" i="66"/>
  <c r="I20" i="66" s="1"/>
  <c r="S43" i="66"/>
  <c r="L43" i="66" s="1"/>
  <c r="K9" i="64"/>
  <c r="N9" i="64" s="1"/>
  <c r="K10" i="64"/>
  <c r="N10" i="64" s="1"/>
  <c r="L12" i="64"/>
  <c r="L13" i="64"/>
  <c r="K14" i="64"/>
  <c r="N14" i="64" s="1"/>
  <c r="J15" i="66"/>
  <c r="I15" i="66"/>
  <c r="H15" i="66"/>
  <c r="X15" i="16"/>
  <c r="X16" i="16"/>
  <c r="AM16" i="16" s="1"/>
  <c r="AK16" i="16" s="1"/>
  <c r="M15" i="64" s="1"/>
  <c r="P15" i="64" s="1"/>
  <c r="X10" i="16"/>
  <c r="AO18" i="16"/>
  <c r="X18" i="16"/>
  <c r="AM18" i="16" s="1"/>
  <c r="AJ18" i="16"/>
  <c r="X17" i="16"/>
  <c r="AM17" i="16" s="1"/>
  <c r="AO17" i="16"/>
  <c r="AJ17" i="16"/>
  <c r="AQ16" i="16"/>
  <c r="AQ17" i="16"/>
  <c r="X11" i="16"/>
  <c r="AM11" i="16" s="1"/>
  <c r="AK11" i="16" s="1"/>
  <c r="K715" i="60"/>
  <c r="AQ15" i="16"/>
  <c r="AO14" i="16"/>
  <c r="AJ14" i="16"/>
  <c r="X14" i="16"/>
  <c r="AM14" i="16" s="1"/>
  <c r="AJ13" i="16"/>
  <c r="AO13" i="16"/>
  <c r="X13" i="16"/>
  <c r="AM13" i="16" s="1"/>
  <c r="X12" i="16"/>
  <c r="AM12" i="16" s="1"/>
  <c r="AJ12" i="16"/>
  <c r="AO12" i="16"/>
  <c r="AQ12" i="16"/>
  <c r="AQ11" i="16"/>
  <c r="AQ10" i="16"/>
  <c r="L9" i="64"/>
  <c r="AQ9" i="16"/>
  <c r="AL9" i="16"/>
  <c r="L8" i="64" s="1"/>
  <c r="X9" i="16"/>
  <c r="AO9" i="16"/>
  <c r="AJ9" i="16"/>
  <c r="K8" i="64" s="1"/>
  <c r="AB456" i="58"/>
  <c r="L454" i="58"/>
  <c r="K181" i="58" s="1"/>
  <c r="D428" i="58"/>
  <c r="D430" i="58" s="1"/>
  <c r="D402" i="61"/>
  <c r="D404" i="61" s="1"/>
  <c r="D276" i="61"/>
  <c r="W430" i="61"/>
  <c r="L428" i="61"/>
  <c r="AA418" i="58"/>
  <c r="K418" i="58" s="1"/>
  <c r="W392" i="61"/>
  <c r="AB427" i="58"/>
  <c r="K427" i="58" s="1"/>
  <c r="K302" i="58" s="1"/>
  <c r="X401" i="61"/>
  <c r="AA427" i="58"/>
  <c r="L427" i="58" s="1"/>
  <c r="W401" i="61"/>
  <c r="I401" i="61"/>
  <c r="D438" i="58"/>
  <c r="D312" i="58" s="1"/>
  <c r="D412" i="61"/>
  <c r="I427" i="58"/>
  <c r="I302" i="58" s="1"/>
  <c r="D164" i="58" s="1"/>
  <c r="K428" i="61"/>
  <c r="X430" i="61"/>
  <c r="Z482" i="58"/>
  <c r="V456" i="61"/>
  <c r="S282" i="19"/>
  <c r="H20" i="10"/>
  <c r="K456" i="58"/>
  <c r="K327" i="58"/>
  <c r="K329" i="58" s="1"/>
  <c r="J181" i="58"/>
  <c r="V752" i="55"/>
  <c r="O36" i="1"/>
  <c r="O38" i="1" s="1"/>
  <c r="I744" i="55"/>
  <c r="I579" i="55" s="1"/>
  <c r="I581" i="55" s="1"/>
  <c r="L48" i="64"/>
  <c r="L54" i="64" s="1"/>
  <c r="L46" i="64"/>
  <c r="H744" i="55"/>
  <c r="G289" i="55" s="1"/>
  <c r="F544" i="55"/>
  <c r="F423" i="55" s="1"/>
  <c r="G744" i="55"/>
  <c r="G746" i="55" s="1"/>
  <c r="D554" i="55"/>
  <c r="C272" i="55" s="1"/>
  <c r="A9" i="16"/>
  <c r="A11" i="16"/>
  <c r="E151" i="49"/>
  <c r="I306" i="55"/>
  <c r="L204" i="53"/>
  <c r="W414" i="56"/>
  <c r="I396" i="56"/>
  <c r="H158" i="56"/>
  <c r="O95" i="48"/>
  <c r="O86" i="48"/>
  <c r="E152" i="48"/>
  <c r="F368" i="56"/>
  <c r="F256" i="56" s="1"/>
  <c r="D141" i="56" s="1"/>
  <c r="F717" i="55"/>
  <c r="F362" i="19"/>
  <c r="F256" i="19" s="1"/>
  <c r="D147" i="19" s="1"/>
  <c r="Y368" i="56"/>
  <c r="H368" i="56" s="1"/>
  <c r="H256" i="56" s="1"/>
  <c r="G141" i="56" s="1"/>
  <c r="X368" i="56"/>
  <c r="I368" i="56" s="1"/>
  <c r="I256" i="56" s="1"/>
  <c r="H141" i="56" s="1"/>
  <c r="W368" i="56"/>
  <c r="G368" i="56" s="1"/>
  <c r="G256" i="56" s="1"/>
  <c r="F141" i="56" s="1"/>
  <c r="E302" i="19"/>
  <c r="E195" i="19" s="1"/>
  <c r="E17" i="19" s="1"/>
  <c r="Y44" i="53" s="1"/>
  <c r="R34" i="53" s="1"/>
  <c r="E359" i="56"/>
  <c r="E246" i="56" s="1"/>
  <c r="E119" i="56" s="1"/>
  <c r="X359" i="56"/>
  <c r="X414" i="56" s="1"/>
  <c r="W422" i="56"/>
  <c r="D378" i="56"/>
  <c r="D380" i="56" s="1"/>
  <c r="D369" i="56"/>
  <c r="AB379" i="56"/>
  <c r="O117" i="48"/>
  <c r="AC47" i="53"/>
  <c r="J95" i="48"/>
  <c r="F86" i="48"/>
  <c r="G281" i="56"/>
  <c r="G283" i="56" s="1"/>
  <c r="F158" i="56"/>
  <c r="G396" i="56"/>
  <c r="H281" i="56"/>
  <c r="H283" i="56" s="1"/>
  <c r="G158" i="56"/>
  <c r="H396" i="56"/>
  <c r="E147" i="49"/>
  <c r="P105" i="49"/>
  <c r="E157" i="49"/>
  <c r="P113" i="49"/>
  <c r="J83" i="49"/>
  <c r="J92" i="49" s="1"/>
  <c r="J95" i="49" s="1"/>
  <c r="E149" i="49"/>
  <c r="E153" i="49"/>
  <c r="E141" i="49"/>
  <c r="F95" i="48"/>
  <c r="T8" i="42"/>
  <c r="S8" i="42"/>
  <c r="A12" i="10"/>
  <c r="A12" i="6" s="1"/>
  <c r="A15" i="16"/>
  <c r="A18" i="16"/>
  <c r="A14" i="10"/>
  <c r="A14" i="6" s="1"/>
  <c r="A10" i="16"/>
  <c r="A11" i="10"/>
  <c r="A11" i="6" s="1"/>
  <c r="A19" i="15"/>
  <c r="A10" i="14"/>
  <c r="A10" i="9"/>
  <c r="A10" i="10"/>
  <c r="A10" i="6" s="1"/>
  <c r="A11" i="15"/>
  <c r="A13" i="15" s="1"/>
  <c r="A15" i="15" s="1"/>
  <c r="A17" i="15" s="1"/>
  <c r="A9" i="9"/>
  <c r="A15" i="10"/>
  <c r="A15" i="6" s="1"/>
  <c r="A17" i="10"/>
  <c r="A17" i="6" s="1"/>
  <c r="A10" i="11"/>
  <c r="A12" i="11" s="1"/>
  <c r="A13" i="10"/>
  <c r="A13" i="6" s="1"/>
  <c r="A19" i="10"/>
  <c r="A19" i="6" s="1"/>
  <c r="A16" i="16"/>
  <c r="A13" i="16"/>
  <c r="A18" i="10"/>
  <c r="A18" i="6" s="1"/>
  <c r="A14" i="16"/>
  <c r="A17" i="16"/>
  <c r="C3" i="13"/>
  <c r="A12" i="16"/>
  <c r="A9" i="8"/>
  <c r="A11" i="9"/>
  <c r="A20" i="10"/>
  <c r="E156" i="49"/>
  <c r="E156" i="48"/>
  <c r="K100" i="49"/>
  <c r="K142" i="49" s="1"/>
  <c r="L202" i="53"/>
  <c r="E313" i="19"/>
  <c r="E206" i="19" s="1"/>
  <c r="E33" i="19" s="1"/>
  <c r="A60" i="53" s="1"/>
  <c r="S60" i="53" s="1"/>
  <c r="N117" i="48"/>
  <c r="E154" i="48"/>
  <c r="E11" i="10"/>
  <c r="D30" i="40"/>
  <c r="P36" i="1"/>
  <c r="P38" i="1" s="1"/>
  <c r="Q36" i="1"/>
  <c r="Q38" i="1" s="1"/>
  <c r="H15" i="10"/>
  <c r="F82" i="39"/>
  <c r="E342" i="19"/>
  <c r="E235" i="19" s="1"/>
  <c r="E77" i="19" s="1"/>
  <c r="A128" i="53" s="1"/>
  <c r="S128" i="53" s="1"/>
  <c r="H10" i="10"/>
  <c r="G11" i="10"/>
  <c r="G41" i="10" s="1"/>
  <c r="G13" i="13" s="1"/>
  <c r="E19" i="10"/>
  <c r="G390" i="19"/>
  <c r="G281" i="19"/>
  <c r="D97" i="33" s="1"/>
  <c r="H12" i="10"/>
  <c r="O104" i="49"/>
  <c r="I98" i="49"/>
  <c r="I140" i="49" s="1"/>
  <c r="E118" i="35"/>
  <c r="H17" i="10"/>
  <c r="U416" i="19"/>
  <c r="Z373" i="19"/>
  <c r="H13" i="10"/>
  <c r="M95" i="48"/>
  <c r="M86" i="48"/>
  <c r="P103" i="49"/>
  <c r="E145" i="49"/>
  <c r="F118" i="35"/>
  <c r="G14" i="47"/>
  <c r="D106" i="33"/>
  <c r="Q282" i="19"/>
  <c r="M117" i="48"/>
  <c r="E324" i="19"/>
  <c r="E217" i="19" s="1"/>
  <c r="E49" i="19" s="1"/>
  <c r="S772" i="55"/>
  <c r="K84" i="49"/>
  <c r="K93" i="49" s="1"/>
  <c r="K95" i="49" s="1"/>
  <c r="G86" i="48"/>
  <c r="L86" i="48"/>
  <c r="V362" i="19"/>
  <c r="I362" i="19" s="1"/>
  <c r="I256" i="19" s="1"/>
  <c r="H147" i="19" s="1"/>
  <c r="P101" i="49"/>
  <c r="E143" i="49"/>
  <c r="F142" i="48"/>
  <c r="F117" i="48"/>
  <c r="F159" i="48" s="1"/>
  <c r="H18" i="10"/>
  <c r="P106" i="48"/>
  <c r="E148" i="48"/>
  <c r="E335" i="19"/>
  <c r="E228" i="19" s="1"/>
  <c r="E65" i="19" s="1"/>
  <c r="F19" i="10"/>
  <c r="C37" i="10"/>
  <c r="C13" i="13" s="1"/>
  <c r="N86" i="48"/>
  <c r="N92" i="48"/>
  <c r="N95" i="48" s="1"/>
  <c r="P108" i="48"/>
  <c r="E150" i="48"/>
  <c r="G117" i="48"/>
  <c r="G159" i="48" s="1"/>
  <c r="K41" i="39"/>
  <c r="E320" i="19"/>
  <c r="E213" i="19" s="1"/>
  <c r="E45" i="19" s="1"/>
  <c r="A80" i="53" s="1"/>
  <c r="S80" i="53" s="1"/>
  <c r="S764" i="55"/>
  <c r="W362" i="19"/>
  <c r="H362" i="19" s="1"/>
  <c r="J227" i="53"/>
  <c r="I281" i="19"/>
  <c r="H164" i="19"/>
  <c r="I390" i="19"/>
  <c r="H14" i="10"/>
  <c r="I224" i="53"/>
  <c r="C147" i="19"/>
  <c r="B79" i="34"/>
  <c r="V353" i="19"/>
  <c r="T704" i="55"/>
  <c r="I14" i="66"/>
  <c r="L25" i="66" s="1"/>
  <c r="H390" i="19"/>
  <c r="G164" i="19"/>
  <c r="H281" i="19"/>
  <c r="I92" i="48"/>
  <c r="I95" i="48" s="1"/>
  <c r="I86" i="48"/>
  <c r="J117" i="48"/>
  <c r="P100" i="48"/>
  <c r="G15" i="47"/>
  <c r="G33" i="47"/>
  <c r="G43" i="47"/>
  <c r="G18" i="47"/>
  <c r="G52" i="47"/>
  <c r="G35" i="47"/>
  <c r="G38" i="47"/>
  <c r="G54" i="47"/>
  <c r="G47" i="47"/>
  <c r="G55" i="47"/>
  <c r="G24" i="47"/>
  <c r="G13" i="47"/>
  <c r="G40" i="47"/>
  <c r="G21" i="47"/>
  <c r="G25" i="47"/>
  <c r="G39" i="47"/>
  <c r="G20" i="47"/>
  <c r="G49" i="47"/>
  <c r="G12" i="47"/>
  <c r="G46" i="47"/>
  <c r="G19" i="47"/>
  <c r="G53" i="47"/>
  <c r="G50" i="47"/>
  <c r="G22" i="47"/>
  <c r="G41" i="47"/>
  <c r="G37" i="47"/>
  <c r="G51" i="47"/>
  <c r="G23" i="47"/>
  <c r="G34" i="47"/>
  <c r="G48" i="47"/>
  <c r="G57" i="47"/>
  <c r="G56" i="47"/>
  <c r="G17" i="47"/>
  <c r="G28" i="47"/>
  <c r="G44" i="47"/>
  <c r="F6" i="47"/>
  <c r="F7" i="47" s="1"/>
  <c r="E7" i="47" s="1"/>
  <c r="G45" i="47"/>
  <c r="G36" i="47"/>
  <c r="G27" i="47"/>
  <c r="G26" i="47"/>
  <c r="G29" i="47"/>
  <c r="G42" i="47"/>
  <c r="I227" i="53"/>
  <c r="H16" i="10"/>
  <c r="K86" i="48"/>
  <c r="K93" i="48"/>
  <c r="K95" i="48" s="1"/>
  <c r="H144" i="48"/>
  <c r="H117" i="48"/>
  <c r="H159" i="48" s="1"/>
  <c r="L144" i="48"/>
  <c r="L117" i="48"/>
  <c r="L159" i="48" s="1"/>
  <c r="P85" i="48"/>
  <c r="E94" i="48"/>
  <c r="P94" i="48" s="1"/>
  <c r="E86" i="48"/>
  <c r="E106" i="33"/>
  <c r="R282" i="19"/>
  <c r="I117" i="48"/>
  <c r="I159" i="48" s="1"/>
  <c r="E117" i="48"/>
  <c r="E159" i="48" s="1"/>
  <c r="E140" i="48"/>
  <c r="P98" i="48"/>
  <c r="E92" i="19"/>
  <c r="G82" i="39"/>
  <c r="K117" i="48"/>
  <c r="K159" i="48" s="1"/>
  <c r="P84" i="48"/>
  <c r="J226" i="53"/>
  <c r="P104" i="48"/>
  <c r="E304" i="19"/>
  <c r="E197" i="19" s="1"/>
  <c r="E19" i="19" s="1"/>
  <c r="E144" i="48"/>
  <c r="P102" i="48"/>
  <c r="H92" i="48"/>
  <c r="H95" i="48" s="1"/>
  <c r="P83" i="48"/>
  <c r="H86" i="48"/>
  <c r="L95" i="48"/>
  <c r="G95" i="48"/>
  <c r="E346" i="19"/>
  <c r="E239" i="19" s="1"/>
  <c r="E81" i="19" s="1"/>
  <c r="E309" i="19"/>
  <c r="E202" i="19" s="1"/>
  <c r="E29" i="19" s="1"/>
  <c r="B10" i="9"/>
  <c r="D11" i="9"/>
  <c r="D10" i="9" s="1"/>
  <c r="K289" i="19"/>
  <c r="E101" i="19"/>
  <c r="E6" i="42"/>
  <c r="R6" i="42" s="1"/>
  <c r="U362" i="19"/>
  <c r="G362" i="19" s="1"/>
  <c r="S717" i="55"/>
  <c r="AC717" i="55" s="1"/>
  <c r="E331" i="19"/>
  <c r="E224" i="19" s="1"/>
  <c r="E61" i="19" s="1"/>
  <c r="A104" i="53" s="1"/>
  <c r="S104" i="53" s="1"/>
  <c r="E303" i="19"/>
  <c r="E196" i="19" s="1"/>
  <c r="E18" i="19" s="1"/>
  <c r="I225" i="53"/>
  <c r="F353" i="19"/>
  <c r="U408" i="19"/>
  <c r="E353" i="19"/>
  <c r="E246" i="19" s="1"/>
  <c r="E125" i="19" s="1"/>
  <c r="J225" i="53"/>
  <c r="I226" i="53"/>
  <c r="J224" i="53"/>
  <c r="D363" i="19"/>
  <c r="D718" i="55"/>
  <c r="D720" i="55" s="1"/>
  <c r="D372" i="19"/>
  <c r="D728" i="55"/>
  <c r="L138" i="48"/>
  <c r="L138" i="49"/>
  <c r="G28" i="42" l="1"/>
  <c r="G13" i="42"/>
  <c r="H28" i="42"/>
  <c r="H13" i="42"/>
  <c r="F28" i="42"/>
  <c r="F13" i="42"/>
  <c r="Q57" i="1"/>
  <c r="Z717" i="55" s="1"/>
  <c r="L76" i="1"/>
  <c r="K16" i="64"/>
  <c r="N16" i="64" s="1"/>
  <c r="AK12" i="16"/>
  <c r="AK17" i="16"/>
  <c r="M16" i="64" s="1"/>
  <c r="P16" i="64" s="1"/>
  <c r="AK13" i="16"/>
  <c r="K17" i="64"/>
  <c r="N17" i="64" s="1"/>
  <c r="G717" i="55"/>
  <c r="G554" i="55" s="1"/>
  <c r="AE717" i="55"/>
  <c r="I717" i="55" s="1"/>
  <c r="I554" i="55" s="1"/>
  <c r="H272" i="55" s="1"/>
  <c r="AK18" i="16"/>
  <c r="M17" i="64" s="1"/>
  <c r="P17" i="64" s="1"/>
  <c r="AK14" i="16"/>
  <c r="I36" i="66"/>
  <c r="I48" i="66" s="1"/>
  <c r="F20" i="66"/>
  <c r="R43" i="66"/>
  <c r="M43" i="66" s="1"/>
  <c r="AR15" i="16"/>
  <c r="AP15" i="16" s="1"/>
  <c r="AM15" i="16"/>
  <c r="AK15" i="16" s="1"/>
  <c r="AR10" i="16"/>
  <c r="AP10" i="16" s="1"/>
  <c r="AM10" i="16"/>
  <c r="AK10" i="16" s="1"/>
  <c r="M9" i="64" s="1"/>
  <c r="L14" i="64"/>
  <c r="K13" i="64"/>
  <c r="N13" i="64" s="1"/>
  <c r="L10" i="64"/>
  <c r="L11" i="64"/>
  <c r="K11" i="64"/>
  <c r="K12" i="64"/>
  <c r="N12" i="64" s="1"/>
  <c r="AD704" i="55"/>
  <c r="AT704" i="55" s="1"/>
  <c r="AO704" i="55"/>
  <c r="AP704" i="55" s="1"/>
  <c r="AR16" i="16"/>
  <c r="AP16" i="16" s="1"/>
  <c r="L327" i="58"/>
  <c r="L329" i="58" s="1"/>
  <c r="AR11" i="16"/>
  <c r="AP11" i="16" s="1"/>
  <c r="L53" i="64"/>
  <c r="L49" i="64"/>
  <c r="C707" i="60"/>
  <c r="C712" i="60"/>
  <c r="C709" i="60"/>
  <c r="C705" i="60"/>
  <c r="C708" i="60"/>
  <c r="C713" i="60"/>
  <c r="AR17" i="16"/>
  <c r="AP17" i="16" s="1"/>
  <c r="O16" i="64"/>
  <c r="C711" i="60"/>
  <c r="C710" i="60"/>
  <c r="O17" i="64"/>
  <c r="AR18" i="16"/>
  <c r="AP18" i="16" s="1"/>
  <c r="C706" i="60"/>
  <c r="C704" i="60"/>
  <c r="O15" i="64"/>
  <c r="AR14" i="16"/>
  <c r="AP14" i="16" s="1"/>
  <c r="AR13" i="16"/>
  <c r="AP13" i="16" s="1"/>
  <c r="AR12" i="16"/>
  <c r="AP12" i="16" s="1"/>
  <c r="N8" i="64"/>
  <c r="AR9" i="16"/>
  <c r="AP9" i="16" s="1"/>
  <c r="AM9" i="16"/>
  <c r="AK9" i="16" s="1"/>
  <c r="M8" i="64" s="1"/>
  <c r="P8" i="64" s="1"/>
  <c r="I428" i="58"/>
  <c r="I430" i="58" s="1"/>
  <c r="D303" i="58"/>
  <c r="D304" i="58" s="1"/>
  <c r="L456" i="58"/>
  <c r="Z431" i="58"/>
  <c r="AA474" i="58"/>
  <c r="AB418" i="58"/>
  <c r="Z422" i="58" s="1"/>
  <c r="AA422" i="58" s="1"/>
  <c r="X392" i="61"/>
  <c r="V396" i="61" s="1"/>
  <c r="W396" i="61" s="1"/>
  <c r="AE454" i="58"/>
  <c r="N454" i="58" s="1"/>
  <c r="AA428" i="61"/>
  <c r="AC454" i="58"/>
  <c r="M454" i="58" s="1"/>
  <c r="Y428" i="61"/>
  <c r="D286" i="61"/>
  <c r="D414" i="61"/>
  <c r="I438" i="58"/>
  <c r="I312" i="58" s="1"/>
  <c r="I412" i="61"/>
  <c r="AH454" i="58"/>
  <c r="AH456" i="58" s="1"/>
  <c r="AD428" i="61"/>
  <c r="AD430" i="61" s="1"/>
  <c r="AD454" i="58"/>
  <c r="O454" i="58" s="1"/>
  <c r="Z428" i="61"/>
  <c r="D450" i="58"/>
  <c r="D324" i="58" s="1"/>
  <c r="D424" i="61"/>
  <c r="K159" i="61"/>
  <c r="L301" i="61"/>
  <c r="L303" i="61" s="1"/>
  <c r="L430" i="61"/>
  <c r="AA482" i="58"/>
  <c r="W456" i="61"/>
  <c r="K430" i="61"/>
  <c r="J159" i="61"/>
  <c r="K301" i="61"/>
  <c r="K303" i="61" s="1"/>
  <c r="I276" i="61"/>
  <c r="W448" i="61"/>
  <c r="K392" i="61"/>
  <c r="D451" i="58"/>
  <c r="D325" i="58" s="1"/>
  <c r="C174" i="58" s="1"/>
  <c r="D425" i="61"/>
  <c r="D299" i="61" s="1"/>
  <c r="C152" i="61" s="1"/>
  <c r="L401" i="61"/>
  <c r="V405" i="61"/>
  <c r="AF454" i="58"/>
  <c r="AF456" i="58" s="1"/>
  <c r="AB428" i="61"/>
  <c r="AB430" i="61" s="1"/>
  <c r="C142" i="61"/>
  <c r="D440" i="58"/>
  <c r="K401" i="61"/>
  <c r="I402" i="61"/>
  <c r="I277" i="61" s="1"/>
  <c r="D143" i="61" s="1"/>
  <c r="D277" i="61"/>
  <c r="C143" i="61" s="1"/>
  <c r="I746" i="55"/>
  <c r="L57" i="1"/>
  <c r="Z368" i="56" s="1"/>
  <c r="J368" i="56" s="1"/>
  <c r="Q368" i="56" s="1"/>
  <c r="D391" i="56"/>
  <c r="D279" i="56" s="1"/>
  <c r="C151" i="56" s="1"/>
  <c r="H289" i="55"/>
  <c r="F289" i="55"/>
  <c r="D385" i="19"/>
  <c r="D279" i="19" s="1"/>
  <c r="B79" i="33" s="1"/>
  <c r="D741" i="55"/>
  <c r="D577" i="55" s="1"/>
  <c r="C282" i="55" s="1"/>
  <c r="D314" i="58"/>
  <c r="C157" i="58"/>
  <c r="K275" i="58"/>
  <c r="J164" i="58"/>
  <c r="L302" i="58"/>
  <c r="H579" i="55"/>
  <c r="H581" i="55" s="1"/>
  <c r="H746" i="55"/>
  <c r="G39" i="10"/>
  <c r="G579" i="55"/>
  <c r="G581" i="55" s="1"/>
  <c r="F554" i="55"/>
  <c r="R188" i="53"/>
  <c r="C79" i="34"/>
  <c r="A47" i="53"/>
  <c r="S47" i="53" s="1"/>
  <c r="H359" i="56"/>
  <c r="H246" i="56" s="1"/>
  <c r="H119" i="56" s="1"/>
  <c r="AA394" i="56"/>
  <c r="P394" i="56" s="1"/>
  <c r="S394" i="56" s="1"/>
  <c r="S396" i="56" s="1"/>
  <c r="D266" i="56"/>
  <c r="D268" i="56" s="1"/>
  <c r="AB394" i="56"/>
  <c r="K394" i="56" s="1"/>
  <c r="K281" i="56" s="1"/>
  <c r="AE368" i="56"/>
  <c r="AE394" i="56"/>
  <c r="X422" i="56"/>
  <c r="Y359" i="56"/>
  <c r="Y414" i="56" s="1"/>
  <c r="F378" i="56"/>
  <c r="F380" i="56" s="1"/>
  <c r="D257" i="56"/>
  <c r="D370" i="56"/>
  <c r="F369" i="56"/>
  <c r="R189" i="53"/>
  <c r="Z45" i="53"/>
  <c r="D740" i="55"/>
  <c r="D576" i="55" s="1"/>
  <c r="D390" i="56"/>
  <c r="Z394" i="56"/>
  <c r="J394" i="56" s="1"/>
  <c r="AA388" i="19"/>
  <c r="AC394" i="56"/>
  <c r="H11" i="10"/>
  <c r="K117" i="49"/>
  <c r="K159" i="49" s="1"/>
  <c r="K86" i="49"/>
  <c r="E39" i="10"/>
  <c r="AC60" i="53"/>
  <c r="I117" i="49"/>
  <c r="I159" i="49" s="1"/>
  <c r="R212" i="55"/>
  <c r="P32" i="54"/>
  <c r="C32" i="54" s="1"/>
  <c r="R116" i="55"/>
  <c r="R47" i="55"/>
  <c r="R21" i="55"/>
  <c r="S21" i="55" s="1"/>
  <c r="R20" i="55"/>
  <c r="S20" i="55" s="1"/>
  <c r="P20" i="54"/>
  <c r="P13" i="54"/>
  <c r="C13" i="54" s="1"/>
  <c r="P25" i="54"/>
  <c r="E544" i="55"/>
  <c r="E423" i="55" s="1"/>
  <c r="R36" i="1"/>
  <c r="R38" i="1" s="1"/>
  <c r="E41" i="10"/>
  <c r="E13" i="13" s="1"/>
  <c r="N57" i="1"/>
  <c r="W717" i="55" s="1"/>
  <c r="AI717" i="55" s="1"/>
  <c r="K717" i="55" s="1"/>
  <c r="P57" i="1"/>
  <c r="AA717" i="55" s="1"/>
  <c r="M57" i="1"/>
  <c r="X717" i="55" s="1"/>
  <c r="G283" i="19"/>
  <c r="H19" i="10"/>
  <c r="D384" i="19"/>
  <c r="F41" i="10"/>
  <c r="F13" i="13" s="1"/>
  <c r="F39" i="10"/>
  <c r="AC362" i="19"/>
  <c r="E95" i="48"/>
  <c r="P95" i="48" s="1"/>
  <c r="A84" i="53"/>
  <c r="S84" i="53" s="1"/>
  <c r="AC84" i="53"/>
  <c r="T764" i="55"/>
  <c r="F79" i="34"/>
  <c r="P86" i="48"/>
  <c r="X388" i="19"/>
  <c r="J388" i="19" s="1"/>
  <c r="Q388" i="19" s="1"/>
  <c r="Q390" i="19" s="1"/>
  <c r="A44" i="53"/>
  <c r="S44" i="53" s="1"/>
  <c r="H554" i="55"/>
  <c r="V416" i="19"/>
  <c r="E97" i="19"/>
  <c r="H256" i="19"/>
  <c r="W353" i="19"/>
  <c r="W408" i="19" s="1"/>
  <c r="F97" i="33"/>
  <c r="I283" i="19"/>
  <c r="Z388" i="19"/>
  <c r="K388" i="19" s="1"/>
  <c r="J14" i="66"/>
  <c r="M25" i="66" s="1"/>
  <c r="AC388" i="19"/>
  <c r="Y388" i="19"/>
  <c r="P388" i="19" s="1"/>
  <c r="T772" i="55"/>
  <c r="V408" i="19"/>
  <c r="H353" i="19"/>
  <c r="H246" i="19" s="1"/>
  <c r="H125" i="19" s="1"/>
  <c r="F221" i="55"/>
  <c r="R30" i="54" s="1"/>
  <c r="P92" i="48"/>
  <c r="T6" i="42"/>
  <c r="S6" i="42"/>
  <c r="E97" i="33"/>
  <c r="H283" i="19"/>
  <c r="P93" i="48"/>
  <c r="AB46" i="53"/>
  <c r="A46" i="53"/>
  <c r="S46" i="53" s="1"/>
  <c r="P117" i="48"/>
  <c r="D730" i="55"/>
  <c r="D564" i="55"/>
  <c r="F246" i="19"/>
  <c r="D555" i="55"/>
  <c r="D266" i="19"/>
  <c r="D374" i="19"/>
  <c r="F718" i="55"/>
  <c r="F720" i="55" s="1"/>
  <c r="F363" i="19"/>
  <c r="D364" i="19"/>
  <c r="D257" i="19"/>
  <c r="I231" i="53"/>
  <c r="G256" i="19"/>
  <c r="F728" i="55"/>
  <c r="F372" i="19"/>
  <c r="E93" i="19"/>
  <c r="A132" i="53"/>
  <c r="S132" i="53" s="1"/>
  <c r="AC132" i="53"/>
  <c r="D10" i="53"/>
  <c r="C10" i="53" s="1"/>
  <c r="F159" i="53"/>
  <c r="A108" i="53"/>
  <c r="S108" i="53" s="1"/>
  <c r="AC108" i="53"/>
  <c r="V34" i="53" l="1"/>
  <c r="U34" i="53"/>
  <c r="D23" i="53" s="1"/>
  <c r="C23" i="53" s="1"/>
  <c r="AD401" i="61"/>
  <c r="AH427" i="58"/>
  <c r="X704" i="55"/>
  <c r="V43" i="66" s="1"/>
  <c r="O43" i="66" s="1"/>
  <c r="I43" i="66" s="1"/>
  <c r="E28" i="42"/>
  <c r="K76" i="1"/>
  <c r="K14" i="66" s="1"/>
  <c r="N25" i="66" s="1"/>
  <c r="T67" i="1"/>
  <c r="G415" i="1" s="1"/>
  <c r="W704" i="55"/>
  <c r="U43" i="66" s="1"/>
  <c r="P43" i="66" s="1"/>
  <c r="J43" i="66" s="1"/>
  <c r="M76" i="1"/>
  <c r="M14" i="66" s="1"/>
  <c r="P25" i="66" s="1"/>
  <c r="M11" i="66"/>
  <c r="P22" i="66" s="1"/>
  <c r="J22" i="66" s="1"/>
  <c r="Q554" i="55"/>
  <c r="K18" i="64"/>
  <c r="H20" i="64" s="1"/>
  <c r="O11" i="66"/>
  <c r="R22" i="66" s="1"/>
  <c r="L11" i="66"/>
  <c r="O22" i="66" s="1"/>
  <c r="I22" i="66" s="1"/>
  <c r="K11" i="66"/>
  <c r="N22" i="66" s="1"/>
  <c r="H22" i="66" s="1"/>
  <c r="E221" i="55"/>
  <c r="P30" i="54" s="1"/>
  <c r="C30" i="54" s="1"/>
  <c r="O11" i="64"/>
  <c r="M11" i="64"/>
  <c r="P11" i="64" s="1"/>
  <c r="O12" i="64"/>
  <c r="M12" i="64"/>
  <c r="P12" i="64" s="1"/>
  <c r="O10" i="64"/>
  <c r="M10" i="64"/>
  <c r="P10" i="64" s="1"/>
  <c r="O13" i="64"/>
  <c r="M13" i="64"/>
  <c r="P13" i="64" s="1"/>
  <c r="N11" i="64"/>
  <c r="O14" i="64"/>
  <c r="M14" i="64"/>
  <c r="P14" i="64" s="1"/>
  <c r="O9" i="64"/>
  <c r="G704" i="55"/>
  <c r="R68" i="66" s="1"/>
  <c r="M68" i="66" s="1"/>
  <c r="AE704" i="55"/>
  <c r="AU704" i="55" s="1"/>
  <c r="E43" i="66"/>
  <c r="E68" i="66" s="1"/>
  <c r="P11" i="66"/>
  <c r="S22" i="66" s="1"/>
  <c r="N11" i="66"/>
  <c r="Q22" i="66" s="1"/>
  <c r="D25" i="66"/>
  <c r="D272" i="55"/>
  <c r="I303" i="58"/>
  <c r="D165" i="58" s="1"/>
  <c r="L18" i="64"/>
  <c r="I20" i="64" s="1"/>
  <c r="O8" i="64"/>
  <c r="C165" i="58"/>
  <c r="G16" i="62"/>
  <c r="I440" i="58"/>
  <c r="X362" i="19"/>
  <c r="J362" i="19" s="1"/>
  <c r="J256" i="19" s="1"/>
  <c r="I147" i="19" s="1"/>
  <c r="V717" i="55"/>
  <c r="J418" i="58"/>
  <c r="J275" i="58" s="1"/>
  <c r="AE456" i="58"/>
  <c r="AD456" i="58"/>
  <c r="AC456" i="58"/>
  <c r="AB474" i="58"/>
  <c r="D278" i="61"/>
  <c r="D452" i="58"/>
  <c r="I404" i="61"/>
  <c r="M428" i="61"/>
  <c r="Y430" i="61"/>
  <c r="AA430" i="61"/>
  <c r="N428" i="61"/>
  <c r="D142" i="61"/>
  <c r="I278" i="61"/>
  <c r="AE418" i="58"/>
  <c r="AE474" i="58" s="1"/>
  <c r="AA392" i="61"/>
  <c r="AD418" i="58"/>
  <c r="AD474" i="58" s="1"/>
  <c r="Z392" i="61"/>
  <c r="AC427" i="58"/>
  <c r="M427" i="58" s="1"/>
  <c r="M302" i="58" s="1"/>
  <c r="L164" i="58" s="1"/>
  <c r="O164" i="58" s="1"/>
  <c r="F164" i="58" s="1"/>
  <c r="Y401" i="61"/>
  <c r="L276" i="61"/>
  <c r="I414" i="61"/>
  <c r="I286" i="61"/>
  <c r="AB482" i="58"/>
  <c r="X456" i="61"/>
  <c r="AG427" i="58"/>
  <c r="AC401" i="61"/>
  <c r="X448" i="61"/>
  <c r="J392" i="61"/>
  <c r="AC418" i="58"/>
  <c r="AC474" i="58" s="1"/>
  <c r="Y392" i="61"/>
  <c r="AE427" i="58"/>
  <c r="N427" i="58" s="1"/>
  <c r="N302" i="58" s="1"/>
  <c r="AA401" i="61"/>
  <c r="K249" i="61"/>
  <c r="D298" i="61"/>
  <c r="D426" i="61"/>
  <c r="AD427" i="58"/>
  <c r="O427" i="58" s="1"/>
  <c r="O302" i="58" s="1"/>
  <c r="N164" i="58" s="1"/>
  <c r="Z401" i="61"/>
  <c r="C135" i="61"/>
  <c r="G15" i="62" s="1"/>
  <c r="D288" i="61"/>
  <c r="AG454" i="58"/>
  <c r="AG456" i="58" s="1"/>
  <c r="AC428" i="61"/>
  <c r="AC430" i="61" s="1"/>
  <c r="K276" i="61"/>
  <c r="Z430" i="61"/>
  <c r="O428" i="61"/>
  <c r="C157" i="19"/>
  <c r="D386" i="19"/>
  <c r="O456" i="58"/>
  <c r="V454" i="58"/>
  <c r="V456" i="58" s="1"/>
  <c r="O327" i="58"/>
  <c r="N181" i="58"/>
  <c r="M456" i="58"/>
  <c r="L181" i="58"/>
  <c r="M327" i="58"/>
  <c r="P454" i="58"/>
  <c r="P456" i="58" s="1"/>
  <c r="M181" i="58"/>
  <c r="N456" i="58"/>
  <c r="Q454" i="58"/>
  <c r="Q456" i="58" s="1"/>
  <c r="N327" i="58"/>
  <c r="D157" i="58"/>
  <c r="I314" i="58"/>
  <c r="K124" i="58"/>
  <c r="K164" i="58"/>
  <c r="C173" i="58"/>
  <c r="D326" i="58"/>
  <c r="L744" i="55"/>
  <c r="K289" i="55" s="1"/>
  <c r="K744" i="55"/>
  <c r="N744" i="55" s="1"/>
  <c r="N746" i="55" s="1"/>
  <c r="F57" i="1"/>
  <c r="R76" i="1"/>
  <c r="R14" i="66" s="1"/>
  <c r="J744" i="55"/>
  <c r="I289" i="55" s="1"/>
  <c r="L289" i="55" s="1"/>
  <c r="F58" i="1"/>
  <c r="P281" i="56"/>
  <c r="P283" i="56" s="1"/>
  <c r="P396" i="56"/>
  <c r="D742" i="55"/>
  <c r="R394" i="56"/>
  <c r="R396" i="56" s="1"/>
  <c r="K158" i="56"/>
  <c r="H160" i="56" s="1"/>
  <c r="K396" i="56"/>
  <c r="C134" i="56"/>
  <c r="J158" i="56"/>
  <c r="Q158" i="56" s="1"/>
  <c r="J256" i="56"/>
  <c r="I141" i="56" s="1"/>
  <c r="G359" i="56"/>
  <c r="G246" i="56" s="1"/>
  <c r="G119" i="56" s="1"/>
  <c r="H41" i="10"/>
  <c r="AD394" i="56"/>
  <c r="F266" i="56"/>
  <c r="F268" i="56" s="1"/>
  <c r="AB359" i="56"/>
  <c r="J359" i="56" s="1"/>
  <c r="Z359" i="56"/>
  <c r="Z414" i="56" s="1"/>
  <c r="Y422" i="56"/>
  <c r="AA359" i="56"/>
  <c r="K359" i="56" s="1"/>
  <c r="C142" i="56"/>
  <c r="D258" i="56"/>
  <c r="F257" i="56"/>
  <c r="F370" i="56"/>
  <c r="D278" i="56"/>
  <c r="D392" i="56"/>
  <c r="Z362" i="19"/>
  <c r="K362" i="19" s="1"/>
  <c r="K256" i="19" s="1"/>
  <c r="J147" i="19" s="1"/>
  <c r="AB368" i="56"/>
  <c r="K368" i="56" s="1"/>
  <c r="I158" i="56"/>
  <c r="J396" i="56"/>
  <c r="J281" i="56"/>
  <c r="Q394" i="56"/>
  <c r="Q396" i="56" s="1"/>
  <c r="Y362" i="19"/>
  <c r="P362" i="19" s="1"/>
  <c r="P256" i="19" s="1"/>
  <c r="K147" i="19" s="1"/>
  <c r="R147" i="19" s="1"/>
  <c r="AA368" i="56"/>
  <c r="P368" i="56" s="1"/>
  <c r="R281" i="56"/>
  <c r="R283" i="56" s="1"/>
  <c r="K283" i="56"/>
  <c r="AB362" i="19"/>
  <c r="AD368" i="56"/>
  <c r="H39" i="10"/>
  <c r="E30" i="54"/>
  <c r="P18" i="54"/>
  <c r="C18" i="54" s="1"/>
  <c r="P10" i="54"/>
  <c r="C10" i="54" s="1"/>
  <c r="R66" i="55"/>
  <c r="S66" i="55" s="1"/>
  <c r="P16" i="54"/>
  <c r="C16" i="54" s="1"/>
  <c r="P7" i="54"/>
  <c r="C7" i="54" s="1"/>
  <c r="R203" i="55"/>
  <c r="P31" i="54"/>
  <c r="C31" i="54" s="1"/>
  <c r="C20" i="54"/>
  <c r="P21" i="54"/>
  <c r="C21" i="54" s="1"/>
  <c r="P26" i="54"/>
  <c r="C26" i="54" s="1"/>
  <c r="R44" i="55"/>
  <c r="R38" i="55"/>
  <c r="S38" i="55" s="1"/>
  <c r="R23" i="55"/>
  <c r="R45" i="55"/>
  <c r="R22" i="55"/>
  <c r="R109" i="55"/>
  <c r="R87" i="55"/>
  <c r="R48" i="55"/>
  <c r="O57" i="1"/>
  <c r="H13" i="13"/>
  <c r="D13" i="13" s="1"/>
  <c r="U764" i="55"/>
  <c r="D278" i="19"/>
  <c r="C156" i="19" s="1"/>
  <c r="E22" i="46"/>
  <c r="E21" i="46"/>
  <c r="G353" i="19"/>
  <c r="G246" i="19" s="1"/>
  <c r="J281" i="19"/>
  <c r="J283" i="19" s="1"/>
  <c r="I164" i="19"/>
  <c r="F166" i="19" s="1"/>
  <c r="F77" i="39" s="1"/>
  <c r="J390" i="19"/>
  <c r="C281" i="55"/>
  <c r="P35" i="54" s="1"/>
  <c r="D578" i="55"/>
  <c r="G272" i="55"/>
  <c r="P67" i="1"/>
  <c r="H31" i="42" s="1"/>
  <c r="W416" i="19"/>
  <c r="U772" i="55"/>
  <c r="O67" i="1"/>
  <c r="G31" i="42" s="1"/>
  <c r="Y353" i="19"/>
  <c r="E79" i="34"/>
  <c r="G147" i="19"/>
  <c r="Z353" i="19"/>
  <c r="Z408" i="19" s="1"/>
  <c r="K390" i="19"/>
  <c r="K281" i="19"/>
  <c r="J164" i="19"/>
  <c r="R388" i="19"/>
  <c r="R390" i="19" s="1"/>
  <c r="L14" i="66"/>
  <c r="O25" i="66" s="1"/>
  <c r="V704" i="55"/>
  <c r="X353" i="19"/>
  <c r="N67" i="1"/>
  <c r="K164" i="19"/>
  <c r="S388" i="19"/>
  <c r="S390" i="19" s="1"/>
  <c r="P390" i="19"/>
  <c r="P281" i="19"/>
  <c r="X764" i="55"/>
  <c r="AB388" i="19"/>
  <c r="A45" i="53"/>
  <c r="S45" i="53" s="1"/>
  <c r="C25" i="54"/>
  <c r="F730" i="55"/>
  <c r="F564" i="55"/>
  <c r="D265" i="55" s="1"/>
  <c r="C140" i="19"/>
  <c r="D268" i="19"/>
  <c r="R57" i="1"/>
  <c r="F364" i="19"/>
  <c r="F257" i="19"/>
  <c r="F272" i="55"/>
  <c r="F125" i="19"/>
  <c r="A56" i="53"/>
  <c r="S56" i="53" s="1"/>
  <c r="F155" i="53"/>
  <c r="F555" i="55"/>
  <c r="D566" i="55"/>
  <c r="C265" i="55"/>
  <c r="Y34" i="53"/>
  <c r="F266" i="19"/>
  <c r="F374" i="19"/>
  <c r="D79" i="34"/>
  <c r="F147" i="19"/>
  <c r="D258" i="19"/>
  <c r="B97" i="34" s="1"/>
  <c r="B88" i="34"/>
  <c r="C148" i="19"/>
  <c r="D556" i="55"/>
  <c r="C273" i="55"/>
  <c r="P33" i="54" s="1"/>
  <c r="F15" i="42" l="1"/>
  <c r="F31" i="42"/>
  <c r="E31" i="42" s="1"/>
  <c r="H415" i="1"/>
  <c r="I415" i="1" s="1"/>
  <c r="J415" i="1"/>
  <c r="AA704" i="55"/>
  <c r="Y43" i="66" s="1"/>
  <c r="G15" i="42"/>
  <c r="Z704" i="55"/>
  <c r="X43" i="66" s="1"/>
  <c r="H15" i="42"/>
  <c r="F62" i="1"/>
  <c r="F38" i="66"/>
  <c r="G38" i="66" s="1"/>
  <c r="R554" i="55"/>
  <c r="S554" i="55" s="1"/>
  <c r="K38" i="64"/>
  <c r="J27" i="1" s="1"/>
  <c r="J28" i="1" s="1"/>
  <c r="K36" i="64"/>
  <c r="J24" i="1" s="1"/>
  <c r="P34" i="54"/>
  <c r="C34" i="54" s="1"/>
  <c r="AG718" i="55"/>
  <c r="R555" i="55"/>
  <c r="I304" i="58"/>
  <c r="G544" i="55"/>
  <c r="T43" i="66"/>
  <c r="N43" i="66" s="1"/>
  <c r="H43" i="66" s="1"/>
  <c r="P9" i="64"/>
  <c r="M26" i="64" s="1"/>
  <c r="N38" i="64" s="1"/>
  <c r="M18" i="64"/>
  <c r="J20" i="64" s="1"/>
  <c r="H704" i="55"/>
  <c r="O15" i="66"/>
  <c r="K15" i="66"/>
  <c r="N15" i="66"/>
  <c r="M15" i="66"/>
  <c r="H25" i="66"/>
  <c r="I25" i="66"/>
  <c r="Q11" i="66"/>
  <c r="T22" i="66" s="1"/>
  <c r="J25" i="66"/>
  <c r="L15" i="66"/>
  <c r="AH717" i="55"/>
  <c r="AL717" i="55"/>
  <c r="W764" i="55"/>
  <c r="AI704" i="55"/>
  <c r="J704" i="55" s="1"/>
  <c r="AH704" i="55"/>
  <c r="I704" i="55" s="1"/>
  <c r="AL704" i="55"/>
  <c r="Q256" i="19"/>
  <c r="P147" i="19"/>
  <c r="Q362" i="19"/>
  <c r="O744" i="55"/>
  <c r="O746" i="55" s="1"/>
  <c r="N418" i="58"/>
  <c r="N275" i="58" s="1"/>
  <c r="Q427" i="58"/>
  <c r="M418" i="58"/>
  <c r="M275" i="58" s="1"/>
  <c r="M124" i="58" s="1"/>
  <c r="P302" i="58"/>
  <c r="V302" i="58"/>
  <c r="P427" i="58"/>
  <c r="Y448" i="61"/>
  <c r="L392" i="61"/>
  <c r="N430" i="61"/>
  <c r="Q428" i="61"/>
  <c r="Q430" i="61" s="1"/>
  <c r="M159" i="61"/>
  <c r="G159" i="61" s="1"/>
  <c r="N301" i="61"/>
  <c r="O430" i="61"/>
  <c r="R428" i="61"/>
  <c r="R430" i="61" s="1"/>
  <c r="O301" i="61"/>
  <c r="N159" i="61"/>
  <c r="H159" i="61" s="1"/>
  <c r="Z448" i="61"/>
  <c r="N392" i="61"/>
  <c r="AC482" i="58"/>
  <c r="Y456" i="61"/>
  <c r="AG418" i="58"/>
  <c r="AC392" i="61"/>
  <c r="AD482" i="58"/>
  <c r="Z456" i="61"/>
  <c r="V427" i="58"/>
  <c r="L418" i="58"/>
  <c r="O418" i="58" s="1"/>
  <c r="K142" i="61"/>
  <c r="K102" i="61"/>
  <c r="AF427" i="58"/>
  <c r="AB401" i="61"/>
  <c r="Q164" i="58"/>
  <c r="H164" i="58" s="1"/>
  <c r="O401" i="61"/>
  <c r="J249" i="61"/>
  <c r="AA448" i="61"/>
  <c r="M392" i="61"/>
  <c r="M249" i="61" s="1"/>
  <c r="M102" i="61" s="1"/>
  <c r="AH418" i="58"/>
  <c r="AD392" i="61"/>
  <c r="D135" i="61"/>
  <c r="I288" i="61"/>
  <c r="AF418" i="58"/>
  <c r="AB392" i="61"/>
  <c r="N401" i="61"/>
  <c r="M401" i="61"/>
  <c r="AE482" i="58"/>
  <c r="AA456" i="61"/>
  <c r="J142" i="61"/>
  <c r="C151" i="61"/>
  <c r="G17" i="62" s="1"/>
  <c r="D300" i="61"/>
  <c r="M301" i="61"/>
  <c r="L159" i="61"/>
  <c r="F159" i="61" s="1"/>
  <c r="M430" i="61"/>
  <c r="P428" i="61"/>
  <c r="P430" i="61" s="1"/>
  <c r="L579" i="55"/>
  <c r="L581" i="55" s="1"/>
  <c r="L746" i="55"/>
  <c r="K746" i="55"/>
  <c r="J289" i="55"/>
  <c r="G291" i="55" s="1"/>
  <c r="K579" i="55"/>
  <c r="K581" i="55" s="1"/>
  <c r="J746" i="55"/>
  <c r="J579" i="55"/>
  <c r="J581" i="55" s="1"/>
  <c r="F291" i="55"/>
  <c r="M744" i="55"/>
  <c r="M746" i="55" s="1"/>
  <c r="M329" i="58"/>
  <c r="P327" i="58"/>
  <c r="P329" i="58" s="1"/>
  <c r="I183" i="58"/>
  <c r="O181" i="58"/>
  <c r="Q327" i="58"/>
  <c r="Q329" i="58" s="1"/>
  <c r="N329" i="58"/>
  <c r="K183" i="58"/>
  <c r="Q181" i="58"/>
  <c r="O329" i="58"/>
  <c r="V327" i="58"/>
  <c r="V329" i="58" s="1"/>
  <c r="P181" i="58"/>
  <c r="J183" i="58"/>
  <c r="J124" i="58"/>
  <c r="AF474" i="58"/>
  <c r="M164" i="58"/>
  <c r="P164" i="58" s="1"/>
  <c r="G164" i="58" s="1"/>
  <c r="Q302" i="58"/>
  <c r="S281" i="56"/>
  <c r="S283" i="56" s="1"/>
  <c r="F11" i="66"/>
  <c r="G11" i="66"/>
  <c r="K554" i="55"/>
  <c r="J272" i="55" s="1"/>
  <c r="M272" i="55" s="1"/>
  <c r="Q256" i="56"/>
  <c r="R158" i="56"/>
  <c r="G160" i="56"/>
  <c r="AB414" i="56"/>
  <c r="I359" i="56"/>
  <c r="I246" i="56" s="1"/>
  <c r="AA414" i="56"/>
  <c r="D134" i="56"/>
  <c r="Q147" i="19"/>
  <c r="R362" i="19"/>
  <c r="S256" i="19"/>
  <c r="AA422" i="56"/>
  <c r="AC359" i="56"/>
  <c r="AB422" i="56"/>
  <c r="Z422" i="56"/>
  <c r="AE359" i="56"/>
  <c r="AD359" i="56"/>
  <c r="D142" i="56"/>
  <c r="F258" i="56"/>
  <c r="S362" i="19"/>
  <c r="R256" i="19"/>
  <c r="C150" i="56"/>
  <c r="D280" i="56"/>
  <c r="K246" i="56"/>
  <c r="R359" i="56"/>
  <c r="J246" i="56"/>
  <c r="Q359" i="56"/>
  <c r="P256" i="56"/>
  <c r="S368" i="56"/>
  <c r="Q281" i="56"/>
  <c r="Q283" i="56" s="1"/>
  <c r="J283" i="56"/>
  <c r="P158" i="56"/>
  <c r="F160" i="56"/>
  <c r="K256" i="56"/>
  <c r="R368" i="56"/>
  <c r="Y717" i="55"/>
  <c r="AC368" i="56"/>
  <c r="P141" i="56"/>
  <c r="C35" i="54"/>
  <c r="R110" i="55"/>
  <c r="S110" i="55" s="1"/>
  <c r="N717" i="55"/>
  <c r="R88" i="55"/>
  <c r="C33" i="54"/>
  <c r="P28" i="54"/>
  <c r="C28" i="54" s="1"/>
  <c r="P23" i="54"/>
  <c r="P51" i="54"/>
  <c r="R18" i="55"/>
  <c r="S18" i="55" s="1"/>
  <c r="P5" i="54"/>
  <c r="C5" i="54" s="1"/>
  <c r="AA362" i="19"/>
  <c r="D280" i="19"/>
  <c r="B88" i="33" s="1"/>
  <c r="B70" i="33"/>
  <c r="Z416" i="19"/>
  <c r="B109" i="34"/>
  <c r="B116" i="34" s="1"/>
  <c r="P164" i="19"/>
  <c r="Q281" i="19"/>
  <c r="Q283" i="19" s="1"/>
  <c r="X772" i="55"/>
  <c r="G97" i="33"/>
  <c r="AC353" i="19"/>
  <c r="D24" i="53"/>
  <c r="D25" i="53" s="1"/>
  <c r="F5" i="55" s="1"/>
  <c r="S152" i="53"/>
  <c r="W772" i="55"/>
  <c r="P76" i="1"/>
  <c r="P14" i="66" s="1"/>
  <c r="S25" i="66" s="1"/>
  <c r="J353" i="19"/>
  <c r="J246" i="19" s="1"/>
  <c r="J125" i="19" s="1"/>
  <c r="O76" i="1"/>
  <c r="O14" i="66" s="1"/>
  <c r="R25" i="66" s="1"/>
  <c r="K353" i="19"/>
  <c r="Y408" i="19"/>
  <c r="Y416" i="19"/>
  <c r="AB353" i="19"/>
  <c r="P283" i="19"/>
  <c r="S281" i="19"/>
  <c r="S283" i="19" s="1"/>
  <c r="V764" i="55"/>
  <c r="R281" i="19"/>
  <c r="R283" i="19" s="1"/>
  <c r="K283" i="19"/>
  <c r="R164" i="19"/>
  <c r="H166" i="19"/>
  <c r="H77" i="39" s="1"/>
  <c r="V772" i="55"/>
  <c r="X416" i="19"/>
  <c r="N76" i="1"/>
  <c r="N14" i="66" s="1"/>
  <c r="Q25" i="66" s="1"/>
  <c r="Q67" i="1"/>
  <c r="AA353" i="19"/>
  <c r="Y704" i="55"/>
  <c r="W43" i="66" s="1"/>
  <c r="X408" i="19"/>
  <c r="I353" i="19"/>
  <c r="N289" i="55"/>
  <c r="H291" i="55"/>
  <c r="Q164" i="19"/>
  <c r="G166" i="19"/>
  <c r="G77" i="39" s="1"/>
  <c r="A152" i="53"/>
  <c r="D273" i="55"/>
  <c r="F556" i="55"/>
  <c r="D148" i="19"/>
  <c r="C88" i="34"/>
  <c r="F258" i="19"/>
  <c r="C97" i="34" s="1"/>
  <c r="F566" i="55"/>
  <c r="D140" i="19"/>
  <c r="F268" i="19"/>
  <c r="G125" i="19"/>
  <c r="G221" i="55" l="1"/>
  <c r="T30" i="54" s="1"/>
  <c r="G423" i="55"/>
  <c r="Y764" i="55"/>
  <c r="I424" i="61"/>
  <c r="I298" i="61" s="1"/>
  <c r="J25" i="1"/>
  <c r="J29" i="1" s="1"/>
  <c r="L25" i="64"/>
  <c r="O36" i="64" s="1"/>
  <c r="N24" i="1" s="1"/>
  <c r="N25" i="1" s="1"/>
  <c r="O26" i="64"/>
  <c r="P25" i="64"/>
  <c r="N25" i="64"/>
  <c r="AJ717" i="55"/>
  <c r="L717" i="55" s="1"/>
  <c r="H26" i="64"/>
  <c r="H38" i="64" s="1"/>
  <c r="G27" i="1" s="1"/>
  <c r="L26" i="64"/>
  <c r="O38" i="64" s="1"/>
  <c r="K26" i="64"/>
  <c r="M38" i="64" s="1"/>
  <c r="I26" i="64"/>
  <c r="J38" i="64" s="1"/>
  <c r="I27" i="1" s="1"/>
  <c r="I28" i="1" s="1"/>
  <c r="N26" i="64"/>
  <c r="M25" i="64"/>
  <c r="N36" i="64" s="1"/>
  <c r="M24" i="1" s="1"/>
  <c r="M25" i="1" s="1"/>
  <c r="I25" i="64"/>
  <c r="J36" i="64" s="1"/>
  <c r="I24" i="1" s="1"/>
  <c r="I25" i="1" s="1"/>
  <c r="O25" i="64"/>
  <c r="I450" i="58"/>
  <c r="I324" i="58" s="1"/>
  <c r="F740" i="55"/>
  <c r="F576" i="55" s="1"/>
  <c r="K46" i="64"/>
  <c r="K53" i="64" s="1"/>
  <c r="F384" i="19"/>
  <c r="F278" i="19" s="1"/>
  <c r="K39" i="64"/>
  <c r="F390" i="56"/>
  <c r="F278" i="56" s="1"/>
  <c r="P26" i="64"/>
  <c r="K25" i="64"/>
  <c r="H25" i="64"/>
  <c r="H36" i="64" s="1"/>
  <c r="G24" i="1" s="1"/>
  <c r="J25" i="64"/>
  <c r="I36" i="64" s="1"/>
  <c r="H24" i="1" s="1"/>
  <c r="H25" i="1" s="1"/>
  <c r="J26" i="64"/>
  <c r="I38" i="64" s="1"/>
  <c r="H27" i="1" s="1"/>
  <c r="H28" i="1" s="1"/>
  <c r="M704" i="55"/>
  <c r="X68" i="66" s="1"/>
  <c r="U68" i="66"/>
  <c r="P68" i="66" s="1"/>
  <c r="J68" i="66" s="1"/>
  <c r="J73" i="66" s="1"/>
  <c r="J717" i="55"/>
  <c r="M717" i="55" s="1"/>
  <c r="H544" i="55"/>
  <c r="S68" i="66"/>
  <c r="L68" i="66" s="1"/>
  <c r="L704" i="55"/>
  <c r="W68" i="66" s="1"/>
  <c r="T68" i="66"/>
  <c r="N68" i="66" s="1"/>
  <c r="H68" i="66" s="1"/>
  <c r="H73" i="66" s="1"/>
  <c r="M27" i="1"/>
  <c r="P15" i="66"/>
  <c r="Q15" i="66"/>
  <c r="K48" i="64"/>
  <c r="K54" i="64" s="1"/>
  <c r="I451" i="58"/>
  <c r="I325" i="58" s="1"/>
  <c r="D174" i="58" s="1"/>
  <c r="I425" i="61"/>
  <c r="I299" i="61" s="1"/>
  <c r="D152" i="61" s="1"/>
  <c r="F391" i="56"/>
  <c r="F279" i="56" s="1"/>
  <c r="D151" i="56" s="1"/>
  <c r="F385" i="19"/>
  <c r="F279" i="19" s="1"/>
  <c r="F741" i="55"/>
  <c r="F577" i="55" s="1"/>
  <c r="D282" i="55" s="1"/>
  <c r="AJ704" i="55"/>
  <c r="K704" i="55" s="1"/>
  <c r="Q418" i="58"/>
  <c r="P275" i="58"/>
  <c r="P418" i="58"/>
  <c r="L275" i="58"/>
  <c r="O275" i="58" s="1"/>
  <c r="P392" i="61"/>
  <c r="P249" i="61"/>
  <c r="J102" i="61"/>
  <c r="G102" i="61" s="1"/>
  <c r="I12" i="62" s="1"/>
  <c r="P55" i="62" s="1"/>
  <c r="N249" i="61"/>
  <c r="Q392" i="61"/>
  <c r="O276" i="61"/>
  <c r="R401" i="61"/>
  <c r="J161" i="61"/>
  <c r="P159" i="61"/>
  <c r="I161" i="61"/>
  <c r="O159" i="61"/>
  <c r="M303" i="61"/>
  <c r="P301" i="61"/>
  <c r="P303" i="61" s="1"/>
  <c r="M276" i="61"/>
  <c r="P401" i="61"/>
  <c r="Q159" i="61"/>
  <c r="K161" i="61"/>
  <c r="L249" i="61"/>
  <c r="O392" i="61"/>
  <c r="Q301" i="61"/>
  <c r="Q303" i="61" s="1"/>
  <c r="N303" i="61"/>
  <c r="O303" i="61"/>
  <c r="R301" i="61"/>
  <c r="R303" i="61" s="1"/>
  <c r="AB448" i="61"/>
  <c r="N276" i="61"/>
  <c r="Q401" i="61"/>
  <c r="O579" i="55"/>
  <c r="O581" i="55" s="1"/>
  <c r="M289" i="55"/>
  <c r="O289" i="55" s="1"/>
  <c r="M579" i="55"/>
  <c r="M581" i="55" s="1"/>
  <c r="N579" i="55"/>
  <c r="N581" i="55" s="1"/>
  <c r="V181" i="58"/>
  <c r="N124" i="58"/>
  <c r="Q275" i="58"/>
  <c r="T124" i="58"/>
  <c r="G124" i="58" s="1"/>
  <c r="G127" i="58" s="1"/>
  <c r="J127" i="58"/>
  <c r="E20" i="46"/>
  <c r="J544" i="55"/>
  <c r="N554" i="55"/>
  <c r="S158" i="56"/>
  <c r="AC414" i="56"/>
  <c r="P359" i="56"/>
  <c r="J119" i="56"/>
  <c r="Q246" i="56"/>
  <c r="J141" i="56"/>
  <c r="R256" i="56"/>
  <c r="K141" i="56"/>
  <c r="S256" i="56"/>
  <c r="I119" i="56"/>
  <c r="P246" i="56"/>
  <c r="K119" i="56"/>
  <c r="R246" i="56"/>
  <c r="P29" i="54"/>
  <c r="P58" i="54" s="1"/>
  <c r="R104" i="55"/>
  <c r="G30" i="54"/>
  <c r="C23" i="54"/>
  <c r="P24" i="54"/>
  <c r="P52" i="54"/>
  <c r="R126" i="55"/>
  <c r="B109" i="33"/>
  <c r="B116" i="33" s="1"/>
  <c r="B118" i="33" s="1"/>
  <c r="C24" i="53"/>
  <c r="C25" i="53" s="1"/>
  <c r="AA408" i="19"/>
  <c r="Q76" i="1"/>
  <c r="Q14" i="66" s="1"/>
  <c r="T25" i="66" s="1"/>
  <c r="Q353" i="19"/>
  <c r="Q246" i="19"/>
  <c r="K246" i="19"/>
  <c r="R353" i="19"/>
  <c r="I246" i="19"/>
  <c r="P353" i="19"/>
  <c r="I544" i="55"/>
  <c r="E15" i="42"/>
  <c r="T15" i="42" s="1"/>
  <c r="S164" i="19"/>
  <c r="Q125" i="19"/>
  <c r="G128" i="19"/>
  <c r="J221" i="55" l="1"/>
  <c r="X30" i="54" s="1"/>
  <c r="K30" i="54" s="1"/>
  <c r="J423" i="55"/>
  <c r="L544" i="55"/>
  <c r="L423" i="55" s="1"/>
  <c r="I423" i="55"/>
  <c r="H221" i="55"/>
  <c r="S30" i="54" s="1"/>
  <c r="F30" i="54" s="1"/>
  <c r="H423" i="55"/>
  <c r="N27" i="1"/>
  <c r="N28" i="1" s="1"/>
  <c r="N29" i="1" s="1"/>
  <c r="R38" i="64"/>
  <c r="Q27" i="1" s="1"/>
  <c r="L27" i="1"/>
  <c r="L28" i="1" s="1"/>
  <c r="P38" i="64"/>
  <c r="O27" i="1" s="1"/>
  <c r="O28" i="1" s="1"/>
  <c r="Q38" i="64"/>
  <c r="P27" i="1" s="1"/>
  <c r="G25" i="1"/>
  <c r="O27" i="64"/>
  <c r="AK717" i="55"/>
  <c r="I29" i="1"/>
  <c r="H29" i="1"/>
  <c r="U385" i="19"/>
  <c r="G385" i="19" s="1"/>
  <c r="G279" i="19" s="1"/>
  <c r="F157" i="19" s="1"/>
  <c r="G28" i="1"/>
  <c r="X741" i="55"/>
  <c r="L741" i="55" s="1"/>
  <c r="M28" i="1"/>
  <c r="M29" i="1" s="1"/>
  <c r="M27" i="64"/>
  <c r="P27" i="64"/>
  <c r="U30" i="54"/>
  <c r="H30" i="54" s="1"/>
  <c r="L27" i="64"/>
  <c r="I27" i="64"/>
  <c r="W391" i="56"/>
  <c r="G391" i="56" s="1"/>
  <c r="G279" i="56" s="1"/>
  <c r="F151" i="56" s="1"/>
  <c r="S741" i="55"/>
  <c r="G741" i="55" s="1"/>
  <c r="G577" i="55" s="1"/>
  <c r="V425" i="61"/>
  <c r="J425" i="61" s="1"/>
  <c r="J299" i="61" s="1"/>
  <c r="I152" i="61" s="1"/>
  <c r="Z451" i="58"/>
  <c r="J451" i="58" s="1"/>
  <c r="J325" i="58" s="1"/>
  <c r="I174" i="58" s="1"/>
  <c r="H48" i="64"/>
  <c r="H54" i="64" s="1"/>
  <c r="K27" i="64"/>
  <c r="N27" i="64"/>
  <c r="M36" i="64"/>
  <c r="L24" i="1" s="1"/>
  <c r="H27" i="64"/>
  <c r="J27" i="64"/>
  <c r="Q544" i="55"/>
  <c r="Q423" i="55" s="1"/>
  <c r="F68" i="66"/>
  <c r="C68" i="66" s="1"/>
  <c r="N704" i="55"/>
  <c r="Y68" i="66" s="1"/>
  <c r="V68" i="66"/>
  <c r="O68" i="66" s="1"/>
  <c r="I68" i="66" s="1"/>
  <c r="I73" i="66" s="1"/>
  <c r="J554" i="55"/>
  <c r="AA391" i="56"/>
  <c r="P391" i="56" s="1"/>
  <c r="P279" i="56" s="1"/>
  <c r="N48" i="64"/>
  <c r="N54" i="64" s="1"/>
  <c r="Z425" i="61"/>
  <c r="O425" i="61" s="1"/>
  <c r="O299" i="61" s="1"/>
  <c r="AD451" i="58"/>
  <c r="O451" i="58" s="1"/>
  <c r="O325" i="58" s="1"/>
  <c r="K544" i="55"/>
  <c r="W385" i="19"/>
  <c r="H385" i="19" s="1"/>
  <c r="H279" i="19" s="1"/>
  <c r="G157" i="19" s="1"/>
  <c r="AB451" i="58"/>
  <c r="K451" i="58" s="1"/>
  <c r="K325" i="58" s="1"/>
  <c r="J174" i="58" s="1"/>
  <c r="G38" i="64"/>
  <c r="R577" i="55" s="1"/>
  <c r="Y391" i="56"/>
  <c r="H391" i="56" s="1"/>
  <c r="H279" i="56" s="1"/>
  <c r="G151" i="56" s="1"/>
  <c r="X425" i="61"/>
  <c r="K425" i="61" s="1"/>
  <c r="K299" i="61" s="1"/>
  <c r="J152" i="61" s="1"/>
  <c r="T741" i="55"/>
  <c r="H741" i="55" s="1"/>
  <c r="J48" i="64"/>
  <c r="J54" i="64" s="1"/>
  <c r="Y385" i="19"/>
  <c r="P385" i="19" s="1"/>
  <c r="P279" i="19" s="1"/>
  <c r="W425" i="61"/>
  <c r="L425" i="61" s="1"/>
  <c r="L299" i="61" s="1"/>
  <c r="K152" i="61" s="1"/>
  <c r="X391" i="56"/>
  <c r="I391" i="56" s="1"/>
  <c r="I279" i="56" s="1"/>
  <c r="H151" i="56" s="1"/>
  <c r="F27" i="1"/>
  <c r="U741" i="55"/>
  <c r="I48" i="64"/>
  <c r="I54" i="64" s="1"/>
  <c r="V385" i="19"/>
  <c r="I385" i="19" s="1"/>
  <c r="I279" i="19" s="1"/>
  <c r="H157" i="19" s="1"/>
  <c r="AA451" i="58"/>
  <c r="L451" i="58" s="1"/>
  <c r="L325" i="58" s="1"/>
  <c r="K174" i="58" s="1"/>
  <c r="F392" i="56"/>
  <c r="I426" i="61"/>
  <c r="I452" i="58"/>
  <c r="F742" i="55"/>
  <c r="K49" i="64"/>
  <c r="O717" i="55"/>
  <c r="L554" i="55"/>
  <c r="D157" i="19"/>
  <c r="C79" i="33"/>
  <c r="F386" i="19"/>
  <c r="V384" i="19"/>
  <c r="I384" i="19" s="1"/>
  <c r="I46" i="64"/>
  <c r="I53" i="64" s="1"/>
  <c r="U740" i="55"/>
  <c r="I740" i="55" s="1"/>
  <c r="AA450" i="58"/>
  <c r="W424" i="61"/>
  <c r="AB13" i="1"/>
  <c r="X390" i="56"/>
  <c r="I390" i="56" s="1"/>
  <c r="J46" i="64"/>
  <c r="T740" i="55"/>
  <c r="H740" i="55" s="1"/>
  <c r="W384" i="19"/>
  <c r="H384" i="19" s="1"/>
  <c r="AB450" i="58"/>
  <c r="AC13" i="1"/>
  <c r="X424" i="61"/>
  <c r="Y390" i="56"/>
  <c r="H390" i="56" s="1"/>
  <c r="C70" i="33"/>
  <c r="D156" i="19"/>
  <c r="F280" i="19"/>
  <c r="C88" i="33" s="1"/>
  <c r="F280" i="56"/>
  <c r="D150" i="56"/>
  <c r="D281" i="55"/>
  <c r="F578" i="55"/>
  <c r="AE450" i="58"/>
  <c r="AA424" i="61"/>
  <c r="O46" i="64"/>
  <c r="W740" i="55"/>
  <c r="K740" i="55" s="1"/>
  <c r="AB390" i="56"/>
  <c r="K390" i="56" s="1"/>
  <c r="Z384" i="19"/>
  <c r="K384" i="19" s="1"/>
  <c r="D173" i="58"/>
  <c r="I326" i="58"/>
  <c r="AD450" i="58"/>
  <c r="Z424" i="61"/>
  <c r="Y384" i="19"/>
  <c r="P384" i="19" s="1"/>
  <c r="N46" i="64"/>
  <c r="X740" i="55"/>
  <c r="L740" i="55" s="1"/>
  <c r="AA390" i="56"/>
  <c r="P390" i="56" s="1"/>
  <c r="D151" i="61"/>
  <c r="I300" i="61"/>
  <c r="H46" i="64"/>
  <c r="H53" i="64" s="1"/>
  <c r="U384" i="19"/>
  <c r="G384" i="19" s="1"/>
  <c r="Z450" i="58"/>
  <c r="V424" i="61"/>
  <c r="W390" i="56"/>
  <c r="G390" i="56" s="1"/>
  <c r="S740" i="55"/>
  <c r="AA13" i="1"/>
  <c r="F24" i="1"/>
  <c r="F25" i="1" s="1"/>
  <c r="AK704" i="55"/>
  <c r="J39" i="64"/>
  <c r="I39" i="64"/>
  <c r="O39" i="64"/>
  <c r="H39" i="64"/>
  <c r="N39" i="64"/>
  <c r="R36" i="64"/>
  <c r="Q24" i="1" s="1"/>
  <c r="Q25" i="1" s="1"/>
  <c r="Q36" i="64"/>
  <c r="P24" i="1" s="1"/>
  <c r="P25" i="1" s="1"/>
  <c r="G36" i="64"/>
  <c r="R576" i="55" s="1"/>
  <c r="L124" i="58"/>
  <c r="S124" i="58" s="1"/>
  <c r="F124" i="58" s="1"/>
  <c r="F127" i="58" s="1"/>
  <c r="M142" i="61"/>
  <c r="G142" i="61" s="1"/>
  <c r="Q276" i="61"/>
  <c r="R159" i="61"/>
  <c r="P102" i="61"/>
  <c r="J105" i="61"/>
  <c r="L142" i="61"/>
  <c r="F142" i="61" s="1"/>
  <c r="P276" i="61"/>
  <c r="N102" i="61"/>
  <c r="H102" i="61" s="1"/>
  <c r="J12" i="62" s="1"/>
  <c r="Q55" i="62" s="1"/>
  <c r="Q249" i="61"/>
  <c r="L102" i="61"/>
  <c r="F102" i="61" s="1"/>
  <c r="H12" i="62" s="1"/>
  <c r="O55" i="62" s="1"/>
  <c r="O249" i="61"/>
  <c r="N142" i="61"/>
  <c r="H142" i="61" s="1"/>
  <c r="R276" i="61"/>
  <c r="K127" i="58"/>
  <c r="U124" i="58"/>
  <c r="H124" i="58" s="1"/>
  <c r="H127" i="58" s="1"/>
  <c r="V275" i="58"/>
  <c r="M221" i="55"/>
  <c r="E68" i="46" s="1"/>
  <c r="M544" i="55"/>
  <c r="M423" i="55" s="1"/>
  <c r="G224" i="55"/>
  <c r="Q141" i="56"/>
  <c r="R141" i="56"/>
  <c r="H122" i="56"/>
  <c r="R119" i="56"/>
  <c r="S246" i="56"/>
  <c r="F122" i="56"/>
  <c r="P119" i="56"/>
  <c r="Q119" i="56"/>
  <c r="G122" i="56"/>
  <c r="P64" i="54"/>
  <c r="C29" i="54"/>
  <c r="P57" i="54"/>
  <c r="P63" i="54" s="1"/>
  <c r="C24" i="54"/>
  <c r="K125" i="19"/>
  <c r="R246" i="19"/>
  <c r="I125" i="19"/>
  <c r="P246" i="19"/>
  <c r="I221" i="55"/>
  <c r="V30" i="54" s="1"/>
  <c r="S15" i="42"/>
  <c r="R15" i="42"/>
  <c r="H32" i="7"/>
  <c r="E45" i="38"/>
  <c r="G17" i="39"/>
  <c r="G21" i="39" s="1"/>
  <c r="N544" i="55" l="1"/>
  <c r="N423" i="55" s="1"/>
  <c r="K423" i="55"/>
  <c r="X385" i="19"/>
  <c r="J385" i="19" s="1"/>
  <c r="Q385" i="19" s="1"/>
  <c r="L25" i="1"/>
  <c r="L29" i="1" s="1"/>
  <c r="Y425" i="61"/>
  <c r="M425" i="61" s="1"/>
  <c r="M299" i="61" s="1"/>
  <c r="Z391" i="56"/>
  <c r="J391" i="56" s="1"/>
  <c r="J279" i="56" s="1"/>
  <c r="R48" i="64"/>
  <c r="R54" i="64" s="1"/>
  <c r="AD425" i="61"/>
  <c r="S38" i="64"/>
  <c r="R27" i="1" s="1"/>
  <c r="R28" i="1" s="1"/>
  <c r="V741" i="55"/>
  <c r="J741" i="55" s="1"/>
  <c r="J577" i="55" s="1"/>
  <c r="AC451" i="58"/>
  <c r="M451" i="58" s="1"/>
  <c r="M325" i="58" s="1"/>
  <c r="M48" i="64"/>
  <c r="M54" i="64" s="1"/>
  <c r="AE391" i="56"/>
  <c r="Z741" i="55"/>
  <c r="AC385" i="19"/>
  <c r="AH451" i="58"/>
  <c r="AB391" i="56"/>
  <c r="K391" i="56" s="1"/>
  <c r="K279" i="56" s="1"/>
  <c r="J151" i="56" s="1"/>
  <c r="Q151" i="56" s="1"/>
  <c r="AA425" i="61"/>
  <c r="N425" i="61" s="1"/>
  <c r="N299" i="61" s="1"/>
  <c r="M152" i="61" s="1"/>
  <c r="P152" i="61" s="1"/>
  <c r="O48" i="64"/>
  <c r="O54" i="64" s="1"/>
  <c r="AE451" i="58"/>
  <c r="N451" i="58" s="1"/>
  <c r="N325" i="58" s="1"/>
  <c r="Q325" i="58" s="1"/>
  <c r="Z385" i="19"/>
  <c r="K385" i="19" s="1"/>
  <c r="K279" i="19" s="1"/>
  <c r="R279" i="19" s="1"/>
  <c r="W741" i="55"/>
  <c r="K741" i="55" s="1"/>
  <c r="Q48" i="64"/>
  <c r="Q54" i="64" s="1"/>
  <c r="P28" i="1"/>
  <c r="P29" i="1" s="1"/>
  <c r="AG451" i="58"/>
  <c r="AD391" i="56"/>
  <c r="AC425" i="61"/>
  <c r="AA741" i="55"/>
  <c r="AB385" i="19"/>
  <c r="Q28" i="1"/>
  <c r="Q29" i="1" s="1"/>
  <c r="G29" i="1"/>
  <c r="K170" i="64"/>
  <c r="H170" i="64"/>
  <c r="D79" i="33"/>
  <c r="G48" i="64"/>
  <c r="G54" i="64" s="1"/>
  <c r="F28" i="1"/>
  <c r="F29" i="1" s="1"/>
  <c r="P36" i="64"/>
  <c r="O24" i="1" s="1"/>
  <c r="O25" i="1" s="1"/>
  <c r="O29" i="1" s="1"/>
  <c r="M39" i="64"/>
  <c r="N49" i="64"/>
  <c r="O544" i="55"/>
  <c r="O423" i="55" s="1"/>
  <c r="K221" i="55"/>
  <c r="W30" i="54" s="1"/>
  <c r="J30" i="54" s="1"/>
  <c r="F282" i="55"/>
  <c r="E79" i="33"/>
  <c r="I272" i="55"/>
  <c r="L272" i="55" s="1"/>
  <c r="M554" i="55"/>
  <c r="F37" i="66"/>
  <c r="G37" i="66" s="1"/>
  <c r="J49" i="64"/>
  <c r="S391" i="56"/>
  <c r="R425" i="61"/>
  <c r="L577" i="55"/>
  <c r="K282" i="55" s="1"/>
  <c r="H577" i="55"/>
  <c r="G282" i="55" s="1"/>
  <c r="I741" i="55"/>
  <c r="I577" i="55" s="1"/>
  <c r="H282" i="55" s="1"/>
  <c r="F79" i="33"/>
  <c r="S385" i="19"/>
  <c r="V451" i="58"/>
  <c r="K272" i="55"/>
  <c r="N272" i="55" s="1"/>
  <c r="O554" i="55"/>
  <c r="N53" i="64"/>
  <c r="K151" i="56"/>
  <c r="R151" i="56" s="1"/>
  <c r="S279" i="56"/>
  <c r="K157" i="19"/>
  <c r="R157" i="19" s="1"/>
  <c r="S279" i="19"/>
  <c r="R299" i="61"/>
  <c r="N152" i="61"/>
  <c r="N174" i="58"/>
  <c r="Q174" i="58" s="1"/>
  <c r="H174" i="58" s="1"/>
  <c r="V325" i="58"/>
  <c r="J279" i="19"/>
  <c r="I49" i="64"/>
  <c r="P48" i="64"/>
  <c r="P54" i="64" s="1"/>
  <c r="AA385" i="19"/>
  <c r="Y741" i="55"/>
  <c r="AF451" i="58"/>
  <c r="AB425" i="61"/>
  <c r="AC391" i="56"/>
  <c r="J53" i="64"/>
  <c r="R384" i="19"/>
  <c r="K278" i="19"/>
  <c r="K424" i="61"/>
  <c r="X426" i="61"/>
  <c r="R390" i="56"/>
  <c r="K278" i="56"/>
  <c r="K450" i="58"/>
  <c r="AB452" i="58"/>
  <c r="H386" i="19"/>
  <c r="H278" i="19"/>
  <c r="T742" i="55"/>
  <c r="N424" i="61"/>
  <c r="N450" i="58"/>
  <c r="I278" i="56"/>
  <c r="I392" i="56"/>
  <c r="O53" i="64"/>
  <c r="P278" i="56"/>
  <c r="P392" i="56"/>
  <c r="S390" i="56"/>
  <c r="AD390" i="56"/>
  <c r="AG450" i="58"/>
  <c r="AC424" i="61"/>
  <c r="AB384" i="19"/>
  <c r="Q46" i="64"/>
  <c r="AA740" i="55"/>
  <c r="X742" i="55"/>
  <c r="L424" i="61"/>
  <c r="W426" i="61"/>
  <c r="H392" i="56"/>
  <c r="H278" i="56"/>
  <c r="L450" i="58"/>
  <c r="AA452" i="58"/>
  <c r="P278" i="19"/>
  <c r="S384" i="19"/>
  <c r="P386" i="19"/>
  <c r="U742" i="55"/>
  <c r="AC384" i="19"/>
  <c r="AH450" i="58"/>
  <c r="AD424" i="61"/>
  <c r="R46" i="64"/>
  <c r="R53" i="64" s="1"/>
  <c r="Z740" i="55"/>
  <c r="AE390" i="56"/>
  <c r="O424" i="61"/>
  <c r="Z426" i="61"/>
  <c r="O450" i="58"/>
  <c r="AD452" i="58"/>
  <c r="I278" i="19"/>
  <c r="I386" i="19"/>
  <c r="G46" i="64"/>
  <c r="G53" i="64" s="1"/>
  <c r="G740" i="55"/>
  <c r="S742" i="55"/>
  <c r="G278" i="56"/>
  <c r="G392" i="56"/>
  <c r="M46" i="64"/>
  <c r="X384" i="19"/>
  <c r="J384" i="19" s="1"/>
  <c r="Z390" i="56"/>
  <c r="J390" i="56" s="1"/>
  <c r="Y424" i="61"/>
  <c r="V740" i="55"/>
  <c r="J740" i="55" s="1"/>
  <c r="AC450" i="58"/>
  <c r="J424" i="61"/>
  <c r="V426" i="61"/>
  <c r="V422" i="61"/>
  <c r="J450" i="58"/>
  <c r="Z452" i="58"/>
  <c r="Z448" i="58"/>
  <c r="G278" i="19"/>
  <c r="G386" i="19"/>
  <c r="I127" i="58"/>
  <c r="L127" i="58" s="1"/>
  <c r="R39" i="64"/>
  <c r="Q39" i="64"/>
  <c r="G39" i="64"/>
  <c r="H49" i="64"/>
  <c r="S55" i="62"/>
  <c r="I55" i="62"/>
  <c r="M55" i="62" s="1"/>
  <c r="M12" i="62"/>
  <c r="K105" i="61"/>
  <c r="Q102" i="61"/>
  <c r="O102" i="61"/>
  <c r="I105" i="61"/>
  <c r="O142" i="61"/>
  <c r="P142" i="61"/>
  <c r="Q142" i="61"/>
  <c r="R249" i="61"/>
  <c r="S119" i="56"/>
  <c r="I122" i="56"/>
  <c r="I30" i="54"/>
  <c r="G32" i="7"/>
  <c r="S246" i="19"/>
  <c r="H128" i="19"/>
  <c r="R125" i="19"/>
  <c r="F32" i="7"/>
  <c r="P125" i="19"/>
  <c r="F128" i="19"/>
  <c r="L221" i="55"/>
  <c r="E32" i="46" s="1"/>
  <c r="F224" i="55"/>
  <c r="E68" i="49"/>
  <c r="S68" i="50"/>
  <c r="P425" i="61" l="1"/>
  <c r="Q391" i="56"/>
  <c r="AD426" i="61"/>
  <c r="M741" i="55"/>
  <c r="P451" i="58"/>
  <c r="Z742" i="55"/>
  <c r="X37" i="66" s="1"/>
  <c r="AH452" i="58"/>
  <c r="R391" i="56"/>
  <c r="R392" i="56" s="1"/>
  <c r="K392" i="56"/>
  <c r="AE452" i="58"/>
  <c r="Q299" i="61"/>
  <c r="AA426" i="61"/>
  <c r="G152" i="61"/>
  <c r="W742" i="55"/>
  <c r="U37" i="66" s="1"/>
  <c r="P37" i="66" s="1"/>
  <c r="R279" i="56"/>
  <c r="K386" i="19"/>
  <c r="Q49" i="64"/>
  <c r="AG452" i="58"/>
  <c r="AC426" i="61"/>
  <c r="Q425" i="61"/>
  <c r="J157" i="19"/>
  <c r="Q157" i="19" s="1"/>
  <c r="R385" i="19"/>
  <c r="R386" i="19" s="1"/>
  <c r="Q451" i="58"/>
  <c r="M174" i="58"/>
  <c r="P174" i="58" s="1"/>
  <c r="G174" i="58" s="1"/>
  <c r="O49" i="64"/>
  <c r="AA742" i="55"/>
  <c r="Y37" i="66" s="1"/>
  <c r="F26" i="69"/>
  <c r="G27" i="42"/>
  <c r="G32" i="42" s="1"/>
  <c r="G11" i="42"/>
  <c r="G16" i="42" s="1"/>
  <c r="G17" i="42" s="1"/>
  <c r="H27" i="42"/>
  <c r="H32" i="42" s="1"/>
  <c r="H11" i="42"/>
  <c r="H16" i="42" s="1"/>
  <c r="H17" i="42" s="1"/>
  <c r="F27" i="42"/>
  <c r="F11" i="42"/>
  <c r="P39" i="64"/>
  <c r="S36" i="64"/>
  <c r="R24" i="1" s="1"/>
  <c r="R25" i="1" s="1"/>
  <c r="R29" i="1" s="1"/>
  <c r="H224" i="55"/>
  <c r="N12" i="62" s="1"/>
  <c r="N221" i="55"/>
  <c r="E50" i="46" s="1"/>
  <c r="E50" i="49" s="1"/>
  <c r="Y30" i="54"/>
  <c r="L30" i="54" s="1"/>
  <c r="Q577" i="55"/>
  <c r="S577" i="55" s="1"/>
  <c r="S392" i="56"/>
  <c r="S37" i="66"/>
  <c r="L37" i="66" s="1"/>
  <c r="R37" i="66"/>
  <c r="M37" i="66" s="1"/>
  <c r="Q37" i="66"/>
  <c r="K37" i="66" s="1"/>
  <c r="V37" i="66"/>
  <c r="O37" i="66" s="1"/>
  <c r="N282" i="55"/>
  <c r="O577" i="55"/>
  <c r="S386" i="19"/>
  <c r="O741" i="55"/>
  <c r="K577" i="55"/>
  <c r="N741" i="55"/>
  <c r="H152" i="61"/>
  <c r="Q152" i="61"/>
  <c r="G49" i="64"/>
  <c r="L174" i="58"/>
  <c r="O174" i="58" s="1"/>
  <c r="F174" i="58" s="1"/>
  <c r="P325" i="58"/>
  <c r="M577" i="55"/>
  <c r="I282" i="55"/>
  <c r="L282" i="55" s="1"/>
  <c r="L152" i="61"/>
  <c r="P299" i="61"/>
  <c r="I151" i="56"/>
  <c r="P151" i="56" s="1"/>
  <c r="Q279" i="56"/>
  <c r="R49" i="64"/>
  <c r="S48" i="64"/>
  <c r="S54" i="64" s="1"/>
  <c r="Q279" i="19"/>
  <c r="I157" i="19"/>
  <c r="P157" i="19" s="1"/>
  <c r="O298" i="61"/>
  <c r="O426" i="61"/>
  <c r="R424" i="61"/>
  <c r="R426" i="61" s="1"/>
  <c r="G40" i="10"/>
  <c r="H20" i="7"/>
  <c r="K324" i="58"/>
  <c r="K452" i="58"/>
  <c r="K150" i="56"/>
  <c r="K152" i="56" s="1"/>
  <c r="S278" i="56"/>
  <c r="S280" i="56" s="1"/>
  <c r="P280" i="56"/>
  <c r="P393" i="56"/>
  <c r="O453" i="58"/>
  <c r="M74" i="1"/>
  <c r="P387" i="19"/>
  <c r="O427" i="61"/>
  <c r="L743" i="55"/>
  <c r="L324" i="58"/>
  <c r="L452" i="58"/>
  <c r="K387" i="19"/>
  <c r="K743" i="55"/>
  <c r="L74" i="1"/>
  <c r="N453" i="58"/>
  <c r="N427" i="61"/>
  <c r="K393" i="56"/>
  <c r="V450" i="58"/>
  <c r="V452" i="58" s="1"/>
  <c r="O452" i="58"/>
  <c r="O324" i="58"/>
  <c r="G150" i="56"/>
  <c r="H280" i="56"/>
  <c r="J150" i="56"/>
  <c r="J152" i="56" s="1"/>
  <c r="R278" i="56"/>
  <c r="K280" i="56"/>
  <c r="H150" i="56"/>
  <c r="I280" i="56"/>
  <c r="L576" i="55"/>
  <c r="L742" i="55"/>
  <c r="V49" i="66" s="1"/>
  <c r="O740" i="55"/>
  <c r="L298" i="61"/>
  <c r="L426" i="61"/>
  <c r="N324" i="58"/>
  <c r="N452" i="58"/>
  <c r="Q450" i="58"/>
  <c r="N740" i="55"/>
  <c r="K576" i="55"/>
  <c r="K742" i="55"/>
  <c r="U49" i="66" s="1"/>
  <c r="K298" i="61"/>
  <c r="K426" i="61"/>
  <c r="H576" i="55"/>
  <c r="H742" i="55"/>
  <c r="R49" i="66" s="1"/>
  <c r="N426" i="61"/>
  <c r="Q424" i="61"/>
  <c r="N298" i="61"/>
  <c r="I576" i="55"/>
  <c r="I742" i="55"/>
  <c r="S49" i="66" s="1"/>
  <c r="R278" i="19"/>
  <c r="R280" i="19" s="1"/>
  <c r="J156" i="19"/>
  <c r="K280" i="19"/>
  <c r="I280" i="19"/>
  <c r="F88" i="33" s="1"/>
  <c r="H156" i="19"/>
  <c r="F70" i="33"/>
  <c r="S278" i="19"/>
  <c r="S280" i="19" s="1"/>
  <c r="K156" i="19"/>
  <c r="K158" i="19" s="1"/>
  <c r="P280" i="19"/>
  <c r="G156" i="19"/>
  <c r="E70" i="33"/>
  <c r="H280" i="19"/>
  <c r="E88" i="33" s="1"/>
  <c r="F40" i="10"/>
  <c r="G20" i="7"/>
  <c r="Q53" i="64"/>
  <c r="V742" i="55"/>
  <c r="M424" i="61"/>
  <c r="Y426" i="61"/>
  <c r="J278" i="56"/>
  <c r="Q390" i="56"/>
  <c r="J392" i="56"/>
  <c r="Q384" i="19"/>
  <c r="Q386" i="19" s="1"/>
  <c r="J278" i="19"/>
  <c r="J386" i="19"/>
  <c r="M49" i="64"/>
  <c r="M53" i="64"/>
  <c r="P46" i="64"/>
  <c r="AA384" i="19"/>
  <c r="AF450" i="58"/>
  <c r="AF452" i="58" s="1"/>
  <c r="AB424" i="61"/>
  <c r="AB426" i="61" s="1"/>
  <c r="Y740" i="55"/>
  <c r="Y742" i="55" s="1"/>
  <c r="AC390" i="56"/>
  <c r="J324" i="58"/>
  <c r="J452" i="58"/>
  <c r="G280" i="56"/>
  <c r="F150" i="56"/>
  <c r="M450" i="58"/>
  <c r="AC452" i="58"/>
  <c r="G576" i="55"/>
  <c r="G742" i="55"/>
  <c r="Q49" i="66" s="1"/>
  <c r="J426" i="61"/>
  <c r="J298" i="61"/>
  <c r="F156" i="19"/>
  <c r="F158" i="19" s="1"/>
  <c r="D70" i="33"/>
  <c r="G280" i="19"/>
  <c r="D88" i="33" s="1"/>
  <c r="F20" i="7"/>
  <c r="E40" i="10"/>
  <c r="G74" i="1"/>
  <c r="H55" i="62"/>
  <c r="L55" i="62" s="1"/>
  <c r="L12" i="62"/>
  <c r="R102" i="61"/>
  <c r="L105" i="61"/>
  <c r="S125" i="19"/>
  <c r="I32" i="7"/>
  <c r="F45" i="38"/>
  <c r="H17" i="39"/>
  <c r="H21" i="39" s="1"/>
  <c r="F17" i="39"/>
  <c r="F21" i="39" s="1"/>
  <c r="D45" i="38"/>
  <c r="I128" i="19"/>
  <c r="C45" i="38" s="1"/>
  <c r="Q392" i="56" l="1"/>
  <c r="R280" i="56"/>
  <c r="Q426" i="61"/>
  <c r="O221" i="55"/>
  <c r="S50" i="50"/>
  <c r="J158" i="19"/>
  <c r="Q452" i="58"/>
  <c r="I224" i="55"/>
  <c r="J55" i="62"/>
  <c r="N55" i="62" s="1"/>
  <c r="R55" i="62" s="1"/>
  <c r="T55" i="62" s="1"/>
  <c r="E27" i="42"/>
  <c r="E32" i="42" s="1"/>
  <c r="F32" i="42"/>
  <c r="S39" i="64"/>
  <c r="E11" i="42"/>
  <c r="F16" i="42"/>
  <c r="F17" i="42" s="1"/>
  <c r="S46" i="64"/>
  <c r="S53" i="64" s="1"/>
  <c r="Q576" i="55"/>
  <c r="S576" i="55" s="1"/>
  <c r="E37" i="66"/>
  <c r="E49" i="66" s="1"/>
  <c r="P49" i="66"/>
  <c r="K49" i="66"/>
  <c r="L49" i="66"/>
  <c r="O49" i="66"/>
  <c r="M49" i="66"/>
  <c r="O742" i="55"/>
  <c r="Y49" i="66" s="1"/>
  <c r="J37" i="66"/>
  <c r="I37" i="66"/>
  <c r="T37" i="66"/>
  <c r="N37" i="66" s="1"/>
  <c r="H37" i="66" s="1"/>
  <c r="W37" i="66"/>
  <c r="N742" i="55"/>
  <c r="X49" i="66" s="1"/>
  <c r="N577" i="55"/>
  <c r="J282" i="55"/>
  <c r="M282" i="55" s="1"/>
  <c r="M12" i="66"/>
  <c r="P23" i="66" s="1"/>
  <c r="L12" i="66"/>
  <c r="O23" i="66" s="1"/>
  <c r="G12" i="66"/>
  <c r="I20" i="7"/>
  <c r="E109" i="33"/>
  <c r="E116" i="33" s="1"/>
  <c r="E118" i="33" s="1"/>
  <c r="F74" i="1"/>
  <c r="O152" i="61"/>
  <c r="F152" i="61"/>
  <c r="K300" i="61"/>
  <c r="J151" i="61"/>
  <c r="N576" i="55"/>
  <c r="K578" i="55"/>
  <c r="J281" i="55"/>
  <c r="G152" i="56"/>
  <c r="G154" i="56" s="1"/>
  <c r="Q150" i="56"/>
  <c r="Q152" i="56" s="1"/>
  <c r="O326" i="58"/>
  <c r="N173" i="58"/>
  <c r="N175" i="58" s="1"/>
  <c r="V324" i="58"/>
  <c r="V326" i="58" s="1"/>
  <c r="Q324" i="58"/>
  <c r="Q326" i="58" s="1"/>
  <c r="M173" i="58"/>
  <c r="M175" i="58" s="1"/>
  <c r="N326" i="58"/>
  <c r="L453" i="58"/>
  <c r="L427" i="61"/>
  <c r="I393" i="56"/>
  <c r="I743" i="55"/>
  <c r="J74" i="1"/>
  <c r="I387" i="19"/>
  <c r="L300" i="61"/>
  <c r="K151" i="61"/>
  <c r="J173" i="58"/>
  <c r="K326" i="58"/>
  <c r="H158" i="19"/>
  <c r="H160" i="19" s="1"/>
  <c r="R156" i="19"/>
  <c r="R158" i="19" s="1"/>
  <c r="K281" i="55"/>
  <c r="K283" i="55" s="1"/>
  <c r="W35" i="54" s="1"/>
  <c r="J35" i="54" s="1"/>
  <c r="O576" i="55"/>
  <c r="O578" i="55" s="1"/>
  <c r="E11" i="46" s="1"/>
  <c r="L578" i="55"/>
  <c r="H387" i="19"/>
  <c r="H393" i="56"/>
  <c r="I74" i="1"/>
  <c r="K453" i="58"/>
  <c r="H743" i="55"/>
  <c r="K427" i="61"/>
  <c r="Q298" i="61"/>
  <c r="Q300" i="61" s="1"/>
  <c r="M151" i="61"/>
  <c r="M153" i="61" s="1"/>
  <c r="N300" i="61"/>
  <c r="H152" i="56"/>
  <c r="H154" i="56" s="1"/>
  <c r="R150" i="56"/>
  <c r="R152" i="56" s="1"/>
  <c r="L326" i="58"/>
  <c r="K173" i="58"/>
  <c r="I578" i="55"/>
  <c r="H281" i="55"/>
  <c r="G158" i="19"/>
  <c r="Q156" i="19"/>
  <c r="Q158" i="19" s="1"/>
  <c r="F109" i="33"/>
  <c r="F116" i="33" s="1"/>
  <c r="F118" i="33" s="1"/>
  <c r="H578" i="55"/>
  <c r="G281" i="55"/>
  <c r="G283" i="55" s="1"/>
  <c r="N151" i="61"/>
  <c r="N153" i="61" s="1"/>
  <c r="O300" i="61"/>
  <c r="R298" i="61"/>
  <c r="R300" i="61" s="1"/>
  <c r="P49" i="64"/>
  <c r="P53" i="64"/>
  <c r="M324" i="58"/>
  <c r="M452" i="58"/>
  <c r="P450" i="58"/>
  <c r="P452" i="58" s="1"/>
  <c r="I150" i="56"/>
  <c r="I152" i="56" s="1"/>
  <c r="Q278" i="56"/>
  <c r="Q280" i="56" s="1"/>
  <c r="J280" i="56"/>
  <c r="F152" i="56"/>
  <c r="H74" i="1"/>
  <c r="J453" i="58"/>
  <c r="G393" i="56"/>
  <c r="G743" i="55"/>
  <c r="J427" i="61"/>
  <c r="G387" i="19"/>
  <c r="P424" i="61"/>
  <c r="P426" i="61" s="1"/>
  <c r="M298" i="61"/>
  <c r="M426" i="61"/>
  <c r="F281" i="55"/>
  <c r="F283" i="55" s="1"/>
  <c r="R35" i="54" s="1"/>
  <c r="G578" i="55"/>
  <c r="Q278" i="19"/>
  <c r="Q280" i="19" s="1"/>
  <c r="J280" i="19"/>
  <c r="I156" i="19"/>
  <c r="I173" i="58"/>
  <c r="J326" i="58"/>
  <c r="K74" i="1"/>
  <c r="G420" i="1"/>
  <c r="J743" i="55"/>
  <c r="J393" i="56"/>
  <c r="M453" i="58"/>
  <c r="M427" i="61"/>
  <c r="J387" i="19"/>
  <c r="F420" i="1"/>
  <c r="D109" i="33"/>
  <c r="D116" i="33" s="1"/>
  <c r="D118" i="33" s="1"/>
  <c r="J300" i="61"/>
  <c r="I151" i="61"/>
  <c r="J576" i="55"/>
  <c r="J742" i="55"/>
  <c r="T49" i="66" s="1"/>
  <c r="M740" i="55"/>
  <c r="M742" i="55" s="1"/>
  <c r="W49" i="66" s="1"/>
  <c r="J568" i="60"/>
  <c r="J457" i="60"/>
  <c r="J543" i="60"/>
  <c r="J458" i="60"/>
  <c r="J579" i="60"/>
  <c r="J465" i="60"/>
  <c r="J472" i="60"/>
  <c r="J553" i="60"/>
  <c r="J555" i="60"/>
  <c r="J648" i="60"/>
  <c r="J635" i="60"/>
  <c r="J498" i="60"/>
  <c r="J616" i="60"/>
  <c r="J625" i="60"/>
  <c r="J638" i="60"/>
  <c r="J645" i="60"/>
  <c r="J608" i="60"/>
  <c r="J588" i="60"/>
  <c r="J577" i="60"/>
  <c r="J591" i="60"/>
  <c r="J621" i="60"/>
  <c r="J478" i="60"/>
  <c r="J467" i="60"/>
  <c r="J613" i="60"/>
  <c r="J611" i="60"/>
  <c r="J563" i="60"/>
  <c r="J551" i="60"/>
  <c r="J550" i="60"/>
  <c r="J501" i="60"/>
  <c r="J571" i="60"/>
  <c r="J636" i="60"/>
  <c r="J572" i="60"/>
  <c r="J574" i="60"/>
  <c r="J624" i="60"/>
  <c r="J620" i="60"/>
  <c r="J633" i="60"/>
  <c r="J562" i="60"/>
  <c r="J575" i="60"/>
  <c r="J627" i="60"/>
  <c r="J628" i="60"/>
  <c r="J559" i="60"/>
  <c r="AA373" i="58"/>
  <c r="K373" i="58" s="1"/>
  <c r="K234" i="58" s="1"/>
  <c r="K50" i="58" s="1"/>
  <c r="AA50" i="58" s="1"/>
  <c r="AA51" i="58" s="1"/>
  <c r="AA389" i="58"/>
  <c r="K389" i="58" s="1"/>
  <c r="K248" i="58" s="1"/>
  <c r="K74" i="58" s="1"/>
  <c r="AA74" i="58" s="1"/>
  <c r="AA75" i="58" s="1"/>
  <c r="AA381" i="58"/>
  <c r="K381" i="58" s="1"/>
  <c r="K241" i="58" s="1"/>
  <c r="K62" i="58" s="1"/>
  <c r="AA62" i="58" s="1"/>
  <c r="AA63" i="58" s="1"/>
  <c r="AA355" i="58"/>
  <c r="K355" i="58" s="1"/>
  <c r="K218" i="58" s="1"/>
  <c r="K24" i="58" s="1"/>
  <c r="AA365" i="58"/>
  <c r="K365" i="58" s="1"/>
  <c r="K227" i="58" s="1"/>
  <c r="K38" i="58" s="1"/>
  <c r="AA38" i="58" s="1"/>
  <c r="AA378" i="58"/>
  <c r="K378" i="58" s="1"/>
  <c r="K238" i="58" s="1"/>
  <c r="K59" i="58" s="1"/>
  <c r="G75" i="1"/>
  <c r="G13" i="66" s="1"/>
  <c r="W350" i="19"/>
  <c r="G350" i="19" s="1"/>
  <c r="G243" i="19" s="1"/>
  <c r="G85" i="19" s="1"/>
  <c r="W349" i="19"/>
  <c r="G349" i="19" s="1"/>
  <c r="G242" i="19" s="1"/>
  <c r="G84" i="19" s="1"/>
  <c r="V305" i="19"/>
  <c r="H305" i="19" s="1"/>
  <c r="H198" i="19" s="1"/>
  <c r="H20" i="19" s="1"/>
  <c r="V350" i="19"/>
  <c r="H350" i="19" s="1"/>
  <c r="H243" i="19" s="1"/>
  <c r="H85" i="19" s="1"/>
  <c r="V349" i="19"/>
  <c r="H349" i="19" s="1"/>
  <c r="H242" i="19" s="1"/>
  <c r="H84" i="19" s="1"/>
  <c r="J21" i="39"/>
  <c r="L21" i="39" s="1"/>
  <c r="M21" i="39" s="1"/>
  <c r="S32" i="50"/>
  <c r="E32" i="49"/>
  <c r="E106" i="49" s="1"/>
  <c r="G160" i="19" l="1"/>
  <c r="E54" i="38" s="1"/>
  <c r="S49" i="64"/>
  <c r="J49" i="66"/>
  <c r="J56" i="66" s="1"/>
  <c r="F49" i="66"/>
  <c r="N49" i="66"/>
  <c r="H49" i="66" s="1"/>
  <c r="H56" i="66" s="1"/>
  <c r="I49" i="66"/>
  <c r="I56" i="66" s="1"/>
  <c r="N578" i="55"/>
  <c r="E12" i="46" s="1"/>
  <c r="K12" i="66"/>
  <c r="N23" i="66" s="1"/>
  <c r="H12" i="66"/>
  <c r="K23" i="66" s="1"/>
  <c r="F12" i="66"/>
  <c r="P74" i="1"/>
  <c r="J12" i="66"/>
  <c r="O74" i="1"/>
  <c r="I12" i="66"/>
  <c r="J420" i="1"/>
  <c r="R74" i="1"/>
  <c r="H283" i="55"/>
  <c r="N281" i="55"/>
  <c r="N283" i="55" s="1"/>
  <c r="H68" i="39"/>
  <c r="H72" i="39" s="1"/>
  <c r="F54" i="38"/>
  <c r="J175" i="58"/>
  <c r="J177" i="58" s="1"/>
  <c r="P173" i="58"/>
  <c r="K153" i="61"/>
  <c r="K155" i="61" s="1"/>
  <c r="H151" i="61"/>
  <c r="H153" i="61" s="1"/>
  <c r="J17" i="62" s="1"/>
  <c r="Q60" i="62" s="1"/>
  <c r="Q151" i="61"/>
  <c r="Q153" i="61" s="1"/>
  <c r="M281" i="55"/>
  <c r="M283" i="55" s="1"/>
  <c r="J283" i="55"/>
  <c r="X35" i="54" s="1"/>
  <c r="K35" i="54" s="1"/>
  <c r="K175" i="58"/>
  <c r="K177" i="58" s="1"/>
  <c r="Q173" i="58"/>
  <c r="N74" i="1"/>
  <c r="P150" i="56"/>
  <c r="P152" i="56" s="1"/>
  <c r="S152" i="56" s="1"/>
  <c r="T35" i="54"/>
  <c r="G35" i="54" s="1"/>
  <c r="J153" i="61"/>
  <c r="J155" i="61" s="1"/>
  <c r="P151" i="61"/>
  <c r="P153" i="61" s="1"/>
  <c r="G151" i="61"/>
  <c r="G153" i="61" s="1"/>
  <c r="I17" i="62" s="1"/>
  <c r="P60" i="62" s="1"/>
  <c r="H420" i="1"/>
  <c r="I420" i="1" s="1"/>
  <c r="I175" i="58"/>
  <c r="P156" i="19"/>
  <c r="P158" i="19" s="1"/>
  <c r="S158" i="19" s="1"/>
  <c r="I158" i="19"/>
  <c r="F160" i="19" s="1"/>
  <c r="M576" i="55"/>
  <c r="M578" i="55" s="1"/>
  <c r="E10" i="46" s="1"/>
  <c r="I281" i="55"/>
  <c r="J578" i="55"/>
  <c r="I153" i="61"/>
  <c r="E35" i="54"/>
  <c r="F154" i="56"/>
  <c r="P298" i="61"/>
  <c r="P300" i="61" s="1"/>
  <c r="L151" i="61"/>
  <c r="L153" i="61" s="1"/>
  <c r="M300" i="61"/>
  <c r="M326" i="58"/>
  <c r="L173" i="58"/>
  <c r="L175" i="58" s="1"/>
  <c r="P324" i="58"/>
  <c r="P326" i="58" s="1"/>
  <c r="J514" i="60"/>
  <c r="J533" i="60"/>
  <c r="J485" i="60"/>
  <c r="J580" i="60"/>
  <c r="J632" i="60"/>
  <c r="W350" i="61" s="1"/>
  <c r="K350" i="61" s="1"/>
  <c r="J560" i="60"/>
  <c r="J629" i="60"/>
  <c r="W347" i="61" s="1"/>
  <c r="J510" i="60"/>
  <c r="J619" i="60"/>
  <c r="W337" i="61" s="1"/>
  <c r="J642" i="60"/>
  <c r="W360" i="61" s="1"/>
  <c r="J492" i="60"/>
  <c r="J605" i="60"/>
  <c r="W323" i="61" s="1"/>
  <c r="J637" i="60"/>
  <c r="W355" i="61" s="1"/>
  <c r="J483" i="60"/>
  <c r="J434" i="60"/>
  <c r="J461" i="60"/>
  <c r="J480" i="60"/>
  <c r="J475" i="60"/>
  <c r="J508" i="60"/>
  <c r="J585" i="60"/>
  <c r="J517" i="60"/>
  <c r="J490" i="60"/>
  <c r="J544" i="60"/>
  <c r="J496" i="60"/>
  <c r="J474" i="60"/>
  <c r="J584" i="60"/>
  <c r="J565" i="60"/>
  <c r="J443" i="60"/>
  <c r="J581" i="60"/>
  <c r="H160" i="60"/>
  <c r="H236" i="60" s="1"/>
  <c r="J493" i="60"/>
  <c r="J540" i="60"/>
  <c r="J499" i="60"/>
  <c r="J530" i="60"/>
  <c r="J463" i="60"/>
  <c r="J556" i="60"/>
  <c r="J640" i="60"/>
  <c r="W358" i="61" s="1"/>
  <c r="K358" i="61" s="1"/>
  <c r="K259" i="61" s="1"/>
  <c r="K118" i="61" s="1"/>
  <c r="J567" i="60"/>
  <c r="J536" i="60"/>
  <c r="J440" i="60"/>
  <c r="J641" i="60"/>
  <c r="W359" i="61" s="1"/>
  <c r="K359" i="61" s="1"/>
  <c r="K260" i="61" s="1"/>
  <c r="K119" i="61" s="1"/>
  <c r="J583" i="60"/>
  <c r="J481" i="60"/>
  <c r="H215" i="60"/>
  <c r="H252" i="60" s="1"/>
  <c r="J547" i="60"/>
  <c r="J639" i="60"/>
  <c r="W357" i="61" s="1"/>
  <c r="K357" i="61" s="1"/>
  <c r="K258" i="61" s="1"/>
  <c r="K117" i="61" s="1"/>
  <c r="J447" i="60"/>
  <c r="J454" i="60"/>
  <c r="J582" i="60"/>
  <c r="J511" i="60"/>
  <c r="J503" i="60"/>
  <c r="J445" i="60"/>
  <c r="I215" i="60"/>
  <c r="I160" i="60"/>
  <c r="G215" i="60"/>
  <c r="G160" i="60"/>
  <c r="K639" i="60"/>
  <c r="X357" i="61" s="1"/>
  <c r="J357" i="61" s="1"/>
  <c r="J258" i="61" s="1"/>
  <c r="J117" i="61" s="1"/>
  <c r="K640" i="60"/>
  <c r="X358" i="61" s="1"/>
  <c r="J358" i="61" s="1"/>
  <c r="J259" i="61" s="1"/>
  <c r="J118" i="61" s="1"/>
  <c r="K582" i="60"/>
  <c r="K445" i="60"/>
  <c r="K481" i="60"/>
  <c r="K583" i="60"/>
  <c r="K463" i="60"/>
  <c r="K584" i="60"/>
  <c r="K641" i="60"/>
  <c r="X359" i="61" s="1"/>
  <c r="J359" i="61" s="1"/>
  <c r="J260" i="61" s="1"/>
  <c r="J119" i="61" s="1"/>
  <c r="I481" i="60"/>
  <c r="I640" i="60"/>
  <c r="V358" i="61" s="1"/>
  <c r="I358" i="61" s="1"/>
  <c r="I259" i="61" s="1"/>
  <c r="I118" i="61" s="1"/>
  <c r="I583" i="60"/>
  <c r="I445" i="60"/>
  <c r="I582" i="60"/>
  <c r="I463" i="60"/>
  <c r="I639" i="60"/>
  <c r="V357" i="61" s="1"/>
  <c r="I357" i="61" s="1"/>
  <c r="I258" i="61" s="1"/>
  <c r="I117" i="61" s="1"/>
  <c r="I584" i="60"/>
  <c r="I641" i="60"/>
  <c r="V359" i="61" s="1"/>
  <c r="I359" i="61" s="1"/>
  <c r="I260" i="61" s="1"/>
  <c r="I119" i="61" s="1"/>
  <c r="K447" i="60"/>
  <c r="K434" i="60"/>
  <c r="K556" i="60"/>
  <c r="K567" i="60"/>
  <c r="K579" i="60"/>
  <c r="K503" i="60"/>
  <c r="K457" i="60"/>
  <c r="K543" i="60"/>
  <c r="K492" i="60"/>
  <c r="K475" i="60"/>
  <c r="K581" i="60"/>
  <c r="K568" i="60"/>
  <c r="K536" i="60"/>
  <c r="K480" i="60"/>
  <c r="K454" i="60"/>
  <c r="K508" i="60"/>
  <c r="K510" i="60"/>
  <c r="K440" i="60"/>
  <c r="K443" i="60"/>
  <c r="K544" i="60"/>
  <c r="K499" i="60"/>
  <c r="K514" i="60"/>
  <c r="K458" i="60"/>
  <c r="K555" i="60"/>
  <c r="K511" i="60"/>
  <c r="K642" i="60"/>
  <c r="K619" i="60"/>
  <c r="K493" i="60"/>
  <c r="K461" i="60"/>
  <c r="K485" i="60"/>
  <c r="K553" i="60"/>
  <c r="K490" i="60"/>
  <c r="K465" i="60"/>
  <c r="K565" i="60"/>
  <c r="K530" i="60"/>
  <c r="K474" i="60"/>
  <c r="K496" i="60"/>
  <c r="K585" i="60"/>
  <c r="K533" i="60"/>
  <c r="K547" i="60"/>
  <c r="K517" i="60"/>
  <c r="K540" i="60"/>
  <c r="K472" i="60"/>
  <c r="K636" i="60"/>
  <c r="K605" i="60"/>
  <c r="K560" i="60"/>
  <c r="K629" i="60"/>
  <c r="K648" i="60"/>
  <c r="K616" i="60"/>
  <c r="K483" i="60"/>
  <c r="K588" i="60"/>
  <c r="K625" i="60"/>
  <c r="K632" i="60"/>
  <c r="K638" i="60"/>
  <c r="K645" i="60"/>
  <c r="K608" i="60"/>
  <c r="K498" i="60"/>
  <c r="K577" i="60"/>
  <c r="K591" i="60"/>
  <c r="K580" i="60"/>
  <c r="K467" i="60"/>
  <c r="K478" i="60"/>
  <c r="K550" i="60"/>
  <c r="K501" i="60"/>
  <c r="K571" i="60"/>
  <c r="K613" i="60"/>
  <c r="K637" i="60"/>
  <c r="K621" i="60"/>
  <c r="K635" i="60"/>
  <c r="K611" i="60"/>
  <c r="K572" i="60"/>
  <c r="K563" i="60"/>
  <c r="K620" i="60"/>
  <c r="K628" i="60"/>
  <c r="K575" i="60"/>
  <c r="K624" i="60"/>
  <c r="K633" i="60"/>
  <c r="K562" i="60"/>
  <c r="K574" i="60"/>
  <c r="K551" i="60"/>
  <c r="K559" i="60"/>
  <c r="K627" i="60"/>
  <c r="W346" i="61"/>
  <c r="W351" i="61"/>
  <c r="W356" i="61"/>
  <c r="W366" i="61"/>
  <c r="K366" i="61" s="1"/>
  <c r="W338" i="61"/>
  <c r="W329" i="61"/>
  <c r="W345" i="61"/>
  <c r="W331" i="61"/>
  <c r="W343" i="61"/>
  <c r="W353" i="61"/>
  <c r="W339" i="61"/>
  <c r="I490" i="60"/>
  <c r="I493" i="60"/>
  <c r="I533" i="60"/>
  <c r="I492" i="60"/>
  <c r="I454" i="60"/>
  <c r="I474" i="60"/>
  <c r="I619" i="60"/>
  <c r="I447" i="60"/>
  <c r="I443" i="60"/>
  <c r="I503" i="60"/>
  <c r="I547" i="60"/>
  <c r="I496" i="60"/>
  <c r="I530" i="60"/>
  <c r="I511" i="60"/>
  <c r="I472" i="60"/>
  <c r="I579" i="60"/>
  <c r="I556" i="60"/>
  <c r="I458" i="60"/>
  <c r="I581" i="60"/>
  <c r="I568" i="60"/>
  <c r="I536" i="60"/>
  <c r="I585" i="60"/>
  <c r="I499" i="60"/>
  <c r="I642" i="60"/>
  <c r="I434" i="60"/>
  <c r="I517" i="60"/>
  <c r="I553" i="60"/>
  <c r="I480" i="60"/>
  <c r="I543" i="60"/>
  <c r="I540" i="60"/>
  <c r="I457" i="60"/>
  <c r="I461" i="60"/>
  <c r="I544" i="60"/>
  <c r="I485" i="60"/>
  <c r="I555" i="60"/>
  <c r="I514" i="60"/>
  <c r="I508" i="60"/>
  <c r="I440" i="60"/>
  <c r="I565" i="60"/>
  <c r="I510" i="60"/>
  <c r="I475" i="60"/>
  <c r="I465" i="60"/>
  <c r="I567" i="60"/>
  <c r="I588" i="60"/>
  <c r="I551" i="60"/>
  <c r="I498" i="60"/>
  <c r="I625" i="60"/>
  <c r="I632" i="60"/>
  <c r="I645" i="60"/>
  <c r="I608" i="60"/>
  <c r="I467" i="60"/>
  <c r="I648" i="60"/>
  <c r="I591" i="60"/>
  <c r="I560" i="60"/>
  <c r="I616" i="60"/>
  <c r="I550" i="60"/>
  <c r="I621" i="60"/>
  <c r="I638" i="60"/>
  <c r="I580" i="60"/>
  <c r="I571" i="60"/>
  <c r="I501" i="60"/>
  <c r="I613" i="60"/>
  <c r="I611" i="60"/>
  <c r="I483" i="60"/>
  <c r="I563" i="60"/>
  <c r="I577" i="60"/>
  <c r="I637" i="60"/>
  <c r="I636" i="60"/>
  <c r="I605" i="60"/>
  <c r="I478" i="60"/>
  <c r="I629" i="60"/>
  <c r="I635" i="60"/>
  <c r="I562" i="60"/>
  <c r="I624" i="60"/>
  <c r="I620" i="60"/>
  <c r="I633" i="60"/>
  <c r="I574" i="60"/>
  <c r="I627" i="60"/>
  <c r="I628" i="60"/>
  <c r="I575" i="60"/>
  <c r="I572" i="60"/>
  <c r="I559" i="60"/>
  <c r="Z358" i="58"/>
  <c r="I358" i="58" s="1"/>
  <c r="I284" i="58" s="1"/>
  <c r="I139" i="58" s="1"/>
  <c r="Z368" i="58"/>
  <c r="I368" i="58" s="1"/>
  <c r="I285" i="58" s="1"/>
  <c r="I140" i="58" s="1"/>
  <c r="Z376" i="58"/>
  <c r="I376" i="58" s="1"/>
  <c r="I286" i="58" s="1"/>
  <c r="I141" i="58" s="1"/>
  <c r="W342" i="61"/>
  <c r="K342" i="61" s="1"/>
  <c r="W363" i="61"/>
  <c r="W354" i="61"/>
  <c r="W334" i="61"/>
  <c r="W326" i="61"/>
  <c r="Z384" i="58"/>
  <c r="I384" i="58" s="1"/>
  <c r="I287" i="58" s="1"/>
  <c r="I142" i="58" s="1"/>
  <c r="Z395" i="58"/>
  <c r="I395" i="58" s="1"/>
  <c r="I291" i="58" s="1"/>
  <c r="I146" i="58" s="1"/>
  <c r="Z392" i="58"/>
  <c r="I392" i="58" s="1"/>
  <c r="I290" i="58" s="1"/>
  <c r="Z348" i="58"/>
  <c r="I348" i="58" s="1"/>
  <c r="I283" i="58" s="1"/>
  <c r="Z365" i="58"/>
  <c r="I365" i="58" s="1"/>
  <c r="I227" i="58" s="1"/>
  <c r="I38" i="58" s="1"/>
  <c r="Z373" i="58"/>
  <c r="I373" i="58" s="1"/>
  <c r="I234" i="58" s="1"/>
  <c r="I50" i="58" s="1"/>
  <c r="Z389" i="58"/>
  <c r="I389" i="58" s="1"/>
  <c r="I248" i="58" s="1"/>
  <c r="I74" i="58" s="1"/>
  <c r="Z381" i="58"/>
  <c r="I381" i="58" s="1"/>
  <c r="I241" i="58" s="1"/>
  <c r="I62" i="58" s="1"/>
  <c r="Z355" i="58"/>
  <c r="I355" i="58" s="1"/>
  <c r="I218" i="58" s="1"/>
  <c r="I24" i="58" s="1"/>
  <c r="AB373" i="58"/>
  <c r="J373" i="58" s="1"/>
  <c r="J234" i="58" s="1"/>
  <c r="J50" i="58" s="1"/>
  <c r="Z50" i="58" s="1"/>
  <c r="Z51" i="58" s="1"/>
  <c r="AB389" i="58"/>
  <c r="J389" i="58" s="1"/>
  <c r="J248" i="58" s="1"/>
  <c r="J74" i="58" s="1"/>
  <c r="Z74" i="58" s="1"/>
  <c r="Z75" i="58" s="1"/>
  <c r="AB381" i="58"/>
  <c r="J381" i="58" s="1"/>
  <c r="J241" i="58" s="1"/>
  <c r="J62" i="58" s="1"/>
  <c r="Z62" i="58" s="1"/>
  <c r="Z63" i="58" s="1"/>
  <c r="AB365" i="58"/>
  <c r="J365" i="58" s="1"/>
  <c r="J227" i="58" s="1"/>
  <c r="J38" i="58" s="1"/>
  <c r="Z38" i="58" s="1"/>
  <c r="V340" i="19"/>
  <c r="H340" i="19" s="1"/>
  <c r="H233" i="19" s="1"/>
  <c r="H75" i="19" s="1"/>
  <c r="F45" i="37" s="1"/>
  <c r="AB378" i="58"/>
  <c r="J378" i="58" s="1"/>
  <c r="J238" i="58" s="1"/>
  <c r="J59" i="58" s="1"/>
  <c r="Z378" i="58"/>
  <c r="I378" i="58" s="1"/>
  <c r="I238" i="58" s="1"/>
  <c r="I59" i="58" s="1"/>
  <c r="AA358" i="58"/>
  <c r="K358" i="58" s="1"/>
  <c r="K284" i="58" s="1"/>
  <c r="K139" i="58" s="1"/>
  <c r="U350" i="19"/>
  <c r="F350" i="19" s="1"/>
  <c r="F243" i="19" s="1"/>
  <c r="F85" i="19" s="1"/>
  <c r="AA384" i="58"/>
  <c r="K384" i="58" s="1"/>
  <c r="K287" i="58" s="1"/>
  <c r="K142" i="58" s="1"/>
  <c r="AA348" i="58"/>
  <c r="K348" i="58" s="1"/>
  <c r="K283" i="58" s="1"/>
  <c r="AA376" i="58"/>
  <c r="K376" i="58" s="1"/>
  <c r="K286" i="58" s="1"/>
  <c r="K141" i="58" s="1"/>
  <c r="AA395" i="58"/>
  <c r="K395" i="58" s="1"/>
  <c r="K291" i="58" s="1"/>
  <c r="K146" i="58" s="1"/>
  <c r="AA392" i="58"/>
  <c r="K392" i="58" s="1"/>
  <c r="K290" i="58" s="1"/>
  <c r="U345" i="19"/>
  <c r="F345" i="19" s="1"/>
  <c r="F238" i="19" s="1"/>
  <c r="F80" i="19" s="1"/>
  <c r="AA368" i="58"/>
  <c r="K368" i="58" s="1"/>
  <c r="K285" i="58" s="1"/>
  <c r="K140" i="58" s="1"/>
  <c r="K98" i="58"/>
  <c r="K61" i="39"/>
  <c r="U349" i="19"/>
  <c r="F349" i="19" s="1"/>
  <c r="F242" i="19" s="1"/>
  <c r="F84" i="19" s="1"/>
  <c r="U305" i="19"/>
  <c r="F305" i="19" s="1"/>
  <c r="F198" i="19" s="1"/>
  <c r="F20" i="19" s="1"/>
  <c r="W305" i="19"/>
  <c r="G305" i="19" s="1"/>
  <c r="G198" i="19" s="1"/>
  <c r="G20" i="19" s="1"/>
  <c r="X308" i="56"/>
  <c r="H308" i="56" s="1"/>
  <c r="H195" i="56" s="1"/>
  <c r="H30" i="56" s="1"/>
  <c r="X331" i="56"/>
  <c r="H331" i="56" s="1"/>
  <c r="H218" i="56" s="1"/>
  <c r="H68" i="56" s="1"/>
  <c r="X317" i="56"/>
  <c r="H317" i="56" s="1"/>
  <c r="H204" i="56" s="1"/>
  <c r="H44" i="56" s="1"/>
  <c r="X324" i="56"/>
  <c r="H324" i="56" s="1"/>
  <c r="H211" i="56" s="1"/>
  <c r="H56" i="56" s="1"/>
  <c r="V345" i="19"/>
  <c r="H345" i="19" s="1"/>
  <c r="H238" i="19" s="1"/>
  <c r="H80" i="19" s="1"/>
  <c r="X423" i="56"/>
  <c r="W345" i="19"/>
  <c r="G345" i="19" s="1"/>
  <c r="G238" i="19" s="1"/>
  <c r="G80" i="19" s="1"/>
  <c r="M80" i="19" s="1"/>
  <c r="Y423" i="56"/>
  <c r="X328" i="56"/>
  <c r="P106" i="49"/>
  <c r="E148" i="49"/>
  <c r="G68" i="39" l="1"/>
  <c r="G72" i="39" s="1"/>
  <c r="S11" i="42"/>
  <c r="H23" i="66"/>
  <c r="R12" i="66"/>
  <c r="O12" i="66"/>
  <c r="R23" i="66" s="1"/>
  <c r="P12" i="66"/>
  <c r="S23" i="66" s="1"/>
  <c r="L23" i="66"/>
  <c r="M23" i="66"/>
  <c r="Q74" i="1"/>
  <c r="N12" i="66"/>
  <c r="Q23" i="66" s="1"/>
  <c r="H173" i="58"/>
  <c r="Q175" i="58"/>
  <c r="G173" i="58"/>
  <c r="P175" i="58"/>
  <c r="O151" i="61"/>
  <c r="O153" i="61" s="1"/>
  <c r="R153" i="61" s="1"/>
  <c r="I155" i="61"/>
  <c r="L155" i="61" s="1"/>
  <c r="F151" i="61"/>
  <c r="F153" i="61" s="1"/>
  <c r="H17" i="62" s="1"/>
  <c r="O60" i="62" s="1"/>
  <c r="S60" i="62" s="1"/>
  <c r="G285" i="55"/>
  <c r="S35" i="54"/>
  <c r="H285" i="55"/>
  <c r="L281" i="55"/>
  <c r="L283" i="55" s="1"/>
  <c r="O283" i="55" s="1"/>
  <c r="I283" i="55"/>
  <c r="T11" i="42"/>
  <c r="R11" i="42"/>
  <c r="F68" i="39"/>
  <c r="F72" i="39" s="1"/>
  <c r="D54" i="38"/>
  <c r="O173" i="58"/>
  <c r="I177" i="58"/>
  <c r="L177" i="58" s="1"/>
  <c r="V316" i="19"/>
  <c r="H316" i="19" s="1"/>
  <c r="H209" i="19" s="1"/>
  <c r="H36" i="19" s="1"/>
  <c r="V319" i="19"/>
  <c r="H319" i="19" s="1"/>
  <c r="H212" i="19" s="1"/>
  <c r="H44" i="19" s="1"/>
  <c r="G35" i="36" s="1"/>
  <c r="V312" i="19"/>
  <c r="H312" i="19" s="1"/>
  <c r="H205" i="19" s="1"/>
  <c r="H32" i="19" s="1"/>
  <c r="N32" i="19" s="1"/>
  <c r="V32" i="19" s="1"/>
  <c r="V334" i="19"/>
  <c r="H334" i="19" s="1"/>
  <c r="H227" i="19" s="1"/>
  <c r="H64" i="19" s="1"/>
  <c r="F36" i="37" s="1"/>
  <c r="V328" i="19"/>
  <c r="H328" i="19" s="1"/>
  <c r="H221" i="19" s="1"/>
  <c r="E7" i="34" s="1"/>
  <c r="E114" i="34" s="1"/>
  <c r="V308" i="19"/>
  <c r="H308" i="19" s="1"/>
  <c r="H201" i="19" s="1"/>
  <c r="G13" i="40" s="1"/>
  <c r="W413" i="61"/>
  <c r="L413" i="61" s="1"/>
  <c r="K266" i="61" s="1"/>
  <c r="V315" i="19"/>
  <c r="H315" i="19" s="1"/>
  <c r="H208" i="19" s="1"/>
  <c r="H35" i="19" s="1"/>
  <c r="W403" i="61"/>
  <c r="L403" i="61" s="1"/>
  <c r="K267" i="61" s="1"/>
  <c r="V304" i="19"/>
  <c r="H304" i="19" s="1"/>
  <c r="H197" i="19" s="1"/>
  <c r="H19" i="19" s="1"/>
  <c r="S27" i="54"/>
  <c r="F27" i="54" s="1"/>
  <c r="H219" i="60"/>
  <c r="M215" i="60"/>
  <c r="M219" i="60" s="1"/>
  <c r="M160" i="60"/>
  <c r="P160" i="60" s="1"/>
  <c r="P236" i="60" s="1"/>
  <c r="H164" i="60"/>
  <c r="H168" i="60" s="1"/>
  <c r="S445" i="60"/>
  <c r="DM117" i="61"/>
  <c r="DO117" i="61" s="1"/>
  <c r="I219" i="60"/>
  <c r="I252" i="60"/>
  <c r="N215" i="60"/>
  <c r="G236" i="60"/>
  <c r="G164" i="60"/>
  <c r="G168" i="60" s="1"/>
  <c r="L160" i="60"/>
  <c r="G252" i="60"/>
  <c r="G219" i="60"/>
  <c r="L215" i="60"/>
  <c r="I236" i="60"/>
  <c r="I164" i="60"/>
  <c r="I168" i="60" s="1"/>
  <c r="N160" i="60"/>
  <c r="DM119" i="61"/>
  <c r="DL119" i="61" s="1"/>
  <c r="DM118" i="61"/>
  <c r="DO118" i="61" s="1"/>
  <c r="S463" i="60"/>
  <c r="S481" i="60"/>
  <c r="V353" i="61"/>
  <c r="V326" i="61"/>
  <c r="S440" i="60"/>
  <c r="S514" i="60"/>
  <c r="S434" i="60"/>
  <c r="S493" i="60"/>
  <c r="K353" i="61"/>
  <c r="X338" i="61"/>
  <c r="X355" i="61"/>
  <c r="K210" i="61"/>
  <c r="V347" i="61"/>
  <c r="V354" i="61"/>
  <c r="S636" i="60"/>
  <c r="V329" i="61"/>
  <c r="S611" i="60"/>
  <c r="V363" i="61"/>
  <c r="S645" i="60"/>
  <c r="K356" i="61"/>
  <c r="K351" i="61"/>
  <c r="X329" i="61"/>
  <c r="X331" i="61"/>
  <c r="X323" i="61"/>
  <c r="K354" i="61"/>
  <c r="K323" i="61"/>
  <c r="K337" i="61"/>
  <c r="V355" i="61"/>
  <c r="S637" i="60"/>
  <c r="S613" i="60"/>
  <c r="V331" i="61"/>
  <c r="V356" i="61"/>
  <c r="V334" i="61"/>
  <c r="V350" i="61"/>
  <c r="I350" i="61" s="1"/>
  <c r="S632" i="60"/>
  <c r="V360" i="61"/>
  <c r="S511" i="60"/>
  <c r="X326" i="61"/>
  <c r="S605" i="60"/>
  <c r="V323" i="61"/>
  <c r="K326" i="61"/>
  <c r="K334" i="61"/>
  <c r="K360" i="61"/>
  <c r="K363" i="61"/>
  <c r="S628" i="60"/>
  <c r="V346" i="61"/>
  <c r="V351" i="61"/>
  <c r="V339" i="61"/>
  <c r="S621" i="60"/>
  <c r="S648" i="60"/>
  <c r="V366" i="61"/>
  <c r="I366" i="61" s="1"/>
  <c r="V343" i="61"/>
  <c r="S475" i="60"/>
  <c r="K343" i="61"/>
  <c r="X345" i="61"/>
  <c r="X351" i="61"/>
  <c r="X346" i="61"/>
  <c r="X363" i="61"/>
  <c r="X366" i="61"/>
  <c r="J366" i="61" s="1"/>
  <c r="X354" i="61"/>
  <c r="K355" i="61"/>
  <c r="K347" i="61"/>
  <c r="V338" i="61"/>
  <c r="S485" i="60"/>
  <c r="S499" i="60"/>
  <c r="K218" i="61"/>
  <c r="K338" i="61"/>
  <c r="K346" i="61"/>
  <c r="X356" i="61"/>
  <c r="X347" i="61"/>
  <c r="V345" i="61"/>
  <c r="S517" i="60"/>
  <c r="S458" i="60"/>
  <c r="V337" i="61"/>
  <c r="S619" i="60"/>
  <c r="K339" i="61"/>
  <c r="K331" i="61"/>
  <c r="K329" i="61"/>
  <c r="K265" i="61"/>
  <c r="X353" i="61"/>
  <c r="X350" i="61"/>
  <c r="J350" i="61" s="1"/>
  <c r="X334" i="61"/>
  <c r="X337" i="61"/>
  <c r="V342" i="61"/>
  <c r="I342" i="61" s="1"/>
  <c r="K345" i="61"/>
  <c r="X342" i="61"/>
  <c r="J342" i="61" s="1"/>
  <c r="X339" i="61"/>
  <c r="X343" i="61"/>
  <c r="X360" i="61"/>
  <c r="W334" i="19"/>
  <c r="G334" i="19" s="1"/>
  <c r="G227" i="19" s="1"/>
  <c r="R74" i="58"/>
  <c r="R38" i="58"/>
  <c r="W328" i="19"/>
  <c r="G328" i="19" s="1"/>
  <c r="G221" i="19" s="1"/>
  <c r="G53" i="19" s="1"/>
  <c r="U53" i="19" s="1"/>
  <c r="U334" i="19"/>
  <c r="F334" i="19" s="1"/>
  <c r="F227" i="19" s="1"/>
  <c r="C58" i="34" s="1"/>
  <c r="W312" i="19"/>
  <c r="G312" i="19" s="1"/>
  <c r="G205" i="19" s="1"/>
  <c r="G32" i="19" s="1"/>
  <c r="M32" i="19" s="1"/>
  <c r="U308" i="19"/>
  <c r="F308" i="19" s="1"/>
  <c r="F201" i="19" s="1"/>
  <c r="E13" i="40" s="1"/>
  <c r="W315" i="19"/>
  <c r="G315" i="19" s="1"/>
  <c r="G208" i="19" s="1"/>
  <c r="G35" i="19" s="1"/>
  <c r="U312" i="19"/>
  <c r="F312" i="19" s="1"/>
  <c r="F205" i="19" s="1"/>
  <c r="F32" i="19" s="1"/>
  <c r="W308" i="19"/>
  <c r="G308" i="19" s="1"/>
  <c r="G201" i="19" s="1"/>
  <c r="G28" i="19" s="1"/>
  <c r="U316" i="19"/>
  <c r="F316" i="19" s="1"/>
  <c r="F209" i="19" s="1"/>
  <c r="F36" i="19" s="1"/>
  <c r="W319" i="19"/>
  <c r="G319" i="19" s="1"/>
  <c r="G212" i="19" s="1"/>
  <c r="G44" i="19" s="1"/>
  <c r="F35" i="36" s="1"/>
  <c r="W316" i="19"/>
  <c r="G316" i="19" s="1"/>
  <c r="G209" i="19" s="1"/>
  <c r="G36" i="19" s="1"/>
  <c r="U328" i="19"/>
  <c r="F328" i="19" s="1"/>
  <c r="F221" i="19" s="1"/>
  <c r="C7" i="34" s="1"/>
  <c r="U304" i="19"/>
  <c r="F304" i="19" s="1"/>
  <c r="F197" i="19" s="1"/>
  <c r="F19" i="19" s="1"/>
  <c r="W304" i="19"/>
  <c r="G304" i="19" s="1"/>
  <c r="G197" i="19" s="1"/>
  <c r="G19" i="19" s="1"/>
  <c r="U319" i="19"/>
  <c r="F319" i="19" s="1"/>
  <c r="F212" i="19" s="1"/>
  <c r="F44" i="19" s="1"/>
  <c r="E26" i="36" s="1"/>
  <c r="U315" i="19"/>
  <c r="F315" i="19" s="1"/>
  <c r="F208" i="19" s="1"/>
  <c r="F35" i="19" s="1"/>
  <c r="U340" i="19"/>
  <c r="F340" i="19" s="1"/>
  <c r="F233" i="19" s="1"/>
  <c r="F75" i="19" s="1"/>
  <c r="D45" i="37" s="1"/>
  <c r="W340" i="19"/>
  <c r="G340" i="19" s="1"/>
  <c r="G233" i="19" s="1"/>
  <c r="G75" i="19" s="1"/>
  <c r="E45" i="37" s="1"/>
  <c r="W423" i="56"/>
  <c r="W308" i="56"/>
  <c r="F308" i="56" s="1"/>
  <c r="F195" i="56" s="1"/>
  <c r="F30" i="56" s="1"/>
  <c r="DQ74" i="58"/>
  <c r="DP74" i="58" s="1"/>
  <c r="W74" i="58"/>
  <c r="W75" i="58" s="1"/>
  <c r="R50" i="58"/>
  <c r="AA439" i="58"/>
  <c r="L439" i="58" s="1"/>
  <c r="AB384" i="58"/>
  <c r="J384" i="58" s="1"/>
  <c r="J287" i="58" s="1"/>
  <c r="J142" i="58" s="1"/>
  <c r="DQ142" i="58" s="1"/>
  <c r="AB376" i="58"/>
  <c r="J376" i="58" s="1"/>
  <c r="J286" i="58" s="1"/>
  <c r="J141" i="58" s="1"/>
  <c r="DQ141" i="58" s="1"/>
  <c r="AA429" i="58"/>
  <c r="L429" i="58" s="1"/>
  <c r="AB348" i="58"/>
  <c r="J348" i="58" s="1"/>
  <c r="J283" i="58" s="1"/>
  <c r="AB368" i="58"/>
  <c r="J368" i="58" s="1"/>
  <c r="J285" i="58" s="1"/>
  <c r="J140" i="58" s="1"/>
  <c r="DQ140" i="58" s="1"/>
  <c r="I145" i="58"/>
  <c r="Z281" i="58"/>
  <c r="AB358" i="58"/>
  <c r="J358" i="58" s="1"/>
  <c r="J284" i="58" s="1"/>
  <c r="J139" i="58" s="1"/>
  <c r="DQ139" i="58" s="1"/>
  <c r="AB392" i="58"/>
  <c r="J392" i="58" s="1"/>
  <c r="J290" i="58" s="1"/>
  <c r="AB395" i="58"/>
  <c r="J395" i="58" s="1"/>
  <c r="J291" i="58" s="1"/>
  <c r="J146" i="58" s="1"/>
  <c r="DQ146" i="58" s="1"/>
  <c r="Z280" i="58"/>
  <c r="I138" i="58"/>
  <c r="K145" i="58"/>
  <c r="AB281" i="58"/>
  <c r="K138" i="58"/>
  <c r="AB280" i="58"/>
  <c r="R62" i="58"/>
  <c r="W62" i="58"/>
  <c r="W63" i="58" s="1"/>
  <c r="DQ62" i="58"/>
  <c r="R59" i="58"/>
  <c r="DQ59" i="58"/>
  <c r="W50" i="58"/>
  <c r="W51" i="58" s="1"/>
  <c r="DQ50" i="58"/>
  <c r="I98" i="58"/>
  <c r="W38" i="58"/>
  <c r="DQ38" i="58"/>
  <c r="AB355" i="58"/>
  <c r="J355" i="58" s="1"/>
  <c r="J218" i="58" s="1"/>
  <c r="J24" i="58" s="1"/>
  <c r="R24" i="58" s="1"/>
  <c r="Y331" i="56"/>
  <c r="G331" i="56" s="1"/>
  <c r="G218" i="56" s="1"/>
  <c r="G68" i="56" s="1"/>
  <c r="Y317" i="56"/>
  <c r="G317" i="56" s="1"/>
  <c r="G204" i="56" s="1"/>
  <c r="G44" i="56" s="1"/>
  <c r="W328" i="56"/>
  <c r="F328" i="56" s="1"/>
  <c r="W324" i="56"/>
  <c r="F324" i="56" s="1"/>
  <c r="F211" i="56" s="1"/>
  <c r="F56" i="56" s="1"/>
  <c r="Y328" i="56"/>
  <c r="G328" i="56" s="1"/>
  <c r="W317" i="56"/>
  <c r="F317" i="56" s="1"/>
  <c r="F204" i="56" s="1"/>
  <c r="F44" i="56" s="1"/>
  <c r="W331" i="56"/>
  <c r="F331" i="56" s="1"/>
  <c r="F218" i="56" s="1"/>
  <c r="F68" i="56" s="1"/>
  <c r="Y324" i="56"/>
  <c r="G324" i="56" s="1"/>
  <c r="G211" i="56" s="1"/>
  <c r="G56" i="56" s="1"/>
  <c r="Y308" i="56"/>
  <c r="G308" i="56" s="1"/>
  <c r="G195" i="56" s="1"/>
  <c r="G30" i="56" s="1"/>
  <c r="L80" i="19"/>
  <c r="N80" i="19"/>
  <c r="H328" i="56"/>
  <c r="J72" i="39" l="1"/>
  <c r="L72" i="39" s="1"/>
  <c r="M72" i="39" s="1"/>
  <c r="D23" i="66"/>
  <c r="J23" i="66"/>
  <c r="I23" i="66"/>
  <c r="Q12" i="66"/>
  <c r="T23" i="66" s="1"/>
  <c r="J60" i="62"/>
  <c r="N60" i="62" s="1"/>
  <c r="N17" i="62"/>
  <c r="F35" i="54"/>
  <c r="U35" i="54"/>
  <c r="H35" i="54" s="1"/>
  <c r="M17" i="62"/>
  <c r="I60" i="62"/>
  <c r="M60" i="62" s="1"/>
  <c r="F173" i="58"/>
  <c r="O175" i="58"/>
  <c r="V175" i="58" s="1"/>
  <c r="F285" i="55"/>
  <c r="V35" i="54"/>
  <c r="N64" i="19"/>
  <c r="AE64" i="19" s="1"/>
  <c r="AE70" i="19" s="1"/>
  <c r="AE32" i="19"/>
  <c r="AE38" i="19" s="1"/>
  <c r="H28" i="19"/>
  <c r="H53" i="19"/>
  <c r="V53" i="19" s="1"/>
  <c r="G26" i="36"/>
  <c r="E58" i="34"/>
  <c r="Z403" i="61"/>
  <c r="O403" i="61" s="1"/>
  <c r="R403" i="61" s="1"/>
  <c r="AC403" i="61"/>
  <c r="X403" i="61"/>
  <c r="K403" i="61" s="1"/>
  <c r="J267" i="61" s="1"/>
  <c r="V403" i="61"/>
  <c r="J403" i="61" s="1"/>
  <c r="Z413" i="61"/>
  <c r="O413" i="61" s="1"/>
  <c r="N266" i="61" s="1"/>
  <c r="N125" i="61" s="1"/>
  <c r="X413" i="61"/>
  <c r="K413" i="61" s="1"/>
  <c r="J266" i="61" s="1"/>
  <c r="M236" i="60"/>
  <c r="P215" i="60"/>
  <c r="P219" i="60" s="1"/>
  <c r="M252" i="60"/>
  <c r="DL117" i="61"/>
  <c r="L236" i="60"/>
  <c r="O160" i="60"/>
  <c r="O215" i="60"/>
  <c r="L252" i="60"/>
  <c r="L219" i="60"/>
  <c r="N236" i="60"/>
  <c r="Q160" i="60"/>
  <c r="Q236" i="60" s="1"/>
  <c r="Q215" i="60"/>
  <c r="N219" i="60"/>
  <c r="N252" i="60"/>
  <c r="DO119" i="61"/>
  <c r="DL118" i="61"/>
  <c r="F26" i="36"/>
  <c r="J343" i="61"/>
  <c r="K215" i="61"/>
  <c r="J354" i="61"/>
  <c r="J345" i="61"/>
  <c r="J353" i="61"/>
  <c r="J363" i="61"/>
  <c r="I346" i="61"/>
  <c r="K222" i="61"/>
  <c r="J331" i="61"/>
  <c r="K125" i="61"/>
  <c r="J339" i="61"/>
  <c r="J210" i="61"/>
  <c r="K197" i="61"/>
  <c r="I337" i="61"/>
  <c r="I331" i="61"/>
  <c r="Z439" i="58"/>
  <c r="V413" i="61"/>
  <c r="I345" i="61"/>
  <c r="I329" i="61"/>
  <c r="AA443" i="58"/>
  <c r="W417" i="61"/>
  <c r="K199" i="61"/>
  <c r="I343" i="61"/>
  <c r="K202" i="61"/>
  <c r="I347" i="61"/>
  <c r="J355" i="61"/>
  <c r="I326" i="61"/>
  <c r="J334" i="61"/>
  <c r="K124" i="61"/>
  <c r="J326" i="61"/>
  <c r="I334" i="61"/>
  <c r="K205" i="61"/>
  <c r="J338" i="61"/>
  <c r="K221" i="61"/>
  <c r="J360" i="61"/>
  <c r="J347" i="61"/>
  <c r="K214" i="61"/>
  <c r="J346" i="61"/>
  <c r="I265" i="61"/>
  <c r="J329" i="61"/>
  <c r="K207" i="61"/>
  <c r="J265" i="61"/>
  <c r="I339" i="61"/>
  <c r="K264" i="61"/>
  <c r="K194" i="61"/>
  <c r="K191" i="61"/>
  <c r="I210" i="61"/>
  <c r="J337" i="61"/>
  <c r="J218" i="61"/>
  <c r="K211" i="61"/>
  <c r="I351" i="61"/>
  <c r="I356" i="61"/>
  <c r="I355" i="61"/>
  <c r="J323" i="61"/>
  <c r="K219" i="61"/>
  <c r="I354" i="61"/>
  <c r="I338" i="61"/>
  <c r="J351" i="61"/>
  <c r="K261" i="61"/>
  <c r="I218" i="61"/>
  <c r="I363" i="61"/>
  <c r="I353" i="61"/>
  <c r="K126" i="61"/>
  <c r="K213" i="61"/>
  <c r="J356" i="61"/>
  <c r="K206" i="61"/>
  <c r="K223" i="61"/>
  <c r="I323" i="61"/>
  <c r="I360" i="61"/>
  <c r="K257" i="61"/>
  <c r="F64" i="19"/>
  <c r="DS74" i="58"/>
  <c r="F53" i="19"/>
  <c r="T53" i="19" s="1"/>
  <c r="E35" i="36"/>
  <c r="G64" i="19"/>
  <c r="D58" i="34"/>
  <c r="L32" i="19"/>
  <c r="T32" i="19" s="1"/>
  <c r="DN30" i="56"/>
  <c r="DM30" i="56" s="1"/>
  <c r="F13" i="40"/>
  <c r="D7" i="34"/>
  <c r="D114" i="34" s="1"/>
  <c r="F28" i="19"/>
  <c r="DP140" i="58"/>
  <c r="DS140" i="58"/>
  <c r="DP139" i="58"/>
  <c r="DS139" i="58"/>
  <c r="DP146" i="58"/>
  <c r="DS146" i="58"/>
  <c r="O30" i="56"/>
  <c r="AD429" i="58"/>
  <c r="O429" i="58" s="1"/>
  <c r="N293" i="58" s="1"/>
  <c r="N148" i="58" s="1"/>
  <c r="AD439" i="58"/>
  <c r="O439" i="58" s="1"/>
  <c r="N292" i="58" s="1"/>
  <c r="N147" i="58" s="1"/>
  <c r="K293" i="58"/>
  <c r="DP141" i="58"/>
  <c r="DS141" i="58"/>
  <c r="AG429" i="58"/>
  <c r="AB429" i="58"/>
  <c r="K429" i="58" s="1"/>
  <c r="Z429" i="58"/>
  <c r="DS142" i="58"/>
  <c r="DP142" i="58"/>
  <c r="DS38" i="58"/>
  <c r="DP38" i="58"/>
  <c r="DP50" i="58"/>
  <c r="DS50" i="58"/>
  <c r="AB439" i="58"/>
  <c r="K439" i="58" s="1"/>
  <c r="R83" i="58"/>
  <c r="J145" i="58"/>
  <c r="DQ145" i="58" s="1"/>
  <c r="AA281" i="58"/>
  <c r="AA280" i="58"/>
  <c r="J138" i="58"/>
  <c r="DQ138" i="58" s="1"/>
  <c r="K292" i="58"/>
  <c r="DP62" i="58"/>
  <c r="DS62" i="58"/>
  <c r="DP59" i="58"/>
  <c r="DS59" i="58"/>
  <c r="R63" i="58"/>
  <c r="J98" i="58"/>
  <c r="R98" i="58" s="1"/>
  <c r="DQ24" i="58"/>
  <c r="DN44" i="56"/>
  <c r="DM44" i="56" s="1"/>
  <c r="F75" i="1"/>
  <c r="F13" i="66" s="1"/>
  <c r="DN56" i="56"/>
  <c r="DM56" i="56" s="1"/>
  <c r="O56" i="56"/>
  <c r="O44" i="56"/>
  <c r="DN68" i="56"/>
  <c r="DM68" i="56" s="1"/>
  <c r="G215" i="56"/>
  <c r="F215" i="56"/>
  <c r="H215" i="56"/>
  <c r="S13" i="54"/>
  <c r="F13" i="54" s="1"/>
  <c r="AD32" i="19"/>
  <c r="U32" i="19"/>
  <c r="V64" i="19" l="1"/>
  <c r="I35" i="54"/>
  <c r="Y35" i="54"/>
  <c r="L35" i="54" s="1"/>
  <c r="H60" i="62"/>
  <c r="L60" i="62" s="1"/>
  <c r="R60" i="62" s="1"/>
  <c r="T60" i="62" s="1"/>
  <c r="L17" i="62"/>
  <c r="I285" i="55"/>
  <c r="N267" i="61"/>
  <c r="N126" i="61" s="1"/>
  <c r="H126" i="61" s="1"/>
  <c r="R413" i="61"/>
  <c r="Q266" i="61"/>
  <c r="Q125" i="61" s="1"/>
  <c r="H125" i="61"/>
  <c r="V407" i="61"/>
  <c r="AA413" i="61"/>
  <c r="N413" i="61" s="1"/>
  <c r="M266" i="61" s="1"/>
  <c r="M125" i="61" s="1"/>
  <c r="AA403" i="61"/>
  <c r="N403" i="61" s="1"/>
  <c r="M267" i="61" s="1"/>
  <c r="M126" i="61" s="1"/>
  <c r="AD403" i="61"/>
  <c r="Y403" i="61"/>
  <c r="M403" i="61" s="1"/>
  <c r="L267" i="61" s="1"/>
  <c r="L126" i="61" s="1"/>
  <c r="AC413" i="61"/>
  <c r="Y413" i="61"/>
  <c r="M413" i="61" s="1"/>
  <c r="L266" i="61" s="1"/>
  <c r="L125" i="61" s="1"/>
  <c r="P252" i="60"/>
  <c r="O219" i="60"/>
  <c r="O252" i="60"/>
  <c r="R215" i="60"/>
  <c r="Q219" i="60"/>
  <c r="Q252" i="60"/>
  <c r="O236" i="60"/>
  <c r="R160" i="60"/>
  <c r="R236" i="60" s="1"/>
  <c r="I207" i="61"/>
  <c r="K42" i="61"/>
  <c r="J214" i="61"/>
  <c r="K63" i="61"/>
  <c r="L64" i="19"/>
  <c r="T64" i="19" s="1"/>
  <c r="K116" i="61"/>
  <c r="K270" i="61"/>
  <c r="X254" i="61"/>
  <c r="I206" i="61"/>
  <c r="I194" i="61"/>
  <c r="I211" i="61"/>
  <c r="J125" i="61"/>
  <c r="J213" i="61"/>
  <c r="J222" i="61"/>
  <c r="J211" i="61"/>
  <c r="D36" i="37"/>
  <c r="J124" i="61"/>
  <c r="I202" i="61"/>
  <c r="J202" i="61"/>
  <c r="I214" i="61"/>
  <c r="J439" i="58"/>
  <c r="I292" i="58" s="1"/>
  <c r="I261" i="61"/>
  <c r="K41" i="61"/>
  <c r="I264" i="61"/>
  <c r="K120" i="61"/>
  <c r="I124" i="61"/>
  <c r="J223" i="61"/>
  <c r="J126" i="61"/>
  <c r="K53" i="61"/>
  <c r="I257" i="61"/>
  <c r="J191" i="61"/>
  <c r="I219" i="61"/>
  <c r="K52" i="61"/>
  <c r="J206" i="61"/>
  <c r="J194" i="61"/>
  <c r="I197" i="61"/>
  <c r="I213" i="61"/>
  <c r="I205" i="61"/>
  <c r="J264" i="61"/>
  <c r="I191" i="61"/>
  <c r="J219" i="61"/>
  <c r="I222" i="61"/>
  <c r="J205" i="61"/>
  <c r="I215" i="61"/>
  <c r="K31" i="61"/>
  <c r="I267" i="61"/>
  <c r="I221" i="61"/>
  <c r="I223" i="61"/>
  <c r="K50" i="61"/>
  <c r="K20" i="61"/>
  <c r="X255" i="61"/>
  <c r="K123" i="61"/>
  <c r="J215" i="61"/>
  <c r="J261" i="61"/>
  <c r="I199" i="61"/>
  <c r="J199" i="61"/>
  <c r="J221" i="61"/>
  <c r="K61" i="61"/>
  <c r="K64" i="61"/>
  <c r="J257" i="61"/>
  <c r="J197" i="61"/>
  <c r="J413" i="61"/>
  <c r="V416" i="61"/>
  <c r="J207" i="61"/>
  <c r="DP30" i="56"/>
  <c r="O32" i="19"/>
  <c r="E36" i="37"/>
  <c r="M64" i="19"/>
  <c r="DP56" i="56"/>
  <c r="AC32" i="19"/>
  <c r="AC38" i="19" s="1"/>
  <c r="R7" i="54"/>
  <c r="E7" i="54" s="1"/>
  <c r="T27" i="54"/>
  <c r="G27" i="54" s="1"/>
  <c r="T12" i="54"/>
  <c r="G12" i="54" s="1"/>
  <c r="T13" i="54"/>
  <c r="G13" i="54" s="1"/>
  <c r="T22" i="54"/>
  <c r="R12" i="54"/>
  <c r="R13" i="54"/>
  <c r="E13" i="54" s="1"/>
  <c r="V439" i="58"/>
  <c r="V429" i="58"/>
  <c r="DP44" i="56"/>
  <c r="Z442" i="58"/>
  <c r="DP145" i="58"/>
  <c r="DS145" i="58"/>
  <c r="AH429" i="58"/>
  <c r="DP24" i="58"/>
  <c r="DS24" i="58"/>
  <c r="J292" i="58"/>
  <c r="K148" i="58"/>
  <c r="Q293" i="58"/>
  <c r="Q148" i="58" s="1"/>
  <c r="H148" i="58" s="1"/>
  <c r="AG439" i="58"/>
  <c r="K147" i="58"/>
  <c r="Q292" i="58"/>
  <c r="Q147" i="58" s="1"/>
  <c r="H147" i="58" s="1"/>
  <c r="K296" i="58"/>
  <c r="AC439" i="58"/>
  <c r="DP138" i="58"/>
  <c r="DS138" i="58"/>
  <c r="AE439" i="58"/>
  <c r="J429" i="58"/>
  <c r="Z433" i="58"/>
  <c r="AC429" i="58"/>
  <c r="AE429" i="58"/>
  <c r="J293" i="58"/>
  <c r="DP68" i="56"/>
  <c r="O72" i="56"/>
  <c r="H60" i="56"/>
  <c r="F60" i="56"/>
  <c r="G60" i="56"/>
  <c r="AD38" i="19"/>
  <c r="G125" i="61" l="1"/>
  <c r="Q403" i="61"/>
  <c r="P267" i="61"/>
  <c r="P126" i="61" s="1"/>
  <c r="G126" i="61"/>
  <c r="P266" i="61"/>
  <c r="P125" i="61" s="1"/>
  <c r="P403" i="61"/>
  <c r="Q267" i="61"/>
  <c r="Q126" i="61" s="1"/>
  <c r="Q413" i="61"/>
  <c r="AB413" i="61"/>
  <c r="AB403" i="61"/>
  <c r="AD413" i="61"/>
  <c r="R219" i="60"/>
  <c r="R252" i="60"/>
  <c r="AC64" i="19"/>
  <c r="AC70" i="19" s="1"/>
  <c r="K75" i="61"/>
  <c r="DM124" i="61"/>
  <c r="DL124" i="61" s="1"/>
  <c r="I126" i="61"/>
  <c r="O267" i="61"/>
  <c r="O126" i="61" s="1"/>
  <c r="I20" i="61"/>
  <c r="I61" i="61"/>
  <c r="J52" i="61"/>
  <c r="J61" i="61"/>
  <c r="J41" i="61"/>
  <c r="J20" i="61"/>
  <c r="I116" i="61"/>
  <c r="V254" i="61"/>
  <c r="I41" i="61"/>
  <c r="J42" i="61"/>
  <c r="J53" i="61"/>
  <c r="J63" i="61"/>
  <c r="I64" i="61"/>
  <c r="W255" i="61"/>
  <c r="J123" i="61"/>
  <c r="I42" i="61"/>
  <c r="I266" i="61"/>
  <c r="P413" i="61"/>
  <c r="J31" i="61"/>
  <c r="J64" i="61"/>
  <c r="I120" i="61"/>
  <c r="I53" i="61"/>
  <c r="I63" i="61"/>
  <c r="I123" i="61"/>
  <c r="V255" i="61"/>
  <c r="K129" i="61"/>
  <c r="I31" i="61"/>
  <c r="I52" i="61"/>
  <c r="J116" i="61"/>
  <c r="J270" i="61"/>
  <c r="W254" i="61"/>
  <c r="J120" i="61"/>
  <c r="J50" i="61"/>
  <c r="I50" i="61"/>
  <c r="AD64" i="19"/>
  <c r="AD70" i="19" s="1"/>
  <c r="U64" i="19"/>
  <c r="DP75" i="58"/>
  <c r="T7" i="54"/>
  <c r="G7" i="54" s="1"/>
  <c r="R27" i="54"/>
  <c r="E27" i="54" s="1"/>
  <c r="U13" i="54"/>
  <c r="H13" i="54" s="1"/>
  <c r="R23" i="54"/>
  <c r="S23" i="54"/>
  <c r="F23" i="54" s="1"/>
  <c r="E12" i="54"/>
  <c r="G22" i="54"/>
  <c r="K151" i="58"/>
  <c r="AF429" i="58"/>
  <c r="M439" i="58"/>
  <c r="J296" i="58"/>
  <c r="J147" i="58"/>
  <c r="J148" i="58"/>
  <c r="I293" i="58"/>
  <c r="AF439" i="58"/>
  <c r="AH439" i="58"/>
  <c r="M429" i="58"/>
  <c r="P429" i="58" s="1"/>
  <c r="N439" i="58"/>
  <c r="N429" i="58"/>
  <c r="I147" i="58"/>
  <c r="O60" i="56"/>
  <c r="O80" i="56"/>
  <c r="W60" i="56"/>
  <c r="DN60" i="56"/>
  <c r="T60" i="56"/>
  <c r="X60" i="56"/>
  <c r="T31" i="61" l="1"/>
  <c r="DO124" i="61"/>
  <c r="T50" i="61"/>
  <c r="T42" i="61"/>
  <c r="T52" i="61"/>
  <c r="T61" i="61"/>
  <c r="T53" i="61"/>
  <c r="T63" i="61"/>
  <c r="T41" i="61"/>
  <c r="DM126" i="61"/>
  <c r="F126" i="61"/>
  <c r="J75" i="61"/>
  <c r="T20" i="61"/>
  <c r="V20" i="61" s="1"/>
  <c r="I75" i="61"/>
  <c r="T64" i="61"/>
  <c r="DM123" i="61"/>
  <c r="DL123" i="61" s="1"/>
  <c r="DQ123" i="61" s="1"/>
  <c r="DM31" i="61"/>
  <c r="BQ31" i="61"/>
  <c r="DM64" i="61"/>
  <c r="J129" i="61"/>
  <c r="DM53" i="61"/>
  <c r="O266" i="61"/>
  <c r="O125" i="61" s="1"/>
  <c r="I125" i="61"/>
  <c r="I129" i="61" s="1"/>
  <c r="DM42" i="61"/>
  <c r="DM20" i="61"/>
  <c r="DM120" i="61"/>
  <c r="I270" i="61"/>
  <c r="DM116" i="61"/>
  <c r="U27" i="54"/>
  <c r="H27" i="54" s="1"/>
  <c r="E23" i="54"/>
  <c r="U23" i="54"/>
  <c r="H23" i="54" s="1"/>
  <c r="M292" i="58"/>
  <c r="Q439" i="58"/>
  <c r="L293" i="58"/>
  <c r="L148" i="58" s="1"/>
  <c r="I148" i="58"/>
  <c r="DQ148" i="58" s="1"/>
  <c r="I296" i="58"/>
  <c r="DQ147" i="58"/>
  <c r="J151" i="58"/>
  <c r="L292" i="58"/>
  <c r="P439" i="58"/>
  <c r="M293" i="58"/>
  <c r="Q429" i="58"/>
  <c r="O95" i="56"/>
  <c r="O61" i="56"/>
  <c r="DM60" i="56"/>
  <c r="DP60" i="56"/>
  <c r="T61" i="56"/>
  <c r="X61" i="56"/>
  <c r="W61" i="56"/>
  <c r="R75" i="58" l="1"/>
  <c r="DO126" i="61"/>
  <c r="DL126" i="61"/>
  <c r="DM125" i="61"/>
  <c r="F125" i="61"/>
  <c r="DO123" i="61"/>
  <c r="DL42" i="61"/>
  <c r="DO42" i="61"/>
  <c r="DL18" i="61"/>
  <c r="DO18" i="61"/>
  <c r="DO120" i="61"/>
  <c r="DL120" i="61"/>
  <c r="DO20" i="61"/>
  <c r="DL20" i="61"/>
  <c r="DL31" i="61"/>
  <c r="DO31" i="61"/>
  <c r="DO116" i="61"/>
  <c r="DL116" i="61"/>
  <c r="DL53" i="61"/>
  <c r="DO53" i="61"/>
  <c r="DL64" i="61"/>
  <c r="DO64" i="61"/>
  <c r="I151" i="58"/>
  <c r="DS147" i="58"/>
  <c r="DP147" i="58"/>
  <c r="L147" i="58"/>
  <c r="O292" i="58"/>
  <c r="O147" i="58" s="1"/>
  <c r="F147" i="58" s="1"/>
  <c r="O293" i="58"/>
  <c r="O148" i="58" s="1"/>
  <c r="F148" i="58" s="1"/>
  <c r="M148" i="58"/>
  <c r="P293" i="58"/>
  <c r="P148" i="58" s="1"/>
  <c r="G148" i="58" s="1"/>
  <c r="DS148" i="58"/>
  <c r="DP148" i="58"/>
  <c r="M147" i="58"/>
  <c r="P292" i="58"/>
  <c r="P147" i="58" s="1"/>
  <c r="G147" i="58" s="1"/>
  <c r="DL125" i="61" l="1"/>
  <c r="DO125" i="61"/>
  <c r="DO65" i="61"/>
  <c r="DL65" i="61"/>
  <c r="F31" i="7"/>
  <c r="H31" i="7"/>
  <c r="S544" i="55" l="1"/>
  <c r="S423" i="55" s="1"/>
  <c r="G31" i="7"/>
  <c r="I31" i="7" s="1"/>
  <c r="J679" i="60" l="1"/>
  <c r="E307" i="19" l="1"/>
  <c r="E200" i="19" s="1"/>
  <c r="E27" i="19" s="1"/>
  <c r="F181" i="1"/>
  <c r="F290" i="1" l="1"/>
  <c r="F404" i="1" s="1"/>
  <c r="J675" i="60"/>
  <c r="J673" i="60"/>
  <c r="F285" i="1"/>
  <c r="J192" i="53"/>
  <c r="I192" i="53"/>
  <c r="I199" i="53"/>
  <c r="I206" i="53"/>
  <c r="E318" i="19"/>
  <c r="E211" i="19" s="1"/>
  <c r="E43" i="19" s="1"/>
  <c r="J199" i="53"/>
  <c r="J206" i="53"/>
  <c r="F394" i="1" l="1"/>
  <c r="F395" i="1" s="1"/>
  <c r="R439" i="55"/>
  <c r="R318" i="55" s="1"/>
  <c r="AG598" i="55"/>
  <c r="AG707" i="55" s="1"/>
  <c r="J660" i="60"/>
  <c r="J659" i="60"/>
  <c r="J662" i="60"/>
  <c r="J663" i="60"/>
  <c r="J661" i="60"/>
  <c r="J658" i="60"/>
  <c r="S753" i="55"/>
  <c r="V437" i="61"/>
  <c r="S7" i="54"/>
  <c r="Z463" i="58"/>
  <c r="E300" i="56"/>
  <c r="E187" i="56" s="1"/>
  <c r="E248" i="56" s="1"/>
  <c r="P15" i="54"/>
  <c r="P19" i="54" s="1"/>
  <c r="P56" i="54" s="1"/>
  <c r="E300" i="19"/>
  <c r="E193" i="19" s="1"/>
  <c r="J223" i="53"/>
  <c r="J228" i="53" s="1"/>
  <c r="J221" i="53"/>
  <c r="I221" i="53"/>
  <c r="I223" i="53"/>
  <c r="I228" i="53" s="1"/>
  <c r="F7" i="54" l="1"/>
  <c r="U7" i="54"/>
  <c r="H7" i="54" s="1"/>
  <c r="E439" i="55"/>
  <c r="E318" i="55" s="1"/>
  <c r="E17" i="55" s="1"/>
  <c r="E131" i="55" s="1"/>
  <c r="E706" i="55"/>
  <c r="E17" i="56"/>
  <c r="E25" i="56" s="1"/>
  <c r="R65" i="55"/>
  <c r="P9" i="54"/>
  <c r="C15" i="54"/>
  <c r="C19" i="54"/>
  <c r="E15" i="19"/>
  <c r="E546" i="55" l="1"/>
  <c r="E425" i="55" s="1"/>
  <c r="E427" i="55" s="1"/>
  <c r="AI76" i="61"/>
  <c r="AL76" i="61"/>
  <c r="Y76" i="61"/>
  <c r="AB76" i="61"/>
  <c r="Z76" i="61"/>
  <c r="AC76" i="61"/>
  <c r="R39" i="58"/>
  <c r="R51" i="58"/>
  <c r="E77" i="56"/>
  <c r="E96" i="56" s="1"/>
  <c r="DO17" i="56"/>
  <c r="DO25" i="56"/>
  <c r="J99" i="56"/>
  <c r="F50" i="56"/>
  <c r="C9" i="54"/>
  <c r="P14" i="54"/>
  <c r="P50" i="54"/>
  <c r="P62" i="54" s="1"/>
  <c r="R82" i="55"/>
  <c r="R37" i="55"/>
  <c r="E91" i="19"/>
  <c r="E22" i="19"/>
  <c r="E196" i="55"/>
  <c r="R17" i="55"/>
  <c r="P4" i="54" l="1"/>
  <c r="P8" i="54" s="1"/>
  <c r="P54" i="54" s="1"/>
  <c r="E32" i="55"/>
  <c r="P48" i="54" s="1"/>
  <c r="P60" i="54" s="1"/>
  <c r="AN76" i="61"/>
  <c r="AO76" i="61"/>
  <c r="AK76" i="61"/>
  <c r="AH76" i="61"/>
  <c r="DN50" i="56"/>
  <c r="DM50" i="56" s="1"/>
  <c r="O50" i="56"/>
  <c r="E126" i="56"/>
  <c r="P37" i="54"/>
  <c r="P55" i="54"/>
  <c r="P43" i="54"/>
  <c r="C14" i="54"/>
  <c r="P49" i="54"/>
  <c r="C4" i="54"/>
  <c r="P42" i="54" l="1"/>
  <c r="P44" i="54" s="1"/>
  <c r="E256" i="55"/>
  <c r="X76" i="61"/>
  <c r="AA76" i="61"/>
  <c r="P61" i="54"/>
  <c r="C8" i="54"/>
  <c r="C37" i="54"/>
  <c r="AG76" i="61" l="1"/>
  <c r="AJ76" i="61"/>
  <c r="AM76" i="61"/>
  <c r="H39" i="56"/>
  <c r="G39" i="56"/>
  <c r="F39" i="56"/>
  <c r="O78" i="56" l="1"/>
  <c r="DN39" i="56"/>
  <c r="DM39" i="56" s="1"/>
  <c r="O39" i="56"/>
  <c r="T31" i="50" l="1"/>
  <c r="F31" i="49"/>
  <c r="T29" i="50"/>
  <c r="F29" i="49"/>
  <c r="F49" i="49" l="1"/>
  <c r="T49" i="50"/>
  <c r="T65" i="50"/>
  <c r="F65" i="49"/>
  <c r="T47" i="50"/>
  <c r="F47" i="49"/>
  <c r="F67" i="49"/>
  <c r="T67" i="50"/>
  <c r="F28" i="49" l="1"/>
  <c r="F104" i="49"/>
  <c r="F146" i="49" s="1"/>
  <c r="F100" i="49"/>
  <c r="F142" i="49" s="1"/>
  <c r="T30" i="50"/>
  <c r="F30" i="49"/>
  <c r="T28" i="50" l="1"/>
  <c r="F83" i="49"/>
  <c r="F66" i="49"/>
  <c r="T66" i="50"/>
  <c r="F48" i="49"/>
  <c r="T48" i="50"/>
  <c r="F102" i="49" l="1"/>
  <c r="F144" i="49" s="1"/>
  <c r="F64" i="49"/>
  <c r="F85" i="49" s="1"/>
  <c r="F94" i="49" s="1"/>
  <c r="T64" i="50"/>
  <c r="F92" i="49"/>
  <c r="F46" i="49"/>
  <c r="T46" i="50"/>
  <c r="F84" i="49" l="1"/>
  <c r="F98" i="49"/>
  <c r="F117" i="49" l="1"/>
  <c r="F159" i="49" s="1"/>
  <c r="F140" i="49"/>
  <c r="F93" i="49"/>
  <c r="F95" i="49" s="1"/>
  <c r="F86" i="49"/>
  <c r="Z760" i="55"/>
  <c r="Z768" i="55" s="1"/>
  <c r="N362" i="56"/>
  <c r="N249" i="56"/>
  <c r="AD410" i="56"/>
  <c r="AD418" i="56" s="1"/>
  <c r="N356" i="19"/>
  <c r="G72" i="1"/>
  <c r="AB404" i="19"/>
  <c r="AB412" i="19" s="1"/>
  <c r="F72" i="1"/>
  <c r="F9" i="66" s="1"/>
  <c r="N249" i="19"/>
  <c r="E338" i="19"/>
  <c r="E231" i="19" s="1"/>
  <c r="E68" i="19" s="1"/>
  <c r="E344" i="19"/>
  <c r="E237" i="19" s="1"/>
  <c r="E79" i="19" s="1"/>
  <c r="K11" i="39"/>
  <c r="K85" i="39" s="1"/>
  <c r="E337" i="19"/>
  <c r="E230" i="19" s="1"/>
  <c r="E67" i="19" s="1"/>
  <c r="E334" i="19"/>
  <c r="E227" i="19" s="1"/>
  <c r="E64" i="19" s="1"/>
  <c r="E326" i="19"/>
  <c r="E219" i="19" s="1"/>
  <c r="E51" i="19" s="1"/>
  <c r="E347" i="19"/>
  <c r="E240" i="19" s="1"/>
  <c r="E82" i="19" s="1"/>
  <c r="E322" i="19"/>
  <c r="E215" i="19" s="1"/>
  <c r="E47" i="19" s="1"/>
  <c r="E325" i="19"/>
  <c r="E218" i="19" s="1"/>
  <c r="E50" i="19" s="1"/>
  <c r="E333" i="19"/>
  <c r="E226" i="19" s="1"/>
  <c r="E63" i="19" s="1"/>
  <c r="E327" i="19"/>
  <c r="E220" i="19" s="1"/>
  <c r="E52" i="19" s="1"/>
  <c r="E323" i="19"/>
  <c r="E216" i="19" s="1"/>
  <c r="E48" i="19" s="1"/>
  <c r="E336" i="19"/>
  <c r="E229" i="19" s="1"/>
  <c r="E66" i="19" s="1"/>
  <c r="E332" i="19"/>
  <c r="E225" i="19" s="1"/>
  <c r="E62" i="19" s="1"/>
  <c r="E348" i="19"/>
  <c r="E241" i="19" s="1"/>
  <c r="E83" i="19" s="1"/>
  <c r="E343" i="19"/>
  <c r="E236" i="19" s="1"/>
  <c r="E78" i="19" s="1"/>
  <c r="E314" i="19"/>
  <c r="E207" i="19" s="1"/>
  <c r="E34" i="19" s="1"/>
  <c r="E315" i="19"/>
  <c r="E208" i="19" s="1"/>
  <c r="E35" i="19" s="1"/>
  <c r="E311" i="19"/>
  <c r="E204" i="19" s="1"/>
  <c r="E31" i="19" s="1"/>
  <c r="E345" i="19"/>
  <c r="E238" i="19" s="1"/>
  <c r="E80" i="19" s="1"/>
  <c r="E321" i="19"/>
  <c r="E214" i="19" s="1"/>
  <c r="E46" i="19" s="1"/>
  <c r="F424" i="1"/>
  <c r="N72" i="1"/>
  <c r="U347" i="19"/>
  <c r="F347" i="19" s="1"/>
  <c r="F240" i="19" s="1"/>
  <c r="F82" i="19" s="1"/>
  <c r="W346" i="19"/>
  <c r="G346" i="19" s="1"/>
  <c r="G239" i="19" s="1"/>
  <c r="E310" i="19"/>
  <c r="E203" i="19" s="1"/>
  <c r="E30" i="19" s="1"/>
  <c r="W344" i="19"/>
  <c r="G344" i="19" s="1"/>
  <c r="G237" i="19" s="1"/>
  <c r="V344" i="19"/>
  <c r="H344" i="19" s="1"/>
  <c r="H237" i="19" s="1"/>
  <c r="G78" i="1" l="1"/>
  <c r="G16" i="66" s="1"/>
  <c r="G9" i="66"/>
  <c r="Q72" i="1"/>
  <c r="N9" i="66"/>
  <c r="S28" i="54"/>
  <c r="V325" i="19"/>
  <c r="H325" i="19" s="1"/>
  <c r="H218" i="19" s="1"/>
  <c r="H50" i="19" s="1"/>
  <c r="V333" i="19"/>
  <c r="H333" i="19" s="1"/>
  <c r="H226" i="19" s="1"/>
  <c r="W325" i="19"/>
  <c r="G325" i="19" s="1"/>
  <c r="G218" i="19" s="1"/>
  <c r="G50" i="19" s="1"/>
  <c r="W322" i="19"/>
  <c r="G322" i="19" s="1"/>
  <c r="G215" i="19" s="1"/>
  <c r="G47" i="19" s="1"/>
  <c r="V324" i="19"/>
  <c r="H324" i="19" s="1"/>
  <c r="H217" i="19" s="1"/>
  <c r="U331" i="19"/>
  <c r="F331" i="19" s="1"/>
  <c r="F224" i="19" s="1"/>
  <c r="E248" i="19"/>
  <c r="F12" i="9"/>
  <c r="F11" i="13" s="1"/>
  <c r="E104" i="34"/>
  <c r="H79" i="19"/>
  <c r="V322" i="19"/>
  <c r="H322" i="19" s="1"/>
  <c r="U333" i="19"/>
  <c r="F333" i="19" s="1"/>
  <c r="X408" i="56"/>
  <c r="U342" i="19"/>
  <c r="F342" i="19" s="1"/>
  <c r="U322" i="19"/>
  <c r="F322" i="19" s="1"/>
  <c r="W408" i="56"/>
  <c r="U344" i="19"/>
  <c r="F344" i="19" s="1"/>
  <c r="D104" i="34"/>
  <c r="E12" i="9"/>
  <c r="G79" i="19"/>
  <c r="U324" i="19"/>
  <c r="F324" i="19" s="1"/>
  <c r="W333" i="19"/>
  <c r="G333" i="19" s="1"/>
  <c r="Z57" i="53"/>
  <c r="Y408" i="56"/>
  <c r="W324" i="19"/>
  <c r="G324" i="19" s="1"/>
  <c r="W407" i="56"/>
  <c r="E38" i="19"/>
  <c r="E94" i="19"/>
  <c r="W342" i="19"/>
  <c r="G342" i="19" s="1"/>
  <c r="W331" i="19"/>
  <c r="G331" i="19" s="1"/>
  <c r="G81" i="19"/>
  <c r="X407" i="56"/>
  <c r="V343" i="19"/>
  <c r="H343" i="19" s="1"/>
  <c r="V331" i="19"/>
  <c r="H331" i="19" s="1"/>
  <c r="U343" i="19"/>
  <c r="F343" i="19" s="1"/>
  <c r="V346" i="19"/>
  <c r="H346" i="19" s="1"/>
  <c r="H239" i="19" s="1"/>
  <c r="W348" i="19"/>
  <c r="G348" i="19" s="1"/>
  <c r="G241" i="19" s="1"/>
  <c r="G83" i="19" s="1"/>
  <c r="U346" i="19"/>
  <c r="F346" i="19" s="1"/>
  <c r="F239" i="19" s="1"/>
  <c r="Y407" i="56"/>
  <c r="W343" i="19"/>
  <c r="G343" i="19" s="1"/>
  <c r="V342" i="19"/>
  <c r="H342" i="19" s="1"/>
  <c r="U325" i="19"/>
  <c r="F325" i="19" s="1"/>
  <c r="F218" i="19" s="1"/>
  <c r="F50" i="19" s="1"/>
  <c r="U348" i="19"/>
  <c r="F348" i="19" s="1"/>
  <c r="F241" i="19" s="1"/>
  <c r="F83" i="19" s="1"/>
  <c r="U337" i="19"/>
  <c r="F337" i="19" s="1"/>
  <c r="F230" i="19" s="1"/>
  <c r="F67" i="19" s="1"/>
  <c r="W347" i="19"/>
  <c r="G347" i="19" s="1"/>
  <c r="G240" i="19" s="1"/>
  <c r="G82" i="19" s="1"/>
  <c r="V348" i="19"/>
  <c r="H348" i="19" s="1"/>
  <c r="H241" i="19" s="1"/>
  <c r="H83" i="19" s="1"/>
  <c r="W337" i="19"/>
  <c r="G337" i="19" s="1"/>
  <c r="G230" i="19" s="1"/>
  <c r="G67" i="19" s="1"/>
  <c r="V347" i="19"/>
  <c r="H347" i="19" s="1"/>
  <c r="H240" i="19" s="1"/>
  <c r="H82" i="19" s="1"/>
  <c r="V337" i="19"/>
  <c r="H337" i="19" s="1"/>
  <c r="H230" i="19" s="1"/>
  <c r="H67" i="19" s="1"/>
  <c r="E99" i="19"/>
  <c r="E96" i="19"/>
  <c r="E100" i="19"/>
  <c r="E98" i="19"/>
  <c r="O64" i="19"/>
  <c r="E86" i="19"/>
  <c r="Z129" i="53"/>
  <c r="O80" i="19"/>
  <c r="E95" i="19"/>
  <c r="Z105" i="53"/>
  <c r="E70" i="19"/>
  <c r="E54" i="19"/>
  <c r="Z81" i="53"/>
  <c r="S34" i="53" l="1"/>
  <c r="Q9" i="66"/>
  <c r="F28" i="54"/>
  <c r="R18" i="54"/>
  <c r="R22" i="54"/>
  <c r="F81" i="19"/>
  <c r="F235" i="19"/>
  <c r="F158" i="53"/>
  <c r="F236" i="19"/>
  <c r="G224" i="19"/>
  <c r="F217" i="19"/>
  <c r="F215" i="19"/>
  <c r="E38" i="34"/>
  <c r="H63" i="19"/>
  <c r="H235" i="19"/>
  <c r="H236" i="19"/>
  <c r="F160" i="53"/>
  <c r="F161" i="53"/>
  <c r="H81" i="19"/>
  <c r="F157" i="53"/>
  <c r="G236" i="19"/>
  <c r="G235" i="19"/>
  <c r="H49" i="19"/>
  <c r="E79" i="37"/>
  <c r="U79" i="19"/>
  <c r="F226" i="19"/>
  <c r="F156" i="53"/>
  <c r="E11" i="13"/>
  <c r="H215" i="19"/>
  <c r="U47" i="19"/>
  <c r="F162" i="53"/>
  <c r="E102" i="19"/>
  <c r="E132" i="19" s="1"/>
  <c r="G217" i="19"/>
  <c r="F237" i="19"/>
  <c r="F79" i="37"/>
  <c r="V79" i="19"/>
  <c r="H224" i="19"/>
  <c r="G226" i="19"/>
  <c r="F61" i="19"/>
  <c r="E18" i="54" l="1"/>
  <c r="T18" i="54"/>
  <c r="G18" i="54" s="1"/>
  <c r="S18" i="54"/>
  <c r="F18" i="54" s="1"/>
  <c r="O47" i="46"/>
  <c r="O65" i="46"/>
  <c r="O29" i="46"/>
  <c r="T28" i="54"/>
  <c r="G28" i="54" s="1"/>
  <c r="AG389" i="58"/>
  <c r="E22" i="54"/>
  <c r="R28" i="54"/>
  <c r="S22" i="54"/>
  <c r="F22" i="54" s="1"/>
  <c r="S12" i="54"/>
  <c r="Y345" i="19"/>
  <c r="K345" i="19" s="1"/>
  <c r="K238" i="19" s="1"/>
  <c r="AD350" i="58"/>
  <c r="D95" i="34"/>
  <c r="G78" i="19"/>
  <c r="E95" i="34"/>
  <c r="H78" i="19"/>
  <c r="F27" i="37"/>
  <c r="V63" i="19"/>
  <c r="D38" i="34"/>
  <c r="G63" i="19"/>
  <c r="V86" i="19"/>
  <c r="U86" i="19"/>
  <c r="T34" i="53"/>
  <c r="Y36" i="53" s="1"/>
  <c r="D11" i="53"/>
  <c r="S188" i="53"/>
  <c r="S189" i="53"/>
  <c r="H47" i="19"/>
  <c r="C38" i="34"/>
  <c r="F63" i="19"/>
  <c r="G77" i="19"/>
  <c r="F49" i="19"/>
  <c r="C104" i="34"/>
  <c r="D12" i="9"/>
  <c r="F79" i="19"/>
  <c r="G49" i="19"/>
  <c r="AE350" i="58"/>
  <c r="H77" i="19"/>
  <c r="F47" i="19"/>
  <c r="G61" i="19"/>
  <c r="F77" i="19"/>
  <c r="H61" i="19"/>
  <c r="L61" i="19"/>
  <c r="B14" i="11"/>
  <c r="D8" i="37"/>
  <c r="D104" i="37" s="1"/>
  <c r="C95" i="34"/>
  <c r="F78" i="19"/>
  <c r="F163" i="53"/>
  <c r="V49" i="19"/>
  <c r="U18" i="54" l="1"/>
  <c r="H18" i="54" s="1"/>
  <c r="AD381" i="58"/>
  <c r="N381" i="58" s="1"/>
  <c r="AE348" i="58"/>
  <c r="M348" i="58" s="1"/>
  <c r="M283" i="58" s="1"/>
  <c r="AD368" i="58"/>
  <c r="N368" i="58" s="1"/>
  <c r="Q368" i="58" s="1"/>
  <c r="AE376" i="58"/>
  <c r="M376" i="58" s="1"/>
  <c r="M286" i="58" s="1"/>
  <c r="AE378" i="58"/>
  <c r="M378" i="58" s="1"/>
  <c r="AD348" i="58"/>
  <c r="N348" i="58" s="1"/>
  <c r="N283" i="58" s="1"/>
  <c r="N138" i="58" s="1"/>
  <c r="AD358" i="58"/>
  <c r="N358" i="58" s="1"/>
  <c r="N284" i="58" s="1"/>
  <c r="AE358" i="58"/>
  <c r="M358" i="58" s="1"/>
  <c r="M284" i="58" s="1"/>
  <c r="AE355" i="58"/>
  <c r="M355" i="58" s="1"/>
  <c r="AE368" i="58"/>
  <c r="M368" i="58" s="1"/>
  <c r="M285" i="58" s="1"/>
  <c r="AE389" i="58"/>
  <c r="AL389" i="58" s="1"/>
  <c r="AE365" i="58"/>
  <c r="M365" i="58" s="1"/>
  <c r="AE381" i="58"/>
  <c r="M381" i="58" s="1"/>
  <c r="AE392" i="58"/>
  <c r="M392" i="58" s="1"/>
  <c r="P392" i="58" s="1"/>
  <c r="AE395" i="58"/>
  <c r="M395" i="58" s="1"/>
  <c r="M291" i="58" s="1"/>
  <c r="AD376" i="58"/>
  <c r="N376" i="58" s="1"/>
  <c r="Q376" i="58" s="1"/>
  <c r="AD384" i="58"/>
  <c r="N384" i="58" s="1"/>
  <c r="Q384" i="58" s="1"/>
  <c r="AD378" i="58"/>
  <c r="N378" i="58" s="1"/>
  <c r="AD355" i="58"/>
  <c r="AK355" i="58" s="1"/>
  <c r="AE373" i="58"/>
  <c r="M373" i="58" s="1"/>
  <c r="Y340" i="19"/>
  <c r="K340" i="19" s="1"/>
  <c r="R340" i="19" s="1"/>
  <c r="E28" i="54"/>
  <c r="U28" i="54"/>
  <c r="H28" i="54" s="1"/>
  <c r="AE384" i="58"/>
  <c r="M384" i="58" s="1"/>
  <c r="M287" i="58" s="1"/>
  <c r="F12" i="54"/>
  <c r="U12" i="54"/>
  <c r="H12" i="54" s="1"/>
  <c r="U22" i="54"/>
  <c r="H22" i="54" s="1"/>
  <c r="AD395" i="58"/>
  <c r="N395" i="58" s="1"/>
  <c r="N291" i="58" s="1"/>
  <c r="AD365" i="58"/>
  <c r="AK365" i="58" s="1"/>
  <c r="Y315" i="19"/>
  <c r="K315" i="19" s="1"/>
  <c r="K208" i="19" s="1"/>
  <c r="K35" i="19" s="1"/>
  <c r="R35" i="19" s="1"/>
  <c r="AA308" i="56"/>
  <c r="AH308" i="56" s="1"/>
  <c r="AG355" i="58"/>
  <c r="AA317" i="56"/>
  <c r="AH317" i="56" s="1"/>
  <c r="AG365" i="58"/>
  <c r="AB349" i="19"/>
  <c r="Y350" i="19"/>
  <c r="K350" i="19" s="1"/>
  <c r="K243" i="19" s="1"/>
  <c r="K85" i="19" s="1"/>
  <c r="R85" i="19" s="1"/>
  <c r="K49" i="46" s="1"/>
  <c r="AB350" i="19"/>
  <c r="Y316" i="19"/>
  <c r="K316" i="19" s="1"/>
  <c r="K209" i="19" s="1"/>
  <c r="K36" i="19" s="1"/>
  <c r="Y324" i="19"/>
  <c r="K324" i="19" s="1"/>
  <c r="K217" i="19" s="1"/>
  <c r="Y349" i="19"/>
  <c r="K349" i="19" s="1"/>
  <c r="K242" i="19" s="1"/>
  <c r="K84" i="19" s="1"/>
  <c r="AG384" i="58"/>
  <c r="Y304" i="19"/>
  <c r="K304" i="19" s="1"/>
  <c r="K197" i="19" s="1"/>
  <c r="K19" i="19" s="1"/>
  <c r="AB346" i="19"/>
  <c r="Y346" i="19"/>
  <c r="K346" i="19" s="1"/>
  <c r="K239" i="19" s="1"/>
  <c r="K81" i="19" s="1"/>
  <c r="AB345" i="19"/>
  <c r="AA423" i="56"/>
  <c r="Y308" i="19"/>
  <c r="K308" i="19" s="1"/>
  <c r="R308" i="19" s="1"/>
  <c r="AA331" i="56"/>
  <c r="AH331" i="56" s="1"/>
  <c r="AG350" i="58"/>
  <c r="Y328" i="19"/>
  <c r="K328" i="19" s="1"/>
  <c r="R328" i="19" s="1"/>
  <c r="Y319" i="19"/>
  <c r="K319" i="19" s="1"/>
  <c r="K212" i="19" s="1"/>
  <c r="AG381" i="58"/>
  <c r="AA328" i="56"/>
  <c r="K328" i="56" s="1"/>
  <c r="AG378" i="58"/>
  <c r="AA303" i="56"/>
  <c r="AH303" i="56" s="1"/>
  <c r="Y334" i="19"/>
  <c r="K334" i="19" s="1"/>
  <c r="K227" i="19" s="1"/>
  <c r="Y305" i="19"/>
  <c r="K305" i="19" s="1"/>
  <c r="K198" i="19" s="1"/>
  <c r="K20" i="19" s="1"/>
  <c r="AB305" i="19"/>
  <c r="N350" i="58"/>
  <c r="AK350" i="58"/>
  <c r="AD389" i="58"/>
  <c r="AD392" i="58"/>
  <c r="N392" i="58" s="1"/>
  <c r="M350" i="58"/>
  <c r="AL350" i="58"/>
  <c r="AG373" i="58"/>
  <c r="AD373" i="58"/>
  <c r="Y312" i="19"/>
  <c r="K312" i="19" s="1"/>
  <c r="K205" i="19" s="1"/>
  <c r="AA324" i="56"/>
  <c r="K324" i="56" s="1"/>
  <c r="Y333" i="19"/>
  <c r="K333" i="19" s="1"/>
  <c r="Y325" i="19"/>
  <c r="K325" i="19" s="1"/>
  <c r="K218" i="19" s="1"/>
  <c r="K50" i="19" s="1"/>
  <c r="Y337" i="19"/>
  <c r="K337" i="19" s="1"/>
  <c r="K230" i="19" s="1"/>
  <c r="K67" i="19" s="1"/>
  <c r="Y322" i="19"/>
  <c r="K322" i="19" s="1"/>
  <c r="AB348" i="19"/>
  <c r="Y348" i="19"/>
  <c r="K348" i="19" s="1"/>
  <c r="K241" i="19" s="1"/>
  <c r="K83" i="19" s="1"/>
  <c r="AA407" i="56"/>
  <c r="Y343" i="19"/>
  <c r="K343" i="19" s="1"/>
  <c r="AB347" i="19"/>
  <c r="Y347" i="19"/>
  <c r="K347" i="19" s="1"/>
  <c r="K240" i="19" s="1"/>
  <c r="K82" i="19" s="1"/>
  <c r="AB344" i="19"/>
  <c r="AA408" i="56"/>
  <c r="Y344" i="19"/>
  <c r="K344" i="19" s="1"/>
  <c r="Y342" i="19"/>
  <c r="K342" i="19" s="1"/>
  <c r="Y331" i="19"/>
  <c r="K331" i="19" s="1"/>
  <c r="D71" i="37"/>
  <c r="L78" i="19"/>
  <c r="T38" i="19"/>
  <c r="L77" i="19"/>
  <c r="D63" i="37"/>
  <c r="F86" i="19"/>
  <c r="Z340" i="19"/>
  <c r="J340" i="19" s="1"/>
  <c r="Z346" i="19"/>
  <c r="J346" i="19" s="1"/>
  <c r="J239" i="19" s="1"/>
  <c r="AC346" i="19"/>
  <c r="D27" i="37"/>
  <c r="T63" i="19"/>
  <c r="M78" i="19"/>
  <c r="E71" i="37"/>
  <c r="R238" i="19"/>
  <c r="K80" i="19"/>
  <c r="AB408" i="56"/>
  <c r="Z344" i="19"/>
  <c r="J344" i="19" s="1"/>
  <c r="AC344" i="19"/>
  <c r="Z312" i="19"/>
  <c r="J312" i="19" s="1"/>
  <c r="AH378" i="58"/>
  <c r="AB328" i="56"/>
  <c r="M61" i="19"/>
  <c r="C14" i="11"/>
  <c r="F10" i="13" s="1"/>
  <c r="E8" i="37"/>
  <c r="E104" i="37" s="1"/>
  <c r="AH389" i="58"/>
  <c r="Z334" i="19"/>
  <c r="J334" i="19" s="1"/>
  <c r="Z308" i="19"/>
  <c r="J308" i="19" s="1"/>
  <c r="U49" i="19"/>
  <c r="T49" i="19"/>
  <c r="D12" i="53"/>
  <c r="C11" i="53"/>
  <c r="C12" i="53" s="1"/>
  <c r="T47" i="19"/>
  <c r="Z333" i="19"/>
  <c r="J333" i="19" s="1"/>
  <c r="Z324" i="19"/>
  <c r="J324" i="19" s="1"/>
  <c r="AH373" i="58"/>
  <c r="AB324" i="56"/>
  <c r="E27" i="37"/>
  <c r="U63" i="19"/>
  <c r="V70" i="19"/>
  <c r="E10" i="13"/>
  <c r="N61" i="19"/>
  <c r="N70" i="19" s="1"/>
  <c r="F8" i="37"/>
  <c r="F104" i="37" s="1"/>
  <c r="D14" i="11"/>
  <c r="G10" i="13" s="1"/>
  <c r="Z348" i="19"/>
  <c r="J348" i="19" s="1"/>
  <c r="J241" i="19" s="1"/>
  <c r="J83" i="19" s="1"/>
  <c r="AC348" i="19"/>
  <c r="Z342" i="19"/>
  <c r="J342" i="19" s="1"/>
  <c r="Z328" i="19"/>
  <c r="J328" i="19" s="1"/>
  <c r="AB423" i="56"/>
  <c r="AC345" i="19"/>
  <c r="Z345" i="19"/>
  <c r="J345" i="19" s="1"/>
  <c r="J238" i="19" s="1"/>
  <c r="D79" i="37"/>
  <c r="T79" i="19"/>
  <c r="Z331" i="19"/>
  <c r="J331" i="19" s="1"/>
  <c r="AH365" i="58"/>
  <c r="AB317" i="56"/>
  <c r="AH350" i="58"/>
  <c r="AB303" i="56"/>
  <c r="Z305" i="19"/>
  <c r="J305" i="19" s="1"/>
  <c r="J198" i="19" s="1"/>
  <c r="J20" i="19" s="1"/>
  <c r="AC305" i="19"/>
  <c r="Z319" i="19"/>
  <c r="J319" i="19" s="1"/>
  <c r="V47" i="19"/>
  <c r="AC350" i="58"/>
  <c r="U38" i="19"/>
  <c r="N77" i="19"/>
  <c r="F63" i="37"/>
  <c r="H86" i="19"/>
  <c r="Z347" i="19"/>
  <c r="J347" i="19" s="1"/>
  <c r="J240" i="19" s="1"/>
  <c r="J82" i="19" s="1"/>
  <c r="AC347" i="19"/>
  <c r="Z322" i="19"/>
  <c r="J322" i="19" s="1"/>
  <c r="Z304" i="19"/>
  <c r="J304" i="19" s="1"/>
  <c r="J197" i="19" s="1"/>
  <c r="J19" i="19" s="1"/>
  <c r="AC350" i="19"/>
  <c r="Z350" i="19"/>
  <c r="J350" i="19" s="1"/>
  <c r="J243" i="19" s="1"/>
  <c r="Z315" i="19"/>
  <c r="J315" i="19" s="1"/>
  <c r="J208" i="19" s="1"/>
  <c r="J35" i="19" s="1"/>
  <c r="AC349" i="19"/>
  <c r="Z349" i="19"/>
  <c r="J349" i="19" s="1"/>
  <c r="J242" i="19" s="1"/>
  <c r="J84" i="19" s="1"/>
  <c r="AB407" i="56"/>
  <c r="Z343" i="19"/>
  <c r="J343" i="19" s="1"/>
  <c r="Z325" i="19"/>
  <c r="J325" i="19" s="1"/>
  <c r="J218" i="19" s="1"/>
  <c r="J50" i="19" s="1"/>
  <c r="AH381" i="58"/>
  <c r="AB331" i="56"/>
  <c r="AH355" i="58"/>
  <c r="AB308" i="56"/>
  <c r="Z316" i="19"/>
  <c r="J316" i="19" s="1"/>
  <c r="J209" i="19" s="1"/>
  <c r="J36" i="19" s="1"/>
  <c r="Z337" i="19"/>
  <c r="J337" i="19" s="1"/>
  <c r="J230" i="19" s="1"/>
  <c r="J67" i="19" s="1"/>
  <c r="M77" i="19"/>
  <c r="E63" i="37"/>
  <c r="G86" i="19"/>
  <c r="V38" i="19"/>
  <c r="F71" i="37"/>
  <c r="N78" i="19"/>
  <c r="D30" i="53" l="1"/>
  <c r="F4" i="55"/>
  <c r="P376" i="58"/>
  <c r="Q348" i="58"/>
  <c r="AK381" i="58"/>
  <c r="Q283" i="58"/>
  <c r="Q138" i="58" s="1"/>
  <c r="Q358" i="58"/>
  <c r="AL365" i="58"/>
  <c r="N285" i="58"/>
  <c r="N140" i="58" s="1"/>
  <c r="AL355" i="58"/>
  <c r="AC368" i="58"/>
  <c r="L368" i="58" s="1"/>
  <c r="O368" i="58" s="1"/>
  <c r="P348" i="58"/>
  <c r="AL378" i="58"/>
  <c r="Q395" i="58"/>
  <c r="M389" i="58"/>
  <c r="M248" i="58" s="1"/>
  <c r="P395" i="58"/>
  <c r="AK378" i="58"/>
  <c r="AC373" i="58"/>
  <c r="L373" i="58" s="1"/>
  <c r="AC381" i="58"/>
  <c r="L381" i="58" s="1"/>
  <c r="M290" i="58"/>
  <c r="M296" i="58" s="1"/>
  <c r="P358" i="58"/>
  <c r="AL373" i="58"/>
  <c r="AC378" i="58"/>
  <c r="L378" i="58" s="1"/>
  <c r="K233" i="19"/>
  <c r="R233" i="19" s="1"/>
  <c r="AC358" i="58"/>
  <c r="L358" i="58" s="1"/>
  <c r="L284" i="58" s="1"/>
  <c r="AC384" i="58"/>
  <c r="L384" i="58" s="1"/>
  <c r="L287" i="58" s="1"/>
  <c r="AC365" i="58"/>
  <c r="AJ365" i="58" s="1"/>
  <c r="P384" i="58"/>
  <c r="P368" i="58"/>
  <c r="AL381" i="58"/>
  <c r="N287" i="58"/>
  <c r="N142" i="58" s="1"/>
  <c r="AC376" i="58"/>
  <c r="L376" i="58" s="1"/>
  <c r="L286" i="58" s="1"/>
  <c r="AC395" i="58"/>
  <c r="L395" i="58" s="1"/>
  <c r="L291" i="58" s="1"/>
  <c r="N355" i="58"/>
  <c r="Q355" i="58" s="1"/>
  <c r="AC348" i="58"/>
  <c r="L348" i="58" s="1"/>
  <c r="O348" i="58" s="1"/>
  <c r="N286" i="58"/>
  <c r="Q286" i="58" s="1"/>
  <c r="Q141" i="58" s="1"/>
  <c r="H141" i="58" s="1"/>
  <c r="N365" i="58"/>
  <c r="N227" i="58" s="1"/>
  <c r="N38" i="58" s="1"/>
  <c r="AC322" i="19"/>
  <c r="AC325" i="19"/>
  <c r="AC389" i="58"/>
  <c r="L389" i="58" s="1"/>
  <c r="AC355" i="58"/>
  <c r="L355" i="58" s="1"/>
  <c r="AC319" i="19"/>
  <c r="AC331" i="19"/>
  <c r="AC324" i="19"/>
  <c r="AC312" i="19"/>
  <c r="AC340" i="19"/>
  <c r="AB342" i="19"/>
  <c r="AB315" i="19"/>
  <c r="AB304" i="19"/>
  <c r="AC337" i="19"/>
  <c r="AC308" i="19"/>
  <c r="AB331" i="19"/>
  <c r="AB312" i="19"/>
  <c r="AB333" i="19"/>
  <c r="AC328" i="19"/>
  <c r="AC333" i="19"/>
  <c r="AB343" i="19"/>
  <c r="AB322" i="19"/>
  <c r="AB308" i="19"/>
  <c r="AB340" i="19"/>
  <c r="AC315" i="19"/>
  <c r="AB325" i="19"/>
  <c r="AC343" i="19"/>
  <c r="AC334" i="19"/>
  <c r="AB334" i="19"/>
  <c r="AB319" i="19"/>
  <c r="AC342" i="19"/>
  <c r="AC316" i="19"/>
  <c r="AC304" i="19"/>
  <c r="AC392" i="58"/>
  <c r="L392" i="58" s="1"/>
  <c r="O392" i="58" s="1"/>
  <c r="AB337" i="19"/>
  <c r="AB328" i="19"/>
  <c r="AB324" i="19"/>
  <c r="AB316" i="19"/>
  <c r="R324" i="19"/>
  <c r="AD308" i="56"/>
  <c r="K317" i="56"/>
  <c r="K204" i="56" s="1"/>
  <c r="K44" i="56" s="1"/>
  <c r="R319" i="19"/>
  <c r="AH328" i="56"/>
  <c r="K308" i="56"/>
  <c r="R308" i="56" s="1"/>
  <c r="AD317" i="56"/>
  <c r="R19" i="19"/>
  <c r="AH324" i="56"/>
  <c r="R243" i="19"/>
  <c r="M86" i="19"/>
  <c r="O61" i="19"/>
  <c r="AG348" i="58"/>
  <c r="AD303" i="56"/>
  <c r="R36" i="19"/>
  <c r="K331" i="56"/>
  <c r="K218" i="56" s="1"/>
  <c r="R218" i="56" s="1"/>
  <c r="R84" i="19"/>
  <c r="K221" i="19"/>
  <c r="R221" i="19" s="1"/>
  <c r="R239" i="19"/>
  <c r="AG395" i="58"/>
  <c r="K303" i="56"/>
  <c r="R303" i="56" s="1"/>
  <c r="AG368" i="58"/>
  <c r="K201" i="19"/>
  <c r="R201" i="19" s="1"/>
  <c r="AG358" i="58"/>
  <c r="R334" i="19"/>
  <c r="AD328" i="56"/>
  <c r="R312" i="19"/>
  <c r="AD324" i="56"/>
  <c r="AD331" i="56"/>
  <c r="R20" i="19"/>
  <c r="AG376" i="58"/>
  <c r="AH384" i="58"/>
  <c r="M140" i="58"/>
  <c r="P285" i="58"/>
  <c r="P140" i="58" s="1"/>
  <c r="G140" i="58" s="1"/>
  <c r="M213" i="58"/>
  <c r="P350" i="58"/>
  <c r="P365" i="58"/>
  <c r="M227" i="58"/>
  <c r="L350" i="58"/>
  <c r="AJ350" i="58"/>
  <c r="M146" i="58"/>
  <c r="P291" i="58"/>
  <c r="P146" i="58" s="1"/>
  <c r="G146" i="58" s="1"/>
  <c r="AH368" i="58"/>
  <c r="AG392" i="58"/>
  <c r="M241" i="58"/>
  <c r="P381" i="58"/>
  <c r="M141" i="58"/>
  <c r="P286" i="58"/>
  <c r="P141" i="58" s="1"/>
  <c r="G141" i="58" s="1"/>
  <c r="P287" i="58"/>
  <c r="P142" i="58" s="1"/>
  <c r="G142" i="58" s="1"/>
  <c r="M142" i="58"/>
  <c r="N290" i="58"/>
  <c r="Q392" i="58"/>
  <c r="M234" i="58"/>
  <c r="P373" i="58"/>
  <c r="N139" i="58"/>
  <c r="Q284" i="58"/>
  <c r="Q139" i="58" s="1"/>
  <c r="H139" i="58" s="1"/>
  <c r="AH392" i="58"/>
  <c r="N241" i="58"/>
  <c r="Q381" i="58"/>
  <c r="AH348" i="58"/>
  <c r="M138" i="58"/>
  <c r="AD280" i="58"/>
  <c r="P283" i="58"/>
  <c r="N146" i="58"/>
  <c r="Q291" i="58"/>
  <c r="Q146" i="58" s="1"/>
  <c r="H146" i="58" s="1"/>
  <c r="N373" i="58"/>
  <c r="AK373" i="58"/>
  <c r="N389" i="58"/>
  <c r="AK389" i="58"/>
  <c r="N213" i="58"/>
  <c r="Q350" i="58"/>
  <c r="M238" i="58"/>
  <c r="P378" i="58"/>
  <c r="AH358" i="58"/>
  <c r="AH395" i="58"/>
  <c r="M218" i="58"/>
  <c r="P355" i="58"/>
  <c r="AH376" i="58"/>
  <c r="M139" i="58"/>
  <c r="P284" i="58"/>
  <c r="P139" i="58" s="1"/>
  <c r="G139" i="58" s="1"/>
  <c r="N238" i="58"/>
  <c r="Q378" i="58"/>
  <c r="H10" i="13"/>
  <c r="R83" i="19"/>
  <c r="K224" i="19"/>
  <c r="R331" i="19"/>
  <c r="R82" i="19"/>
  <c r="R67" i="19"/>
  <c r="K236" i="19"/>
  <c r="R343" i="19"/>
  <c r="R344" i="19"/>
  <c r="K237" i="19"/>
  <c r="K226" i="19"/>
  <c r="R333" i="19"/>
  <c r="K235" i="19"/>
  <c r="R342" i="19"/>
  <c r="K215" i="19"/>
  <c r="R322" i="19"/>
  <c r="R50" i="19"/>
  <c r="J236" i="19"/>
  <c r="Q343" i="19"/>
  <c r="R205" i="19"/>
  <c r="K32" i="19"/>
  <c r="X324" i="19"/>
  <c r="I324" i="19" s="1"/>
  <c r="X331" i="19"/>
  <c r="I331" i="19" s="1"/>
  <c r="X319" i="19"/>
  <c r="I319" i="19" s="1"/>
  <c r="X308" i="19"/>
  <c r="I308" i="19" s="1"/>
  <c r="V54" i="19"/>
  <c r="Q20" i="19"/>
  <c r="T54" i="19"/>
  <c r="L49" i="49"/>
  <c r="Z49" i="50"/>
  <c r="Q67" i="19"/>
  <c r="AF348" i="58"/>
  <c r="X334" i="19"/>
  <c r="I334" i="19" s="1"/>
  <c r="AF358" i="58"/>
  <c r="AI324" i="56"/>
  <c r="J324" i="56"/>
  <c r="R324" i="56"/>
  <c r="K211" i="56"/>
  <c r="Q308" i="19"/>
  <c r="J201" i="19"/>
  <c r="Q36" i="19"/>
  <c r="X337" i="19"/>
  <c r="I337" i="19" s="1"/>
  <c r="I230" i="19" s="1"/>
  <c r="I67" i="19" s="1"/>
  <c r="X348" i="19"/>
  <c r="I348" i="19" s="1"/>
  <c r="I241" i="19" s="1"/>
  <c r="I83" i="19" s="1"/>
  <c r="X322" i="19"/>
  <c r="I322" i="19" s="1"/>
  <c r="X304" i="19"/>
  <c r="I304" i="19" s="1"/>
  <c r="I197" i="19" s="1"/>
  <c r="I19" i="19" s="1"/>
  <c r="X346" i="19"/>
  <c r="I346" i="19" s="1"/>
  <c r="I239" i="19" s="1"/>
  <c r="AF395" i="58"/>
  <c r="R227" i="19"/>
  <c r="K64" i="19"/>
  <c r="AE324" i="56"/>
  <c r="J217" i="19"/>
  <c r="Q324" i="19"/>
  <c r="M70" i="19"/>
  <c r="R81" i="19"/>
  <c r="R80" i="19"/>
  <c r="O78" i="19"/>
  <c r="Q35" i="19"/>
  <c r="X333" i="19"/>
  <c r="I333" i="19" s="1"/>
  <c r="X312" i="19"/>
  <c r="I312" i="19" s="1"/>
  <c r="Z423" i="56"/>
  <c r="X345" i="19"/>
  <c r="I345" i="19" s="1"/>
  <c r="I238" i="19" s="1"/>
  <c r="AI328" i="56"/>
  <c r="J328" i="56"/>
  <c r="J81" i="19"/>
  <c r="Q239" i="19"/>
  <c r="Q84" i="19"/>
  <c r="Q19" i="19"/>
  <c r="J215" i="19"/>
  <c r="Q322" i="19"/>
  <c r="N86" i="19"/>
  <c r="R212" i="19"/>
  <c r="K44" i="19"/>
  <c r="R44" i="19" s="1"/>
  <c r="AF389" i="58"/>
  <c r="Z408" i="56"/>
  <c r="AC408" i="56" s="1"/>
  <c r="X344" i="19"/>
  <c r="I344" i="19" s="1"/>
  <c r="X340" i="19"/>
  <c r="I340" i="19" s="1"/>
  <c r="AF384" i="58"/>
  <c r="X347" i="19"/>
  <c r="I347" i="19" s="1"/>
  <c r="I240" i="19" s="1"/>
  <c r="I82" i="19" s="1"/>
  <c r="AF392" i="58"/>
  <c r="Q319" i="19"/>
  <c r="J212" i="19"/>
  <c r="AI303" i="56"/>
  <c r="J303" i="56"/>
  <c r="J224" i="19"/>
  <c r="Q331" i="19"/>
  <c r="J235" i="19"/>
  <c r="Q342" i="19"/>
  <c r="K49" i="19"/>
  <c r="R217" i="19"/>
  <c r="T70" i="19"/>
  <c r="O77" i="19"/>
  <c r="L86" i="19"/>
  <c r="AI331" i="56"/>
  <c r="J331" i="56"/>
  <c r="J218" i="56" s="1"/>
  <c r="X342" i="19"/>
  <c r="I342" i="19" s="1"/>
  <c r="AF381" i="58"/>
  <c r="Z331" i="56"/>
  <c r="AF365" i="58"/>
  <c r="Z317" i="56"/>
  <c r="AF355" i="58"/>
  <c r="Z308" i="56"/>
  <c r="X328" i="19"/>
  <c r="I328" i="19" s="1"/>
  <c r="X350" i="19"/>
  <c r="I350" i="19" s="1"/>
  <c r="I243" i="19" s="1"/>
  <c r="X316" i="19"/>
  <c r="I316" i="19" s="1"/>
  <c r="I209" i="19" s="1"/>
  <c r="I36" i="19" s="1"/>
  <c r="X305" i="19"/>
  <c r="I305" i="19" s="1"/>
  <c r="I198" i="19" s="1"/>
  <c r="I20" i="19" s="1"/>
  <c r="AF368" i="58"/>
  <c r="AI317" i="56"/>
  <c r="J317" i="56"/>
  <c r="J204" i="56" s="1"/>
  <c r="T86" i="19"/>
  <c r="J226" i="19"/>
  <c r="Q333" i="19"/>
  <c r="AE328" i="56"/>
  <c r="J237" i="19"/>
  <c r="Q344" i="19"/>
  <c r="AI308" i="56"/>
  <c r="J308" i="56"/>
  <c r="Q50" i="19"/>
  <c r="AE331" i="56"/>
  <c r="Q243" i="19"/>
  <c r="J85" i="19"/>
  <c r="Q85" i="19" s="1"/>
  <c r="K67" i="46" s="1"/>
  <c r="Z407" i="56"/>
  <c r="AC407" i="56" s="1"/>
  <c r="X343" i="19"/>
  <c r="I343" i="19" s="1"/>
  <c r="AF373" i="58"/>
  <c r="Z324" i="56"/>
  <c r="AF350" i="58"/>
  <c r="Z303" i="56"/>
  <c r="AF376" i="58"/>
  <c r="AE303" i="56"/>
  <c r="Q328" i="19"/>
  <c r="J221" i="19"/>
  <c r="E14" i="11"/>
  <c r="R328" i="56"/>
  <c r="K215" i="56"/>
  <c r="U70" i="19"/>
  <c r="Q334" i="19"/>
  <c r="J227" i="19"/>
  <c r="AE308" i="56"/>
  <c r="Q82" i="19"/>
  <c r="AF378" i="58"/>
  <c r="Z328" i="56"/>
  <c r="X315" i="19"/>
  <c r="I315" i="19" s="1"/>
  <c r="I208" i="19" s="1"/>
  <c r="I35" i="19" s="1"/>
  <c r="X325" i="19"/>
  <c r="I325" i="19" s="1"/>
  <c r="I218" i="19" s="1"/>
  <c r="I50" i="19" s="1"/>
  <c r="X349" i="19"/>
  <c r="I349" i="19" s="1"/>
  <c r="I242" i="19" s="1"/>
  <c r="I84" i="19" s="1"/>
  <c r="AE317" i="56"/>
  <c r="Q238" i="19"/>
  <c r="J80" i="19"/>
  <c r="Q83" i="19"/>
  <c r="U54" i="19"/>
  <c r="Q312" i="19"/>
  <c r="J205" i="19"/>
  <c r="Q340" i="19"/>
  <c r="J233" i="19"/>
  <c r="J39" i="62" l="1"/>
  <c r="Q287" i="58"/>
  <c r="Q142" i="58" s="1"/>
  <c r="H142" i="58" s="1"/>
  <c r="I37" i="62"/>
  <c r="J52" i="62"/>
  <c r="L285" i="58"/>
  <c r="L140" i="58" s="1"/>
  <c r="L365" i="58"/>
  <c r="L227" i="58" s="1"/>
  <c r="O395" i="58"/>
  <c r="AJ389" i="58"/>
  <c r="Q285" i="58"/>
  <c r="Q140" i="58" s="1"/>
  <c r="H140" i="58" s="1"/>
  <c r="K75" i="19"/>
  <c r="R75" i="19" s="1"/>
  <c r="M145" i="58"/>
  <c r="M151" i="58" s="1"/>
  <c r="O358" i="58"/>
  <c r="O384" i="58"/>
  <c r="AD281" i="58"/>
  <c r="P290" i="58"/>
  <c r="AG281" i="58" s="1"/>
  <c r="P389" i="58"/>
  <c r="AJ381" i="58"/>
  <c r="N141" i="58"/>
  <c r="O376" i="58"/>
  <c r="AJ373" i="58"/>
  <c r="AE280" i="58"/>
  <c r="AJ378" i="58"/>
  <c r="AJ355" i="58"/>
  <c r="Q227" i="58"/>
  <c r="Q365" i="58"/>
  <c r="L283" i="58"/>
  <c r="O283" i="58" s="1"/>
  <c r="N218" i="58"/>
  <c r="N24" i="58" s="1"/>
  <c r="U24" i="58" s="1"/>
  <c r="L290" i="58"/>
  <c r="O290" i="58" s="1"/>
  <c r="N296" i="58"/>
  <c r="N47" i="46"/>
  <c r="R47" i="46" s="1"/>
  <c r="N49" i="46"/>
  <c r="R204" i="56"/>
  <c r="K195" i="56"/>
  <c r="R195" i="56" s="1"/>
  <c r="K28" i="19"/>
  <c r="R28" i="19" s="1"/>
  <c r="H13" i="40"/>
  <c r="K68" i="56"/>
  <c r="R68" i="56" s="1"/>
  <c r="K53" i="19"/>
  <c r="R53" i="19" s="1"/>
  <c r="K47" i="46" s="1"/>
  <c r="K190" i="56"/>
  <c r="R190" i="56" s="1"/>
  <c r="N48" i="46"/>
  <c r="M24" i="58"/>
  <c r="P218" i="58"/>
  <c r="L139" i="58"/>
  <c r="O284" i="58"/>
  <c r="O139" i="58" s="1"/>
  <c r="F139" i="58" s="1"/>
  <c r="L218" i="58"/>
  <c r="O355" i="58"/>
  <c r="M74" i="58"/>
  <c r="P248" i="58"/>
  <c r="M62" i="58"/>
  <c r="P241" i="58"/>
  <c r="AD38" i="58"/>
  <c r="AM38" i="58" s="1"/>
  <c r="U38" i="58"/>
  <c r="Q38" i="58" s="1"/>
  <c r="H38" i="58" s="1"/>
  <c r="L141" i="58"/>
  <c r="O286" i="58"/>
  <c r="O141" i="58" s="1"/>
  <c r="F141" i="58" s="1"/>
  <c r="H138" i="58"/>
  <c r="L213" i="58"/>
  <c r="O350" i="58"/>
  <c r="M38" i="58"/>
  <c r="P227" i="58"/>
  <c r="L142" i="58"/>
  <c r="O287" i="58"/>
  <c r="O142" i="58" s="1"/>
  <c r="F142" i="58" s="1"/>
  <c r="L248" i="58"/>
  <c r="O389" i="58"/>
  <c r="L234" i="58"/>
  <c r="O373" i="58"/>
  <c r="L241" i="58"/>
  <c r="O381" i="58"/>
  <c r="N59" i="58"/>
  <c r="U59" i="58" s="1"/>
  <c r="Q59" i="58" s="1"/>
  <c r="H59" i="58" s="1"/>
  <c r="Q238" i="58"/>
  <c r="N248" i="58"/>
  <c r="Q389" i="58"/>
  <c r="M50" i="58"/>
  <c r="P234" i="58"/>
  <c r="P238" i="58"/>
  <c r="M59" i="58"/>
  <c r="T59" i="58" s="1"/>
  <c r="P59" i="58" s="1"/>
  <c r="G59" i="58" s="1"/>
  <c r="Q213" i="58"/>
  <c r="L146" i="58"/>
  <c r="O291" i="58"/>
  <c r="O146" i="58" s="1"/>
  <c r="F146" i="58" s="1"/>
  <c r="P213" i="58"/>
  <c r="N234" i="58"/>
  <c r="Q373" i="58"/>
  <c r="P138" i="58"/>
  <c r="AG280" i="58"/>
  <c r="N62" i="58"/>
  <c r="Q241" i="58"/>
  <c r="AE281" i="58"/>
  <c r="Q290" i="58"/>
  <c r="N145" i="58"/>
  <c r="L238" i="58"/>
  <c r="O378" i="58"/>
  <c r="K63" i="19"/>
  <c r="R226" i="19"/>
  <c r="K78" i="19"/>
  <c r="R236" i="19"/>
  <c r="K79" i="19"/>
  <c r="R237" i="19"/>
  <c r="K47" i="19"/>
  <c r="R215" i="19"/>
  <c r="K61" i="19"/>
  <c r="R224" i="19"/>
  <c r="K77" i="19"/>
  <c r="R235" i="19"/>
  <c r="AA349" i="19"/>
  <c r="P35" i="19"/>
  <c r="Q221" i="19"/>
  <c r="J53" i="19"/>
  <c r="AC410" i="56"/>
  <c r="AE410" i="56" s="1"/>
  <c r="R64" i="19"/>
  <c r="Y64" i="19"/>
  <c r="AA346" i="19"/>
  <c r="AA348" i="19"/>
  <c r="P334" i="19"/>
  <c r="I227" i="19"/>
  <c r="Y32" i="19"/>
  <c r="AH32" i="19" s="1"/>
  <c r="R32" i="19"/>
  <c r="AC328" i="56"/>
  <c r="AA316" i="19"/>
  <c r="AA315" i="19"/>
  <c r="Q227" i="19"/>
  <c r="J64" i="19"/>
  <c r="R215" i="56"/>
  <c r="K60" i="56"/>
  <c r="AC308" i="56"/>
  <c r="AC317" i="56"/>
  <c r="J47" i="19"/>
  <c r="Q215" i="19"/>
  <c r="AA333" i="19"/>
  <c r="J49" i="19"/>
  <c r="Q217" i="19"/>
  <c r="AA334" i="19"/>
  <c r="N65" i="46"/>
  <c r="R65" i="46" s="1"/>
  <c r="AC324" i="56"/>
  <c r="N66" i="46"/>
  <c r="P84" i="19"/>
  <c r="Q233" i="19"/>
  <c r="J75" i="19"/>
  <c r="AG303" i="56"/>
  <c r="I303" i="56"/>
  <c r="Q308" i="56"/>
  <c r="J195" i="56"/>
  <c r="Q204" i="56"/>
  <c r="J44" i="56"/>
  <c r="P20" i="19"/>
  <c r="P243" i="19"/>
  <c r="S243" i="19" s="1"/>
  <c r="I85" i="19"/>
  <c r="P85" i="19" s="1"/>
  <c r="K31" i="46" s="1"/>
  <c r="P328" i="19"/>
  <c r="I221" i="19"/>
  <c r="AA342" i="19"/>
  <c r="J61" i="19"/>
  <c r="Q224" i="19"/>
  <c r="Q81" i="19"/>
  <c r="P238" i="19"/>
  <c r="S238" i="19" s="1"/>
  <c r="I80" i="19"/>
  <c r="P312" i="19"/>
  <c r="I205" i="19"/>
  <c r="I81" i="19"/>
  <c r="P239" i="19"/>
  <c r="S239" i="19" s="1"/>
  <c r="P83" i="19"/>
  <c r="I236" i="19"/>
  <c r="P343" i="19"/>
  <c r="AG308" i="56"/>
  <c r="I308" i="56"/>
  <c r="L67" i="49"/>
  <c r="Z67" i="50"/>
  <c r="AG328" i="56"/>
  <c r="I328" i="56"/>
  <c r="J63" i="19"/>
  <c r="Q226" i="19"/>
  <c r="AA305" i="19"/>
  <c r="AA350" i="19"/>
  <c r="AA328" i="19"/>
  <c r="Q218" i="56"/>
  <c r="J68" i="56"/>
  <c r="Q328" i="56"/>
  <c r="J215" i="56"/>
  <c r="AA345" i="19"/>
  <c r="AA312" i="19"/>
  <c r="I226" i="19"/>
  <c r="P333" i="19"/>
  <c r="R211" i="56"/>
  <c r="K56" i="56"/>
  <c r="R56" i="56" s="1"/>
  <c r="P50" i="19"/>
  <c r="AG324" i="56"/>
  <c r="I324" i="56"/>
  <c r="Q205" i="19"/>
  <c r="J32" i="19"/>
  <c r="AA325" i="19"/>
  <c r="AC303" i="56"/>
  <c r="AA343" i="19"/>
  <c r="AG331" i="56"/>
  <c r="I331" i="56"/>
  <c r="I218" i="56" s="1"/>
  <c r="I235" i="19"/>
  <c r="P342" i="19"/>
  <c r="Q212" i="19"/>
  <c r="J44" i="19"/>
  <c r="Q44" i="19" s="1"/>
  <c r="AA347" i="19"/>
  <c r="P19" i="19"/>
  <c r="AA322" i="19"/>
  <c r="AA337" i="19"/>
  <c r="Q201" i="19"/>
  <c r="J13" i="40" s="1"/>
  <c r="J28" i="19"/>
  <c r="Q28" i="19" s="1"/>
  <c r="AA331" i="19"/>
  <c r="AA324" i="19"/>
  <c r="Q80" i="19"/>
  <c r="J79" i="19"/>
  <c r="Q237" i="19"/>
  <c r="AC331" i="56"/>
  <c r="J77" i="19"/>
  <c r="Q235" i="19"/>
  <c r="P82" i="19"/>
  <c r="P340" i="19"/>
  <c r="I233" i="19"/>
  <c r="AA344" i="19"/>
  <c r="AA304" i="19"/>
  <c r="P67" i="19"/>
  <c r="P308" i="19"/>
  <c r="I201" i="19"/>
  <c r="P319" i="19"/>
  <c r="I212" i="19"/>
  <c r="I217" i="19"/>
  <c r="P324" i="19"/>
  <c r="J78" i="19"/>
  <c r="Q236" i="19"/>
  <c r="AA340" i="19"/>
  <c r="I215" i="19"/>
  <c r="P322" i="19"/>
  <c r="Q324" i="56"/>
  <c r="J211" i="56"/>
  <c r="AA308" i="19"/>
  <c r="AA319" i="19"/>
  <c r="I224" i="19"/>
  <c r="P331" i="19"/>
  <c r="P36" i="19"/>
  <c r="AG317" i="56"/>
  <c r="I317" i="56"/>
  <c r="I204" i="56" s="1"/>
  <c r="Y49" i="19"/>
  <c r="AH49" i="19" s="1"/>
  <c r="AK49" i="19" s="1"/>
  <c r="R49" i="19"/>
  <c r="Q303" i="56"/>
  <c r="J190" i="56"/>
  <c r="I237" i="19"/>
  <c r="P344" i="19"/>
  <c r="N46" i="46"/>
  <c r="R44" i="56"/>
  <c r="I46" i="62" l="1"/>
  <c r="O365" i="58"/>
  <c r="AH280" i="58"/>
  <c r="H37" i="62"/>
  <c r="J35" i="62"/>
  <c r="J46" i="62"/>
  <c r="J37" i="62"/>
  <c r="I41" i="62"/>
  <c r="J41" i="62"/>
  <c r="J50" i="62"/>
  <c r="I52" i="62"/>
  <c r="O285" i="58"/>
  <c r="O140" i="58" s="1"/>
  <c r="F140" i="58" s="1"/>
  <c r="AC280" i="58"/>
  <c r="L138" i="58"/>
  <c r="Q218" i="58"/>
  <c r="P296" i="58"/>
  <c r="P145" i="58"/>
  <c r="G145" i="58" s="1"/>
  <c r="N151" i="58"/>
  <c r="Q24" i="58"/>
  <c r="H24" i="58" s="1"/>
  <c r="L296" i="58"/>
  <c r="AC281" i="58"/>
  <c r="L145" i="58"/>
  <c r="W27" i="54"/>
  <c r="J27" i="54" s="1"/>
  <c r="K30" i="56"/>
  <c r="R30" i="56" s="1"/>
  <c r="W23" i="54"/>
  <c r="J23" i="54" s="1"/>
  <c r="Y53" i="19"/>
  <c r="AH53" i="19" s="1"/>
  <c r="AK53" i="19" s="1"/>
  <c r="W12" i="54"/>
  <c r="J12" i="54" s="1"/>
  <c r="O49" i="46"/>
  <c r="R49" i="46" s="1"/>
  <c r="N67" i="46"/>
  <c r="N50" i="46"/>
  <c r="K20" i="56"/>
  <c r="K81" i="56" s="1"/>
  <c r="R81" i="56" s="1"/>
  <c r="K86" i="19"/>
  <c r="AD62" i="58"/>
  <c r="AM62" i="58" s="1"/>
  <c r="U62" i="58"/>
  <c r="Q62" i="58" s="1"/>
  <c r="AC62" i="58"/>
  <c r="T62" i="58"/>
  <c r="P62" i="58" s="1"/>
  <c r="AC74" i="58"/>
  <c r="AL74" i="58" s="1"/>
  <c r="T74" i="58"/>
  <c r="P74" i="58" s="1"/>
  <c r="AC38" i="58"/>
  <c r="T38" i="58"/>
  <c r="P38" i="58" s="1"/>
  <c r="AP38" i="58"/>
  <c r="L59" i="58"/>
  <c r="S59" i="58" s="1"/>
  <c r="O59" i="58" s="1"/>
  <c r="F59" i="58" s="1"/>
  <c r="O238" i="58"/>
  <c r="V238" i="58" s="1"/>
  <c r="N74" i="58"/>
  <c r="Q248" i="58"/>
  <c r="AS38" i="58"/>
  <c r="AV38" i="58" s="1"/>
  <c r="AG38" i="58"/>
  <c r="L24" i="58"/>
  <c r="O218" i="58"/>
  <c r="L50" i="58"/>
  <c r="O234" i="58"/>
  <c r="O213" i="58"/>
  <c r="O138" i="58"/>
  <c r="O145" i="58"/>
  <c r="F145" i="58" s="1"/>
  <c r="AF281" i="58"/>
  <c r="G138" i="58"/>
  <c r="AC50" i="58"/>
  <c r="AL50" i="58" s="1"/>
  <c r="T50" i="58"/>
  <c r="P50" i="58" s="1"/>
  <c r="G50" i="58" s="1"/>
  <c r="O248" i="58"/>
  <c r="L74" i="58"/>
  <c r="O227" i="58"/>
  <c r="V227" i="58" s="1"/>
  <c r="L38" i="58"/>
  <c r="Q145" i="58"/>
  <c r="AH281" i="58"/>
  <c r="Q296" i="58"/>
  <c r="N50" i="58"/>
  <c r="Q234" i="58"/>
  <c r="L62" i="58"/>
  <c r="O241" i="58"/>
  <c r="V241" i="58" s="1"/>
  <c r="M98" i="58"/>
  <c r="P24" i="58"/>
  <c r="G24" i="58" s="1"/>
  <c r="T24" i="58"/>
  <c r="R77" i="19"/>
  <c r="Y79" i="19"/>
  <c r="R79" i="19"/>
  <c r="R61" i="19"/>
  <c r="R78" i="19"/>
  <c r="Y47" i="19"/>
  <c r="R47" i="19"/>
  <c r="R63" i="19"/>
  <c r="Y63" i="19"/>
  <c r="Y70" i="19" s="1"/>
  <c r="Q77" i="19"/>
  <c r="J86" i="19"/>
  <c r="Q75" i="19"/>
  <c r="I28" i="19"/>
  <c r="P28" i="19" s="1"/>
  <c r="P201" i="19"/>
  <c r="P80" i="19"/>
  <c r="X64" i="19"/>
  <c r="Q64" i="19"/>
  <c r="F58" i="34"/>
  <c r="I64" i="19"/>
  <c r="P227" i="19"/>
  <c r="S227" i="19" s="1"/>
  <c r="X53" i="19"/>
  <c r="AG53" i="19" s="1"/>
  <c r="AJ53" i="19" s="1"/>
  <c r="Q53" i="19"/>
  <c r="K65" i="46" s="1"/>
  <c r="I49" i="19"/>
  <c r="P217" i="19"/>
  <c r="S217" i="19" s="1"/>
  <c r="X79" i="19"/>
  <c r="Q79" i="19"/>
  <c r="I77" i="19"/>
  <c r="P235" i="19"/>
  <c r="S235" i="19" s="1"/>
  <c r="H30" i="7"/>
  <c r="Q32" i="19"/>
  <c r="X32" i="19"/>
  <c r="AG32" i="19" s="1"/>
  <c r="F38" i="34"/>
  <c r="I63" i="19"/>
  <c r="P226" i="19"/>
  <c r="S226" i="19" s="1"/>
  <c r="W13" i="54"/>
  <c r="J13" i="54" s="1"/>
  <c r="P328" i="56"/>
  <c r="I215" i="56"/>
  <c r="Q78" i="19"/>
  <c r="Q68" i="56"/>
  <c r="Z31" i="50"/>
  <c r="L31" i="49"/>
  <c r="L104" i="49" s="1"/>
  <c r="L146" i="49" s="1"/>
  <c r="P303" i="56"/>
  <c r="I190" i="56"/>
  <c r="Q211" i="56"/>
  <c r="J56" i="56"/>
  <c r="Q56" i="56" s="1"/>
  <c r="P233" i="19"/>
  <c r="S233" i="19" s="1"/>
  <c r="I75" i="19"/>
  <c r="L47" i="49"/>
  <c r="Z47" i="50"/>
  <c r="W7" i="54"/>
  <c r="J7" i="54" s="1"/>
  <c r="P218" i="56"/>
  <c r="S218" i="56" s="1"/>
  <c r="I68" i="56"/>
  <c r="AB64" i="19"/>
  <c r="N64" i="46"/>
  <c r="W28" i="54"/>
  <c r="J28" i="54" s="1"/>
  <c r="P81" i="19"/>
  <c r="Q190" i="56"/>
  <c r="J20" i="56"/>
  <c r="P324" i="56"/>
  <c r="I211" i="56"/>
  <c r="R60" i="56"/>
  <c r="AA60" i="56"/>
  <c r="Y38" i="19"/>
  <c r="AB32" i="19"/>
  <c r="AN32" i="19"/>
  <c r="P204" i="56"/>
  <c r="S204" i="56" s="1"/>
  <c r="I44" i="56"/>
  <c r="F95" i="34"/>
  <c r="I78" i="19"/>
  <c r="P236" i="19"/>
  <c r="S236" i="19" s="1"/>
  <c r="P205" i="19"/>
  <c r="S205" i="19" s="1"/>
  <c r="I32" i="19"/>
  <c r="Q195" i="56"/>
  <c r="J30" i="56"/>
  <c r="AK32" i="19"/>
  <c r="I47" i="19"/>
  <c r="P215" i="19"/>
  <c r="S215" i="19" s="1"/>
  <c r="N30" i="46"/>
  <c r="P308" i="56"/>
  <c r="I195" i="56"/>
  <c r="Q61" i="19"/>
  <c r="F7" i="34"/>
  <c r="F114" i="34" s="1"/>
  <c r="P221" i="19"/>
  <c r="S221" i="19" s="1"/>
  <c r="I53" i="19"/>
  <c r="Q44" i="56"/>
  <c r="AH64" i="19"/>
  <c r="N29" i="46"/>
  <c r="R29" i="46" s="1"/>
  <c r="F104" i="34"/>
  <c r="G12" i="9"/>
  <c r="I79" i="19"/>
  <c r="P237" i="19"/>
  <c r="S237" i="19" s="1"/>
  <c r="AN49" i="19"/>
  <c r="AB49" i="19"/>
  <c r="AQ49" i="19" s="1"/>
  <c r="I61" i="19"/>
  <c r="P224" i="19"/>
  <c r="S224" i="19" s="1"/>
  <c r="I44" i="19"/>
  <c r="P212" i="19"/>
  <c r="S212" i="19" s="1"/>
  <c r="Q215" i="56"/>
  <c r="J60" i="56"/>
  <c r="X63" i="19"/>
  <c r="AG63" i="19" s="1"/>
  <c r="Q63" i="19"/>
  <c r="O66" i="46"/>
  <c r="R66" i="46" s="1"/>
  <c r="X49" i="19"/>
  <c r="Q49" i="19"/>
  <c r="X47" i="19"/>
  <c r="AG47" i="19" s="1"/>
  <c r="Q47" i="19"/>
  <c r="K50" i="56" l="1"/>
  <c r="J54" i="62"/>
  <c r="N54" i="62" s="1"/>
  <c r="N11" i="62"/>
  <c r="I54" i="62"/>
  <c r="M54" i="62" s="1"/>
  <c r="M11" i="62"/>
  <c r="J26" i="62"/>
  <c r="I53" i="62"/>
  <c r="O46" i="46"/>
  <c r="O48" i="46"/>
  <c r="O296" i="58"/>
  <c r="P151" i="58"/>
  <c r="I29" i="62"/>
  <c r="H35" i="62"/>
  <c r="AF280" i="58"/>
  <c r="J48" i="62"/>
  <c r="I48" i="62"/>
  <c r="I35" i="62"/>
  <c r="I26" i="62"/>
  <c r="I50" i="62"/>
  <c r="I39" i="62"/>
  <c r="H52" i="62"/>
  <c r="H41" i="62"/>
  <c r="J29" i="62"/>
  <c r="H48" i="46"/>
  <c r="W18" i="54"/>
  <c r="J18" i="54" s="1"/>
  <c r="V218" i="58"/>
  <c r="L151" i="58"/>
  <c r="W22" i="54"/>
  <c r="J22" i="54" s="1"/>
  <c r="G151" i="58"/>
  <c r="J53" i="62"/>
  <c r="H49" i="46"/>
  <c r="AN53" i="19"/>
  <c r="R20" i="56"/>
  <c r="AB53" i="19"/>
  <c r="AQ53" i="19" s="1"/>
  <c r="Y54" i="19"/>
  <c r="N31" i="46"/>
  <c r="N68" i="46"/>
  <c r="O64" i="46"/>
  <c r="R64" i="46" s="1"/>
  <c r="O67" i="46"/>
  <c r="R67" i="46" s="1"/>
  <c r="K39" i="56"/>
  <c r="H29" i="7"/>
  <c r="V248" i="58"/>
  <c r="V234" i="58"/>
  <c r="AL51" i="58"/>
  <c r="AO50" i="58"/>
  <c r="AO51" i="58" s="1"/>
  <c r="AD74" i="58"/>
  <c r="AM74" i="58" s="1"/>
  <c r="U74" i="58"/>
  <c r="G38" i="58"/>
  <c r="AC63" i="58"/>
  <c r="AF62" i="58"/>
  <c r="AF63" i="58" s="1"/>
  <c r="O24" i="58"/>
  <c r="F24" i="58" s="1"/>
  <c r="S24" i="58"/>
  <c r="AL38" i="58"/>
  <c r="AO38" i="58" s="1"/>
  <c r="AF38" i="58"/>
  <c r="AL75" i="58"/>
  <c r="AO74" i="58"/>
  <c r="AO75" i="58" s="1"/>
  <c r="H62" i="58"/>
  <c r="AB62" i="58"/>
  <c r="AK62" i="58" s="1"/>
  <c r="S62" i="58"/>
  <c r="O62" i="58" s="1"/>
  <c r="O151" i="58"/>
  <c r="F138" i="58"/>
  <c r="F151" i="58" s="1"/>
  <c r="G74" i="58"/>
  <c r="AM63" i="58"/>
  <c r="AP62" i="58"/>
  <c r="AP63" i="58" s="1"/>
  <c r="AC75" i="58"/>
  <c r="AF74" i="58"/>
  <c r="AF75" i="58" s="1"/>
  <c r="AR74" i="58"/>
  <c r="AR75" i="58" s="1"/>
  <c r="AD63" i="58"/>
  <c r="AG62" i="58"/>
  <c r="AG63" i="58" s="1"/>
  <c r="AS62" i="58"/>
  <c r="AS63" i="58" s="1"/>
  <c r="P98" i="58"/>
  <c r="G98" i="58" s="1"/>
  <c r="T98" i="58"/>
  <c r="AD50" i="58"/>
  <c r="AM50" i="58" s="1"/>
  <c r="U50" i="58"/>
  <c r="Q50" i="58" s="1"/>
  <c r="H50" i="58" s="1"/>
  <c r="N98" i="58"/>
  <c r="L98" i="58"/>
  <c r="AB38" i="58"/>
  <c r="S38" i="58"/>
  <c r="O38" i="58" s="1"/>
  <c r="F38" i="58" s="1"/>
  <c r="S74" i="58"/>
  <c r="O74" i="58" s="1"/>
  <c r="AB74" i="58"/>
  <c r="AK74" i="58" s="1"/>
  <c r="AC51" i="58"/>
  <c r="AF50" i="58"/>
  <c r="AF51" i="58" s="1"/>
  <c r="AR50" i="58"/>
  <c r="AR51" i="58" s="1"/>
  <c r="AB50" i="58"/>
  <c r="AK50" i="58" s="1"/>
  <c r="S50" i="58"/>
  <c r="O50" i="58" s="1"/>
  <c r="F50" i="58" s="1"/>
  <c r="G62" i="58"/>
  <c r="H145" i="58"/>
  <c r="H151" i="58" s="1"/>
  <c r="Q151" i="58"/>
  <c r="AL62" i="58"/>
  <c r="AB63" i="19"/>
  <c r="AB70" i="19" s="1"/>
  <c r="AH47" i="19"/>
  <c r="AK47" i="19" s="1"/>
  <c r="AB47" i="19"/>
  <c r="AH79" i="19"/>
  <c r="AN79" i="19" s="1"/>
  <c r="AN86" i="19" s="1"/>
  <c r="AB79" i="19"/>
  <c r="AB86" i="19" s="1"/>
  <c r="Y86" i="19"/>
  <c r="AB38" i="19"/>
  <c r="R86" i="19"/>
  <c r="AH63" i="19"/>
  <c r="AK63" i="19" s="1"/>
  <c r="AJ63" i="19"/>
  <c r="X23" i="54"/>
  <c r="K23" i="54" s="1"/>
  <c r="P195" i="56"/>
  <c r="S195" i="56" s="1"/>
  <c r="I30" i="56"/>
  <c r="J39" i="56"/>
  <c r="Q30" i="56"/>
  <c r="G30" i="7"/>
  <c r="W53" i="19"/>
  <c r="AF53" i="19" s="1"/>
  <c r="AI53" i="19" s="1"/>
  <c r="P53" i="19"/>
  <c r="K29" i="46" s="1"/>
  <c r="P68" i="56"/>
  <c r="AA64" i="19"/>
  <c r="AK64" i="19"/>
  <c r="P190" i="56"/>
  <c r="S190" i="56" s="1"/>
  <c r="I20" i="56"/>
  <c r="C63" i="37"/>
  <c r="P77" i="19"/>
  <c r="X86" i="19"/>
  <c r="AA79" i="19"/>
  <c r="AA86" i="19" s="1"/>
  <c r="W49" i="19"/>
  <c r="P49" i="19"/>
  <c r="Q86" i="19"/>
  <c r="G8" i="37"/>
  <c r="C8" i="37"/>
  <c r="C104" i="37" s="1"/>
  <c r="P61" i="19"/>
  <c r="H35" i="36"/>
  <c r="D35" i="36" s="1"/>
  <c r="P44" i="19"/>
  <c r="H26" i="36"/>
  <c r="D26" i="36" s="1"/>
  <c r="C71" i="37"/>
  <c r="P78" i="19"/>
  <c r="C79" i="37"/>
  <c r="W79" i="19"/>
  <c r="AF79" i="19" s="1"/>
  <c r="P79" i="19"/>
  <c r="X18" i="54"/>
  <c r="K18" i="54" s="1"/>
  <c r="AH38" i="19"/>
  <c r="W32" i="19"/>
  <c r="AF32" i="19" s="1"/>
  <c r="P32" i="19"/>
  <c r="I56" i="56"/>
  <c r="P56" i="56" s="1"/>
  <c r="P211" i="56"/>
  <c r="S211" i="56" s="1"/>
  <c r="AN64" i="19"/>
  <c r="C27" i="37"/>
  <c r="W63" i="19"/>
  <c r="AF63" i="19" s="1"/>
  <c r="P63" i="19"/>
  <c r="AG79" i="19"/>
  <c r="AM79" i="19" s="1"/>
  <c r="C36" i="37"/>
  <c r="W64" i="19"/>
  <c r="AF64" i="19" s="1"/>
  <c r="AI64" i="19" s="1"/>
  <c r="P64" i="19"/>
  <c r="G11" i="13"/>
  <c r="H11" i="13" s="1"/>
  <c r="D11" i="13" s="1"/>
  <c r="H12" i="9"/>
  <c r="AK38" i="19"/>
  <c r="X22" i="54"/>
  <c r="K22" i="54" s="1"/>
  <c r="H66" i="46"/>
  <c r="C45" i="37"/>
  <c r="I86" i="19"/>
  <c r="P75" i="19"/>
  <c r="X70" i="19"/>
  <c r="AA63" i="19"/>
  <c r="AM63" i="19"/>
  <c r="AP63" i="19" s="1"/>
  <c r="P215" i="56"/>
  <c r="S215" i="56" s="1"/>
  <c r="I60" i="56"/>
  <c r="N28" i="46"/>
  <c r="P44" i="56"/>
  <c r="AA61" i="56"/>
  <c r="AD60" i="56"/>
  <c r="AD61" i="56" s="1"/>
  <c r="X38" i="19"/>
  <c r="AM32" i="19"/>
  <c r="AA32" i="19"/>
  <c r="X28" i="54"/>
  <c r="K28" i="54" s="1"/>
  <c r="G29" i="7"/>
  <c r="AJ32" i="19"/>
  <c r="H67" i="46"/>
  <c r="X27" i="54"/>
  <c r="K27" i="54" s="1"/>
  <c r="AA49" i="19"/>
  <c r="X7" i="54"/>
  <c r="K7" i="54" s="1"/>
  <c r="W47" i="19"/>
  <c r="P47" i="19"/>
  <c r="AQ32" i="19"/>
  <c r="X13" i="54"/>
  <c r="K13" i="54" s="1"/>
  <c r="L65" i="49"/>
  <c r="Z65" i="50"/>
  <c r="S201" i="19"/>
  <c r="I13" i="40"/>
  <c r="Z60" i="56"/>
  <c r="Q60" i="56"/>
  <c r="X12" i="54"/>
  <c r="K12" i="54" s="1"/>
  <c r="AJ47" i="19"/>
  <c r="O30" i="46"/>
  <c r="R30" i="46" s="1"/>
  <c r="X54" i="19"/>
  <c r="AA47" i="19"/>
  <c r="AM47" i="19"/>
  <c r="AG49" i="19"/>
  <c r="AJ49" i="19" s="1"/>
  <c r="J50" i="56"/>
  <c r="AJ60" i="56"/>
  <c r="AP60" i="56" s="1"/>
  <c r="Q20" i="56"/>
  <c r="J81" i="56"/>
  <c r="Q81" i="56" s="1"/>
  <c r="AM53" i="19"/>
  <c r="AA53" i="19"/>
  <c r="AP53" i="19" s="1"/>
  <c r="AG64" i="19"/>
  <c r="AJ64" i="19" s="1"/>
  <c r="R46" i="46" l="1"/>
  <c r="H54" i="62"/>
  <c r="L54" i="62" s="1"/>
  <c r="R54" i="62" s="1"/>
  <c r="L11" i="62"/>
  <c r="O50" i="46"/>
  <c r="F50" i="46" s="1"/>
  <c r="R48" i="46"/>
  <c r="H53" i="62"/>
  <c r="H26" i="62"/>
  <c r="H29" i="62"/>
  <c r="H50" i="62"/>
  <c r="H46" i="62"/>
  <c r="H48" i="62"/>
  <c r="H39" i="62"/>
  <c r="N10" i="62"/>
  <c r="H64" i="46"/>
  <c r="H94" i="46" s="1"/>
  <c r="M10" i="62"/>
  <c r="H46" i="46"/>
  <c r="H93" i="46" s="1"/>
  <c r="R39" i="56"/>
  <c r="AB54" i="19"/>
  <c r="N32" i="46"/>
  <c r="O28" i="46"/>
  <c r="O31" i="46"/>
  <c r="R31" i="46" s="1"/>
  <c r="O68" i="46"/>
  <c r="F68" i="46" s="1"/>
  <c r="AH54" i="19"/>
  <c r="AK54" i="19"/>
  <c r="AR38" i="58"/>
  <c r="AU38" i="58" s="1"/>
  <c r="AA70" i="19"/>
  <c r="AH70" i="19"/>
  <c r="P86" i="19"/>
  <c r="S86" i="19" s="1"/>
  <c r="AK70" i="19"/>
  <c r="AV62" i="58"/>
  <c r="AV63" i="58" s="1"/>
  <c r="AM51" i="58"/>
  <c r="AP50" i="58"/>
  <c r="AP51" i="58" s="1"/>
  <c r="AU50" i="58"/>
  <c r="AU51" i="58" s="1"/>
  <c r="O98" i="58"/>
  <c r="F98" i="58" s="1"/>
  <c r="S98" i="58"/>
  <c r="AK63" i="58"/>
  <c r="AN62" i="58"/>
  <c r="AN63" i="58" s="1"/>
  <c r="AK51" i="58"/>
  <c r="AN50" i="58"/>
  <c r="AN51" i="58" s="1"/>
  <c r="U98" i="58"/>
  <c r="Q98" i="58"/>
  <c r="H98" i="58" s="1"/>
  <c r="AB63" i="58"/>
  <c r="AE62" i="58"/>
  <c r="AE63" i="58" s="1"/>
  <c r="AQ62" i="58"/>
  <c r="AQ63" i="58" s="1"/>
  <c r="AB51" i="58"/>
  <c r="AQ50" i="58"/>
  <c r="AQ51" i="58" s="1"/>
  <c r="AE50" i="58"/>
  <c r="AE51" i="58" s="1"/>
  <c r="AR62" i="58"/>
  <c r="AL63" i="58"/>
  <c r="AO62" i="58"/>
  <c r="AO63" i="58" s="1"/>
  <c r="AK75" i="58"/>
  <c r="AN74" i="58"/>
  <c r="AN75" i="58" s="1"/>
  <c r="AD51" i="58"/>
  <c r="AG50" i="58"/>
  <c r="AG51" i="58" s="1"/>
  <c r="AS50" i="58"/>
  <c r="AS51" i="58" s="1"/>
  <c r="AB75" i="58"/>
  <c r="AE74" i="58"/>
  <c r="AE75" i="58" s="1"/>
  <c r="AQ74" i="58"/>
  <c r="AQ75" i="58" s="1"/>
  <c r="AU74" i="58"/>
  <c r="AU75" i="58" s="1"/>
  <c r="AM75" i="58"/>
  <c r="AP74" i="58"/>
  <c r="AP75" i="58" s="1"/>
  <c r="F74" i="58"/>
  <c r="Q74" i="58"/>
  <c r="AK38" i="58"/>
  <c r="AN38" i="58" s="1"/>
  <c r="AE38" i="58"/>
  <c r="F62" i="58"/>
  <c r="AD75" i="58"/>
  <c r="AG74" i="58"/>
  <c r="AG75" i="58" s="1"/>
  <c r="AS74" i="58"/>
  <c r="AS75" i="58" s="1"/>
  <c r="AA38" i="19"/>
  <c r="AQ47" i="19"/>
  <c r="AN38" i="19"/>
  <c r="Q50" i="56"/>
  <c r="AN63" i="19"/>
  <c r="AQ63" i="19" s="1"/>
  <c r="AP49" i="19"/>
  <c r="AQ79" i="19"/>
  <c r="AQ86" i="19" s="1"/>
  <c r="AK79" i="19"/>
  <c r="AK86" i="19" s="1"/>
  <c r="AH86" i="19"/>
  <c r="AG54" i="19"/>
  <c r="AJ54" i="19"/>
  <c r="AN47" i="19"/>
  <c r="AN54" i="19" s="1"/>
  <c r="AP61" i="56"/>
  <c r="AS60" i="56"/>
  <c r="AS61" i="56" s="1"/>
  <c r="AI32" i="19"/>
  <c r="AM86" i="19"/>
  <c r="AP79" i="19"/>
  <c r="AP86" i="19" s="1"/>
  <c r="P20" i="56"/>
  <c r="I81" i="56"/>
  <c r="P81" i="56" s="1"/>
  <c r="AL64" i="19"/>
  <c r="AO64" i="19" s="1"/>
  <c r="Z64" i="19"/>
  <c r="I39" i="56"/>
  <c r="P30" i="56"/>
  <c r="V18" i="54"/>
  <c r="AA54" i="19"/>
  <c r="AP32" i="19"/>
  <c r="F29" i="7"/>
  <c r="I29" i="7" s="1"/>
  <c r="Z29" i="50"/>
  <c r="L29" i="49"/>
  <c r="L100" i="49" s="1"/>
  <c r="L142" i="49" s="1"/>
  <c r="AP47" i="19"/>
  <c r="W54" i="19"/>
  <c r="Z47" i="19"/>
  <c r="AM49" i="19"/>
  <c r="AM54" i="19" s="1"/>
  <c r="V7" i="54"/>
  <c r="V12" i="54"/>
  <c r="AM64" i="19"/>
  <c r="AP64" i="19" s="1"/>
  <c r="AP70" i="19" s="1"/>
  <c r="AF47" i="19"/>
  <c r="W70" i="19"/>
  <c r="AL63" i="19"/>
  <c r="Z63" i="19"/>
  <c r="AL53" i="19"/>
  <c r="Z53" i="19"/>
  <c r="AO53" i="19" s="1"/>
  <c r="F30" i="7"/>
  <c r="I30" i="7" s="1"/>
  <c r="AI63" i="19"/>
  <c r="AI70" i="19" s="1"/>
  <c r="AF70" i="19"/>
  <c r="AQ64" i="19"/>
  <c r="G25" i="7"/>
  <c r="AF86" i="19"/>
  <c r="AI79" i="19"/>
  <c r="AI86" i="19" s="1"/>
  <c r="Q39" i="56"/>
  <c r="AJ70" i="19"/>
  <c r="H31" i="46"/>
  <c r="V27" i="54"/>
  <c r="AJ38" i="19"/>
  <c r="V28" i="54"/>
  <c r="AJ79" i="19"/>
  <c r="AJ86" i="19" s="1"/>
  <c r="AG86" i="19"/>
  <c r="W38" i="19"/>
  <c r="Z32" i="19"/>
  <c r="AL32" i="19"/>
  <c r="AO32" i="19" s="1"/>
  <c r="Z49" i="19"/>
  <c r="H30" i="46"/>
  <c r="V22" i="54"/>
  <c r="AG70" i="19"/>
  <c r="AM60" i="56"/>
  <c r="AM61" i="56" s="1"/>
  <c r="AJ61" i="56"/>
  <c r="Z61" i="56"/>
  <c r="AC60" i="56"/>
  <c r="AC61" i="56" s="1"/>
  <c r="AI60" i="56"/>
  <c r="AO60" i="56" s="1"/>
  <c r="AO61" i="56" s="1"/>
  <c r="AG38" i="19"/>
  <c r="I50" i="56"/>
  <c r="Y60" i="56"/>
  <c r="AH60" i="56" s="1"/>
  <c r="P60" i="56"/>
  <c r="V23" i="54"/>
  <c r="W86" i="19"/>
  <c r="Z79" i="19"/>
  <c r="Z86" i="19" s="1"/>
  <c r="AL79" i="19"/>
  <c r="AL86" i="19" s="1"/>
  <c r="AF49" i="19"/>
  <c r="AI49" i="19" s="1"/>
  <c r="V13" i="54"/>
  <c r="P546" i="55" l="1"/>
  <c r="P425" i="55" s="1"/>
  <c r="L10" i="62"/>
  <c r="H28" i="46"/>
  <c r="H92" i="46" s="1"/>
  <c r="H95" i="46" s="1"/>
  <c r="O32" i="46"/>
  <c r="F32" i="46" s="1"/>
  <c r="R28" i="46"/>
  <c r="AM70" i="19"/>
  <c r="AQ54" i="19"/>
  <c r="Z38" i="19"/>
  <c r="P50" i="56"/>
  <c r="S50" i="56" s="1"/>
  <c r="AP54" i="19"/>
  <c r="AT62" i="58"/>
  <c r="AT63" i="58" s="1"/>
  <c r="Z70" i="19"/>
  <c r="AT50" i="58"/>
  <c r="AT51" i="58" s="1"/>
  <c r="AQ38" i="58"/>
  <c r="AT38" i="58" s="1"/>
  <c r="AT74" i="58"/>
  <c r="AT75" i="58" s="1"/>
  <c r="H74" i="58"/>
  <c r="AV74" i="58"/>
  <c r="AV75" i="58" s="1"/>
  <c r="AV50" i="58"/>
  <c r="AV51" i="58" s="1"/>
  <c r="AR63" i="58"/>
  <c r="AU62" i="58"/>
  <c r="AU63" i="58" s="1"/>
  <c r="AL70" i="19"/>
  <c r="AN70" i="19"/>
  <c r="AQ70" i="19"/>
  <c r="I28" i="54"/>
  <c r="Y28" i="54"/>
  <c r="L28" i="54" s="1"/>
  <c r="AI61" i="56"/>
  <c r="AL60" i="56"/>
  <c r="AL61" i="56" s="1"/>
  <c r="AN60" i="56"/>
  <c r="AN61" i="56" s="1"/>
  <c r="Y61" i="56"/>
  <c r="AB60" i="56"/>
  <c r="AB61" i="56" s="1"/>
  <c r="F25" i="7"/>
  <c r="I25" i="7" s="1"/>
  <c r="I18" i="54"/>
  <c r="Y18" i="54"/>
  <c r="L18" i="54" s="1"/>
  <c r="AL49" i="19"/>
  <c r="AK60" i="56"/>
  <c r="AK61" i="56" s="1"/>
  <c r="AH61" i="56"/>
  <c r="Y22" i="54"/>
  <c r="L22" i="54" s="1"/>
  <c r="I22" i="54"/>
  <c r="AO49" i="19"/>
  <c r="I27" i="54"/>
  <c r="Y27" i="54"/>
  <c r="L27" i="54" s="1"/>
  <c r="I12" i="54"/>
  <c r="Y12" i="54"/>
  <c r="L12" i="54" s="1"/>
  <c r="AO63" i="19"/>
  <c r="AO70" i="19" s="1"/>
  <c r="AI38" i="19"/>
  <c r="Y13" i="54"/>
  <c r="L13" i="54" s="1"/>
  <c r="I13" i="54"/>
  <c r="AR60" i="56"/>
  <c r="AR61" i="56" s="1"/>
  <c r="AO79" i="19"/>
  <c r="AO86" i="19" s="1"/>
  <c r="AF54" i="19"/>
  <c r="AI47" i="19"/>
  <c r="AI54" i="19" s="1"/>
  <c r="Y7" i="54"/>
  <c r="L7" i="54" s="1"/>
  <c r="I7" i="54"/>
  <c r="AL47" i="19"/>
  <c r="AF38" i="19"/>
  <c r="Z54" i="19"/>
  <c r="P39" i="56"/>
  <c r="S39" i="56" s="1"/>
  <c r="W202" i="56" s="1"/>
  <c r="I23" i="54"/>
  <c r="Y23" i="54"/>
  <c r="L23" i="54" s="1"/>
  <c r="AM38" i="19"/>
  <c r="AO47" i="19" l="1"/>
  <c r="AO54" i="19" s="1"/>
  <c r="AL54" i="19"/>
  <c r="AL38" i="19"/>
  <c r="AQ60" i="56"/>
  <c r="AQ61" i="56" s="1"/>
  <c r="H24" i="7"/>
  <c r="H33" i="7" s="1"/>
  <c r="G24" i="7" l="1"/>
  <c r="G33" i="7" s="1"/>
  <c r="O77" i="56" l="1"/>
  <c r="O25" i="56"/>
  <c r="R99" i="58" l="1"/>
  <c r="O96" i="56"/>
  <c r="F24" i="7" l="1"/>
  <c r="I24" i="7" l="1"/>
  <c r="I33" i="7" s="1"/>
  <c r="F33" i="7"/>
  <c r="DM25" i="56" l="1"/>
  <c r="DP25" i="58"/>
  <c r="R25" i="58"/>
  <c r="H25" i="7"/>
  <c r="R50" i="56"/>
  <c r="S766" i="55" l="1"/>
  <c r="S765" i="55"/>
  <c r="U765" i="55"/>
  <c r="U766" i="55"/>
  <c r="T765" i="55"/>
  <c r="T766" i="55"/>
  <c r="Y766" i="55" l="1"/>
  <c r="Y765" i="55"/>
  <c r="AF704" i="55" l="1"/>
  <c r="AF717" i="55"/>
  <c r="H50" i="56" l="1"/>
  <c r="L70" i="19"/>
  <c r="DL21" i="61"/>
  <c r="DP39" i="58"/>
  <c r="DP51" i="58"/>
  <c r="I658" i="60"/>
  <c r="I663" i="60"/>
  <c r="I664" i="60"/>
  <c r="J664" i="60"/>
  <c r="I661" i="60"/>
  <c r="I662" i="60"/>
  <c r="I660" i="60"/>
  <c r="I675" i="60"/>
  <c r="I659" i="60"/>
  <c r="I673" i="60"/>
  <c r="X530" i="60"/>
  <c r="I679" i="60"/>
  <c r="Y530" i="60"/>
  <c r="I677" i="60"/>
  <c r="J677" i="60"/>
  <c r="DS75" i="58"/>
  <c r="DL32" i="61"/>
  <c r="DL54" i="61"/>
  <c r="DL43" i="61"/>
  <c r="DP63" i="58"/>
  <c r="DM72" i="56"/>
  <c r="V18" i="61"/>
  <c r="DM61" i="56"/>
  <c r="G13" i="7" l="1"/>
  <c r="F12" i="7"/>
  <c r="G17" i="7"/>
  <c r="G11" i="7"/>
  <c r="G12" i="7" l="1"/>
  <c r="H17" i="7"/>
  <c r="H11" i="7"/>
  <c r="H13" i="7"/>
  <c r="F13" i="7"/>
  <c r="F17" i="7"/>
  <c r="G18" i="7"/>
  <c r="F18" i="7"/>
  <c r="F11" i="7"/>
  <c r="I12" i="7"/>
  <c r="G21" i="7"/>
  <c r="I11" i="7" l="1"/>
  <c r="I17" i="7"/>
  <c r="H21" i="7"/>
  <c r="I13" i="7"/>
  <c r="I18" i="7"/>
  <c r="F21" i="7"/>
  <c r="I21" i="7" l="1"/>
  <c r="H18" i="7"/>
  <c r="H12" i="7"/>
  <c r="H27" i="66"/>
  <c r="H29" i="66" s="1"/>
  <c r="F29" i="66" s="1"/>
  <c r="I27" i="66"/>
  <c r="I29" i="66" s="1"/>
  <c r="J27" i="66"/>
  <c r="J29" i="66" s="1"/>
  <c r="Z530" i="60"/>
  <c r="G50" i="56"/>
  <c r="E13" i="42"/>
  <c r="T13" i="42" l="1"/>
  <c r="E16" i="42"/>
  <c r="E17" i="42" s="1"/>
  <c r="S17" i="42" s="1"/>
  <c r="K27" i="42" s="1"/>
  <c r="R13" i="42"/>
  <c r="S13" i="42"/>
  <c r="J142" i="69" l="1"/>
  <c r="J108" i="69"/>
  <c r="J124" i="69"/>
  <c r="J150" i="69"/>
  <c r="J121" i="69"/>
  <c r="J135" i="69"/>
  <c r="J110" i="69"/>
  <c r="J134" i="69"/>
  <c r="J123" i="69"/>
  <c r="J143" i="69"/>
  <c r="J120" i="69"/>
  <c r="J136" i="69"/>
  <c r="J144" i="69"/>
  <c r="J152" i="69"/>
  <c r="J119" i="69"/>
  <c r="J109" i="69"/>
  <c r="J133" i="69"/>
  <c r="J141" i="69"/>
  <c r="J149" i="69"/>
  <c r="J151" i="69"/>
  <c r="J122" i="69"/>
  <c r="J370" i="1"/>
  <c r="U678" i="55" s="1"/>
  <c r="J372" i="1"/>
  <c r="U680" i="55" s="1"/>
  <c r="J272" i="1"/>
  <c r="J274" i="1"/>
  <c r="J253" i="1"/>
  <c r="J255" i="1"/>
  <c r="J355" i="1"/>
  <c r="U663" i="55" s="1"/>
  <c r="J353" i="1"/>
  <c r="U661" i="55" s="1"/>
  <c r="J234" i="1"/>
  <c r="J236" i="1"/>
  <c r="J336" i="1"/>
  <c r="U644" i="55" s="1"/>
  <c r="J338" i="1"/>
  <c r="U646" i="55" s="1"/>
  <c r="J210" i="1"/>
  <c r="J317" i="1"/>
  <c r="U625" i="55" s="1"/>
  <c r="J206" i="1"/>
  <c r="J314" i="1"/>
  <c r="U622" i="55" s="1"/>
  <c r="J201" i="1"/>
  <c r="J310" i="1"/>
  <c r="U618" i="55" s="1"/>
  <c r="J367" i="1"/>
  <c r="U675" i="55" s="1"/>
  <c r="J198" i="1"/>
  <c r="J307" i="1"/>
  <c r="U615" i="55" s="1"/>
  <c r="J350" i="1"/>
  <c r="U658" i="55" s="1"/>
  <c r="J364" i="1"/>
  <c r="U672" i="55" s="1"/>
  <c r="J333" i="1"/>
  <c r="U641" i="55" s="1"/>
  <c r="J347" i="1"/>
  <c r="U655" i="55" s="1"/>
  <c r="J270" i="1"/>
  <c r="J330" i="1"/>
  <c r="U638" i="55" s="1"/>
  <c r="J266" i="1"/>
  <c r="J268" i="1"/>
  <c r="J251" i="1"/>
  <c r="J264" i="1"/>
  <c r="J247" i="1"/>
  <c r="J249" i="1"/>
  <c r="J232" i="1"/>
  <c r="J245" i="1"/>
  <c r="J227" i="1"/>
  <c r="J230" i="1"/>
  <c r="J279" i="1"/>
  <c r="J277" i="1"/>
  <c r="J276" i="1"/>
  <c r="J374" i="1"/>
  <c r="U682" i="55" s="1"/>
  <c r="J283" i="69"/>
  <c r="J280" i="69"/>
  <c r="J373" i="1"/>
  <c r="U681" i="55" s="1"/>
  <c r="J292" i="69"/>
  <c r="J375" i="1"/>
  <c r="U683" i="55" s="1"/>
  <c r="J275" i="1"/>
  <c r="J285" i="69"/>
  <c r="J377" i="1"/>
  <c r="U685" i="55" s="1"/>
  <c r="J281" i="69"/>
  <c r="J289" i="69"/>
  <c r="J277" i="69"/>
  <c r="J282" i="69"/>
  <c r="J284" i="69"/>
  <c r="J288" i="69"/>
  <c r="J279" i="69"/>
  <c r="J278" i="69"/>
  <c r="J286" i="69"/>
  <c r="J290" i="69"/>
  <c r="J287" i="69"/>
  <c r="J291" i="69"/>
  <c r="J258" i="1"/>
  <c r="J257" i="1"/>
  <c r="J260" i="1"/>
  <c r="J256" i="1"/>
  <c r="J253" i="69"/>
  <c r="J356" i="1"/>
  <c r="U664" i="55" s="1"/>
  <c r="J360" i="1"/>
  <c r="U668" i="55" s="1"/>
  <c r="J261" i="69"/>
  <c r="J265" i="69"/>
  <c r="J256" i="69"/>
  <c r="J268" i="69"/>
  <c r="J264" i="69"/>
  <c r="J263" i="69"/>
  <c r="J255" i="69"/>
  <c r="J260" i="69"/>
  <c r="J358" i="1"/>
  <c r="U666" i="55" s="1"/>
  <c r="J357" i="1"/>
  <c r="U665" i="55" s="1"/>
  <c r="J266" i="69"/>
  <c r="J254" i="69"/>
  <c r="J267" i="69"/>
  <c r="J262" i="69"/>
  <c r="J257" i="69"/>
  <c r="J259" i="69"/>
  <c r="J258" i="69"/>
  <c r="J238" i="1"/>
  <c r="J240" i="69"/>
  <c r="J341" i="1"/>
  <c r="U649" i="55" s="1"/>
  <c r="J239" i="1"/>
  <c r="J233" i="69"/>
  <c r="J236" i="69"/>
  <c r="J340" i="1"/>
  <c r="U648" i="55" s="1"/>
  <c r="J237" i="1"/>
  <c r="J241" i="1"/>
  <c r="J343" i="1"/>
  <c r="U651" i="55" s="1"/>
  <c r="J232" i="69"/>
  <c r="J339" i="1"/>
  <c r="U647" i="55" s="1"/>
  <c r="J244" i="69"/>
  <c r="J241" i="69"/>
  <c r="J234" i="69"/>
  <c r="J237" i="69"/>
  <c r="J235" i="69"/>
  <c r="J229" i="69"/>
  <c r="J238" i="69"/>
  <c r="J242" i="69"/>
  <c r="J231" i="69"/>
  <c r="J230" i="69"/>
  <c r="J243" i="69"/>
  <c r="J239" i="69"/>
  <c r="J222" i="1"/>
  <c r="J221" i="1"/>
  <c r="J223" i="1"/>
  <c r="J325" i="1"/>
  <c r="U633" i="55" s="1"/>
  <c r="J219" i="69"/>
  <c r="J220" i="69"/>
  <c r="J326" i="1"/>
  <c r="U634" i="55" s="1"/>
  <c r="J217" i="69"/>
  <c r="J218" i="69"/>
  <c r="J323" i="1"/>
  <c r="U631" i="55" s="1"/>
  <c r="J218" i="1"/>
  <c r="J217" i="1"/>
  <c r="J216" i="69"/>
  <c r="J219" i="1"/>
  <c r="J215" i="69"/>
  <c r="J322" i="1"/>
  <c r="U630" i="55" s="1"/>
  <c r="J213" i="69"/>
  <c r="J214" i="69"/>
  <c r="J215" i="1"/>
  <c r="J214" i="1"/>
  <c r="J321" i="1"/>
  <c r="U629" i="55" s="1"/>
  <c r="J216" i="1"/>
  <c r="J209" i="69"/>
  <c r="J210" i="69"/>
  <c r="J320" i="1"/>
  <c r="U628" i="55" s="1"/>
  <c r="J212" i="69"/>
  <c r="J211" i="69"/>
  <c r="J211" i="1"/>
  <c r="J213" i="1"/>
  <c r="J212" i="1"/>
  <c r="J208" i="69"/>
  <c r="J207" i="69"/>
  <c r="J318" i="1"/>
  <c r="U626" i="55" s="1"/>
  <c r="J319" i="1"/>
  <c r="U627" i="55" s="1"/>
  <c r="J205" i="69"/>
  <c r="J206" i="69"/>
  <c r="J193" i="1"/>
  <c r="J301" i="1"/>
  <c r="U609" i="55" s="1"/>
  <c r="J194" i="1"/>
  <c r="J195" i="1"/>
  <c r="J192" i="1"/>
  <c r="J194" i="69"/>
  <c r="J302" i="1"/>
  <c r="U610" i="55" s="1"/>
  <c r="J195" i="69"/>
  <c r="J304" i="1"/>
  <c r="U612" i="55" s="1"/>
  <c r="J303" i="1"/>
  <c r="U611" i="55" s="1"/>
  <c r="J196" i="69"/>
  <c r="J193" i="69"/>
  <c r="J189" i="69"/>
  <c r="J189" i="1"/>
  <c r="J299" i="1"/>
  <c r="U607" i="55" s="1"/>
  <c r="J188" i="1"/>
  <c r="J190" i="1"/>
  <c r="J191" i="1"/>
  <c r="J300" i="1"/>
  <c r="U608" i="55" s="1"/>
  <c r="J298" i="1"/>
  <c r="U606" i="55" s="1"/>
  <c r="J191" i="69"/>
  <c r="J192" i="69"/>
  <c r="J190" i="69"/>
  <c r="J297" i="1"/>
  <c r="U605" i="55" s="1"/>
  <c r="J38" i="69"/>
  <c r="J39" i="69"/>
  <c r="J37" i="69"/>
  <c r="J32" i="69"/>
  <c r="J34" i="69"/>
  <c r="J36" i="69"/>
  <c r="J33" i="69"/>
  <c r="J35" i="69"/>
  <c r="M12" i="1"/>
  <c r="J31" i="69"/>
  <c r="J248" i="69"/>
  <c r="J250" i="1"/>
  <c r="J223" i="69"/>
  <c r="J246" i="1"/>
  <c r="J252" i="69"/>
  <c r="J271" i="69"/>
  <c r="J245" i="69"/>
  <c r="J250" i="69"/>
  <c r="J274" i="69"/>
  <c r="J272" i="69"/>
  <c r="J201" i="69"/>
  <c r="J225" i="69"/>
  <c r="J246" i="69"/>
  <c r="J273" i="69"/>
  <c r="J224" i="69"/>
  <c r="J269" i="69"/>
  <c r="J247" i="69"/>
  <c r="J276" i="69"/>
  <c r="J275" i="69"/>
  <c r="J209" i="1"/>
  <c r="J228" i="69"/>
  <c r="J251" i="69"/>
  <c r="J249" i="69"/>
  <c r="J198" i="69"/>
  <c r="J221" i="69"/>
  <c r="J226" i="69"/>
  <c r="J228" i="1"/>
  <c r="J265" i="1"/>
  <c r="J270" i="69"/>
  <c r="J222" i="69"/>
  <c r="J199" i="1"/>
  <c r="J205" i="1"/>
  <c r="J202" i="69"/>
  <c r="J227" i="69"/>
  <c r="J382" i="1"/>
  <c r="U690" i="55" s="1"/>
  <c r="J309" i="1"/>
  <c r="U617" i="55" s="1"/>
  <c r="J293" i="1"/>
  <c r="J371" i="1"/>
  <c r="U679" i="55" s="1"/>
  <c r="J380" i="1"/>
  <c r="U688" i="55" s="1"/>
  <c r="J365" i="1"/>
  <c r="U673" i="55" s="1"/>
  <c r="J346" i="1"/>
  <c r="U654" i="55" s="1"/>
  <c r="J296" i="1"/>
  <c r="J281" i="1"/>
  <c r="J294" i="1"/>
  <c r="J351" i="1"/>
  <c r="U659" i="55" s="1"/>
  <c r="J369" i="1"/>
  <c r="U677" i="55" s="1"/>
  <c r="J352" i="1"/>
  <c r="U660" i="55" s="1"/>
  <c r="J332" i="1"/>
  <c r="U640" i="55" s="1"/>
  <c r="J308" i="1"/>
  <c r="J363" i="1"/>
  <c r="U671" i="55" s="1"/>
  <c r="J316" i="1"/>
  <c r="U624" i="55" s="1"/>
  <c r="J331" i="1"/>
  <c r="U639" i="55" s="1"/>
  <c r="J292" i="1"/>
  <c r="J452" i="60"/>
  <c r="J564" i="60"/>
  <c r="J484" i="60"/>
  <c r="J497" i="60"/>
  <c r="J507" i="60"/>
  <c r="J311" i="1"/>
  <c r="U619" i="55" s="1"/>
  <c r="J549" i="60"/>
  <c r="J313" i="1"/>
  <c r="U621" i="55" s="1"/>
  <c r="J204" i="69"/>
  <c r="J482" i="60"/>
  <c r="J546" i="60"/>
  <c r="J456" i="60"/>
  <c r="J528" i="60"/>
  <c r="J226" i="1"/>
  <c r="J196" i="1"/>
  <c r="J554" i="60"/>
  <c r="J466" i="60"/>
  <c r="J512" i="60"/>
  <c r="J462" i="60"/>
  <c r="J578" i="60"/>
  <c r="J558" i="60"/>
  <c r="J204" i="1"/>
  <c r="J248" i="1"/>
  <c r="J312" i="1"/>
  <c r="U620" i="55" s="1"/>
  <c r="J459" i="60"/>
  <c r="J538" i="60"/>
  <c r="J566" i="60"/>
  <c r="J187" i="69"/>
  <c r="J527" i="60"/>
  <c r="J335" i="1"/>
  <c r="U643" i="55" s="1"/>
  <c r="J537" i="60"/>
  <c r="J589" i="60"/>
  <c r="J453" i="60"/>
  <c r="J438" i="60"/>
  <c r="J541" i="60"/>
  <c r="J446" i="60"/>
  <c r="J473" i="60"/>
  <c r="J590" i="60"/>
  <c r="J471" i="60"/>
  <c r="J229" i="1"/>
  <c r="J535" i="60"/>
  <c r="J552" i="60"/>
  <c r="J491" i="60"/>
  <c r="J494" i="60"/>
  <c r="J542" i="60"/>
  <c r="J531" i="60"/>
  <c r="J526" i="60"/>
  <c r="J199" i="69"/>
  <c r="J435" i="60"/>
  <c r="J442" i="60"/>
  <c r="J479" i="60"/>
  <c r="J587" i="60"/>
  <c r="J489" i="60"/>
  <c r="J534" i="60"/>
  <c r="J291" i="1"/>
  <c r="J436" i="60"/>
  <c r="J525" i="60"/>
  <c r="J455" i="60"/>
  <c r="J284" i="1"/>
  <c r="J602" i="60"/>
  <c r="J231" i="1"/>
  <c r="J524" i="60"/>
  <c r="J464" i="60"/>
  <c r="J368" i="1"/>
  <c r="U676" i="55" s="1"/>
  <c r="J328" i="1"/>
  <c r="U636" i="55" s="1"/>
  <c r="J315" i="1"/>
  <c r="U623" i="55" s="1"/>
  <c r="J586" i="60"/>
  <c r="J634" i="60"/>
  <c r="J203" i="69"/>
  <c r="J448" i="60"/>
  <c r="J225" i="1"/>
  <c r="J607" i="60"/>
  <c r="J432" i="60"/>
  <c r="J267" i="1"/>
  <c r="J181" i="1"/>
  <c r="J197" i="1"/>
  <c r="J197" i="69"/>
  <c r="J208" i="1"/>
  <c r="J381" i="1"/>
  <c r="U689" i="55" s="1"/>
  <c r="J617" i="60"/>
  <c r="H50" i="1"/>
  <c r="J306" i="1"/>
  <c r="J460" i="60"/>
  <c r="J515" i="60"/>
  <c r="J502" i="60"/>
  <c r="J476" i="60"/>
  <c r="J539" i="60"/>
  <c r="J509" i="60"/>
  <c r="J269" i="1"/>
  <c r="J200" i="69"/>
  <c r="J379" i="1"/>
  <c r="U687" i="55" s="1"/>
  <c r="J282" i="1"/>
  <c r="J437" i="60"/>
  <c r="J188" i="69"/>
  <c r="J532" i="60"/>
  <c r="J235" i="1"/>
  <c r="J606" i="60"/>
  <c r="J354" i="1"/>
  <c r="U662" i="55" s="1"/>
  <c r="J548" i="60"/>
  <c r="J569" i="60"/>
  <c r="J441" i="60"/>
  <c r="J477" i="60"/>
  <c r="J244" i="1"/>
  <c r="J254" i="1"/>
  <c r="J618" i="60"/>
  <c r="J305" i="1"/>
  <c r="J202" i="1"/>
  <c r="J200" i="1"/>
  <c r="H52" i="1"/>
  <c r="J233" i="1"/>
  <c r="J334" i="1"/>
  <c r="U642" i="55" s="1"/>
  <c r="J433" i="60"/>
  <c r="J573" i="60"/>
  <c r="J329" i="1"/>
  <c r="U637" i="55" s="1"/>
  <c r="J349" i="1"/>
  <c r="U657" i="55" s="1"/>
  <c r="J570" i="60"/>
  <c r="J545" i="60"/>
  <c r="J444" i="60"/>
  <c r="J439" i="60"/>
  <c r="J273" i="1"/>
  <c r="J644" i="60"/>
  <c r="J630" i="60"/>
  <c r="J348" i="1"/>
  <c r="U656" i="55" s="1"/>
  <c r="J516" i="60"/>
  <c r="J557" i="60"/>
  <c r="J495" i="60"/>
  <c r="J107" i="69"/>
  <c r="J529" i="60"/>
  <c r="J283" i="1"/>
  <c r="J561" i="60"/>
  <c r="J500" i="60"/>
  <c r="J604" i="60"/>
  <c r="H51" i="1"/>
  <c r="J366" i="1"/>
  <c r="U674" i="55" s="1"/>
  <c r="J345" i="1"/>
  <c r="U653" i="55" s="1"/>
  <c r="H48" i="1"/>
  <c r="M48" i="1" s="1"/>
  <c r="J631" i="60"/>
  <c r="J513" i="60"/>
  <c r="J576" i="60"/>
  <c r="J243" i="1"/>
  <c r="J614" i="60"/>
  <c r="J610" i="60"/>
  <c r="J183" i="1"/>
  <c r="K39" i="42"/>
  <c r="N39" i="42" s="1"/>
  <c r="H127" i="60"/>
  <c r="M127" i="60" s="1"/>
  <c r="P127" i="60" s="1"/>
  <c r="H40" i="1"/>
  <c r="M40" i="1" s="1"/>
  <c r="K33" i="42"/>
  <c r="N33" i="42" s="1"/>
  <c r="J603" i="60"/>
  <c r="J615" i="60"/>
  <c r="J626" i="60"/>
  <c r="K32" i="42"/>
  <c r="N32" i="42" s="1"/>
  <c r="J612" i="60"/>
  <c r="H204" i="60"/>
  <c r="M204" i="60" s="1"/>
  <c r="P204" i="60" s="1"/>
  <c r="H216" i="60"/>
  <c r="M216" i="60" s="1"/>
  <c r="P216" i="60" s="1"/>
  <c r="H41" i="1"/>
  <c r="J362" i="1"/>
  <c r="U670" i="55" s="1"/>
  <c r="J271" i="1"/>
  <c r="J252" i="1"/>
  <c r="H171" i="60"/>
  <c r="J184" i="1"/>
  <c r="H161" i="60"/>
  <c r="M161" i="60" s="1"/>
  <c r="P161" i="60" s="1"/>
  <c r="J187" i="1"/>
  <c r="J203" i="1"/>
  <c r="J609" i="60"/>
  <c r="H49" i="1"/>
  <c r="J263" i="1"/>
  <c r="J337" i="1"/>
  <c r="U645" i="55" s="1"/>
  <c r="H193" i="60"/>
  <c r="M193" i="60" s="1"/>
  <c r="P193" i="60" s="1"/>
  <c r="J295" i="1"/>
  <c r="J182" i="1"/>
  <c r="J622" i="60"/>
  <c r="K31" i="42"/>
  <c r="N31" i="42" s="1"/>
  <c r="J186" i="69"/>
  <c r="H182" i="60"/>
  <c r="M182" i="60" s="1"/>
  <c r="P182" i="60" s="1"/>
  <c r="K34" i="42"/>
  <c r="N34" i="42" s="1"/>
  <c r="J186" i="1"/>
  <c r="H116" i="60"/>
  <c r="J207" i="1"/>
  <c r="J647" i="60"/>
  <c r="J523" i="60"/>
  <c r="H138" i="60"/>
  <c r="M138" i="60" s="1"/>
  <c r="P138" i="60" s="1"/>
  <c r="K38" i="42"/>
  <c r="N38" i="42" s="1"/>
  <c r="H43" i="1"/>
  <c r="K35" i="42"/>
  <c r="N35" i="42" s="1"/>
  <c r="J643" i="60"/>
  <c r="O21" i="63"/>
  <c r="H42" i="1"/>
  <c r="H149" i="60"/>
  <c r="M149" i="60" s="1"/>
  <c r="P149" i="60" s="1"/>
  <c r="J185" i="69"/>
  <c r="J262" i="1"/>
  <c r="J646" i="60"/>
  <c r="J290" i="1"/>
  <c r="H44" i="1"/>
  <c r="J623" i="60"/>
  <c r="J185" i="1"/>
  <c r="T17" i="42"/>
  <c r="L27" i="42" s="1"/>
  <c r="G18" i="42"/>
  <c r="R17" i="42"/>
  <c r="J27" i="42" s="1"/>
  <c r="H18" i="42"/>
  <c r="F18" i="42"/>
  <c r="J157" i="69" l="1"/>
  <c r="I108" i="69"/>
  <c r="I124" i="69"/>
  <c r="I142" i="69"/>
  <c r="I150" i="69"/>
  <c r="I121" i="69"/>
  <c r="I110" i="69"/>
  <c r="I134" i="69"/>
  <c r="I123" i="69"/>
  <c r="I120" i="69"/>
  <c r="I136" i="69"/>
  <c r="I144" i="69"/>
  <c r="I152" i="69"/>
  <c r="I151" i="69"/>
  <c r="I109" i="69"/>
  <c r="I133" i="69"/>
  <c r="I141" i="69"/>
  <c r="I149" i="69"/>
  <c r="I143" i="69"/>
  <c r="I122" i="69"/>
  <c r="I119" i="69"/>
  <c r="I135" i="69"/>
  <c r="K119" i="69"/>
  <c r="K135" i="69"/>
  <c r="K143" i="69"/>
  <c r="K151" i="69"/>
  <c r="K108" i="69"/>
  <c r="K124" i="69"/>
  <c r="K121" i="69"/>
  <c r="K110" i="69"/>
  <c r="K134" i="69"/>
  <c r="K142" i="69"/>
  <c r="K150" i="69"/>
  <c r="K123" i="69"/>
  <c r="K133" i="69"/>
  <c r="K120" i="69"/>
  <c r="K136" i="69"/>
  <c r="K144" i="69"/>
  <c r="K152" i="69"/>
  <c r="K141" i="69"/>
  <c r="K149" i="69"/>
  <c r="K109" i="69"/>
  <c r="K122" i="69"/>
  <c r="I370" i="1"/>
  <c r="I372" i="1"/>
  <c r="K370" i="1"/>
  <c r="T678" i="55" s="1"/>
  <c r="AD678" i="55" s="1"/>
  <c r="G678" i="55" s="1"/>
  <c r="G519" i="55" s="1"/>
  <c r="G397" i="55" s="1"/>
  <c r="G116" i="55" s="1"/>
  <c r="G148" i="55" s="1"/>
  <c r="K372" i="1"/>
  <c r="T680" i="55" s="1"/>
  <c r="I274" i="1"/>
  <c r="I272" i="1"/>
  <c r="K272" i="1"/>
  <c r="K274" i="1"/>
  <c r="K253" i="1"/>
  <c r="K255" i="1"/>
  <c r="K353" i="1"/>
  <c r="T661" i="55" s="1"/>
  <c r="K355" i="1"/>
  <c r="T663" i="55" s="1"/>
  <c r="I255" i="1"/>
  <c r="I253" i="1"/>
  <c r="I353" i="1"/>
  <c r="I355" i="1"/>
  <c r="I236" i="1"/>
  <c r="I234" i="1"/>
  <c r="I336" i="1"/>
  <c r="I338" i="1"/>
  <c r="K236" i="1"/>
  <c r="K234" i="1"/>
  <c r="K338" i="1"/>
  <c r="T646" i="55" s="1"/>
  <c r="K336" i="1"/>
  <c r="T644" i="55" s="1"/>
  <c r="I210" i="1"/>
  <c r="I317" i="1"/>
  <c r="K210" i="1"/>
  <c r="K317" i="1"/>
  <c r="T625" i="55" s="1"/>
  <c r="AD625" i="55" s="1"/>
  <c r="K206" i="1"/>
  <c r="K314" i="1"/>
  <c r="T622" i="55" s="1"/>
  <c r="I206" i="1"/>
  <c r="I314" i="1"/>
  <c r="I201" i="1"/>
  <c r="I310" i="1"/>
  <c r="K201" i="1"/>
  <c r="K310" i="1"/>
  <c r="T618" i="55" s="1"/>
  <c r="K367" i="1"/>
  <c r="T675" i="55" s="1"/>
  <c r="AD675" i="55" s="1"/>
  <c r="K198" i="1"/>
  <c r="K307" i="1"/>
  <c r="T615" i="55" s="1"/>
  <c r="I367" i="1"/>
  <c r="I198" i="1"/>
  <c r="I307" i="1"/>
  <c r="K350" i="1"/>
  <c r="T658" i="55" s="1"/>
  <c r="K364" i="1"/>
  <c r="T672" i="55" s="1"/>
  <c r="I350" i="1"/>
  <c r="I364" i="1"/>
  <c r="K333" i="1"/>
  <c r="T641" i="55" s="1"/>
  <c r="K347" i="1"/>
  <c r="T655" i="55" s="1"/>
  <c r="I333" i="1"/>
  <c r="I347" i="1"/>
  <c r="I270" i="1"/>
  <c r="I330" i="1"/>
  <c r="K270" i="1"/>
  <c r="K330" i="1"/>
  <c r="T638" i="55" s="1"/>
  <c r="I266" i="1"/>
  <c r="I268" i="1"/>
  <c r="K266" i="1"/>
  <c r="K268" i="1"/>
  <c r="I251" i="1"/>
  <c r="I264" i="1"/>
  <c r="K251" i="1"/>
  <c r="K264" i="1"/>
  <c r="K247" i="1"/>
  <c r="K249" i="1"/>
  <c r="I247" i="1"/>
  <c r="I249" i="1"/>
  <c r="K232" i="1"/>
  <c r="K245" i="1"/>
  <c r="I232" i="1"/>
  <c r="I245" i="1"/>
  <c r="I227" i="1"/>
  <c r="I230" i="1"/>
  <c r="K227" i="1"/>
  <c r="K230" i="1"/>
  <c r="K277" i="1"/>
  <c r="K280" i="69"/>
  <c r="MM280" i="69" s="1"/>
  <c r="I139" i="53" s="1"/>
  <c r="K375" i="1"/>
  <c r="T683" i="55" s="1"/>
  <c r="K283" i="69"/>
  <c r="MM283" i="69" s="1"/>
  <c r="I142" i="53" s="1"/>
  <c r="K374" i="1"/>
  <c r="T682" i="55" s="1"/>
  <c r="K279" i="1"/>
  <c r="K275" i="1"/>
  <c r="K292" i="69"/>
  <c r="MM292" i="69" s="1"/>
  <c r="I151" i="53" s="1"/>
  <c r="K373" i="1"/>
  <c r="T681" i="55" s="1"/>
  <c r="K276" i="1"/>
  <c r="K285" i="69"/>
  <c r="MM285" i="69" s="1"/>
  <c r="I144" i="53" s="1"/>
  <c r="K281" i="69"/>
  <c r="MM281" i="69" s="1"/>
  <c r="I140" i="53" s="1"/>
  <c r="K277" i="69"/>
  <c r="MM277" i="69" s="1"/>
  <c r="I136" i="53" s="1"/>
  <c r="K377" i="1"/>
  <c r="T685" i="55" s="1"/>
  <c r="K289" i="69"/>
  <c r="MM289" i="69" s="1"/>
  <c r="I148" i="53" s="1"/>
  <c r="K282" i="69"/>
  <c r="MM282" i="69" s="1"/>
  <c r="I141" i="53" s="1"/>
  <c r="K284" i="69"/>
  <c r="MM284" i="69" s="1"/>
  <c r="I143" i="53" s="1"/>
  <c r="K288" i="69"/>
  <c r="MM288" i="69" s="1"/>
  <c r="I147" i="53" s="1"/>
  <c r="K278" i="69"/>
  <c r="MM278" i="69" s="1"/>
  <c r="I137" i="53" s="1"/>
  <c r="K286" i="69"/>
  <c r="MM286" i="69" s="1"/>
  <c r="I145" i="53" s="1"/>
  <c r="K290" i="69"/>
  <c r="MM290" i="69" s="1"/>
  <c r="I149" i="53" s="1"/>
  <c r="K287" i="69"/>
  <c r="MM287" i="69" s="1"/>
  <c r="I146" i="53" s="1"/>
  <c r="K291" i="69"/>
  <c r="MM291" i="69" s="1"/>
  <c r="I150" i="53" s="1"/>
  <c r="K279" i="69"/>
  <c r="MM279" i="69" s="1"/>
  <c r="I138" i="53" s="1"/>
  <c r="I375" i="1"/>
  <c r="I277" i="1"/>
  <c r="I280" i="69"/>
  <c r="I283" i="69"/>
  <c r="I292" i="69"/>
  <c r="I374" i="1"/>
  <c r="I279" i="1"/>
  <c r="I276" i="1"/>
  <c r="I373" i="1"/>
  <c r="I275" i="1"/>
  <c r="I281" i="69"/>
  <c r="I377" i="1"/>
  <c r="I289" i="69"/>
  <c r="I288" i="69"/>
  <c r="I277" i="69"/>
  <c r="I284" i="69"/>
  <c r="I282" i="69"/>
  <c r="I285" i="69"/>
  <c r="I278" i="69"/>
  <c r="I286" i="69"/>
  <c r="I279" i="69"/>
  <c r="I290" i="69"/>
  <c r="I291" i="69"/>
  <c r="I287" i="69"/>
  <c r="I260" i="1"/>
  <c r="I256" i="1"/>
  <c r="I253" i="69"/>
  <c r="I261" i="69"/>
  <c r="I360" i="1"/>
  <c r="I356" i="1"/>
  <c r="I258" i="1"/>
  <c r="I265" i="69"/>
  <c r="I257" i="1"/>
  <c r="I256" i="69"/>
  <c r="I268" i="69"/>
  <c r="I264" i="69"/>
  <c r="I263" i="69"/>
  <c r="I255" i="69"/>
  <c r="I260" i="69"/>
  <c r="I358" i="1"/>
  <c r="I357" i="1"/>
  <c r="I254" i="69"/>
  <c r="I267" i="69"/>
  <c r="I262" i="69"/>
  <c r="I266" i="69"/>
  <c r="I257" i="69"/>
  <c r="I259" i="69"/>
  <c r="I258" i="69"/>
  <c r="K256" i="1"/>
  <c r="K257" i="1"/>
  <c r="K356" i="1"/>
  <c r="T664" i="55" s="1"/>
  <c r="K253" i="69"/>
  <c r="MM253" i="69" s="1"/>
  <c r="I112" i="53" s="1"/>
  <c r="K260" i="1"/>
  <c r="K258" i="1"/>
  <c r="K261" i="69"/>
  <c r="MM261" i="69" s="1"/>
  <c r="I120" i="53" s="1"/>
  <c r="K265" i="69"/>
  <c r="MM265" i="69" s="1"/>
  <c r="I124" i="53" s="1"/>
  <c r="K360" i="1"/>
  <c r="T668" i="55" s="1"/>
  <c r="K256" i="69"/>
  <c r="MM256" i="69" s="1"/>
  <c r="I115" i="53" s="1"/>
  <c r="K263" i="69"/>
  <c r="MM263" i="69" s="1"/>
  <c r="I122" i="53" s="1"/>
  <c r="K268" i="69"/>
  <c r="MM268" i="69" s="1"/>
  <c r="I127" i="53" s="1"/>
  <c r="K264" i="69"/>
  <c r="MM264" i="69" s="1"/>
  <c r="I123" i="53" s="1"/>
  <c r="K255" i="69"/>
  <c r="MM255" i="69" s="1"/>
  <c r="I114" i="53" s="1"/>
  <c r="K358" i="1"/>
  <c r="T666" i="55" s="1"/>
  <c r="AD666" i="55" s="1"/>
  <c r="K260" i="69"/>
  <c r="MM260" i="69" s="1"/>
  <c r="I119" i="53" s="1"/>
  <c r="K357" i="1"/>
  <c r="T665" i="55" s="1"/>
  <c r="K266" i="69"/>
  <c r="MM266" i="69" s="1"/>
  <c r="I125" i="53" s="1"/>
  <c r="K254" i="69"/>
  <c r="MM254" i="69" s="1"/>
  <c r="I113" i="53" s="1"/>
  <c r="K267" i="69"/>
  <c r="MM267" i="69" s="1"/>
  <c r="I126" i="53" s="1"/>
  <c r="K262" i="69"/>
  <c r="MM262" i="69" s="1"/>
  <c r="I121" i="53" s="1"/>
  <c r="K257" i="69"/>
  <c r="MM257" i="69" s="1"/>
  <c r="I116" i="53" s="1"/>
  <c r="K259" i="69"/>
  <c r="MM259" i="69" s="1"/>
  <c r="I118" i="53" s="1"/>
  <c r="K258" i="69"/>
  <c r="MM258" i="69" s="1"/>
  <c r="I117" i="53" s="1"/>
  <c r="K340" i="1"/>
  <c r="T648" i="55" s="1"/>
  <c r="AD648" i="55" s="1"/>
  <c r="K238" i="1"/>
  <c r="K341" i="1"/>
  <c r="T649" i="55" s="1"/>
  <c r="K236" i="69"/>
  <c r="MM236" i="69" s="1"/>
  <c r="I95" i="53" s="1"/>
  <c r="K233" i="69"/>
  <c r="MM233" i="69" s="1"/>
  <c r="I92" i="53" s="1"/>
  <c r="K237" i="1"/>
  <c r="K241" i="1"/>
  <c r="K240" i="69"/>
  <c r="MM240" i="69" s="1"/>
  <c r="I99" i="53" s="1"/>
  <c r="K239" i="1"/>
  <c r="K343" i="1"/>
  <c r="T651" i="55" s="1"/>
  <c r="AD651" i="55" s="1"/>
  <c r="K232" i="69"/>
  <c r="MM232" i="69" s="1"/>
  <c r="I91" i="53" s="1"/>
  <c r="K339" i="1"/>
  <c r="T647" i="55" s="1"/>
  <c r="K244" i="69"/>
  <c r="MM244" i="69" s="1"/>
  <c r="I103" i="53" s="1"/>
  <c r="K241" i="69"/>
  <c r="MM241" i="69" s="1"/>
  <c r="I100" i="53" s="1"/>
  <c r="K229" i="69"/>
  <c r="MM229" i="69" s="1"/>
  <c r="I88" i="53" s="1"/>
  <c r="K237" i="69"/>
  <c r="MM237" i="69" s="1"/>
  <c r="I96" i="53" s="1"/>
  <c r="K234" i="69"/>
  <c r="MM234" i="69" s="1"/>
  <c r="I93" i="53" s="1"/>
  <c r="K235" i="69"/>
  <c r="MM235" i="69" s="1"/>
  <c r="I94" i="53" s="1"/>
  <c r="K238" i="69"/>
  <c r="MM238" i="69" s="1"/>
  <c r="I97" i="53" s="1"/>
  <c r="K239" i="69"/>
  <c r="MM239" i="69" s="1"/>
  <c r="I98" i="53" s="1"/>
  <c r="K242" i="69"/>
  <c r="MM242" i="69" s="1"/>
  <c r="I101" i="53" s="1"/>
  <c r="K243" i="69"/>
  <c r="MM243" i="69" s="1"/>
  <c r="I102" i="53" s="1"/>
  <c r="K230" i="69"/>
  <c r="MM230" i="69" s="1"/>
  <c r="I89" i="53" s="1"/>
  <c r="K231" i="69"/>
  <c r="MM231" i="69" s="1"/>
  <c r="I90" i="53" s="1"/>
  <c r="I238" i="1"/>
  <c r="I240" i="69"/>
  <c r="I340" i="1"/>
  <c r="I233" i="69"/>
  <c r="I239" i="1"/>
  <c r="I236" i="69"/>
  <c r="I237" i="1"/>
  <c r="I343" i="1"/>
  <c r="I241" i="1"/>
  <c r="I341" i="1"/>
  <c r="I339" i="1"/>
  <c r="I244" i="69"/>
  <c r="I232" i="69"/>
  <c r="I235" i="69"/>
  <c r="I237" i="69"/>
  <c r="I241" i="69"/>
  <c r="I229" i="69"/>
  <c r="I234" i="69"/>
  <c r="I243" i="69"/>
  <c r="I239" i="69"/>
  <c r="I242" i="69"/>
  <c r="I238" i="69"/>
  <c r="I230" i="69"/>
  <c r="I231" i="69"/>
  <c r="K221" i="1"/>
  <c r="K219" i="69"/>
  <c r="MM219" i="69" s="1"/>
  <c r="I78" i="53" s="1"/>
  <c r="K223" i="1"/>
  <c r="K325" i="1"/>
  <c r="T633" i="55" s="1"/>
  <c r="K222" i="1"/>
  <c r="K220" i="69"/>
  <c r="MM220" i="69" s="1"/>
  <c r="I79" i="53" s="1"/>
  <c r="K326" i="1"/>
  <c r="T634" i="55" s="1"/>
  <c r="AD634" i="55" s="1"/>
  <c r="K217" i="69"/>
  <c r="MM217" i="69" s="1"/>
  <c r="I76" i="53" s="1"/>
  <c r="K218" i="69"/>
  <c r="MM218" i="69" s="1"/>
  <c r="I77" i="53" s="1"/>
  <c r="I222" i="1"/>
  <c r="I221" i="1"/>
  <c r="I219" i="69"/>
  <c r="I223" i="1"/>
  <c r="I325" i="1"/>
  <c r="I220" i="69"/>
  <c r="I326" i="1"/>
  <c r="I217" i="69"/>
  <c r="I218" i="69"/>
  <c r="K217" i="1"/>
  <c r="K218" i="1"/>
  <c r="K323" i="1"/>
  <c r="T631" i="55" s="1"/>
  <c r="K216" i="69"/>
  <c r="MM216" i="69" s="1"/>
  <c r="I75" i="53" s="1"/>
  <c r="K219" i="1"/>
  <c r="K215" i="69"/>
  <c r="MM215" i="69" s="1"/>
  <c r="I74" i="53" s="1"/>
  <c r="K322" i="1"/>
  <c r="T630" i="55" s="1"/>
  <c r="AD630" i="55" s="1"/>
  <c r="K213" i="69"/>
  <c r="MM213" i="69" s="1"/>
  <c r="I72" i="53" s="1"/>
  <c r="K214" i="69"/>
  <c r="MM214" i="69" s="1"/>
  <c r="I73" i="53" s="1"/>
  <c r="I218" i="1"/>
  <c r="I323" i="1"/>
  <c r="I219" i="1"/>
  <c r="I216" i="69"/>
  <c r="I217" i="1"/>
  <c r="I215" i="69"/>
  <c r="I322" i="1"/>
  <c r="I213" i="69"/>
  <c r="I214" i="69"/>
  <c r="I214" i="1"/>
  <c r="I215" i="1"/>
  <c r="I216" i="1"/>
  <c r="I321" i="1"/>
  <c r="I320" i="1"/>
  <c r="I209" i="69"/>
  <c r="I212" i="69"/>
  <c r="I210" i="69"/>
  <c r="I211" i="69"/>
  <c r="K214" i="1"/>
  <c r="K321" i="1"/>
  <c r="T629" i="55" s="1"/>
  <c r="K216" i="1"/>
  <c r="K215" i="1"/>
  <c r="K209" i="69"/>
  <c r="MM209" i="69" s="1"/>
  <c r="I68" i="53" s="1"/>
  <c r="K320" i="1"/>
  <c r="T628" i="55" s="1"/>
  <c r="K212" i="69"/>
  <c r="MM212" i="69" s="1"/>
  <c r="I71" i="53" s="1"/>
  <c r="K211" i="69"/>
  <c r="MM211" i="69" s="1"/>
  <c r="I70" i="53" s="1"/>
  <c r="K210" i="69"/>
  <c r="MM210" i="69" s="1"/>
  <c r="I69" i="53" s="1"/>
  <c r="K211" i="1"/>
  <c r="K212" i="1"/>
  <c r="K213" i="1"/>
  <c r="K208" i="69"/>
  <c r="MM208" i="69" s="1"/>
  <c r="I67" i="53" s="1"/>
  <c r="K318" i="1"/>
  <c r="T626" i="55" s="1"/>
  <c r="K207" i="69"/>
  <c r="MM207" i="69" s="1"/>
  <c r="I66" i="53" s="1"/>
  <c r="K319" i="1"/>
  <c r="T627" i="55" s="1"/>
  <c r="K205" i="69"/>
  <c r="MM205" i="69" s="1"/>
  <c r="I64" i="53" s="1"/>
  <c r="K206" i="69"/>
  <c r="MM206" i="69" s="1"/>
  <c r="I65" i="53" s="1"/>
  <c r="I212" i="1"/>
  <c r="I213" i="1"/>
  <c r="I211" i="1"/>
  <c r="I208" i="69"/>
  <c r="I207" i="69"/>
  <c r="I319" i="1"/>
  <c r="I318" i="1"/>
  <c r="I205" i="69"/>
  <c r="I206" i="69"/>
  <c r="J293" i="69"/>
  <c r="K194" i="1"/>
  <c r="K195" i="1"/>
  <c r="K193" i="1"/>
  <c r="K192" i="1"/>
  <c r="K301" i="1"/>
  <c r="T609" i="55" s="1"/>
  <c r="K304" i="1"/>
  <c r="T612" i="55" s="1"/>
  <c r="K193" i="69"/>
  <c r="MM193" i="69" s="1"/>
  <c r="I52" i="53" s="1"/>
  <c r="K194" i="69"/>
  <c r="MM194" i="69" s="1"/>
  <c r="I53" i="53" s="1"/>
  <c r="K302" i="1"/>
  <c r="T610" i="55" s="1"/>
  <c r="AD610" i="55" s="1"/>
  <c r="K195" i="69"/>
  <c r="MM195" i="69" s="1"/>
  <c r="I54" i="53" s="1"/>
  <c r="K196" i="69"/>
  <c r="MM196" i="69" s="1"/>
  <c r="I55" i="53" s="1"/>
  <c r="K303" i="1"/>
  <c r="T611" i="55" s="1"/>
  <c r="AD611" i="55" s="1"/>
  <c r="I193" i="1"/>
  <c r="I301" i="1"/>
  <c r="I192" i="1"/>
  <c r="I195" i="1"/>
  <c r="I194" i="1"/>
  <c r="I194" i="69"/>
  <c r="I302" i="1"/>
  <c r="I195" i="69"/>
  <c r="I304" i="1"/>
  <c r="I303" i="1"/>
  <c r="I196" i="69"/>
  <c r="I193" i="69"/>
  <c r="K189" i="69"/>
  <c r="MM189" i="69" s="1"/>
  <c r="I48" i="53" s="1"/>
  <c r="K298" i="1"/>
  <c r="T606" i="55" s="1"/>
  <c r="K300" i="1"/>
  <c r="T608" i="55" s="1"/>
  <c r="AD608" i="55" s="1"/>
  <c r="K188" i="1"/>
  <c r="K299" i="1"/>
  <c r="T607" i="55" s="1"/>
  <c r="AD607" i="55" s="1"/>
  <c r="K191" i="1"/>
  <c r="K190" i="1"/>
  <c r="K189" i="1"/>
  <c r="K191" i="69"/>
  <c r="MM191" i="69" s="1"/>
  <c r="I50" i="53" s="1"/>
  <c r="K192" i="69"/>
  <c r="MM192" i="69" s="1"/>
  <c r="I51" i="53" s="1"/>
  <c r="K190" i="69"/>
  <c r="MM190" i="69" s="1"/>
  <c r="I49" i="53" s="1"/>
  <c r="K297" i="1"/>
  <c r="T605" i="55" s="1"/>
  <c r="AD605" i="55" s="1"/>
  <c r="I191" i="1"/>
  <c r="I299" i="1"/>
  <c r="I189" i="1"/>
  <c r="I189" i="69"/>
  <c r="I188" i="1"/>
  <c r="I300" i="1"/>
  <c r="I298" i="1"/>
  <c r="I190" i="1"/>
  <c r="I192" i="69"/>
  <c r="I190" i="69"/>
  <c r="I297" i="1"/>
  <c r="I191" i="69"/>
  <c r="J40" i="69"/>
  <c r="K38" i="69"/>
  <c r="K39" i="69"/>
  <c r="I38" i="69"/>
  <c r="I39" i="69"/>
  <c r="K35" i="69"/>
  <c r="K37" i="69"/>
  <c r="K32" i="69"/>
  <c r="K34" i="69"/>
  <c r="K36" i="69"/>
  <c r="K33" i="69"/>
  <c r="I32" i="69"/>
  <c r="I34" i="69"/>
  <c r="I35" i="69"/>
  <c r="I37" i="69"/>
  <c r="I33" i="69"/>
  <c r="I36" i="69"/>
  <c r="L12" i="1"/>
  <c r="I31" i="69"/>
  <c r="N12" i="1"/>
  <c r="K31" i="69"/>
  <c r="M52" i="1"/>
  <c r="P52" i="1" s="1"/>
  <c r="M49" i="1"/>
  <c r="P49" i="1" s="1"/>
  <c r="M51" i="1"/>
  <c r="P51" i="1" s="1"/>
  <c r="M50" i="1"/>
  <c r="P50" i="1" s="1"/>
  <c r="M42" i="1"/>
  <c r="P42" i="1" s="1"/>
  <c r="M41" i="1"/>
  <c r="P41" i="1" s="1"/>
  <c r="M43" i="1"/>
  <c r="P43" i="1" s="1"/>
  <c r="M44" i="1"/>
  <c r="P44" i="1" s="1"/>
  <c r="AA371" i="58"/>
  <c r="X322" i="56"/>
  <c r="V321" i="19"/>
  <c r="H321" i="19" s="1"/>
  <c r="X319" i="56"/>
  <c r="AA367" i="58"/>
  <c r="V314" i="19"/>
  <c r="H314" i="19" s="1"/>
  <c r="H207" i="19" s="1"/>
  <c r="H34" i="19" s="1"/>
  <c r="W332" i="61"/>
  <c r="K332" i="61" s="1"/>
  <c r="AA370" i="58"/>
  <c r="X321" i="56"/>
  <c r="V336" i="19"/>
  <c r="H336" i="19" s="1"/>
  <c r="H229" i="19" s="1"/>
  <c r="H66" i="19" s="1"/>
  <c r="X336" i="56"/>
  <c r="AA387" i="58"/>
  <c r="AA359" i="58"/>
  <c r="X311" i="56"/>
  <c r="AA391" i="58"/>
  <c r="K391" i="58" s="1"/>
  <c r="AA357" i="58"/>
  <c r="X310" i="56"/>
  <c r="J649" i="60"/>
  <c r="W320" i="61"/>
  <c r="U616" i="55"/>
  <c r="AA379" i="58"/>
  <c r="X329" i="56"/>
  <c r="W328" i="61"/>
  <c r="W340" i="61"/>
  <c r="V329" i="19"/>
  <c r="H329" i="19" s="1"/>
  <c r="AA360" i="58"/>
  <c r="X312" i="56"/>
  <c r="L32" i="66"/>
  <c r="V351" i="19"/>
  <c r="T757" i="55"/>
  <c r="AA467" i="58"/>
  <c r="V401" i="19"/>
  <c r="W441" i="61"/>
  <c r="AA346" i="58"/>
  <c r="J285" i="1"/>
  <c r="J286" i="1" s="1"/>
  <c r="X300" i="56"/>
  <c r="AA394" i="58"/>
  <c r="K394" i="58" s="1"/>
  <c r="V335" i="19"/>
  <c r="H335" i="19" s="1"/>
  <c r="H228" i="19" s="1"/>
  <c r="AA374" i="58"/>
  <c r="X325" i="56"/>
  <c r="X301" i="56"/>
  <c r="AA347" i="58"/>
  <c r="W348" i="61"/>
  <c r="U613" i="55"/>
  <c r="V306" i="19"/>
  <c r="H306" i="19" s="1"/>
  <c r="X334" i="56"/>
  <c r="AA385" i="58"/>
  <c r="W361" i="61"/>
  <c r="U603" i="55"/>
  <c r="V302" i="19"/>
  <c r="H302" i="19" s="1"/>
  <c r="W349" i="61"/>
  <c r="W362" i="61"/>
  <c r="W336" i="61"/>
  <c r="AA386" i="58"/>
  <c r="X335" i="56"/>
  <c r="J518" i="60"/>
  <c r="W330" i="61"/>
  <c r="H59" i="1"/>
  <c r="H53" i="1"/>
  <c r="G9" i="8"/>
  <c r="AA388" i="58"/>
  <c r="AA380" i="58"/>
  <c r="X330" i="56"/>
  <c r="W325" i="61"/>
  <c r="X320" i="56"/>
  <c r="AA369" i="58"/>
  <c r="V310" i="19"/>
  <c r="H310" i="19" s="1"/>
  <c r="V311" i="19"/>
  <c r="H311" i="19" s="1"/>
  <c r="AA382" i="58"/>
  <c r="X332" i="56"/>
  <c r="V323" i="19"/>
  <c r="H323" i="19" s="1"/>
  <c r="AA366" i="58"/>
  <c r="X318" i="56"/>
  <c r="U599" i="55"/>
  <c r="V301" i="19"/>
  <c r="H301" i="19" s="1"/>
  <c r="AA377" i="58"/>
  <c r="X327" i="56"/>
  <c r="U602" i="55"/>
  <c r="X333" i="56"/>
  <c r="AA383" i="58"/>
  <c r="W344" i="61"/>
  <c r="V339" i="19"/>
  <c r="H339" i="19" s="1"/>
  <c r="X314" i="56"/>
  <c r="AA362" i="58"/>
  <c r="V309" i="19"/>
  <c r="H309" i="19" s="1"/>
  <c r="AA390" i="58"/>
  <c r="V303" i="19"/>
  <c r="H303" i="19" s="1"/>
  <c r="H196" i="19" s="1"/>
  <c r="H18" i="19" s="1"/>
  <c r="U604" i="55"/>
  <c r="W333" i="61"/>
  <c r="K225" i="69"/>
  <c r="MM225" i="69" s="1"/>
  <c r="I84" i="53" s="1"/>
  <c r="K246" i="69"/>
  <c r="MM246" i="69" s="1"/>
  <c r="I105" i="53" s="1"/>
  <c r="K209" i="1"/>
  <c r="K202" i="69"/>
  <c r="MM202" i="69" s="1"/>
  <c r="I61" i="53" s="1"/>
  <c r="K251" i="69"/>
  <c r="MM251" i="69" s="1"/>
  <c r="I110" i="53" s="1"/>
  <c r="K228" i="69"/>
  <c r="MM228" i="69" s="1"/>
  <c r="I87" i="53" s="1"/>
  <c r="K271" i="69"/>
  <c r="MM271" i="69" s="1"/>
  <c r="I130" i="53" s="1"/>
  <c r="K272" i="69"/>
  <c r="MM272" i="69" s="1"/>
  <c r="I131" i="53" s="1"/>
  <c r="K250" i="1"/>
  <c r="K228" i="1"/>
  <c r="K245" i="69"/>
  <c r="MM245" i="69" s="1"/>
  <c r="I104" i="53" s="1"/>
  <c r="K247" i="69"/>
  <c r="MM247" i="69" s="1"/>
  <c r="I106" i="53" s="1"/>
  <c r="K246" i="1"/>
  <c r="K249" i="69"/>
  <c r="MM249" i="69" s="1"/>
  <c r="I108" i="53" s="1"/>
  <c r="K201" i="69"/>
  <c r="MM201" i="69" s="1"/>
  <c r="I60" i="53" s="1"/>
  <c r="K270" i="69"/>
  <c r="MM270" i="69" s="1"/>
  <c r="I129" i="53" s="1"/>
  <c r="K221" i="69"/>
  <c r="MM221" i="69" s="1"/>
  <c r="I80" i="53" s="1"/>
  <c r="K226" i="69"/>
  <c r="MM226" i="69" s="1"/>
  <c r="I85" i="53" s="1"/>
  <c r="K274" i="69"/>
  <c r="MM274" i="69" s="1"/>
  <c r="I133" i="53" s="1"/>
  <c r="K199" i="1"/>
  <c r="K222" i="69"/>
  <c r="MM222" i="69" s="1"/>
  <c r="I81" i="53" s="1"/>
  <c r="K252" i="69"/>
  <c r="MM252" i="69" s="1"/>
  <c r="I111" i="53" s="1"/>
  <c r="K248" i="69"/>
  <c r="MM248" i="69" s="1"/>
  <c r="I107" i="53" s="1"/>
  <c r="K223" i="69"/>
  <c r="MM223" i="69" s="1"/>
  <c r="I82" i="53" s="1"/>
  <c r="K205" i="1"/>
  <c r="K227" i="69"/>
  <c r="MM227" i="69" s="1"/>
  <c r="I86" i="53" s="1"/>
  <c r="K269" i="69"/>
  <c r="MM269" i="69" s="1"/>
  <c r="I128" i="53" s="1"/>
  <c r="K198" i="69"/>
  <c r="MM198" i="69" s="1"/>
  <c r="I57" i="53" s="1"/>
  <c r="K275" i="69"/>
  <c r="MM275" i="69" s="1"/>
  <c r="I134" i="53" s="1"/>
  <c r="K276" i="69"/>
  <c r="MM276" i="69" s="1"/>
  <c r="I135" i="53" s="1"/>
  <c r="K224" i="69"/>
  <c r="MM224" i="69" s="1"/>
  <c r="I83" i="53" s="1"/>
  <c r="K273" i="69"/>
  <c r="MM273" i="69" s="1"/>
  <c r="I132" i="53" s="1"/>
  <c r="K265" i="1"/>
  <c r="K250" i="69"/>
  <c r="MM250" i="69" s="1"/>
  <c r="I109" i="53" s="1"/>
  <c r="K186" i="69"/>
  <c r="MM186" i="69" s="1"/>
  <c r="I45" i="53" s="1"/>
  <c r="K187" i="69"/>
  <c r="MM187" i="69" s="1"/>
  <c r="I46" i="53" s="1"/>
  <c r="K527" i="60"/>
  <c r="K516" i="60"/>
  <c r="K476" i="60"/>
  <c r="K203" i="69"/>
  <c r="MM203" i="69" s="1"/>
  <c r="I62" i="53" s="1"/>
  <c r="K524" i="60"/>
  <c r="K200" i="1"/>
  <c r="K459" i="60"/>
  <c r="K436" i="60"/>
  <c r="K566" i="60"/>
  <c r="K549" i="60"/>
  <c r="K435" i="60"/>
  <c r="K460" i="60"/>
  <c r="K477" i="60"/>
  <c r="K542" i="60"/>
  <c r="K526" i="60"/>
  <c r="K453" i="60"/>
  <c r="K482" i="60"/>
  <c r="K438" i="60"/>
  <c r="K471" i="60"/>
  <c r="K439" i="60"/>
  <c r="K491" i="60"/>
  <c r="K442" i="60"/>
  <c r="K200" i="69"/>
  <c r="MM200" i="69" s="1"/>
  <c r="I59" i="53" s="1"/>
  <c r="K513" i="60"/>
  <c r="K573" i="60"/>
  <c r="K462" i="60"/>
  <c r="K590" i="60"/>
  <c r="K535" i="60"/>
  <c r="K107" i="69"/>
  <c r="K586" i="60"/>
  <c r="K199" i="69"/>
  <c r="MM199" i="69" s="1"/>
  <c r="I58" i="53" s="1"/>
  <c r="K484" i="60"/>
  <c r="K546" i="60"/>
  <c r="K197" i="69"/>
  <c r="MM197" i="69" s="1"/>
  <c r="I56" i="53" s="1"/>
  <c r="K473" i="60"/>
  <c r="K444" i="60"/>
  <c r="K452" i="60"/>
  <c r="K433" i="60"/>
  <c r="K202" i="1"/>
  <c r="K441" i="60"/>
  <c r="K489" i="60"/>
  <c r="K196" i="1"/>
  <c r="K558" i="60"/>
  <c r="K254" i="1"/>
  <c r="K515" i="60"/>
  <c r="K466" i="60"/>
  <c r="K557" i="60"/>
  <c r="K539" i="60"/>
  <c r="K554" i="60"/>
  <c r="K464" i="60"/>
  <c r="K366" i="1"/>
  <c r="T674" i="55" s="1"/>
  <c r="K512" i="60"/>
  <c r="K502" i="60"/>
  <c r="K204" i="69"/>
  <c r="MM204" i="69" s="1"/>
  <c r="I63" i="53" s="1"/>
  <c r="K291" i="1"/>
  <c r="K368" i="1"/>
  <c r="T676" i="55" s="1"/>
  <c r="K294" i="1"/>
  <c r="K329" i="1"/>
  <c r="T637" i="55" s="1"/>
  <c r="K235" i="1"/>
  <c r="K569" i="60"/>
  <c r="K284" i="1"/>
  <c r="K448" i="60"/>
  <c r="K182" i="1"/>
  <c r="K185" i="69"/>
  <c r="K315" i="1"/>
  <c r="T623" i="55" s="1"/>
  <c r="AD623" i="55" s="1"/>
  <c r="K296" i="1"/>
  <c r="K479" i="60"/>
  <c r="K561" i="60"/>
  <c r="K534" i="60"/>
  <c r="K455" i="60"/>
  <c r="K500" i="60"/>
  <c r="K207" i="1"/>
  <c r="K346" i="1"/>
  <c r="T654" i="55" s="1"/>
  <c r="K538" i="60"/>
  <c r="K456" i="60"/>
  <c r="K576" i="60"/>
  <c r="K365" i="1"/>
  <c r="T673" i="55" s="1"/>
  <c r="K589" i="60"/>
  <c r="K313" i="1"/>
  <c r="T621" i="55" s="1"/>
  <c r="K570" i="60"/>
  <c r="K525" i="60"/>
  <c r="K531" i="60"/>
  <c r="K369" i="1"/>
  <c r="T677" i="55" s="1"/>
  <c r="K643" i="60"/>
  <c r="K335" i="1"/>
  <c r="T643" i="55" s="1"/>
  <c r="K528" i="60"/>
  <c r="K371" i="1"/>
  <c r="T679" i="55" s="1"/>
  <c r="K529" i="60"/>
  <c r="K578" i="60"/>
  <c r="K188" i="69"/>
  <c r="MM188" i="69" s="1"/>
  <c r="I47" i="53" s="1"/>
  <c r="K587" i="60"/>
  <c r="K545" i="60"/>
  <c r="K507" i="60"/>
  <c r="K494" i="60"/>
  <c r="K532" i="60"/>
  <c r="K548" i="60"/>
  <c r="K248" i="1"/>
  <c r="K541" i="60"/>
  <c r="K552" i="60"/>
  <c r="K495" i="60"/>
  <c r="K564" i="60"/>
  <c r="K509" i="60"/>
  <c r="K437" i="60"/>
  <c r="K382" i="1"/>
  <c r="T690" i="55" s="1"/>
  <c r="K263" i="1"/>
  <c r="K630" i="60"/>
  <c r="K603" i="60"/>
  <c r="K273" i="1"/>
  <c r="K354" i="1"/>
  <c r="T662" i="55" s="1"/>
  <c r="K281" i="1"/>
  <c r="K612" i="60"/>
  <c r="K183" i="1"/>
  <c r="K334" i="1"/>
  <c r="T642" i="55" s="1"/>
  <c r="K634" i="60"/>
  <c r="I149" i="60"/>
  <c r="N149" i="60" s="1"/>
  <c r="Q149" i="60" s="1"/>
  <c r="I49" i="1"/>
  <c r="K345" i="1"/>
  <c r="T653" i="55" s="1"/>
  <c r="K316" i="1"/>
  <c r="T624" i="55" s="1"/>
  <c r="AD624" i="55" s="1"/>
  <c r="K269" i="1"/>
  <c r="K646" i="60"/>
  <c r="K602" i="60"/>
  <c r="K262" i="1"/>
  <c r="K312" i="1"/>
  <c r="T620" i="55" s="1"/>
  <c r="K604" i="60"/>
  <c r="K497" i="60"/>
  <c r="K204" i="1"/>
  <c r="K244" i="1"/>
  <c r="K622" i="60"/>
  <c r="K644" i="60"/>
  <c r="I138" i="60"/>
  <c r="N138" i="60" s="1"/>
  <c r="Q138" i="60" s="1"/>
  <c r="I216" i="60"/>
  <c r="N216" i="60" s="1"/>
  <c r="Q216" i="60" s="1"/>
  <c r="I193" i="60"/>
  <c r="N193" i="60" s="1"/>
  <c r="Q193" i="60" s="1"/>
  <c r="K226" i="1"/>
  <c r="I171" i="60"/>
  <c r="K617" i="60"/>
  <c r="I50" i="1"/>
  <c r="K292" i="1"/>
  <c r="K311" i="1"/>
  <c r="T619" i="55" s="1"/>
  <c r="K349" i="1"/>
  <c r="T657" i="55" s="1"/>
  <c r="K271" i="1"/>
  <c r="K305" i="1"/>
  <c r="K186" i="1"/>
  <c r="K362" i="1"/>
  <c r="T670" i="55" s="1"/>
  <c r="K231" i="1"/>
  <c r="K252" i="1"/>
  <c r="K626" i="60"/>
  <c r="K293" i="1"/>
  <c r="K331" i="1"/>
  <c r="T639" i="55" s="1"/>
  <c r="I127" i="60"/>
  <c r="N127" i="60" s="1"/>
  <c r="Q127" i="60" s="1"/>
  <c r="I42" i="1"/>
  <c r="K432" i="60"/>
  <c r="I41" i="1"/>
  <c r="K282" i="1"/>
  <c r="K352" i="1"/>
  <c r="T660" i="55" s="1"/>
  <c r="K295" i="1"/>
  <c r="K229" i="1"/>
  <c r="K267" i="1"/>
  <c r="K623" i="60"/>
  <c r="K308" i="1"/>
  <c r="K197" i="1"/>
  <c r="K187" i="1"/>
  <c r="K609" i="60"/>
  <c r="K328" i="1"/>
  <c r="T636" i="55" s="1"/>
  <c r="K306" i="1"/>
  <c r="K537" i="60"/>
  <c r="K233" i="1"/>
  <c r="I48" i="1"/>
  <c r="N48" i="1" s="1"/>
  <c r="I182" i="60"/>
  <c r="N182" i="60" s="1"/>
  <c r="Q182" i="60" s="1"/>
  <c r="L34" i="42"/>
  <c r="O34" i="42" s="1"/>
  <c r="K203" i="1"/>
  <c r="K208" i="1"/>
  <c r="K184" i="1"/>
  <c r="K647" i="60"/>
  <c r="I204" i="60"/>
  <c r="N204" i="60" s="1"/>
  <c r="Q204" i="60" s="1"/>
  <c r="I52" i="1"/>
  <c r="K380" i="1"/>
  <c r="T688" i="55" s="1"/>
  <c r="K615" i="60"/>
  <c r="K606" i="60"/>
  <c r="L39" i="42"/>
  <c r="O39" i="42" s="1"/>
  <c r="L33" i="42"/>
  <c r="O33" i="42" s="1"/>
  <c r="K381" i="1"/>
  <c r="T689" i="55" s="1"/>
  <c r="AD689" i="55" s="1"/>
  <c r="K283" i="1"/>
  <c r="I40" i="1"/>
  <c r="N40" i="1" s="1"/>
  <c r="L38" i="42"/>
  <c r="O38" i="42" s="1"/>
  <c r="I44" i="1"/>
  <c r="K290" i="1"/>
  <c r="K363" i="1"/>
  <c r="T671" i="55" s="1"/>
  <c r="K243" i="1"/>
  <c r="K618" i="60"/>
  <c r="K181" i="1"/>
  <c r="I116" i="60"/>
  <c r="K332" i="1"/>
  <c r="T640" i="55" s="1"/>
  <c r="K631" i="60"/>
  <c r="I51" i="1"/>
  <c r="K614" i="60"/>
  <c r="K185" i="1"/>
  <c r="K348" i="1"/>
  <c r="T656" i="55" s="1"/>
  <c r="K523" i="60"/>
  <c r="L35" i="42"/>
  <c r="O35" i="42" s="1"/>
  <c r="I43" i="1"/>
  <c r="K379" i="1"/>
  <c r="T687" i="55" s="1"/>
  <c r="K446" i="60"/>
  <c r="K337" i="1"/>
  <c r="T645" i="55" s="1"/>
  <c r="K610" i="60"/>
  <c r="L31" i="42"/>
  <c r="O31" i="42" s="1"/>
  <c r="N21" i="63"/>
  <c r="K225" i="1"/>
  <c r="K351" i="1"/>
  <c r="T659" i="55" s="1"/>
  <c r="K309" i="1"/>
  <c r="T617" i="55" s="1"/>
  <c r="K607" i="60"/>
  <c r="L32" i="42"/>
  <c r="O32" i="42" s="1"/>
  <c r="I161" i="60"/>
  <c r="N161" i="60" s="1"/>
  <c r="Q161" i="60" s="1"/>
  <c r="J594" i="60"/>
  <c r="J595" i="60" s="1"/>
  <c r="M456" i="60" s="1"/>
  <c r="P456" i="60" s="1"/>
  <c r="J592" i="60"/>
  <c r="W327" i="61"/>
  <c r="W321" i="61"/>
  <c r="W322" i="61"/>
  <c r="K322" i="61" s="1"/>
  <c r="W352" i="61"/>
  <c r="V327" i="19"/>
  <c r="H327" i="19" s="1"/>
  <c r="H220" i="19" s="1"/>
  <c r="H52" i="19" s="1"/>
  <c r="V330" i="19"/>
  <c r="H330" i="19" s="1"/>
  <c r="V338" i="19"/>
  <c r="H338" i="19" s="1"/>
  <c r="V326" i="19"/>
  <c r="H326" i="19" s="1"/>
  <c r="H219" i="19" s="1"/>
  <c r="H51" i="19" s="1"/>
  <c r="W365" i="61"/>
  <c r="K365" i="61" s="1"/>
  <c r="AA361" i="58"/>
  <c r="X313" i="56"/>
  <c r="W341" i="61"/>
  <c r="X315" i="56"/>
  <c r="AA363" i="58"/>
  <c r="X307" i="56"/>
  <c r="AA354" i="58"/>
  <c r="H58" i="1"/>
  <c r="H45" i="1"/>
  <c r="H46" i="1" s="1"/>
  <c r="G11" i="9"/>
  <c r="G10" i="9" s="1"/>
  <c r="G14" i="9" s="1"/>
  <c r="V318" i="19"/>
  <c r="H318" i="19" s="1"/>
  <c r="V332" i="19"/>
  <c r="H332" i="19" s="1"/>
  <c r="U614" i="55"/>
  <c r="V307" i="19"/>
  <c r="H307" i="19" s="1"/>
  <c r="V313" i="19"/>
  <c r="H313" i="19" s="1"/>
  <c r="X305" i="56"/>
  <c r="AA352" i="58"/>
  <c r="M116" i="60"/>
  <c r="H163" i="60"/>
  <c r="H235" i="60"/>
  <c r="AA393" i="58"/>
  <c r="W324" i="61"/>
  <c r="V317" i="19"/>
  <c r="H317" i="19" s="1"/>
  <c r="X326" i="56"/>
  <c r="AA375" i="58"/>
  <c r="X323" i="56"/>
  <c r="AA372" i="58"/>
  <c r="W335" i="61"/>
  <c r="V341" i="19"/>
  <c r="H341" i="19" s="1"/>
  <c r="U600" i="55"/>
  <c r="U601" i="55"/>
  <c r="AA364" i="58"/>
  <c r="X316" i="56"/>
  <c r="I224" i="69"/>
  <c r="I198" i="69"/>
  <c r="I199" i="69"/>
  <c r="I197" i="69"/>
  <c r="I249" i="69"/>
  <c r="I222" i="69"/>
  <c r="I221" i="69"/>
  <c r="I201" i="69"/>
  <c r="I527" i="60"/>
  <c r="I202" i="69"/>
  <c r="I531" i="60"/>
  <c r="I541" i="60"/>
  <c r="I542" i="60"/>
  <c r="I246" i="69"/>
  <c r="I573" i="60"/>
  <c r="I546" i="60"/>
  <c r="I549" i="60"/>
  <c r="I552" i="60"/>
  <c r="I252" i="69"/>
  <c r="I569" i="60"/>
  <c r="I186" i="69"/>
  <c r="I227" i="69"/>
  <c r="I545" i="60"/>
  <c r="I228" i="69"/>
  <c r="I557" i="60"/>
  <c r="I535" i="60"/>
  <c r="I539" i="60"/>
  <c r="I548" i="60"/>
  <c r="I484" i="60"/>
  <c r="I528" i="60"/>
  <c r="I558" i="60"/>
  <c r="I532" i="60"/>
  <c r="I578" i="60"/>
  <c r="I566" i="60"/>
  <c r="I538" i="60"/>
  <c r="I586" i="60"/>
  <c r="I554" i="60"/>
  <c r="I561" i="60"/>
  <c r="I524" i="60"/>
  <c r="I462" i="60"/>
  <c r="I589" i="60"/>
  <c r="M21" i="63"/>
  <c r="I576" i="60"/>
  <c r="I570" i="60"/>
  <c r="I587" i="60"/>
  <c r="I525" i="60"/>
  <c r="G48" i="1"/>
  <c r="L48" i="1" s="1"/>
  <c r="I537" i="60"/>
  <c r="I564" i="60"/>
  <c r="I612" i="60"/>
  <c r="I459" i="60"/>
  <c r="I284" i="1"/>
  <c r="I631" i="60"/>
  <c r="I274" i="69"/>
  <c r="I311" i="1"/>
  <c r="G193" i="60"/>
  <c r="L193" i="60" s="1"/>
  <c r="O193" i="60" s="1"/>
  <c r="I623" i="60"/>
  <c r="I271" i="69"/>
  <c r="I107" i="69"/>
  <c r="I369" i="1"/>
  <c r="I371" i="1"/>
  <c r="I281" i="1"/>
  <c r="I272" i="69"/>
  <c r="I291" i="1"/>
  <c r="I634" i="60"/>
  <c r="I452" i="60"/>
  <c r="I433" i="60"/>
  <c r="I247" i="69"/>
  <c r="I335" i="1"/>
  <c r="I262" i="1"/>
  <c r="G49" i="1"/>
  <c r="I329" i="1"/>
  <c r="I607" i="60"/>
  <c r="I263" i="1"/>
  <c r="I188" i="69"/>
  <c r="I495" i="60"/>
  <c r="I615" i="60"/>
  <c r="I331" i="1"/>
  <c r="G161" i="60"/>
  <c r="L161" i="60" s="1"/>
  <c r="O161" i="60" s="1"/>
  <c r="I254" i="1"/>
  <c r="I269" i="1"/>
  <c r="I363" i="1"/>
  <c r="I187" i="1"/>
  <c r="I233" i="1"/>
  <c r="I618" i="60"/>
  <c r="I345" i="1"/>
  <c r="I529" i="60"/>
  <c r="I523" i="60"/>
  <c r="I196" i="1"/>
  <c r="I351" i="1"/>
  <c r="I248" i="69"/>
  <c r="I435" i="60"/>
  <c r="I248" i="1"/>
  <c r="I200" i="1"/>
  <c r="I348" i="1"/>
  <c r="I644" i="60"/>
  <c r="I273" i="1"/>
  <c r="I516" i="60"/>
  <c r="I590" i="60"/>
  <c r="I226" i="1"/>
  <c r="I444" i="60"/>
  <c r="I497" i="60"/>
  <c r="I246" i="1"/>
  <c r="G149" i="60"/>
  <c r="L149" i="60" s="1"/>
  <c r="O149" i="60" s="1"/>
  <c r="I226" i="69"/>
  <c r="I305" i="1"/>
  <c r="I482" i="60"/>
  <c r="I473" i="60"/>
  <c r="I296" i="1"/>
  <c r="I446" i="60"/>
  <c r="I267" i="1"/>
  <c r="G50" i="1"/>
  <c r="I610" i="60"/>
  <c r="I203" i="69"/>
  <c r="I609" i="60"/>
  <c r="I479" i="60"/>
  <c r="I205" i="1"/>
  <c r="I312" i="1"/>
  <c r="I471" i="60"/>
  <c r="I366" i="1"/>
  <c r="I439" i="60"/>
  <c r="I534" i="60"/>
  <c r="I315" i="1"/>
  <c r="I294" i="1"/>
  <c r="I231" i="1"/>
  <c r="I509" i="60"/>
  <c r="G42" i="1"/>
  <c r="I507" i="60"/>
  <c r="I352" i="1"/>
  <c r="I646" i="60"/>
  <c r="I197" i="1"/>
  <c r="G182" i="60"/>
  <c r="L182" i="60" s="1"/>
  <c r="O182" i="60" s="1"/>
  <c r="I526" i="60"/>
  <c r="I494" i="60"/>
  <c r="I432" i="60"/>
  <c r="I209" i="1"/>
  <c r="I183" i="1"/>
  <c r="I365" i="1"/>
  <c r="I513" i="60"/>
  <c r="I292" i="1"/>
  <c r="I362" i="1"/>
  <c r="I464" i="60"/>
  <c r="I316" i="1"/>
  <c r="I491" i="60"/>
  <c r="G44" i="1"/>
  <c r="I252" i="1"/>
  <c r="G52" i="1"/>
  <c r="I441" i="60"/>
  <c r="I245" i="69"/>
  <c r="I203" i="1"/>
  <c r="I328" i="1"/>
  <c r="I250" i="69"/>
  <c r="I368" i="1"/>
  <c r="I283" i="1"/>
  <c r="I455" i="60"/>
  <c r="I187" i="69"/>
  <c r="I273" i="69"/>
  <c r="I276" i="69"/>
  <c r="J34" i="42"/>
  <c r="M34" i="42" s="1"/>
  <c r="I617" i="60"/>
  <c r="I306" i="1"/>
  <c r="I265" i="1"/>
  <c r="I225" i="69"/>
  <c r="I622" i="60"/>
  <c r="I380" i="1"/>
  <c r="I295" i="1"/>
  <c r="I182" i="1"/>
  <c r="I200" i="69"/>
  <c r="I208" i="1"/>
  <c r="I229" i="1"/>
  <c r="G116" i="60"/>
  <c r="I502" i="60"/>
  <c r="I448" i="60"/>
  <c r="I185" i="1"/>
  <c r="I614" i="60"/>
  <c r="I515" i="60"/>
  <c r="I476" i="60"/>
  <c r="I223" i="69"/>
  <c r="I269" i="69"/>
  <c r="I489" i="60"/>
  <c r="I466" i="60"/>
  <c r="I442" i="60"/>
  <c r="I456" i="60"/>
  <c r="I271" i="1"/>
  <c r="I334" i="1"/>
  <c r="G51" i="1"/>
  <c r="I204" i="69"/>
  <c r="I382" i="1"/>
  <c r="I630" i="60"/>
  <c r="I199" i="1"/>
  <c r="I309" i="1"/>
  <c r="I438" i="60"/>
  <c r="I647" i="60"/>
  <c r="I337" i="1"/>
  <c r="G127" i="60"/>
  <c r="L127" i="60" s="1"/>
  <c r="O127" i="60" s="1"/>
  <c r="I186" i="1"/>
  <c r="I228" i="1"/>
  <c r="I604" i="60"/>
  <c r="I332" i="1"/>
  <c r="I313" i="1"/>
  <c r="I275" i="69"/>
  <c r="I243" i="1"/>
  <c r="I602" i="60"/>
  <c r="I436" i="60"/>
  <c r="I379" i="1"/>
  <c r="G204" i="60"/>
  <c r="L204" i="60" s="1"/>
  <c r="O204" i="60" s="1"/>
  <c r="G216" i="60"/>
  <c r="L216" i="60" s="1"/>
  <c r="O216" i="60" s="1"/>
  <c r="I354" i="1"/>
  <c r="I184" i="1"/>
  <c r="I185" i="69"/>
  <c r="J35" i="42"/>
  <c r="M35" i="42" s="1"/>
  <c r="I603" i="60"/>
  <c r="I346" i="1"/>
  <c r="I293" i="1"/>
  <c r="I202" i="1"/>
  <c r="I512" i="60"/>
  <c r="I250" i="1"/>
  <c r="J32" i="42"/>
  <c r="M32" i="42" s="1"/>
  <c r="J39" i="42"/>
  <c r="M39" i="42" s="1"/>
  <c r="I606" i="60"/>
  <c r="G43" i="1"/>
  <c r="I500" i="60"/>
  <c r="G138" i="60"/>
  <c r="L138" i="60" s="1"/>
  <c r="O138" i="60" s="1"/>
  <c r="I381" i="1"/>
  <c r="I207" i="1"/>
  <c r="J33" i="42"/>
  <c r="M33" i="42" s="1"/>
  <c r="G41" i="1"/>
  <c r="I270" i="69"/>
  <c r="I282" i="1"/>
  <c r="I204" i="1"/>
  <c r="I235" i="1"/>
  <c r="I225" i="1"/>
  <c r="G40" i="1"/>
  <c r="J31" i="42"/>
  <c r="M31" i="42" s="1"/>
  <c r="I251" i="69"/>
  <c r="I643" i="60"/>
  <c r="I349" i="1"/>
  <c r="G171" i="60"/>
  <c r="I437" i="60"/>
  <c r="J38" i="42"/>
  <c r="M38" i="42" s="1"/>
  <c r="I181" i="1"/>
  <c r="I477" i="60"/>
  <c r="I244" i="1"/>
  <c r="I460" i="60"/>
  <c r="I290" i="1"/>
  <c r="I626" i="60"/>
  <c r="I308" i="1"/>
  <c r="I453" i="60"/>
  <c r="L31" i="66"/>
  <c r="U598" i="55"/>
  <c r="V300" i="19"/>
  <c r="V403" i="19"/>
  <c r="T759" i="55"/>
  <c r="X409" i="56"/>
  <c r="AA469" i="58"/>
  <c r="W443" i="61"/>
  <c r="AA353" i="58"/>
  <c r="X306" i="56"/>
  <c r="AA351" i="58"/>
  <c r="X304" i="56"/>
  <c r="W364" i="61"/>
  <c r="H218" i="60"/>
  <c r="H220" i="60" s="1"/>
  <c r="H251" i="60"/>
  <c r="M171" i="60"/>
  <c r="X302" i="56"/>
  <c r="AA349" i="58"/>
  <c r="V320" i="19"/>
  <c r="H320" i="19" s="1"/>
  <c r="V352" i="19"/>
  <c r="V402" i="19"/>
  <c r="T758" i="55"/>
  <c r="AA468" i="58"/>
  <c r="W442" i="61"/>
  <c r="X309" i="56"/>
  <c r="AA356" i="58"/>
  <c r="K157" i="69" l="1"/>
  <c r="I157" i="69"/>
  <c r="X370" i="1"/>
  <c r="S678" i="55"/>
  <c r="AO678" i="55" s="1"/>
  <c r="AP678" i="55" s="1"/>
  <c r="AT678" i="55"/>
  <c r="AD680" i="55"/>
  <c r="G680" i="55" s="1"/>
  <c r="G521" i="55" s="1"/>
  <c r="G399" i="55" s="1"/>
  <c r="G118" i="55" s="1"/>
  <c r="G159" i="55" s="1"/>
  <c r="X372" i="1"/>
  <c r="S680" i="55"/>
  <c r="X296" i="1"/>
  <c r="X293" i="1"/>
  <c r="X294" i="1"/>
  <c r="X295" i="1"/>
  <c r="X306" i="1"/>
  <c r="S610" i="55"/>
  <c r="AO610" i="55" s="1"/>
  <c r="AP610" i="55" s="1"/>
  <c r="X302" i="1"/>
  <c r="S634" i="55"/>
  <c r="AC634" i="55" s="1"/>
  <c r="AS634" i="55" s="1"/>
  <c r="X326" i="1"/>
  <c r="X308" i="1"/>
  <c r="S621" i="55"/>
  <c r="AC621" i="55" s="1"/>
  <c r="X313" i="1"/>
  <c r="S606" i="55"/>
  <c r="AC606" i="55" s="1"/>
  <c r="AS606" i="55" s="1"/>
  <c r="X298" i="1"/>
  <c r="S628" i="55"/>
  <c r="AO628" i="55" s="1"/>
  <c r="AP628" i="55" s="1"/>
  <c r="X320" i="1"/>
  <c r="S631" i="55"/>
  <c r="AO631" i="55" s="1"/>
  <c r="AP631" i="55" s="1"/>
  <c r="X323" i="1"/>
  <c r="S647" i="55"/>
  <c r="AC647" i="55" s="1"/>
  <c r="X339" i="1"/>
  <c r="S644" i="55"/>
  <c r="AC644" i="55" s="1"/>
  <c r="AS644" i="55" s="1"/>
  <c r="X336" i="1"/>
  <c r="S649" i="55"/>
  <c r="AO649" i="55" s="1"/>
  <c r="AP649" i="55" s="1"/>
  <c r="X341" i="1"/>
  <c r="S681" i="55"/>
  <c r="AC681" i="55" s="1"/>
  <c r="AS681" i="55" s="1"/>
  <c r="X373" i="1"/>
  <c r="S654" i="55"/>
  <c r="AC654" i="55" s="1"/>
  <c r="F654" i="55" s="1"/>
  <c r="F495" i="55" s="1"/>
  <c r="F376" i="55" s="1"/>
  <c r="F90" i="55" s="1"/>
  <c r="X346" i="1"/>
  <c r="S640" i="55"/>
  <c r="AC640" i="55" s="1"/>
  <c r="F640" i="55" s="1"/>
  <c r="F481" i="55" s="1"/>
  <c r="F366" i="55" s="1"/>
  <c r="F75" i="55" s="1"/>
  <c r="X332" i="1"/>
  <c r="S639" i="55"/>
  <c r="AO639" i="55" s="1"/>
  <c r="AP639" i="55" s="1"/>
  <c r="X331" i="1"/>
  <c r="S608" i="55"/>
  <c r="AC608" i="55" s="1"/>
  <c r="AS608" i="55" s="1"/>
  <c r="X300" i="1"/>
  <c r="S629" i="55"/>
  <c r="X321" i="1"/>
  <c r="S633" i="55"/>
  <c r="AC633" i="55" s="1"/>
  <c r="AS633" i="55" s="1"/>
  <c r="X325" i="1"/>
  <c r="S662" i="55"/>
  <c r="AC662" i="55" s="1"/>
  <c r="AS662" i="55" s="1"/>
  <c r="X354" i="1"/>
  <c r="S651" i="55"/>
  <c r="AC651" i="55" s="1"/>
  <c r="AS651" i="55" s="1"/>
  <c r="X343" i="1"/>
  <c r="S622" i="55"/>
  <c r="AO622" i="55" s="1"/>
  <c r="AP622" i="55" s="1"/>
  <c r="X314" i="1"/>
  <c r="S663" i="55"/>
  <c r="AC663" i="55" s="1"/>
  <c r="AS663" i="55" s="1"/>
  <c r="X355" i="1"/>
  <c r="S661" i="55"/>
  <c r="AO661" i="55" s="1"/>
  <c r="AP661" i="55" s="1"/>
  <c r="X353" i="1"/>
  <c r="S679" i="55"/>
  <c r="AC679" i="55" s="1"/>
  <c r="AS679" i="55" s="1"/>
  <c r="X371" i="1"/>
  <c r="S677" i="55"/>
  <c r="AC677" i="55" s="1"/>
  <c r="AS677" i="55" s="1"/>
  <c r="X369" i="1"/>
  <c r="S682" i="55"/>
  <c r="X374" i="1"/>
  <c r="S674" i="55"/>
  <c r="AO674" i="55" s="1"/>
  <c r="AP674" i="55" s="1"/>
  <c r="X366" i="1"/>
  <c r="S645" i="55"/>
  <c r="AC645" i="55" s="1"/>
  <c r="AS645" i="55" s="1"/>
  <c r="X337" i="1"/>
  <c r="S607" i="55"/>
  <c r="X299" i="1"/>
  <c r="S609" i="55"/>
  <c r="AO609" i="55" s="1"/>
  <c r="AP609" i="55" s="1"/>
  <c r="X301" i="1"/>
  <c r="S657" i="55"/>
  <c r="AO657" i="55" s="1"/>
  <c r="AP657" i="55" s="1"/>
  <c r="X349" i="1"/>
  <c r="S637" i="55"/>
  <c r="AO637" i="55" s="1"/>
  <c r="AP637" i="55" s="1"/>
  <c r="X329" i="1"/>
  <c r="S630" i="55"/>
  <c r="AC630" i="55" s="1"/>
  <c r="AS630" i="55" s="1"/>
  <c r="X322" i="1"/>
  <c r="S617" i="55"/>
  <c r="AC617" i="55" s="1"/>
  <c r="F617" i="55" s="1"/>
  <c r="F458" i="55" s="1"/>
  <c r="F347" i="55" s="1"/>
  <c r="F51" i="55" s="1"/>
  <c r="X309" i="1"/>
  <c r="S664" i="55"/>
  <c r="AC664" i="55" s="1"/>
  <c r="AS664" i="55" s="1"/>
  <c r="X356" i="1"/>
  <c r="S605" i="55"/>
  <c r="X297" i="1"/>
  <c r="S668" i="55"/>
  <c r="X360" i="1"/>
  <c r="S643" i="55"/>
  <c r="AC643" i="55" s="1"/>
  <c r="X335" i="1"/>
  <c r="S611" i="55"/>
  <c r="AC611" i="55" s="1"/>
  <c r="AS611" i="55" s="1"/>
  <c r="X303" i="1"/>
  <c r="S648" i="55"/>
  <c r="AC648" i="55" s="1"/>
  <c r="AS648" i="55" s="1"/>
  <c r="X340" i="1"/>
  <c r="S683" i="55"/>
  <c r="AC683" i="55" s="1"/>
  <c r="AS683" i="55" s="1"/>
  <c r="X375" i="1"/>
  <c r="S620" i="55"/>
  <c r="AO620" i="55" s="1"/>
  <c r="AP620" i="55" s="1"/>
  <c r="X312" i="1"/>
  <c r="S624" i="55"/>
  <c r="AC624" i="55" s="1"/>
  <c r="AS624" i="55" s="1"/>
  <c r="X316" i="1"/>
  <c r="S619" i="55"/>
  <c r="AO619" i="55" s="1"/>
  <c r="AP619" i="55" s="1"/>
  <c r="X311" i="1"/>
  <c r="S612" i="55"/>
  <c r="X304" i="1"/>
  <c r="S626" i="55"/>
  <c r="AO626" i="55" s="1"/>
  <c r="AP626" i="55" s="1"/>
  <c r="X318" i="1"/>
  <c r="S665" i="55"/>
  <c r="AC665" i="55" s="1"/>
  <c r="X357" i="1"/>
  <c r="S685" i="55"/>
  <c r="AC685" i="55" s="1"/>
  <c r="X377" i="1"/>
  <c r="S660" i="55"/>
  <c r="AO660" i="55" s="1"/>
  <c r="AP660" i="55" s="1"/>
  <c r="X352" i="1"/>
  <c r="S671" i="55"/>
  <c r="AC671" i="55" s="1"/>
  <c r="X363" i="1"/>
  <c r="S627" i="55"/>
  <c r="AC627" i="55" s="1"/>
  <c r="AS627" i="55" s="1"/>
  <c r="X319" i="1"/>
  <c r="S666" i="55"/>
  <c r="AC666" i="55" s="1"/>
  <c r="AS666" i="55" s="1"/>
  <c r="X358" i="1"/>
  <c r="X305" i="1"/>
  <c r="X290" i="1"/>
  <c r="X292" i="1"/>
  <c r="X291" i="1"/>
  <c r="S656" i="55"/>
  <c r="AC656" i="55" s="1"/>
  <c r="F656" i="55" s="1"/>
  <c r="F497" i="55" s="1"/>
  <c r="F378" i="55" s="1"/>
  <c r="F92" i="55" s="1"/>
  <c r="X348" i="1"/>
  <c r="S638" i="55"/>
  <c r="AC638" i="55" s="1"/>
  <c r="F638" i="55" s="1"/>
  <c r="F479" i="55" s="1"/>
  <c r="X330" i="1"/>
  <c r="S646" i="55"/>
  <c r="AO646" i="55" s="1"/>
  <c r="AP646" i="55" s="1"/>
  <c r="X338" i="1"/>
  <c r="S642" i="55"/>
  <c r="AO642" i="55" s="1"/>
  <c r="AP642" i="55" s="1"/>
  <c r="X334" i="1"/>
  <c r="S676" i="55"/>
  <c r="AC676" i="55" s="1"/>
  <c r="F676" i="55" s="1"/>
  <c r="F517" i="55" s="1"/>
  <c r="F402" i="55" s="1"/>
  <c r="F121" i="55" s="1"/>
  <c r="X368" i="1"/>
  <c r="S673" i="55"/>
  <c r="AO673" i="55" s="1"/>
  <c r="AP673" i="55" s="1"/>
  <c r="X365" i="1"/>
  <c r="S623" i="55"/>
  <c r="AC623" i="55" s="1"/>
  <c r="AS623" i="55" s="1"/>
  <c r="X315" i="1"/>
  <c r="S655" i="55"/>
  <c r="AO655" i="55" s="1"/>
  <c r="AP655" i="55" s="1"/>
  <c r="X347" i="1"/>
  <c r="S618" i="55"/>
  <c r="AC618" i="55" s="1"/>
  <c r="AS618" i="55" s="1"/>
  <c r="X310" i="1"/>
  <c r="S641" i="55"/>
  <c r="AO641" i="55" s="1"/>
  <c r="AP641" i="55" s="1"/>
  <c r="X333" i="1"/>
  <c r="S636" i="55"/>
  <c r="AC636" i="55" s="1"/>
  <c r="X328" i="1"/>
  <c r="S672" i="55"/>
  <c r="AC672" i="55" s="1"/>
  <c r="F672" i="55" s="1"/>
  <c r="F513" i="55" s="1"/>
  <c r="X364" i="1"/>
  <c r="S689" i="55"/>
  <c r="AC689" i="55" s="1"/>
  <c r="AS689" i="55" s="1"/>
  <c r="X381" i="1"/>
  <c r="S659" i="55"/>
  <c r="AO659" i="55" s="1"/>
  <c r="AP659" i="55" s="1"/>
  <c r="X351" i="1"/>
  <c r="S658" i="55"/>
  <c r="AO658" i="55" s="1"/>
  <c r="AP658" i="55" s="1"/>
  <c r="X350" i="1"/>
  <c r="S688" i="55"/>
  <c r="AC688" i="55" s="1"/>
  <c r="AS688" i="55" s="1"/>
  <c r="X380" i="1"/>
  <c r="S615" i="55"/>
  <c r="AC615" i="55" s="1"/>
  <c r="AS615" i="55" s="1"/>
  <c r="X307" i="1"/>
  <c r="S625" i="55"/>
  <c r="AC625" i="55" s="1"/>
  <c r="AS625" i="55" s="1"/>
  <c r="X317" i="1"/>
  <c r="S653" i="55"/>
  <c r="AO653" i="55" s="1"/>
  <c r="AP653" i="55" s="1"/>
  <c r="X345" i="1"/>
  <c r="S675" i="55"/>
  <c r="AO675" i="55" s="1"/>
  <c r="AP675" i="55" s="1"/>
  <c r="X367" i="1"/>
  <c r="S687" i="55"/>
  <c r="AC687" i="55" s="1"/>
  <c r="AS687" i="55" s="1"/>
  <c r="X379" i="1"/>
  <c r="S670" i="55"/>
  <c r="AO670" i="55" s="1"/>
  <c r="AP670" i="55" s="1"/>
  <c r="X362" i="1"/>
  <c r="S690" i="55"/>
  <c r="AO690" i="55" s="1"/>
  <c r="AP690" i="55" s="1"/>
  <c r="X382" i="1"/>
  <c r="AD627" i="55"/>
  <c r="G627" i="55" s="1"/>
  <c r="G468" i="55" s="1"/>
  <c r="AD629" i="55"/>
  <c r="G629" i="55" s="1"/>
  <c r="G470" i="55" s="1"/>
  <c r="AD649" i="55"/>
  <c r="G649" i="55" s="1"/>
  <c r="G490" i="55" s="1"/>
  <c r="AO630" i="55"/>
  <c r="AP630" i="55" s="1"/>
  <c r="AD631" i="55"/>
  <c r="G631" i="55" s="1"/>
  <c r="G472" i="55" s="1"/>
  <c r="AD687" i="55"/>
  <c r="G687" i="55" s="1"/>
  <c r="G528" i="55" s="1"/>
  <c r="G407" i="55" s="1"/>
  <c r="AD626" i="55"/>
  <c r="G626" i="55" s="1"/>
  <c r="G467" i="55" s="1"/>
  <c r="G334" i="55" s="1"/>
  <c r="G38" i="55" s="1"/>
  <c r="G162" i="55" s="1"/>
  <c r="AT634" i="55"/>
  <c r="G634" i="55"/>
  <c r="G475" i="55" s="1"/>
  <c r="G354" i="55" s="1"/>
  <c r="G58" i="55" s="1"/>
  <c r="G188" i="55" s="1"/>
  <c r="AT648" i="55"/>
  <c r="G648" i="55"/>
  <c r="G489" i="55" s="1"/>
  <c r="G358" i="55" s="1"/>
  <c r="G67" i="55" s="1"/>
  <c r="G171" i="55" s="1"/>
  <c r="AD668" i="55"/>
  <c r="G668" i="55" s="1"/>
  <c r="G509" i="55" s="1"/>
  <c r="AD690" i="55"/>
  <c r="G690" i="55" s="1"/>
  <c r="G531" i="55" s="1"/>
  <c r="G410" i="55" s="1"/>
  <c r="AD647" i="55"/>
  <c r="G647" i="55" s="1"/>
  <c r="G488" i="55" s="1"/>
  <c r="AC668" i="55"/>
  <c r="AO668" i="55"/>
  <c r="AP668" i="55" s="1"/>
  <c r="AD633" i="55"/>
  <c r="G633" i="55" s="1"/>
  <c r="G474" i="55" s="1"/>
  <c r="AD681" i="55"/>
  <c r="G681" i="55" s="1"/>
  <c r="G522" i="55" s="1"/>
  <c r="G391" i="55" s="1"/>
  <c r="G110" i="55" s="1"/>
  <c r="G166" i="55" s="1"/>
  <c r="AT689" i="55"/>
  <c r="G689" i="55"/>
  <c r="G530" i="55" s="1"/>
  <c r="G409" i="55" s="1"/>
  <c r="AD653" i="55"/>
  <c r="G653" i="55" s="1"/>
  <c r="G494" i="55" s="1"/>
  <c r="G373" i="55" s="1"/>
  <c r="G87" i="55" s="1"/>
  <c r="AT651" i="55"/>
  <c r="G651" i="55"/>
  <c r="G492" i="55" s="1"/>
  <c r="G371" i="55" s="1"/>
  <c r="G80" i="55" s="1"/>
  <c r="G190" i="55" s="1"/>
  <c r="AD636" i="55"/>
  <c r="G636" i="55" s="1"/>
  <c r="G477" i="55" s="1"/>
  <c r="G356" i="55" s="1"/>
  <c r="G65" i="55" s="1"/>
  <c r="AO647" i="55"/>
  <c r="AP647" i="55" s="1"/>
  <c r="AO629" i="55"/>
  <c r="AP629" i="55" s="1"/>
  <c r="AC629" i="55"/>
  <c r="AS629" i="55" s="1"/>
  <c r="AD665" i="55"/>
  <c r="G665" i="55" s="1"/>
  <c r="G506" i="55" s="1"/>
  <c r="G375" i="55" s="1"/>
  <c r="G89" i="55" s="1"/>
  <c r="G172" i="55" s="1"/>
  <c r="AD688" i="55"/>
  <c r="G688" i="55" s="1"/>
  <c r="G529" i="55" s="1"/>
  <c r="G408" i="55" s="1"/>
  <c r="AD664" i="55"/>
  <c r="G664" i="55" s="1"/>
  <c r="G505" i="55" s="1"/>
  <c r="AD682" i="55"/>
  <c r="G682" i="55" s="1"/>
  <c r="G523" i="55" s="1"/>
  <c r="AD670" i="55"/>
  <c r="G670" i="55" s="1"/>
  <c r="G511" i="55" s="1"/>
  <c r="G390" i="55" s="1"/>
  <c r="G109" i="55" s="1"/>
  <c r="AD628" i="55"/>
  <c r="G628" i="55" s="1"/>
  <c r="G469" i="55" s="1"/>
  <c r="AT630" i="55"/>
  <c r="G630" i="55"/>
  <c r="G471" i="55" s="1"/>
  <c r="G350" i="55" s="1"/>
  <c r="G54" i="55" s="1"/>
  <c r="G176" i="55" s="1"/>
  <c r="AT666" i="55"/>
  <c r="G666" i="55"/>
  <c r="G507" i="55" s="1"/>
  <c r="AD683" i="55"/>
  <c r="G683" i="55" s="1"/>
  <c r="G524" i="55" s="1"/>
  <c r="AC682" i="55"/>
  <c r="AS682" i="55" s="1"/>
  <c r="AO682" i="55"/>
  <c r="AP682" i="55" s="1"/>
  <c r="AD685" i="55"/>
  <c r="G685" i="55" s="1"/>
  <c r="G526" i="55" s="1"/>
  <c r="AD679" i="55"/>
  <c r="G679" i="55" s="1"/>
  <c r="G520" i="55" s="1"/>
  <c r="G398" i="55" s="1"/>
  <c r="G117" i="55" s="1"/>
  <c r="G158" i="55" s="1"/>
  <c r="AD677" i="55"/>
  <c r="G677" i="55" s="1"/>
  <c r="G518" i="55" s="1"/>
  <c r="G396" i="55" s="1"/>
  <c r="G115" i="55" s="1"/>
  <c r="G147" i="55" s="1"/>
  <c r="AD662" i="55"/>
  <c r="G662" i="55" s="1"/>
  <c r="G503" i="55" s="1"/>
  <c r="G381" i="55" s="1"/>
  <c r="G95" i="55" s="1"/>
  <c r="G156" i="55" s="1"/>
  <c r="AD660" i="55"/>
  <c r="G660" i="55" s="1"/>
  <c r="G501" i="55" s="1"/>
  <c r="G379" i="55" s="1"/>
  <c r="G93" i="55" s="1"/>
  <c r="G145" i="55" s="1"/>
  <c r="AD663" i="55"/>
  <c r="G663" i="55" s="1"/>
  <c r="G504" i="55" s="1"/>
  <c r="AD661" i="55"/>
  <c r="G661" i="55" s="1"/>
  <c r="G502" i="55" s="1"/>
  <c r="AD645" i="55"/>
  <c r="G645" i="55" s="1"/>
  <c r="G486" i="55" s="1"/>
  <c r="G364" i="55" s="1"/>
  <c r="G73" i="55" s="1"/>
  <c r="G154" i="55" s="1"/>
  <c r="AD643" i="55"/>
  <c r="G643" i="55" s="1"/>
  <c r="G484" i="55" s="1"/>
  <c r="G362" i="55" s="1"/>
  <c r="G71" i="55" s="1"/>
  <c r="G143" i="55" s="1"/>
  <c r="AD644" i="55"/>
  <c r="AT644" i="55" s="1"/>
  <c r="AD646" i="55"/>
  <c r="G646" i="55" s="1"/>
  <c r="G487" i="55" s="1"/>
  <c r="AT623" i="55"/>
  <c r="G623" i="55"/>
  <c r="G464" i="55" s="1"/>
  <c r="G344" i="55" s="1"/>
  <c r="G48" i="55" s="1"/>
  <c r="G151" i="55" s="1"/>
  <c r="AT625" i="55"/>
  <c r="G625" i="55"/>
  <c r="G466" i="55" s="1"/>
  <c r="AT624" i="55"/>
  <c r="G624" i="55"/>
  <c r="G465" i="55" s="1"/>
  <c r="G345" i="55" s="1"/>
  <c r="G49" i="55" s="1"/>
  <c r="G152" i="55" s="1"/>
  <c r="AD622" i="55"/>
  <c r="G622" i="55" s="1"/>
  <c r="G463" i="55" s="1"/>
  <c r="AD621" i="55"/>
  <c r="G621" i="55" s="1"/>
  <c r="G462" i="55" s="1"/>
  <c r="G342" i="55" s="1"/>
  <c r="G46" i="55" s="1"/>
  <c r="G141" i="55" s="1"/>
  <c r="AD620" i="55"/>
  <c r="G620" i="55" s="1"/>
  <c r="G461" i="55" s="1"/>
  <c r="G341" i="55" s="1"/>
  <c r="G45" i="55" s="1"/>
  <c r="G140" i="55" s="1"/>
  <c r="AD618" i="55"/>
  <c r="G618" i="55" s="1"/>
  <c r="G459" i="55" s="1"/>
  <c r="AD615" i="55"/>
  <c r="G615" i="55" s="1"/>
  <c r="G456" i="55" s="1"/>
  <c r="AT675" i="55"/>
  <c r="G675" i="55"/>
  <c r="G516" i="55" s="1"/>
  <c r="AD617" i="55"/>
  <c r="AD642" i="55"/>
  <c r="AD659" i="55"/>
  <c r="AD640" i="55"/>
  <c r="AD655" i="55"/>
  <c r="AD641" i="55"/>
  <c r="G641" i="55" s="1"/>
  <c r="G482" i="55" s="1"/>
  <c r="AD673" i="55"/>
  <c r="AD672" i="55"/>
  <c r="AD671" i="55"/>
  <c r="AD657" i="55"/>
  <c r="AD658" i="55"/>
  <c r="G658" i="55" s="1"/>
  <c r="G499" i="55" s="1"/>
  <c r="AD619" i="55"/>
  <c r="AD637" i="55"/>
  <c r="AD654" i="55"/>
  <c r="AD676" i="55"/>
  <c r="G676" i="55" s="1"/>
  <c r="G517" i="55" s="1"/>
  <c r="G402" i="55" s="1"/>
  <c r="G121" i="55" s="1"/>
  <c r="AD638" i="55"/>
  <c r="AD656" i="55"/>
  <c r="AD639" i="55"/>
  <c r="AD674" i="55"/>
  <c r="MK284" i="69"/>
  <c r="G143" i="53" s="1"/>
  <c r="ML284" i="69"/>
  <c r="H143" i="53" s="1"/>
  <c r="MK277" i="69"/>
  <c r="G136" i="53" s="1"/>
  <c r="ML277" i="69"/>
  <c r="H136" i="53" s="1"/>
  <c r="MK280" i="69"/>
  <c r="G139" i="53" s="1"/>
  <c r="ML280" i="69"/>
  <c r="H139" i="53" s="1"/>
  <c r="MK288" i="69"/>
  <c r="G147" i="53" s="1"/>
  <c r="ML288" i="69"/>
  <c r="H147" i="53" s="1"/>
  <c r="MK289" i="69"/>
  <c r="G148" i="53" s="1"/>
  <c r="ML289" i="69"/>
  <c r="H148" i="53" s="1"/>
  <c r="MK281" i="69"/>
  <c r="G140" i="53" s="1"/>
  <c r="ML281" i="69"/>
  <c r="H140" i="53" s="1"/>
  <c r="MK276" i="69"/>
  <c r="G135" i="53" s="1"/>
  <c r="ML276" i="69"/>
  <c r="H135" i="53" s="1"/>
  <c r="MK274" i="69"/>
  <c r="G133" i="53" s="1"/>
  <c r="ML274" i="69"/>
  <c r="H133" i="53" s="1"/>
  <c r="MK287" i="69"/>
  <c r="G146" i="53" s="1"/>
  <c r="ML287" i="69"/>
  <c r="H146" i="53" s="1"/>
  <c r="MK273" i="69"/>
  <c r="G132" i="53" s="1"/>
  <c r="ML273" i="69"/>
  <c r="H132" i="53" s="1"/>
  <c r="MK275" i="69"/>
  <c r="G134" i="53" s="1"/>
  <c r="ML275" i="69"/>
  <c r="H134" i="53" s="1"/>
  <c r="MK279" i="69"/>
  <c r="G138" i="53" s="1"/>
  <c r="ML279" i="69"/>
  <c r="H138" i="53" s="1"/>
  <c r="MK286" i="69"/>
  <c r="G145" i="53" s="1"/>
  <c r="ML286" i="69"/>
  <c r="H145" i="53" s="1"/>
  <c r="MK278" i="69"/>
  <c r="G137" i="53" s="1"/>
  <c r="ML278" i="69"/>
  <c r="H137" i="53" s="1"/>
  <c r="MK285" i="69"/>
  <c r="G144" i="53" s="1"/>
  <c r="ML285" i="69"/>
  <c r="H144" i="53" s="1"/>
  <c r="MK292" i="69"/>
  <c r="G151" i="53" s="1"/>
  <c r="ML292" i="69"/>
  <c r="H151" i="53" s="1"/>
  <c r="MK269" i="69"/>
  <c r="G128" i="53" s="1"/>
  <c r="ML269" i="69"/>
  <c r="H128" i="53" s="1"/>
  <c r="MK271" i="69"/>
  <c r="G130" i="53" s="1"/>
  <c r="ML271" i="69"/>
  <c r="H130" i="53" s="1"/>
  <c r="MK270" i="69"/>
  <c r="G129" i="53" s="1"/>
  <c r="ML270" i="69"/>
  <c r="H129" i="53" s="1"/>
  <c r="MK272" i="69"/>
  <c r="G131" i="53" s="1"/>
  <c r="ML272" i="69"/>
  <c r="H131" i="53" s="1"/>
  <c r="MK266" i="69"/>
  <c r="G125" i="53" s="1"/>
  <c r="ML266" i="69"/>
  <c r="H125" i="53" s="1"/>
  <c r="MK262" i="69"/>
  <c r="G121" i="53" s="1"/>
  <c r="ML262" i="69"/>
  <c r="H121" i="53" s="1"/>
  <c r="MK267" i="69"/>
  <c r="G126" i="53" s="1"/>
  <c r="ML267" i="69"/>
  <c r="H126" i="53" s="1"/>
  <c r="MK254" i="69"/>
  <c r="G113" i="53" s="1"/>
  <c r="ML254" i="69"/>
  <c r="H113" i="53" s="1"/>
  <c r="MK261" i="69"/>
  <c r="G120" i="53" s="1"/>
  <c r="ML261" i="69"/>
  <c r="H120" i="53" s="1"/>
  <c r="MK253" i="69"/>
  <c r="G112" i="53" s="1"/>
  <c r="ML253" i="69"/>
  <c r="H112" i="53" s="1"/>
  <c r="MK260" i="69"/>
  <c r="G119" i="53" s="1"/>
  <c r="ML260" i="69"/>
  <c r="H119" i="53" s="1"/>
  <c r="MK251" i="69"/>
  <c r="G110" i="53" s="1"/>
  <c r="ML251" i="69"/>
  <c r="H110" i="53" s="1"/>
  <c r="MK255" i="69"/>
  <c r="G114" i="53" s="1"/>
  <c r="ML255" i="69"/>
  <c r="H114" i="53" s="1"/>
  <c r="MK263" i="69"/>
  <c r="G122" i="53" s="1"/>
  <c r="ML263" i="69"/>
  <c r="H122" i="53" s="1"/>
  <c r="MK264" i="69"/>
  <c r="G123" i="53" s="1"/>
  <c r="ML264" i="69"/>
  <c r="H123" i="53" s="1"/>
  <c r="MK249" i="69"/>
  <c r="G108" i="53" s="1"/>
  <c r="ML249" i="69"/>
  <c r="H108" i="53" s="1"/>
  <c r="MK268" i="69"/>
  <c r="G127" i="53" s="1"/>
  <c r="ML268" i="69"/>
  <c r="H127" i="53" s="1"/>
  <c r="MK256" i="69"/>
  <c r="G115" i="53" s="1"/>
  <c r="ML256" i="69"/>
  <c r="H115" i="53" s="1"/>
  <c r="MK252" i="69"/>
  <c r="G111" i="53" s="1"/>
  <c r="ML252" i="69"/>
  <c r="H111" i="53" s="1"/>
  <c r="MK258" i="69"/>
  <c r="G117" i="53" s="1"/>
  <c r="ML258" i="69"/>
  <c r="H117" i="53" s="1"/>
  <c r="MK250" i="69"/>
  <c r="G109" i="53" s="1"/>
  <c r="ML250" i="69"/>
  <c r="H109" i="53" s="1"/>
  <c r="MK259" i="69"/>
  <c r="G118" i="53" s="1"/>
  <c r="ML259" i="69"/>
  <c r="H118" i="53" s="1"/>
  <c r="MK257" i="69"/>
  <c r="G116" i="53" s="1"/>
  <c r="ML257" i="69"/>
  <c r="H116" i="53" s="1"/>
  <c r="MK265" i="69"/>
  <c r="G124" i="53" s="1"/>
  <c r="ML265" i="69"/>
  <c r="H124" i="53" s="1"/>
  <c r="MK246" i="69"/>
  <c r="G105" i="53" s="1"/>
  <c r="ML246" i="69"/>
  <c r="H105" i="53" s="1"/>
  <c r="MK245" i="69"/>
  <c r="G104" i="53" s="1"/>
  <c r="ML245" i="69"/>
  <c r="H104" i="53" s="1"/>
  <c r="MK247" i="69"/>
  <c r="G106" i="53" s="1"/>
  <c r="ML247" i="69"/>
  <c r="H106" i="53" s="1"/>
  <c r="MK248" i="69"/>
  <c r="G107" i="53" s="1"/>
  <c r="ML248" i="69"/>
  <c r="H107" i="53" s="1"/>
  <c r="MK234" i="69"/>
  <c r="G93" i="53" s="1"/>
  <c r="ML234" i="69"/>
  <c r="H93" i="53" s="1"/>
  <c r="MK226" i="69"/>
  <c r="G85" i="53" s="1"/>
  <c r="ML226" i="69"/>
  <c r="H85" i="53" s="1"/>
  <c r="MK229" i="69"/>
  <c r="G88" i="53" s="1"/>
  <c r="ML229" i="69"/>
  <c r="H88" i="53" s="1"/>
  <c r="MK241" i="69"/>
  <c r="G100" i="53" s="1"/>
  <c r="ML241" i="69"/>
  <c r="H100" i="53" s="1"/>
  <c r="MK233" i="69"/>
  <c r="G92" i="53" s="1"/>
  <c r="ML233" i="69"/>
  <c r="H92" i="53" s="1"/>
  <c r="MK225" i="69"/>
  <c r="G84" i="53" s="1"/>
  <c r="ML225" i="69"/>
  <c r="H84" i="53" s="1"/>
  <c r="MK237" i="69"/>
  <c r="G96" i="53" s="1"/>
  <c r="ML237" i="69"/>
  <c r="H96" i="53" s="1"/>
  <c r="MK235" i="69"/>
  <c r="G94" i="53" s="1"/>
  <c r="ML235" i="69"/>
  <c r="H94" i="53" s="1"/>
  <c r="MK240" i="69"/>
  <c r="G99" i="53" s="1"/>
  <c r="ML240" i="69"/>
  <c r="H99" i="53" s="1"/>
  <c r="MK232" i="69"/>
  <c r="G91" i="53" s="1"/>
  <c r="ML232" i="69"/>
  <c r="H91" i="53" s="1"/>
  <c r="MK244" i="69"/>
  <c r="G103" i="53" s="1"/>
  <c r="ML244" i="69"/>
  <c r="H103" i="53" s="1"/>
  <c r="MK228" i="69"/>
  <c r="G87" i="53" s="1"/>
  <c r="ML228" i="69"/>
  <c r="H87" i="53" s="1"/>
  <c r="MK227" i="69"/>
  <c r="G86" i="53" s="1"/>
  <c r="ML227" i="69"/>
  <c r="H86" i="53" s="1"/>
  <c r="MK231" i="69"/>
  <c r="G90" i="53" s="1"/>
  <c r="ML231" i="69"/>
  <c r="H90" i="53" s="1"/>
  <c r="MK230" i="69"/>
  <c r="G89" i="53" s="1"/>
  <c r="ML230" i="69"/>
  <c r="H89" i="53" s="1"/>
  <c r="MK238" i="69"/>
  <c r="G97" i="53" s="1"/>
  <c r="ML238" i="69"/>
  <c r="H97" i="53" s="1"/>
  <c r="MK242" i="69"/>
  <c r="G101" i="53" s="1"/>
  <c r="ML242" i="69"/>
  <c r="H101" i="53" s="1"/>
  <c r="MK239" i="69"/>
  <c r="G98" i="53" s="1"/>
  <c r="ML239" i="69"/>
  <c r="H98" i="53" s="1"/>
  <c r="MK236" i="69"/>
  <c r="G95" i="53" s="1"/>
  <c r="ML236" i="69"/>
  <c r="H95" i="53" s="1"/>
  <c r="MK243" i="69"/>
  <c r="G102" i="53" s="1"/>
  <c r="ML243" i="69"/>
  <c r="H102" i="53" s="1"/>
  <c r="MK223" i="69"/>
  <c r="G82" i="53" s="1"/>
  <c r="ML223" i="69"/>
  <c r="H82" i="53" s="1"/>
  <c r="MK221" i="69"/>
  <c r="G80" i="53" s="1"/>
  <c r="ML221" i="69"/>
  <c r="H80" i="53" s="1"/>
  <c r="MK222" i="69"/>
  <c r="G81" i="53" s="1"/>
  <c r="ML222" i="69"/>
  <c r="H81" i="53" s="1"/>
  <c r="MK224" i="69"/>
  <c r="G83" i="53" s="1"/>
  <c r="ML224" i="69"/>
  <c r="H83" i="53" s="1"/>
  <c r="MK215" i="69"/>
  <c r="G74" i="53" s="1"/>
  <c r="ML215" i="69"/>
  <c r="H74" i="53" s="1"/>
  <c r="MK216" i="69"/>
  <c r="G75" i="53" s="1"/>
  <c r="ML216" i="69"/>
  <c r="H75" i="53" s="1"/>
  <c r="MK218" i="69"/>
  <c r="G77" i="53" s="1"/>
  <c r="ML218" i="69"/>
  <c r="H77" i="53" s="1"/>
  <c r="MK217" i="69"/>
  <c r="G76" i="53" s="1"/>
  <c r="ML217" i="69"/>
  <c r="H76" i="53" s="1"/>
  <c r="MK220" i="69"/>
  <c r="G79" i="53" s="1"/>
  <c r="ML220" i="69"/>
  <c r="H79" i="53" s="1"/>
  <c r="MK219" i="69"/>
  <c r="G78" i="53" s="1"/>
  <c r="ML219" i="69"/>
  <c r="H78" i="53" s="1"/>
  <c r="MK214" i="69"/>
  <c r="G73" i="53" s="1"/>
  <c r="ML214" i="69"/>
  <c r="H73" i="53" s="1"/>
  <c r="MK213" i="69"/>
  <c r="G72" i="53" s="1"/>
  <c r="ML213" i="69"/>
  <c r="H72" i="53" s="1"/>
  <c r="MK206" i="69"/>
  <c r="G65" i="53" s="1"/>
  <c r="ML206" i="69"/>
  <c r="H65" i="53" s="1"/>
  <c r="MK205" i="69"/>
  <c r="G64" i="53" s="1"/>
  <c r="ML205" i="69"/>
  <c r="H64" i="53" s="1"/>
  <c r="MK211" i="69"/>
  <c r="G70" i="53" s="1"/>
  <c r="ML211" i="69"/>
  <c r="H70" i="53" s="1"/>
  <c r="MK210" i="69"/>
  <c r="G69" i="53" s="1"/>
  <c r="ML210" i="69"/>
  <c r="H69" i="53" s="1"/>
  <c r="MK212" i="69"/>
  <c r="G71" i="53" s="1"/>
  <c r="ML212" i="69"/>
  <c r="H71" i="53" s="1"/>
  <c r="MK207" i="69"/>
  <c r="G66" i="53" s="1"/>
  <c r="ML207" i="69"/>
  <c r="H66" i="53" s="1"/>
  <c r="MK209" i="69"/>
  <c r="G68" i="53" s="1"/>
  <c r="ML209" i="69"/>
  <c r="H68" i="53" s="1"/>
  <c r="MK208" i="69"/>
  <c r="G67" i="53" s="1"/>
  <c r="ML208" i="69"/>
  <c r="H67" i="53" s="1"/>
  <c r="MK202" i="69"/>
  <c r="G61" i="53" s="1"/>
  <c r="ML202" i="69"/>
  <c r="H61" i="53" s="1"/>
  <c r="MK203" i="69"/>
  <c r="G62" i="53" s="1"/>
  <c r="ML203" i="69"/>
  <c r="H62" i="53" s="1"/>
  <c r="MK201" i="69"/>
  <c r="G60" i="53" s="1"/>
  <c r="ML201" i="69"/>
  <c r="H60" i="53" s="1"/>
  <c r="MK204" i="69"/>
  <c r="G63" i="53" s="1"/>
  <c r="ML204" i="69"/>
  <c r="H63" i="53" s="1"/>
  <c r="MK200" i="69"/>
  <c r="G59" i="53" s="1"/>
  <c r="ML200" i="69"/>
  <c r="H59" i="53" s="1"/>
  <c r="MK197" i="69"/>
  <c r="G56" i="53" s="1"/>
  <c r="ML197" i="69"/>
  <c r="H56" i="53" s="1"/>
  <c r="AP56" i="53" s="1"/>
  <c r="MK198" i="69"/>
  <c r="G57" i="53" s="1"/>
  <c r="ML198" i="69"/>
  <c r="H57" i="53" s="1"/>
  <c r="MK199" i="69"/>
  <c r="G58" i="53" s="1"/>
  <c r="ML199" i="69"/>
  <c r="H58" i="53" s="1"/>
  <c r="MK196" i="69"/>
  <c r="G55" i="53" s="1"/>
  <c r="ML196" i="69"/>
  <c r="H55" i="53" s="1"/>
  <c r="MK195" i="69"/>
  <c r="G54" i="53" s="1"/>
  <c r="ML195" i="69"/>
  <c r="H54" i="53" s="1"/>
  <c r="MK193" i="69"/>
  <c r="G52" i="53" s="1"/>
  <c r="ML193" i="69"/>
  <c r="H52" i="53" s="1"/>
  <c r="MK194" i="69"/>
  <c r="G53" i="53" s="1"/>
  <c r="ML194" i="69"/>
  <c r="H53" i="53" s="1"/>
  <c r="MK192" i="69"/>
  <c r="G51" i="53" s="1"/>
  <c r="ML192" i="69"/>
  <c r="H51" i="53" s="1"/>
  <c r="MK291" i="69"/>
  <c r="G150" i="53" s="1"/>
  <c r="ML291" i="69"/>
  <c r="H150" i="53" s="1"/>
  <c r="MK290" i="69"/>
  <c r="G149" i="53" s="1"/>
  <c r="ML290" i="69"/>
  <c r="H149" i="53" s="1"/>
  <c r="MK282" i="69"/>
  <c r="G141" i="53" s="1"/>
  <c r="ML282" i="69"/>
  <c r="H141" i="53" s="1"/>
  <c r="MK283" i="69"/>
  <c r="G142" i="53" s="1"/>
  <c r="ML283" i="69"/>
  <c r="H142" i="53" s="1"/>
  <c r="MK191" i="69"/>
  <c r="G50" i="53" s="1"/>
  <c r="ML191" i="69"/>
  <c r="H50" i="53" s="1"/>
  <c r="MK190" i="69"/>
  <c r="G49" i="53" s="1"/>
  <c r="ML190" i="69"/>
  <c r="H49" i="53" s="1"/>
  <c r="MK189" i="69"/>
  <c r="G48" i="53" s="1"/>
  <c r="ML189" i="69"/>
  <c r="H48" i="53" s="1"/>
  <c r="MM185" i="69"/>
  <c r="I44" i="53" s="1"/>
  <c r="MK188" i="69"/>
  <c r="G47" i="53" s="1"/>
  <c r="ML188" i="69"/>
  <c r="H47" i="53" s="1"/>
  <c r="MK187" i="69"/>
  <c r="G46" i="53" s="1"/>
  <c r="ML187" i="69"/>
  <c r="H46" i="53" s="1"/>
  <c r="MK186" i="69"/>
  <c r="G45" i="53" s="1"/>
  <c r="ML186" i="69"/>
  <c r="H45" i="53" s="1"/>
  <c r="MK185" i="69"/>
  <c r="G44" i="53" s="1"/>
  <c r="ML185" i="69"/>
  <c r="H44" i="53" s="1"/>
  <c r="I293" i="69"/>
  <c r="AT611" i="55"/>
  <c r="G611" i="55"/>
  <c r="AO612" i="55"/>
  <c r="AP612" i="55" s="1"/>
  <c r="AC612" i="55"/>
  <c r="AT610" i="55"/>
  <c r="G610" i="55"/>
  <c r="AD612" i="55"/>
  <c r="G612" i="55" s="1"/>
  <c r="AD609" i="55"/>
  <c r="G609" i="55" s="1"/>
  <c r="AC605" i="55"/>
  <c r="AS605" i="55" s="1"/>
  <c r="AO605" i="55"/>
  <c r="AP605" i="55" s="1"/>
  <c r="AT605" i="55"/>
  <c r="G605" i="55"/>
  <c r="AT607" i="55"/>
  <c r="G607" i="55"/>
  <c r="AC607" i="55"/>
  <c r="AO607" i="55"/>
  <c r="AP607" i="55" s="1"/>
  <c r="AT608" i="55"/>
  <c r="G608" i="55"/>
  <c r="AD606" i="55"/>
  <c r="G606" i="55" s="1"/>
  <c r="K293" i="69"/>
  <c r="N35" i="63"/>
  <c r="N43" i="63"/>
  <c r="N51" i="63"/>
  <c r="N59" i="63"/>
  <c r="N67" i="63"/>
  <c r="N75" i="63"/>
  <c r="N83" i="63"/>
  <c r="N91" i="63"/>
  <c r="N99" i="63"/>
  <c r="N107" i="63"/>
  <c r="N115" i="63"/>
  <c r="N36" i="63"/>
  <c r="N44" i="63"/>
  <c r="N52" i="63"/>
  <c r="N60" i="63"/>
  <c r="N68" i="63"/>
  <c r="N76" i="63"/>
  <c r="N84" i="63"/>
  <c r="N92" i="63"/>
  <c r="N100" i="63"/>
  <c r="N108" i="63"/>
  <c r="N37" i="63"/>
  <c r="N45" i="63"/>
  <c r="N53" i="63"/>
  <c r="N61" i="63"/>
  <c r="N38" i="63"/>
  <c r="N46" i="63"/>
  <c r="N54" i="63"/>
  <c r="N62" i="63"/>
  <c r="N70" i="63"/>
  <c r="N78" i="63"/>
  <c r="N86" i="63"/>
  <c r="N94" i="63"/>
  <c r="N102" i="63"/>
  <c r="N110" i="63"/>
  <c r="N118" i="63"/>
  <c r="N39" i="63"/>
  <c r="N47" i="63"/>
  <c r="N55" i="63"/>
  <c r="N63" i="63"/>
  <c r="N71" i="63"/>
  <c r="N79" i="63"/>
  <c r="N87" i="63"/>
  <c r="N95" i="63"/>
  <c r="N103" i="63"/>
  <c r="N111" i="63"/>
  <c r="N40" i="63"/>
  <c r="N48" i="63"/>
  <c r="N56" i="63"/>
  <c r="N64" i="63"/>
  <c r="N72" i="63"/>
  <c r="N80" i="63"/>
  <c r="N88" i="63"/>
  <c r="N96" i="63"/>
  <c r="N104" i="63"/>
  <c r="N112" i="63"/>
  <c r="N41" i="63"/>
  <c r="N49" i="63"/>
  <c r="N57" i="63"/>
  <c r="N65" i="63"/>
  <c r="N81" i="63"/>
  <c r="N117" i="63"/>
  <c r="N122" i="63"/>
  <c r="N130" i="63"/>
  <c r="N98" i="63"/>
  <c r="N90" i="63"/>
  <c r="N77" i="63"/>
  <c r="N123" i="63"/>
  <c r="N131" i="63"/>
  <c r="N73" i="63"/>
  <c r="N132" i="63"/>
  <c r="N124" i="63"/>
  <c r="N116" i="63"/>
  <c r="N109" i="63"/>
  <c r="N113" i="63"/>
  <c r="N125" i="63"/>
  <c r="N93" i="63"/>
  <c r="N120" i="63"/>
  <c r="N69" i="63"/>
  <c r="N82" i="63"/>
  <c r="N105" i="63"/>
  <c r="N126" i="63"/>
  <c r="N58" i="63"/>
  <c r="N66" i="63"/>
  <c r="N101" i="63"/>
  <c r="N128" i="63"/>
  <c r="N50" i="63"/>
  <c r="N74" i="63"/>
  <c r="N97" i="63"/>
  <c r="N119" i="63"/>
  <c r="N127" i="63"/>
  <c r="N42" i="63"/>
  <c r="N89" i="63"/>
  <c r="N106" i="63"/>
  <c r="N121" i="63"/>
  <c r="N129" i="63"/>
  <c r="N85" i="63"/>
  <c r="N114" i="63"/>
  <c r="M35" i="63"/>
  <c r="M43" i="63"/>
  <c r="M51" i="63"/>
  <c r="M59" i="63"/>
  <c r="M67" i="63"/>
  <c r="M75" i="63"/>
  <c r="M83" i="63"/>
  <c r="M91" i="63"/>
  <c r="M99" i="63"/>
  <c r="M107" i="63"/>
  <c r="M115" i="63"/>
  <c r="M36" i="63"/>
  <c r="M44" i="63"/>
  <c r="M52" i="63"/>
  <c r="M60" i="63"/>
  <c r="M68" i="63"/>
  <c r="M76" i="63"/>
  <c r="M84" i="63"/>
  <c r="M92" i="63"/>
  <c r="M100" i="63"/>
  <c r="M108" i="63"/>
  <c r="M116" i="63"/>
  <c r="M37" i="63"/>
  <c r="M45" i="63"/>
  <c r="M53" i="63"/>
  <c r="M61" i="63"/>
  <c r="M69" i="63"/>
  <c r="M38" i="63"/>
  <c r="M46" i="63"/>
  <c r="M54" i="63"/>
  <c r="M62" i="63"/>
  <c r="M70" i="63"/>
  <c r="M78" i="63"/>
  <c r="M86" i="63"/>
  <c r="M94" i="63"/>
  <c r="M102" i="63"/>
  <c r="M110" i="63"/>
  <c r="M118" i="63"/>
  <c r="M39" i="63"/>
  <c r="M47" i="63"/>
  <c r="M55" i="63"/>
  <c r="M63" i="63"/>
  <c r="M71" i="63"/>
  <c r="M79" i="63"/>
  <c r="M87" i="63"/>
  <c r="M95" i="63"/>
  <c r="M103" i="63"/>
  <c r="M111" i="63"/>
  <c r="M40" i="63"/>
  <c r="M48" i="63"/>
  <c r="M56" i="63"/>
  <c r="M64" i="63"/>
  <c r="M72" i="63"/>
  <c r="M80" i="63"/>
  <c r="M88" i="63"/>
  <c r="M96" i="63"/>
  <c r="M104" i="63"/>
  <c r="M112" i="63"/>
  <c r="M41" i="63"/>
  <c r="M49" i="63"/>
  <c r="M57" i="63"/>
  <c r="M65" i="63"/>
  <c r="M42" i="63"/>
  <c r="M50" i="63"/>
  <c r="M58" i="63"/>
  <c r="M66" i="63"/>
  <c r="M74" i="63"/>
  <c r="M82" i="63"/>
  <c r="M90" i="63"/>
  <c r="M98" i="63"/>
  <c r="M106" i="63"/>
  <c r="M114" i="63"/>
  <c r="M132" i="63"/>
  <c r="M77" i="63"/>
  <c r="M123" i="63"/>
  <c r="M131" i="63"/>
  <c r="M73" i="63"/>
  <c r="M124" i="63"/>
  <c r="M109" i="63"/>
  <c r="M113" i="63"/>
  <c r="M125" i="63"/>
  <c r="M105" i="63"/>
  <c r="M117" i="63"/>
  <c r="M130" i="63"/>
  <c r="M126" i="63"/>
  <c r="M127" i="63"/>
  <c r="M89" i="63"/>
  <c r="M101" i="63"/>
  <c r="M122" i="63"/>
  <c r="M97" i="63"/>
  <c r="M119" i="63"/>
  <c r="M93" i="63"/>
  <c r="M120" i="63"/>
  <c r="M128" i="63"/>
  <c r="M121" i="63"/>
  <c r="M129" i="63"/>
  <c r="M85" i="63"/>
  <c r="M81" i="63"/>
  <c r="K40" i="69"/>
  <c r="I40" i="69"/>
  <c r="L40" i="1"/>
  <c r="R204" i="60"/>
  <c r="N52" i="1"/>
  <c r="Q52" i="1" s="1"/>
  <c r="L52" i="1"/>
  <c r="O52" i="1" s="1"/>
  <c r="L49" i="1"/>
  <c r="O49" i="1" s="1"/>
  <c r="L50" i="1"/>
  <c r="O50" i="1" s="1"/>
  <c r="N50" i="1"/>
  <c r="Q50" i="1" s="1"/>
  <c r="L51" i="1"/>
  <c r="O51" i="1" s="1"/>
  <c r="N49" i="1"/>
  <c r="Q49" i="1" s="1"/>
  <c r="N51" i="1"/>
  <c r="Q51" i="1" s="1"/>
  <c r="L41" i="1"/>
  <c r="O41" i="1" s="1"/>
  <c r="L43" i="1"/>
  <c r="O43" i="1" s="1"/>
  <c r="L44" i="1"/>
  <c r="O44" i="1" s="1"/>
  <c r="J158" i="69"/>
  <c r="N44" i="1"/>
  <c r="Q44" i="1" s="1"/>
  <c r="L42" i="1"/>
  <c r="O42" i="1" s="1"/>
  <c r="N43" i="1"/>
  <c r="Q43" i="1" s="1"/>
  <c r="N41" i="1"/>
  <c r="Q41" i="1" s="1"/>
  <c r="N42" i="1"/>
  <c r="Q42" i="1" s="1"/>
  <c r="M529" i="60"/>
  <c r="V529" i="60" s="1"/>
  <c r="Y529" i="60" s="1"/>
  <c r="R138" i="60"/>
  <c r="M464" i="60"/>
  <c r="P464" i="60" s="1"/>
  <c r="M646" i="60"/>
  <c r="Z364" i="61" s="1"/>
  <c r="N364" i="61" s="1"/>
  <c r="N226" i="61" s="1"/>
  <c r="N93" i="61" s="1"/>
  <c r="R182" i="60"/>
  <c r="R149" i="60"/>
  <c r="R216" i="60"/>
  <c r="R193" i="60"/>
  <c r="R127" i="60"/>
  <c r="R161" i="60"/>
  <c r="M617" i="60"/>
  <c r="Z335" i="61" s="1"/>
  <c r="N335" i="61" s="1"/>
  <c r="N203" i="61" s="1"/>
  <c r="N39" i="61" s="1"/>
  <c r="M573" i="60"/>
  <c r="V573" i="60" s="1"/>
  <c r="M537" i="60"/>
  <c r="V537" i="60" s="1"/>
  <c r="M526" i="60"/>
  <c r="V526" i="60" s="1"/>
  <c r="M433" i="60"/>
  <c r="P433" i="60" s="1"/>
  <c r="M523" i="60"/>
  <c r="P523" i="60" s="1"/>
  <c r="M460" i="60"/>
  <c r="P460" i="60" s="1"/>
  <c r="M438" i="60"/>
  <c r="P438" i="60" s="1"/>
  <c r="M548" i="60"/>
  <c r="V548" i="60" s="1"/>
  <c r="M589" i="60"/>
  <c r="V589" i="60" s="1"/>
  <c r="Y589" i="60" s="1"/>
  <c r="M466" i="60"/>
  <c r="P466" i="60" s="1"/>
  <c r="M442" i="60"/>
  <c r="P442" i="60" s="1"/>
  <c r="M452" i="60"/>
  <c r="P452" i="60" s="1"/>
  <c r="M435" i="60"/>
  <c r="P435" i="60" s="1"/>
  <c r="M623" i="60"/>
  <c r="Z341" i="61" s="1"/>
  <c r="N341" i="61" s="1"/>
  <c r="N209" i="61" s="1"/>
  <c r="N49" i="61" s="1"/>
  <c r="M532" i="60"/>
  <c r="V532" i="60" s="1"/>
  <c r="M541" i="60"/>
  <c r="V541" i="60" s="1"/>
  <c r="M603" i="60"/>
  <c r="Z321" i="61" s="1"/>
  <c r="N321" i="61" s="1"/>
  <c r="N189" i="61" s="1"/>
  <c r="N18" i="61" s="1"/>
  <c r="M647" i="60"/>
  <c r="Z365" i="61" s="1"/>
  <c r="N365" i="61" s="1"/>
  <c r="N227" i="61" s="1"/>
  <c r="N94" i="61" s="1"/>
  <c r="M446" i="60"/>
  <c r="P446" i="60" s="1"/>
  <c r="M515" i="60"/>
  <c r="P515" i="60" s="1"/>
  <c r="M569" i="60"/>
  <c r="V569" i="60" s="1"/>
  <c r="M473" i="60"/>
  <c r="P473" i="60" s="1"/>
  <c r="K333" i="61"/>
  <c r="H202" i="19"/>
  <c r="M477" i="60"/>
  <c r="P477" i="60" s="1"/>
  <c r="M471" i="60"/>
  <c r="P471" i="60" s="1"/>
  <c r="H332" i="56"/>
  <c r="H219" i="56" s="1"/>
  <c r="M509" i="60"/>
  <c r="P509" i="60" s="1"/>
  <c r="K252" i="58"/>
  <c r="K357" i="58"/>
  <c r="Z383" i="58"/>
  <c r="W333" i="56"/>
  <c r="S263" i="1"/>
  <c r="X336" i="61"/>
  <c r="X365" i="61"/>
  <c r="J365" i="61" s="1"/>
  <c r="Y334" i="56"/>
  <c r="AB385" i="58"/>
  <c r="H300" i="19"/>
  <c r="V355" i="19"/>
  <c r="V411" i="19"/>
  <c r="S500" i="60"/>
  <c r="V365" i="61"/>
  <c r="I365" i="61" s="1"/>
  <c r="S647" i="60"/>
  <c r="U310" i="19"/>
  <c r="F310" i="19" s="1"/>
  <c r="S246" i="1"/>
  <c r="W309" i="56"/>
  <c r="Z356" i="58"/>
  <c r="S196" i="1"/>
  <c r="V325" i="61"/>
  <c r="S607" i="60"/>
  <c r="S107" i="69"/>
  <c r="K324" i="61"/>
  <c r="M479" i="60"/>
  <c r="P479" i="60" s="1"/>
  <c r="M587" i="60"/>
  <c r="K327" i="61"/>
  <c r="X328" i="61"/>
  <c r="AB374" i="58"/>
  <c r="Y325" i="56"/>
  <c r="Y304" i="56"/>
  <c r="AB351" i="58"/>
  <c r="AB369" i="58"/>
  <c r="Y320" i="56"/>
  <c r="AB387" i="58"/>
  <c r="Y336" i="56"/>
  <c r="X322" i="61"/>
  <c r="J322" i="61" s="1"/>
  <c r="AB388" i="58"/>
  <c r="Y330" i="56"/>
  <c r="AB380" i="58"/>
  <c r="M615" i="60"/>
  <c r="M545" i="60"/>
  <c r="K382" i="58"/>
  <c r="M535" i="60"/>
  <c r="K349" i="61"/>
  <c r="H312" i="56"/>
  <c r="K328" i="61"/>
  <c r="M527" i="60"/>
  <c r="K367" i="58"/>
  <c r="S441" i="60"/>
  <c r="W332" i="19"/>
  <c r="G332" i="19" s="1"/>
  <c r="W338" i="19"/>
  <c r="G338" i="19" s="1"/>
  <c r="AB394" i="58"/>
  <c r="J394" i="58" s="1"/>
  <c r="K364" i="61"/>
  <c r="G218" i="60"/>
  <c r="G220" i="60" s="1"/>
  <c r="L171" i="60"/>
  <c r="G251" i="60"/>
  <c r="S109" i="69"/>
  <c r="S40" i="66"/>
  <c r="L40" i="66" s="1"/>
  <c r="U707" i="55"/>
  <c r="U330" i="19"/>
  <c r="F330" i="19" s="1"/>
  <c r="S438" i="60"/>
  <c r="S265" i="1"/>
  <c r="W329" i="56"/>
  <c r="Z379" i="58"/>
  <c r="S252" i="1"/>
  <c r="S205" i="1"/>
  <c r="I594" i="60"/>
  <c r="I595" i="60" s="1"/>
  <c r="L607" i="60" s="1"/>
  <c r="Y325" i="61" s="1"/>
  <c r="L325" i="61" s="1"/>
  <c r="L193" i="61" s="1"/>
  <c r="L27" i="61" s="1"/>
  <c r="I592" i="60"/>
  <c r="S141" i="69"/>
  <c r="M606" i="60"/>
  <c r="H206" i="19"/>
  <c r="M561" i="60"/>
  <c r="K341" i="61"/>
  <c r="M634" i="60"/>
  <c r="W323" i="19"/>
  <c r="G323" i="19" s="1"/>
  <c r="W336" i="19"/>
  <c r="G336" i="19" s="1"/>
  <c r="G229" i="19" s="1"/>
  <c r="G66" i="19" s="1"/>
  <c r="AB364" i="58"/>
  <c r="Y316" i="56"/>
  <c r="W302" i="19"/>
  <c r="G302" i="19" s="1"/>
  <c r="T603" i="55"/>
  <c r="W330" i="19"/>
  <c r="G330" i="19" s="1"/>
  <c r="W310" i="19"/>
  <c r="G310" i="19" s="1"/>
  <c r="X321" i="61"/>
  <c r="AB372" i="58"/>
  <c r="Y323" i="56"/>
  <c r="M444" i="60"/>
  <c r="P444" i="60" s="1"/>
  <c r="H194" i="19"/>
  <c r="H330" i="56"/>
  <c r="H217" i="56" s="1"/>
  <c r="M525" i="60"/>
  <c r="M631" i="60"/>
  <c r="H325" i="56"/>
  <c r="H212" i="56" s="1"/>
  <c r="K360" i="58"/>
  <c r="M542" i="60"/>
  <c r="U323" i="19"/>
  <c r="F323" i="19" s="1"/>
  <c r="S643" i="60"/>
  <c r="V361" i="61"/>
  <c r="V324" i="61"/>
  <c r="S606" i="60"/>
  <c r="S476" i="60"/>
  <c r="U307" i="19"/>
  <c r="F307" i="19" s="1"/>
  <c r="S614" i="55"/>
  <c r="W310" i="56"/>
  <c r="Z357" i="58"/>
  <c r="S197" i="1"/>
  <c r="U318" i="19"/>
  <c r="F318" i="19" s="1"/>
  <c r="V341" i="61"/>
  <c r="M25" i="63"/>
  <c r="Z25" i="63" s="1"/>
  <c r="M28" i="63"/>
  <c r="Z28" i="63" s="1"/>
  <c r="M33" i="63"/>
  <c r="Z33" i="63" s="1"/>
  <c r="M27" i="63"/>
  <c r="Z27" i="63" s="1"/>
  <c r="M26" i="63"/>
  <c r="Z26" i="63" s="1"/>
  <c r="M32" i="63"/>
  <c r="Z32" i="63" s="1"/>
  <c r="M34" i="63"/>
  <c r="Z34" i="63" s="1"/>
  <c r="M31" i="63"/>
  <c r="Z31" i="63" s="1"/>
  <c r="M24" i="63"/>
  <c r="Z24" i="63" s="1"/>
  <c r="M30" i="63"/>
  <c r="Z30" i="63" s="1"/>
  <c r="M29" i="63"/>
  <c r="Z29" i="63" s="1"/>
  <c r="M23" i="63"/>
  <c r="Z23" i="63" s="1"/>
  <c r="H313" i="56"/>
  <c r="M586" i="60"/>
  <c r="K352" i="61"/>
  <c r="M609" i="60"/>
  <c r="M31" i="66"/>
  <c r="T598" i="55"/>
  <c r="W403" i="19"/>
  <c r="W300" i="19"/>
  <c r="X443" i="61"/>
  <c r="Y409" i="56"/>
  <c r="AB469" i="58"/>
  <c r="U759" i="55"/>
  <c r="AB361" i="58"/>
  <c r="Y313" i="56"/>
  <c r="W309" i="19"/>
  <c r="G309" i="19" s="1"/>
  <c r="Y332" i="56"/>
  <c r="AB382" i="58"/>
  <c r="X348" i="61"/>
  <c r="W318" i="19"/>
  <c r="G318" i="19" s="1"/>
  <c r="AB356" i="58"/>
  <c r="Y309" i="56"/>
  <c r="M439" i="60"/>
  <c r="P439" i="60" s="1"/>
  <c r="M507" i="60"/>
  <c r="P507" i="60" s="1"/>
  <c r="H203" i="19"/>
  <c r="K380" i="58"/>
  <c r="K374" i="58"/>
  <c r="H300" i="56"/>
  <c r="X361" i="56"/>
  <c r="X417" i="56"/>
  <c r="X418" i="56" s="1"/>
  <c r="M610" i="60"/>
  <c r="K250" i="58"/>
  <c r="H319" i="56"/>
  <c r="H206" i="56" s="1"/>
  <c r="S437" i="60"/>
  <c r="S135" i="69"/>
  <c r="H213" i="19"/>
  <c r="H304" i="56"/>
  <c r="H191" i="56" s="1"/>
  <c r="Z467" i="58"/>
  <c r="U401" i="19"/>
  <c r="S757" i="55"/>
  <c r="V441" i="61"/>
  <c r="U351" i="19"/>
  <c r="K32" i="66"/>
  <c r="S199" i="1"/>
  <c r="S515" i="60"/>
  <c r="V335" i="61"/>
  <c r="S491" i="60"/>
  <c r="V364" i="61"/>
  <c r="S646" i="60"/>
  <c r="V327" i="61"/>
  <c r="W319" i="56"/>
  <c r="Z367" i="58"/>
  <c r="S226" i="1"/>
  <c r="U326" i="19"/>
  <c r="F326" i="19" s="1"/>
  <c r="F219" i="19" s="1"/>
  <c r="F51" i="19" s="1"/>
  <c r="M58" i="1"/>
  <c r="P40" i="1"/>
  <c r="M45" i="1"/>
  <c r="M46" i="1" s="1"/>
  <c r="K361" i="58"/>
  <c r="M32" i="66"/>
  <c r="W351" i="19"/>
  <c r="X441" i="61"/>
  <c r="U757" i="55"/>
  <c r="W401" i="19"/>
  <c r="AB467" i="58"/>
  <c r="AB391" i="58"/>
  <c r="J391" i="58" s="1"/>
  <c r="T600" i="55"/>
  <c r="K649" i="60"/>
  <c r="X320" i="61"/>
  <c r="AB383" i="58"/>
  <c r="Y333" i="56"/>
  <c r="W327" i="19"/>
  <c r="G327" i="19" s="1"/>
  <c r="G220" i="19" s="1"/>
  <c r="G52" i="19" s="1"/>
  <c r="T602" i="55"/>
  <c r="K362" i="58"/>
  <c r="H232" i="19"/>
  <c r="J519" i="60"/>
  <c r="H195" i="19"/>
  <c r="H329" i="56"/>
  <c r="H321" i="56"/>
  <c r="U332" i="19"/>
  <c r="F332" i="19" s="1"/>
  <c r="V340" i="61"/>
  <c r="S494" i="60"/>
  <c r="W306" i="19"/>
  <c r="G306" i="19" s="1"/>
  <c r="T613" i="55"/>
  <c r="K351" i="58"/>
  <c r="S436" i="60"/>
  <c r="S123" i="69"/>
  <c r="V332" i="61"/>
  <c r="I332" i="61" s="1"/>
  <c r="S614" i="60"/>
  <c r="U314" i="19"/>
  <c r="F314" i="19" s="1"/>
  <c r="F207" i="19" s="1"/>
  <c r="F34" i="19" s="1"/>
  <c r="V336" i="61"/>
  <c r="S618" i="60"/>
  <c r="Z382" i="58"/>
  <c r="W332" i="56"/>
  <c r="S262" i="1"/>
  <c r="U309" i="19"/>
  <c r="F309" i="19" s="1"/>
  <c r="M577" i="60"/>
  <c r="M591" i="60"/>
  <c r="M639" i="60"/>
  <c r="M579" i="60"/>
  <c r="M559" i="60"/>
  <c r="M627" i="60"/>
  <c r="M571" i="60"/>
  <c r="M536" i="60"/>
  <c r="M635" i="60"/>
  <c r="M563" i="60"/>
  <c r="M565" i="60"/>
  <c r="M562" i="60"/>
  <c r="M547" i="60"/>
  <c r="M632" i="60"/>
  <c r="M613" i="60"/>
  <c r="M588" i="60"/>
  <c r="M553" i="60"/>
  <c r="M608" i="60"/>
  <c r="M580" i="60"/>
  <c r="M560" i="60"/>
  <c r="M620" i="60"/>
  <c r="M544" i="60"/>
  <c r="M633" i="60"/>
  <c r="M636" i="60"/>
  <c r="M540" i="60"/>
  <c r="M530" i="60"/>
  <c r="M619" i="60"/>
  <c r="M550" i="60"/>
  <c r="M574" i="60"/>
  <c r="M621" i="60"/>
  <c r="M605" i="60"/>
  <c r="M575" i="60"/>
  <c r="M640" i="60"/>
  <c r="M629" i="60"/>
  <c r="M625" i="60"/>
  <c r="M624" i="60"/>
  <c r="M543" i="60"/>
  <c r="M616" i="60"/>
  <c r="M551" i="60"/>
  <c r="M533" i="60"/>
  <c r="M567" i="60"/>
  <c r="M638" i="60"/>
  <c r="M645" i="60"/>
  <c r="M642" i="60"/>
  <c r="M611" i="60"/>
  <c r="M555" i="60"/>
  <c r="M628" i="60"/>
  <c r="M637" i="60"/>
  <c r="M648" i="60"/>
  <c r="M572" i="60"/>
  <c r="M556" i="60"/>
  <c r="M568" i="60"/>
  <c r="M514" i="60"/>
  <c r="P514" i="60" s="1"/>
  <c r="M447" i="60"/>
  <c r="P447" i="60" s="1"/>
  <c r="M496" i="60"/>
  <c r="P496" i="60" s="1"/>
  <c r="M481" i="60"/>
  <c r="P481" i="60" s="1"/>
  <c r="M492" i="60"/>
  <c r="P492" i="60" s="1"/>
  <c r="M582" i="60"/>
  <c r="P582" i="60" s="1"/>
  <c r="M498" i="60"/>
  <c r="P498" i="60" s="1"/>
  <c r="M585" i="60"/>
  <c r="P585" i="60" s="1"/>
  <c r="M493" i="60"/>
  <c r="P493" i="60" s="1"/>
  <c r="M510" i="60"/>
  <c r="P510" i="60" s="1"/>
  <c r="M457" i="60"/>
  <c r="P457" i="60" s="1"/>
  <c r="M472" i="60"/>
  <c r="P472" i="60" s="1"/>
  <c r="M434" i="60"/>
  <c r="P434" i="60" s="1"/>
  <c r="M490" i="60"/>
  <c r="P490" i="60" s="1"/>
  <c r="M465" i="60"/>
  <c r="P465" i="60" s="1"/>
  <c r="M467" i="60"/>
  <c r="P467" i="60" s="1"/>
  <c r="M584" i="60"/>
  <c r="P584" i="60" s="1"/>
  <c r="M474" i="60"/>
  <c r="P474" i="60" s="1"/>
  <c r="M445" i="60"/>
  <c r="P445" i="60" s="1"/>
  <c r="M641" i="60"/>
  <c r="M443" i="60"/>
  <c r="P443" i="60" s="1"/>
  <c r="M458" i="60"/>
  <c r="P458" i="60" s="1"/>
  <c r="M483" i="60"/>
  <c r="P483" i="60" s="1"/>
  <c r="M508" i="60"/>
  <c r="P508" i="60" s="1"/>
  <c r="M440" i="60"/>
  <c r="P440" i="60" s="1"/>
  <c r="M454" i="60"/>
  <c r="P454" i="60" s="1"/>
  <c r="M478" i="60"/>
  <c r="P478" i="60" s="1"/>
  <c r="M511" i="60"/>
  <c r="P511" i="60" s="1"/>
  <c r="M480" i="60"/>
  <c r="P480" i="60" s="1"/>
  <c r="M581" i="60"/>
  <c r="P581" i="60" s="1"/>
  <c r="M583" i="60"/>
  <c r="P583" i="60" s="1"/>
  <c r="M461" i="60"/>
  <c r="P461" i="60" s="1"/>
  <c r="M475" i="60"/>
  <c r="P475" i="60" s="1"/>
  <c r="M517" i="60"/>
  <c r="P517" i="60" s="1"/>
  <c r="M499" i="60"/>
  <c r="P499" i="60" s="1"/>
  <c r="M503" i="60"/>
  <c r="P503" i="60" s="1"/>
  <c r="M463" i="60"/>
  <c r="P463" i="60" s="1"/>
  <c r="M501" i="60"/>
  <c r="P501" i="60" s="1"/>
  <c r="M485" i="60"/>
  <c r="P485" i="60" s="1"/>
  <c r="X364" i="61"/>
  <c r="AB363" i="58"/>
  <c r="Y315" i="56"/>
  <c r="W341" i="19"/>
  <c r="G341" i="19" s="1"/>
  <c r="M495" i="60"/>
  <c r="P495" i="60" s="1"/>
  <c r="M558" i="60"/>
  <c r="H314" i="56"/>
  <c r="H199" i="19"/>
  <c r="AA420" i="58"/>
  <c r="AB283" i="58" s="1"/>
  <c r="K346" i="58"/>
  <c r="AA477" i="58"/>
  <c r="AA478" i="58" s="1"/>
  <c r="H222" i="19"/>
  <c r="K379" i="58"/>
  <c r="K370" i="58"/>
  <c r="H214" i="19"/>
  <c r="H309" i="56"/>
  <c r="G58" i="1"/>
  <c r="E11" i="9"/>
  <c r="G45" i="1"/>
  <c r="S250" i="1"/>
  <c r="I649" i="60"/>
  <c r="S602" i="60"/>
  <c r="V320" i="61"/>
  <c r="AR602" i="60"/>
  <c r="V348" i="61"/>
  <c r="S630" i="60"/>
  <c r="Z352" i="58"/>
  <c r="W305" i="56"/>
  <c r="S185" i="1"/>
  <c r="S464" i="60"/>
  <c r="S507" i="60"/>
  <c r="V328" i="61"/>
  <c r="S610" i="60"/>
  <c r="S516" i="60"/>
  <c r="W322" i="56"/>
  <c r="Z371" i="58"/>
  <c r="S233" i="1"/>
  <c r="U321" i="19"/>
  <c r="F321" i="19" s="1"/>
  <c r="H234" i="19"/>
  <c r="K375" i="58"/>
  <c r="K393" i="58"/>
  <c r="H200" i="19"/>
  <c r="K405" i="61"/>
  <c r="K431" i="58"/>
  <c r="H721" i="55"/>
  <c r="H371" i="56"/>
  <c r="H365" i="19"/>
  <c r="I45" i="1"/>
  <c r="I46" i="1" s="1"/>
  <c r="I58" i="1"/>
  <c r="F11" i="9"/>
  <c r="F10" i="9" s="1"/>
  <c r="F14" i="9" s="1"/>
  <c r="I59" i="1"/>
  <c r="I53" i="1"/>
  <c r="F9" i="8"/>
  <c r="K518" i="60"/>
  <c r="X335" i="61"/>
  <c r="Y335" i="56"/>
  <c r="AB386" i="58"/>
  <c r="T599" i="55"/>
  <c r="W301" i="19"/>
  <c r="G301" i="19" s="1"/>
  <c r="AB360" i="58"/>
  <c r="Y312" i="56"/>
  <c r="H318" i="56"/>
  <c r="H205" i="56" s="1"/>
  <c r="K388" i="58"/>
  <c r="M432" i="60"/>
  <c r="M482" i="60"/>
  <c r="P482" i="60" s="1"/>
  <c r="H65" i="19"/>
  <c r="E68" i="34"/>
  <c r="H311" i="56"/>
  <c r="H198" i="56" s="1"/>
  <c r="S512" i="60"/>
  <c r="Z354" i="58"/>
  <c r="W307" i="56"/>
  <c r="S187" i="1"/>
  <c r="H62" i="1"/>
  <c r="I75" i="1" s="1"/>
  <c r="V363" i="19"/>
  <c r="U718" i="55"/>
  <c r="X369" i="56"/>
  <c r="W402" i="61"/>
  <c r="AA428" i="58"/>
  <c r="K592" i="60"/>
  <c r="K594" i="60"/>
  <c r="K595" i="60" s="1"/>
  <c r="N432" i="60" s="1"/>
  <c r="AB393" i="58"/>
  <c r="AB371" i="58"/>
  <c r="Y322" i="56"/>
  <c r="I218" i="60"/>
  <c r="I220" i="60" s="1"/>
  <c r="I251" i="60"/>
  <c r="N171" i="60"/>
  <c r="W314" i="19"/>
  <c r="G314" i="19" s="1"/>
  <c r="G207" i="19" s="1"/>
  <c r="G34" i="19" s="1"/>
  <c r="AB359" i="58"/>
  <c r="Y311" i="56"/>
  <c r="K366" i="58"/>
  <c r="K369" i="58"/>
  <c r="H335" i="56"/>
  <c r="Z372" i="58"/>
  <c r="W323" i="56"/>
  <c r="S235" i="1"/>
  <c r="S502" i="60"/>
  <c r="S149" i="69"/>
  <c r="V349" i="61"/>
  <c r="S631" i="60"/>
  <c r="H231" i="19"/>
  <c r="H68" i="19" s="1"/>
  <c r="W329" i="19"/>
  <c r="G329" i="19" s="1"/>
  <c r="X442" i="61"/>
  <c r="U758" i="55"/>
  <c r="AB468" i="58"/>
  <c r="W352" i="19"/>
  <c r="W402" i="19"/>
  <c r="AB367" i="58"/>
  <c r="Y319" i="56"/>
  <c r="W326" i="19"/>
  <c r="G326" i="19" s="1"/>
  <c r="G219" i="19" s="1"/>
  <c r="G51" i="19" s="1"/>
  <c r="W321" i="19"/>
  <c r="G321" i="19" s="1"/>
  <c r="M590" i="60"/>
  <c r="P590" i="60" s="1"/>
  <c r="K344" i="61"/>
  <c r="H320" i="56"/>
  <c r="H207" i="56" s="1"/>
  <c r="K386" i="58"/>
  <c r="K361" i="61"/>
  <c r="M538" i="60"/>
  <c r="K359" i="58"/>
  <c r="K353" i="58"/>
  <c r="V344" i="61"/>
  <c r="S626" i="60"/>
  <c r="Z362" i="58"/>
  <c r="W314" i="56"/>
  <c r="S204" i="1"/>
  <c r="S601" i="55"/>
  <c r="U311" i="19"/>
  <c r="F311" i="19" s="1"/>
  <c r="G163" i="60"/>
  <c r="L116" i="60"/>
  <c r="G235" i="60"/>
  <c r="S455" i="60"/>
  <c r="S600" i="55"/>
  <c r="W321" i="56"/>
  <c r="Z370" i="58"/>
  <c r="S231" i="1"/>
  <c r="Z385" i="58"/>
  <c r="W334" i="56"/>
  <c r="S267" i="1"/>
  <c r="V362" i="61"/>
  <c r="S644" i="60"/>
  <c r="Z386" i="58"/>
  <c r="S269" i="1"/>
  <c r="W335" i="56"/>
  <c r="S452" i="60"/>
  <c r="Z394" i="58"/>
  <c r="I394" i="58" s="1"/>
  <c r="S284" i="1"/>
  <c r="M453" i="60"/>
  <c r="P453" i="60" s="1"/>
  <c r="H307" i="56"/>
  <c r="H223" i="19"/>
  <c r="M570" i="60"/>
  <c r="AB352" i="58"/>
  <c r="Y305" i="56"/>
  <c r="W307" i="19"/>
  <c r="G307" i="19" s="1"/>
  <c r="T614" i="55"/>
  <c r="X361" i="61"/>
  <c r="K348" i="61"/>
  <c r="S41" i="66"/>
  <c r="L41" i="66" s="1"/>
  <c r="U708" i="55"/>
  <c r="M576" i="60"/>
  <c r="M494" i="60"/>
  <c r="P494" i="60" s="1"/>
  <c r="S509" i="60"/>
  <c r="S151" i="69"/>
  <c r="U336" i="19"/>
  <c r="F336" i="19" s="1"/>
  <c r="F229" i="19" s="1"/>
  <c r="F66" i="19" s="1"/>
  <c r="S433" i="60"/>
  <c r="K354" i="58"/>
  <c r="K349" i="58"/>
  <c r="V443" i="61"/>
  <c r="S759" i="55"/>
  <c r="W409" i="56"/>
  <c r="Z469" i="58"/>
  <c r="U403" i="19"/>
  <c r="K31" i="66"/>
  <c r="U300" i="19"/>
  <c r="S598" i="55"/>
  <c r="Z391" i="58"/>
  <c r="I391" i="58" s="1"/>
  <c r="S282" i="1"/>
  <c r="U327" i="19"/>
  <c r="F327" i="19" s="1"/>
  <c r="F220" i="19" s="1"/>
  <c r="F52" i="19" s="1"/>
  <c r="U320" i="19"/>
  <c r="F320" i="19" s="1"/>
  <c r="Z369" i="58"/>
  <c r="S229" i="1"/>
  <c r="W320" i="56"/>
  <c r="S283" i="1"/>
  <c r="Z393" i="58"/>
  <c r="S513" i="60"/>
  <c r="S602" i="55"/>
  <c r="S446" i="60"/>
  <c r="U329" i="19"/>
  <c r="F329" i="19" s="1"/>
  <c r="Z380" i="58"/>
  <c r="S254" i="1"/>
  <c r="W330" i="56"/>
  <c r="S110" i="69"/>
  <c r="S459" i="60"/>
  <c r="K335" i="61"/>
  <c r="H165" i="60"/>
  <c r="H167" i="60"/>
  <c r="H169" i="60" s="1"/>
  <c r="H268" i="60" s="1"/>
  <c r="H290" i="60" s="1"/>
  <c r="H292" i="60" s="1"/>
  <c r="I354" i="60" s="1"/>
  <c r="H225" i="19"/>
  <c r="H99" i="19"/>
  <c r="X332" i="61"/>
  <c r="J332" i="61" s="1"/>
  <c r="W317" i="19"/>
  <c r="G317" i="19" s="1"/>
  <c r="T601" i="55"/>
  <c r="W339" i="19"/>
  <c r="G339" i="19" s="1"/>
  <c r="M489" i="60"/>
  <c r="P489" i="60" s="1"/>
  <c r="M534" i="60"/>
  <c r="M626" i="60"/>
  <c r="M549" i="60"/>
  <c r="M539" i="60"/>
  <c r="H731" i="55"/>
  <c r="H375" i="19"/>
  <c r="K415" i="61"/>
  <c r="H381" i="56"/>
  <c r="K441" i="58"/>
  <c r="M643" i="60"/>
  <c r="M552" i="60"/>
  <c r="M546" i="60"/>
  <c r="M531" i="60"/>
  <c r="Z366" i="58"/>
  <c r="W318" i="56"/>
  <c r="S225" i="1"/>
  <c r="U335" i="19"/>
  <c r="F335" i="19" s="1"/>
  <c r="F228" i="19" s="1"/>
  <c r="Z388" i="58"/>
  <c r="S273" i="1"/>
  <c r="H326" i="56"/>
  <c r="K227" i="61"/>
  <c r="H302" i="56"/>
  <c r="H189" i="56" s="1"/>
  <c r="S460" i="60"/>
  <c r="S119" i="69"/>
  <c r="V322" i="61"/>
  <c r="I322" i="61" s="1"/>
  <c r="S604" i="60"/>
  <c r="W336" i="56"/>
  <c r="Z387" i="58"/>
  <c r="S271" i="1"/>
  <c r="Z364" i="58"/>
  <c r="W316" i="56"/>
  <c r="S208" i="1"/>
  <c r="U341" i="19"/>
  <c r="F341" i="19" s="1"/>
  <c r="U338" i="19"/>
  <c r="F338" i="19" s="1"/>
  <c r="U313" i="19"/>
  <c r="F313" i="19" s="1"/>
  <c r="U303" i="19"/>
  <c r="F303" i="19" s="1"/>
  <c r="F196" i="19" s="1"/>
  <c r="F18" i="19" s="1"/>
  <c r="S604" i="55"/>
  <c r="W311" i="56"/>
  <c r="Z359" i="58"/>
  <c r="S200" i="1"/>
  <c r="V352" i="61"/>
  <c r="V330" i="61"/>
  <c r="P116" i="60"/>
  <c r="M163" i="60"/>
  <c r="M235" i="60"/>
  <c r="M564" i="60"/>
  <c r="M484" i="60"/>
  <c r="P484" i="60" s="1"/>
  <c r="M497" i="60"/>
  <c r="P497" i="60" s="1"/>
  <c r="K190" i="61"/>
  <c r="X325" i="61"/>
  <c r="X324" i="61"/>
  <c r="X327" i="61"/>
  <c r="X344" i="61"/>
  <c r="X352" i="61"/>
  <c r="W303" i="19"/>
  <c r="G303" i="19" s="1"/>
  <c r="G196" i="19" s="1"/>
  <c r="G18" i="19" s="1"/>
  <c r="T604" i="55"/>
  <c r="AQ56" i="53"/>
  <c r="K383" i="58"/>
  <c r="X378" i="56"/>
  <c r="V372" i="19"/>
  <c r="AA438" i="58"/>
  <c r="W412" i="61"/>
  <c r="U728" i="55"/>
  <c r="U730" i="55" s="1"/>
  <c r="K336" i="61"/>
  <c r="M630" i="60"/>
  <c r="K340" i="61"/>
  <c r="W394" i="61"/>
  <c r="X257" i="61" s="1"/>
  <c r="K320" i="61"/>
  <c r="W451" i="61"/>
  <c r="W452" i="61" s="1"/>
  <c r="M516" i="60"/>
  <c r="P516" i="60" s="1"/>
  <c r="M437" i="60"/>
  <c r="P437" i="60" s="1"/>
  <c r="H306" i="56"/>
  <c r="H193" i="56" s="1"/>
  <c r="W312" i="56"/>
  <c r="Z360" i="58"/>
  <c r="S202" i="1"/>
  <c r="S108" i="69"/>
  <c r="S228" i="1"/>
  <c r="Z349" i="58"/>
  <c r="W302" i="56"/>
  <c r="S183" i="1"/>
  <c r="S473" i="60"/>
  <c r="Z377" i="58"/>
  <c r="W327" i="56"/>
  <c r="S248" i="1"/>
  <c r="U301" i="19"/>
  <c r="F301" i="19" s="1"/>
  <c r="S599" i="55"/>
  <c r="K363" i="58"/>
  <c r="M462" i="60"/>
  <c r="P462" i="60" s="1"/>
  <c r="M578" i="60"/>
  <c r="X349" i="61"/>
  <c r="X333" i="61"/>
  <c r="Y307" i="56"/>
  <c r="AB354" i="58"/>
  <c r="Y329" i="56"/>
  <c r="AB379" i="58"/>
  <c r="X362" i="61"/>
  <c r="W320" i="19"/>
  <c r="G320" i="19" s="1"/>
  <c r="AB377" i="58"/>
  <c r="Y327" i="56"/>
  <c r="W313" i="19"/>
  <c r="G313" i="19" s="1"/>
  <c r="M448" i="60"/>
  <c r="P448" i="60" s="1"/>
  <c r="H333" i="56"/>
  <c r="H220" i="56" s="1"/>
  <c r="H327" i="56"/>
  <c r="H216" i="19"/>
  <c r="M436" i="60"/>
  <c r="P436" i="60" s="1"/>
  <c r="M53" i="1"/>
  <c r="P48" i="1"/>
  <c r="M59" i="1"/>
  <c r="M455" i="60"/>
  <c r="P455" i="60" s="1"/>
  <c r="M513" i="60"/>
  <c r="P513" i="60" s="1"/>
  <c r="M566" i="60"/>
  <c r="M622" i="60"/>
  <c r="J650" i="60"/>
  <c r="H322" i="56"/>
  <c r="S616" i="55"/>
  <c r="W326" i="56"/>
  <c r="Z375" i="58"/>
  <c r="S244" i="1"/>
  <c r="V321" i="61"/>
  <c r="S603" i="60"/>
  <c r="S456" i="60"/>
  <c r="K352" i="58"/>
  <c r="H352" i="19"/>
  <c r="H245" i="19" s="1"/>
  <c r="V410" i="19"/>
  <c r="S477" i="60"/>
  <c r="S120" i="69"/>
  <c r="S442" i="60"/>
  <c r="Z347" i="58"/>
  <c r="W301" i="56"/>
  <c r="S182" i="1"/>
  <c r="U317" i="19"/>
  <c r="F317" i="19" s="1"/>
  <c r="S209" i="1"/>
  <c r="S439" i="60"/>
  <c r="S482" i="60"/>
  <c r="S435" i="60"/>
  <c r="V333" i="61"/>
  <c r="S615" i="60"/>
  <c r="K372" i="58"/>
  <c r="H210" i="19"/>
  <c r="H305" i="56"/>
  <c r="H192" i="56" s="1"/>
  <c r="M512" i="60"/>
  <c r="P512" i="60" s="1"/>
  <c r="H315" i="56"/>
  <c r="M500" i="60"/>
  <c r="P500" i="60" s="1"/>
  <c r="M604" i="60"/>
  <c r="Y310" i="56"/>
  <c r="AB357" i="58"/>
  <c r="AB370" i="58"/>
  <c r="Y321" i="56"/>
  <c r="X340" i="61"/>
  <c r="AB349" i="58"/>
  <c r="Y302" i="56"/>
  <c r="K390" i="58"/>
  <c r="K377" i="58"/>
  <c r="K325" i="61"/>
  <c r="K330" i="61"/>
  <c r="M618" i="60"/>
  <c r="H351" i="19"/>
  <c r="H244" i="19" s="1"/>
  <c r="V409" i="19"/>
  <c r="M602" i="60"/>
  <c r="M557" i="60"/>
  <c r="M528" i="60"/>
  <c r="K200" i="61"/>
  <c r="K371" i="58"/>
  <c r="S453" i="60"/>
  <c r="S448" i="60"/>
  <c r="S133" i="69"/>
  <c r="Z363" i="58"/>
  <c r="W315" i="56"/>
  <c r="S207" i="1"/>
  <c r="W306" i="56"/>
  <c r="Z353" i="58"/>
  <c r="S186" i="1"/>
  <c r="U302" i="19"/>
  <c r="F302" i="19" s="1"/>
  <c r="S603" i="55"/>
  <c r="U339" i="19"/>
  <c r="F339" i="19" s="1"/>
  <c r="S495" i="60"/>
  <c r="H323" i="56"/>
  <c r="H211" i="19"/>
  <c r="K321" i="61"/>
  <c r="Y318" i="56"/>
  <c r="AB366" i="58"/>
  <c r="I163" i="60"/>
  <c r="N116" i="60"/>
  <c r="I235" i="60"/>
  <c r="T616" i="55"/>
  <c r="W335" i="19"/>
  <c r="G335" i="19" s="1"/>
  <c r="G228" i="19" s="1"/>
  <c r="AB375" i="58"/>
  <c r="Y326" i="56"/>
  <c r="X330" i="61"/>
  <c r="W311" i="19"/>
  <c r="G311" i="19" s="1"/>
  <c r="AB347" i="58"/>
  <c r="Y301" i="56"/>
  <c r="M441" i="60"/>
  <c r="P441" i="60" s="1"/>
  <c r="M476" i="60"/>
  <c r="P476" i="60" s="1"/>
  <c r="M459" i="60"/>
  <c r="P459" i="60" s="1"/>
  <c r="K362" i="61"/>
  <c r="K385" i="58"/>
  <c r="K347" i="58"/>
  <c r="M491" i="60"/>
  <c r="P491" i="60" s="1"/>
  <c r="K387" i="58"/>
  <c r="M614" i="60"/>
  <c r="Z374" i="58"/>
  <c r="W325" i="56"/>
  <c r="S243" i="1"/>
  <c r="M218" i="60"/>
  <c r="M220" i="60" s="1"/>
  <c r="P171" i="60"/>
  <c r="M251" i="60"/>
  <c r="S181" i="1"/>
  <c r="Z346" i="58"/>
  <c r="W300" i="56"/>
  <c r="I285" i="1"/>
  <c r="I286" i="1" s="1"/>
  <c r="AR181" i="1"/>
  <c r="S466" i="60"/>
  <c r="W313" i="56"/>
  <c r="Z361" i="58"/>
  <c r="S203" i="1"/>
  <c r="S432" i="60"/>
  <c r="I518" i="60"/>
  <c r="AR432" i="60"/>
  <c r="S613" i="55"/>
  <c r="U306" i="19"/>
  <c r="F306" i="19" s="1"/>
  <c r="S122" i="69"/>
  <c r="Z390" i="58"/>
  <c r="S281" i="1"/>
  <c r="G59" i="1"/>
  <c r="E9" i="8"/>
  <c r="G53" i="1"/>
  <c r="H316" i="56"/>
  <c r="K356" i="58"/>
  <c r="U352" i="19"/>
  <c r="U402" i="19"/>
  <c r="V442" i="61"/>
  <c r="Z468" i="58"/>
  <c r="S758" i="55"/>
  <c r="W304" i="56"/>
  <c r="Z351" i="58"/>
  <c r="S184" i="1"/>
  <c r="S489" i="60"/>
  <c r="S143" i="69"/>
  <c r="S471" i="60"/>
  <c r="K364" i="58"/>
  <c r="M554" i="60"/>
  <c r="N33" i="63"/>
  <c r="AA33" i="63" s="1"/>
  <c r="N32" i="63"/>
  <c r="AA32" i="63" s="1"/>
  <c r="N34" i="63"/>
  <c r="AA34" i="63" s="1"/>
  <c r="N31" i="63"/>
  <c r="AA31" i="63" s="1"/>
  <c r="N28" i="63"/>
  <c r="AA28" i="63" s="1"/>
  <c r="N23" i="63"/>
  <c r="AA23" i="63" s="1"/>
  <c r="N29" i="63"/>
  <c r="AA29" i="63" s="1"/>
  <c r="N25" i="63"/>
  <c r="AA25" i="63" s="1"/>
  <c r="N27" i="63"/>
  <c r="AA27" i="63" s="1"/>
  <c r="N30" i="63"/>
  <c r="AA30" i="63" s="1"/>
  <c r="N26" i="63"/>
  <c r="AA26" i="63" s="1"/>
  <c r="N24" i="63"/>
  <c r="AA24" i="63" s="1"/>
  <c r="AB346" i="58"/>
  <c r="K285" i="1"/>
  <c r="K286" i="1" s="1"/>
  <c r="Y300" i="56"/>
  <c r="X341" i="61"/>
  <c r="AB353" i="58"/>
  <c r="Y306" i="56"/>
  <c r="AB362" i="58"/>
  <c r="Y314" i="56"/>
  <c r="AB390" i="58"/>
  <c r="M502" i="60"/>
  <c r="P502" i="60" s="1"/>
  <c r="H204" i="19"/>
  <c r="M607" i="60"/>
  <c r="M612" i="60"/>
  <c r="M644" i="60"/>
  <c r="H334" i="56"/>
  <c r="H301" i="56"/>
  <c r="M524" i="60"/>
  <c r="H310" i="56"/>
  <c r="H197" i="56" s="1"/>
  <c r="H336" i="56"/>
  <c r="H98" i="19"/>
  <c r="AO677" i="55" l="1"/>
  <c r="AP677" i="55" s="1"/>
  <c r="AC675" i="55"/>
  <c r="F675" i="55" s="1"/>
  <c r="F516" i="55" s="1"/>
  <c r="AO633" i="55"/>
  <c r="AP633" i="55" s="1"/>
  <c r="AC658" i="55"/>
  <c r="F658" i="55" s="1"/>
  <c r="F499" i="55" s="1"/>
  <c r="AC678" i="55"/>
  <c r="AS678" i="55" s="1"/>
  <c r="AO634" i="55"/>
  <c r="AP634" i="55" s="1"/>
  <c r="AC649" i="55"/>
  <c r="AS649" i="55" s="1"/>
  <c r="AO627" i="55"/>
  <c r="AP627" i="55" s="1"/>
  <c r="AC610" i="55"/>
  <c r="AS610" i="55" s="1"/>
  <c r="AC620" i="55"/>
  <c r="AS620" i="55" s="1"/>
  <c r="AO617" i="55"/>
  <c r="AP617" i="55" s="1"/>
  <c r="AO671" i="55"/>
  <c r="AP671" i="55" s="1"/>
  <c r="AC642" i="55"/>
  <c r="F642" i="55" s="1"/>
  <c r="F483" i="55" s="1"/>
  <c r="F368" i="55" s="1"/>
  <c r="F77" i="55" s="1"/>
  <c r="AO644" i="55"/>
  <c r="AP644" i="55" s="1"/>
  <c r="AT680" i="55"/>
  <c r="AO664" i="55"/>
  <c r="AP664" i="55" s="1"/>
  <c r="AC680" i="55"/>
  <c r="AO680" i="55"/>
  <c r="AP680" i="55" s="1"/>
  <c r="AC622" i="55"/>
  <c r="AS622" i="55" s="1"/>
  <c r="AC674" i="55"/>
  <c r="F674" i="55" s="1"/>
  <c r="F515" i="55" s="1"/>
  <c r="F400" i="55" s="1"/>
  <c r="F119" i="55" s="1"/>
  <c r="AO606" i="55"/>
  <c r="AP606" i="55" s="1"/>
  <c r="AC655" i="55"/>
  <c r="F655" i="55" s="1"/>
  <c r="F496" i="55" s="1"/>
  <c r="F377" i="55" s="1"/>
  <c r="F91" i="55" s="1"/>
  <c r="AO621" i="55"/>
  <c r="AP621" i="55" s="1"/>
  <c r="F384" i="55"/>
  <c r="F98" i="55" s="1"/>
  <c r="G348" i="55"/>
  <c r="G52" i="55" s="1"/>
  <c r="AC626" i="55"/>
  <c r="AE626" i="55" s="1"/>
  <c r="G369" i="55"/>
  <c r="G78" i="55" s="1"/>
  <c r="G179" i="55" s="1"/>
  <c r="G403" i="55"/>
  <c r="G122" i="55" s="1"/>
  <c r="G183" i="55" s="1"/>
  <c r="G337" i="55"/>
  <c r="G41" i="55" s="1"/>
  <c r="G170" i="55" s="1"/>
  <c r="G367" i="55"/>
  <c r="G76" i="55" s="1"/>
  <c r="G365" i="55"/>
  <c r="G74" i="55" s="1"/>
  <c r="G155" i="55" s="1"/>
  <c r="G386" i="55"/>
  <c r="G100" i="55" s="1"/>
  <c r="G181" i="55" s="1"/>
  <c r="G357" i="55"/>
  <c r="G66" i="55" s="1"/>
  <c r="G164" i="55" s="1"/>
  <c r="G335" i="55"/>
  <c r="G39" i="55" s="1"/>
  <c r="G163" i="55" s="1"/>
  <c r="F401" i="55"/>
  <c r="F120" i="55" s="1"/>
  <c r="G380" i="55"/>
  <c r="G94" i="55" s="1"/>
  <c r="G146" i="55" s="1"/>
  <c r="G336" i="55"/>
  <c r="G40" i="55" s="1"/>
  <c r="G169" i="55" s="1"/>
  <c r="G388" i="55"/>
  <c r="G102" i="55" s="1"/>
  <c r="G192" i="55" s="1"/>
  <c r="G343" i="55"/>
  <c r="G47" i="55" s="1"/>
  <c r="G142" i="55" s="1"/>
  <c r="G382" i="55"/>
  <c r="G96" i="55" s="1"/>
  <c r="G157" i="55" s="1"/>
  <c r="G392" i="55"/>
  <c r="G111" i="55" s="1"/>
  <c r="G173" i="55" s="1"/>
  <c r="G384" i="55"/>
  <c r="G98" i="55" s="1"/>
  <c r="G374" i="55"/>
  <c r="G88" i="55" s="1"/>
  <c r="G165" i="55" s="1"/>
  <c r="F394" i="55"/>
  <c r="F113" i="55" s="1"/>
  <c r="G401" i="55"/>
  <c r="G120" i="55" s="1"/>
  <c r="G346" i="55"/>
  <c r="G50" i="55" s="1"/>
  <c r="G351" i="55"/>
  <c r="G55" i="55" s="1"/>
  <c r="G177" i="55" s="1"/>
  <c r="G339" i="55"/>
  <c r="G43" i="55" s="1"/>
  <c r="G405" i="55"/>
  <c r="G124" i="55" s="1"/>
  <c r="G194" i="55" s="1"/>
  <c r="G353" i="55"/>
  <c r="G57" i="55" s="1"/>
  <c r="G187" i="55" s="1"/>
  <c r="F360" i="55"/>
  <c r="F69" i="55" s="1"/>
  <c r="AO654" i="55"/>
  <c r="AP654" i="55" s="1"/>
  <c r="AO624" i="55"/>
  <c r="AP624" i="55" s="1"/>
  <c r="AO663" i="55"/>
  <c r="AP663" i="55" s="1"/>
  <c r="AC609" i="55"/>
  <c r="AS609" i="55" s="1"/>
  <c r="AO662" i="55"/>
  <c r="AP662" i="55" s="1"/>
  <c r="AO640" i="55"/>
  <c r="AP640" i="55" s="1"/>
  <c r="AO643" i="55"/>
  <c r="AP643" i="55" s="1"/>
  <c r="AC661" i="55"/>
  <c r="AS661" i="55" s="1"/>
  <c r="AC628" i="55"/>
  <c r="AS628" i="55" s="1"/>
  <c r="AO651" i="55"/>
  <c r="AP651" i="55" s="1"/>
  <c r="AO645" i="55"/>
  <c r="AP645" i="55" s="1"/>
  <c r="AO666" i="55"/>
  <c r="AP666" i="55" s="1"/>
  <c r="AO611" i="55"/>
  <c r="AP611" i="55" s="1"/>
  <c r="AO681" i="55"/>
  <c r="AP681" i="55" s="1"/>
  <c r="AC619" i="55"/>
  <c r="F619" i="55" s="1"/>
  <c r="F460" i="55" s="1"/>
  <c r="F349" i="55" s="1"/>
  <c r="F53" i="55" s="1"/>
  <c r="AO615" i="55"/>
  <c r="AP615" i="55" s="1"/>
  <c r="AC641" i="55"/>
  <c r="F641" i="55" s="1"/>
  <c r="F482" i="55" s="1"/>
  <c r="AO618" i="55"/>
  <c r="AP618" i="55" s="1"/>
  <c r="AO608" i="55"/>
  <c r="AP608" i="55" s="1"/>
  <c r="AO638" i="55"/>
  <c r="AP638" i="55" s="1"/>
  <c r="AO665" i="55"/>
  <c r="AP665" i="55" s="1"/>
  <c r="AC657" i="55"/>
  <c r="F657" i="55" s="1"/>
  <c r="F498" i="55" s="1"/>
  <c r="F383" i="55" s="1"/>
  <c r="F97" i="55" s="1"/>
  <c r="AO656" i="55"/>
  <c r="AP656" i="55" s="1"/>
  <c r="AC639" i="55"/>
  <c r="F639" i="55" s="1"/>
  <c r="F480" i="55" s="1"/>
  <c r="F361" i="55" s="1"/>
  <c r="F70" i="55" s="1"/>
  <c r="AC637" i="55"/>
  <c r="F637" i="55" s="1"/>
  <c r="F478" i="55" s="1"/>
  <c r="F359" i="55" s="1"/>
  <c r="F68" i="55" s="1"/>
  <c r="AO625" i="55"/>
  <c r="AP625" i="55" s="1"/>
  <c r="AC631" i="55"/>
  <c r="AS631" i="55" s="1"/>
  <c r="AT631" i="55"/>
  <c r="AT647" i="55"/>
  <c r="AT649" i="55"/>
  <c r="AT682" i="55"/>
  <c r="AT681" i="55"/>
  <c r="AS685" i="55"/>
  <c r="AO685" i="55"/>
  <c r="AP685" i="55" s="1"/>
  <c r="AT633" i="55"/>
  <c r="AO679" i="55"/>
  <c r="AP679" i="55" s="1"/>
  <c r="AC660" i="55"/>
  <c r="AS660" i="55" s="1"/>
  <c r="AC646" i="55"/>
  <c r="AS646" i="55" s="1"/>
  <c r="AT629" i="55"/>
  <c r="AT664" i="55"/>
  <c r="AO683" i="55"/>
  <c r="AP683" i="55" s="1"/>
  <c r="AT685" i="55"/>
  <c r="AO648" i="55"/>
  <c r="AP648" i="55" s="1"/>
  <c r="AO636" i="55"/>
  <c r="AP636" i="55" s="1"/>
  <c r="AC653" i="55"/>
  <c r="AS653" i="55" s="1"/>
  <c r="AO676" i="55"/>
  <c r="AP676" i="55" s="1"/>
  <c r="AO672" i="55"/>
  <c r="AP672" i="55" s="1"/>
  <c r="AC659" i="55"/>
  <c r="AE659" i="55" s="1"/>
  <c r="AC673" i="55"/>
  <c r="F673" i="55" s="1"/>
  <c r="F514" i="55" s="1"/>
  <c r="F395" i="55" s="1"/>
  <c r="F114" i="55" s="1"/>
  <c r="AO687" i="55"/>
  <c r="AP687" i="55" s="1"/>
  <c r="AC670" i="55"/>
  <c r="AS670" i="55" s="1"/>
  <c r="AO689" i="55"/>
  <c r="AP689" i="55" s="1"/>
  <c r="AO623" i="55"/>
  <c r="AP623" i="55" s="1"/>
  <c r="AO688" i="55"/>
  <c r="AP688" i="55" s="1"/>
  <c r="AC690" i="55"/>
  <c r="AS690" i="55" s="1"/>
  <c r="AT690" i="55"/>
  <c r="AT688" i="55"/>
  <c r="AT653" i="55"/>
  <c r="AT670" i="55"/>
  <c r="F636" i="55"/>
  <c r="F477" i="55" s="1"/>
  <c r="F356" i="55" s="1"/>
  <c r="F65" i="55" s="1"/>
  <c r="AE636" i="55"/>
  <c r="F647" i="55"/>
  <c r="F488" i="55" s="1"/>
  <c r="F357" i="55" s="1"/>
  <c r="F66" i="55" s="1"/>
  <c r="F164" i="55" s="1"/>
  <c r="AE647" i="55"/>
  <c r="F665" i="55"/>
  <c r="F506" i="55" s="1"/>
  <c r="F375" i="55" s="1"/>
  <c r="F89" i="55" s="1"/>
  <c r="F172" i="55" s="1"/>
  <c r="AE665" i="55"/>
  <c r="F668" i="55"/>
  <c r="F509" i="55" s="1"/>
  <c r="F388" i="55" s="1"/>
  <c r="F102" i="55" s="1"/>
  <c r="F192" i="55" s="1"/>
  <c r="AE668" i="55"/>
  <c r="AT687" i="55"/>
  <c r="F682" i="55"/>
  <c r="F523" i="55" s="1"/>
  <c r="F392" i="55" s="1"/>
  <c r="F111" i="55" s="1"/>
  <c r="F173" i="55" s="1"/>
  <c r="AE682" i="55"/>
  <c r="AT665" i="55"/>
  <c r="F687" i="55"/>
  <c r="F528" i="55" s="1"/>
  <c r="F407" i="55" s="1"/>
  <c r="AE687" i="55"/>
  <c r="F627" i="55"/>
  <c r="F468" i="55" s="1"/>
  <c r="F335" i="55" s="1"/>
  <c r="F39" i="55" s="1"/>
  <c r="F163" i="55" s="1"/>
  <c r="AE627" i="55"/>
  <c r="AF627" i="55" s="1"/>
  <c r="AS626" i="55"/>
  <c r="F626" i="55"/>
  <c r="F467" i="55" s="1"/>
  <c r="F334" i="55" s="1"/>
  <c r="F38" i="55" s="1"/>
  <c r="F162" i="55" s="1"/>
  <c r="AT683" i="55"/>
  <c r="F633" i="55"/>
  <c r="F474" i="55" s="1"/>
  <c r="F353" i="55" s="1"/>
  <c r="F57" i="55" s="1"/>
  <c r="F187" i="55" s="1"/>
  <c r="AE633" i="55"/>
  <c r="F629" i="55"/>
  <c r="F470" i="55" s="1"/>
  <c r="F337" i="55" s="1"/>
  <c r="F41" i="55" s="1"/>
  <c r="F170" i="55" s="1"/>
  <c r="AE629" i="55"/>
  <c r="F664" i="55"/>
  <c r="F505" i="55" s="1"/>
  <c r="F374" i="55" s="1"/>
  <c r="F88" i="55" s="1"/>
  <c r="F165" i="55" s="1"/>
  <c r="AE664" i="55"/>
  <c r="AF664" i="55" s="1"/>
  <c r="AT636" i="55"/>
  <c r="AT668" i="55"/>
  <c r="F688" i="55"/>
  <c r="F529" i="55" s="1"/>
  <c r="F408" i="55" s="1"/>
  <c r="AE688" i="55"/>
  <c r="F630" i="55"/>
  <c r="F471" i="55" s="1"/>
  <c r="F350" i="55" s="1"/>
  <c r="F54" i="55" s="1"/>
  <c r="F176" i="55" s="1"/>
  <c r="AE630" i="55"/>
  <c r="F683" i="55"/>
  <c r="F524" i="55" s="1"/>
  <c r="F403" i="55" s="1"/>
  <c r="F122" i="55" s="1"/>
  <c r="F183" i="55" s="1"/>
  <c r="AE683" i="55"/>
  <c r="F651" i="55"/>
  <c r="F492" i="55" s="1"/>
  <c r="F371" i="55" s="1"/>
  <c r="F80" i="55" s="1"/>
  <c r="F190" i="55" s="1"/>
  <c r="AE651" i="55"/>
  <c r="AF651" i="55" s="1"/>
  <c r="F681" i="55"/>
  <c r="F522" i="55" s="1"/>
  <c r="F391" i="55" s="1"/>
  <c r="F110" i="55" s="1"/>
  <c r="F166" i="55" s="1"/>
  <c r="AE681" i="55"/>
  <c r="AF681" i="55" s="1"/>
  <c r="F634" i="55"/>
  <c r="F475" i="55" s="1"/>
  <c r="F354" i="55" s="1"/>
  <c r="F58" i="55" s="1"/>
  <c r="F188" i="55" s="1"/>
  <c r="AE634" i="55"/>
  <c r="F649" i="55"/>
  <c r="F490" i="55" s="1"/>
  <c r="F369" i="55" s="1"/>
  <c r="F78" i="55" s="1"/>
  <c r="F179" i="55" s="1"/>
  <c r="AE649" i="55"/>
  <c r="F685" i="55"/>
  <c r="F526" i="55" s="1"/>
  <c r="F405" i="55" s="1"/>
  <c r="F124" i="55" s="1"/>
  <c r="F194" i="55" s="1"/>
  <c r="AE685" i="55"/>
  <c r="AF685" i="55" s="1"/>
  <c r="F648" i="55"/>
  <c r="F489" i="55" s="1"/>
  <c r="F358" i="55" s="1"/>
  <c r="F67" i="55" s="1"/>
  <c r="F171" i="55" s="1"/>
  <c r="AE648" i="55"/>
  <c r="F689" i="55"/>
  <c r="F530" i="55" s="1"/>
  <c r="F409" i="55" s="1"/>
  <c r="AE689" i="55"/>
  <c r="AT628" i="55"/>
  <c r="AS636" i="55"/>
  <c r="AS665" i="55"/>
  <c r="AS668" i="55"/>
  <c r="AT626" i="55"/>
  <c r="AT627" i="55"/>
  <c r="AS647" i="55"/>
  <c r="F666" i="55"/>
  <c r="F507" i="55" s="1"/>
  <c r="F386" i="55" s="1"/>
  <c r="F100" i="55" s="1"/>
  <c r="F181" i="55" s="1"/>
  <c r="AE666" i="55"/>
  <c r="AE675" i="55"/>
  <c r="AF675" i="55" s="1"/>
  <c r="AT677" i="55"/>
  <c r="AT679" i="55"/>
  <c r="AT645" i="55"/>
  <c r="AT643" i="55"/>
  <c r="AS675" i="55"/>
  <c r="F677" i="55"/>
  <c r="F518" i="55" s="1"/>
  <c r="F396" i="55" s="1"/>
  <c r="F115" i="55" s="1"/>
  <c r="F147" i="55" s="1"/>
  <c r="AE677" i="55"/>
  <c r="AT662" i="55"/>
  <c r="F679" i="55"/>
  <c r="F520" i="55" s="1"/>
  <c r="F398" i="55" s="1"/>
  <c r="F117" i="55" s="1"/>
  <c r="F158" i="55" s="1"/>
  <c r="AE679" i="55"/>
  <c r="AT661" i="55"/>
  <c r="AT660" i="55"/>
  <c r="AT663" i="55"/>
  <c r="F662" i="55"/>
  <c r="F503" i="55" s="1"/>
  <c r="F381" i="55" s="1"/>
  <c r="F95" i="55" s="1"/>
  <c r="F156" i="55" s="1"/>
  <c r="AE662" i="55"/>
  <c r="F663" i="55"/>
  <c r="F504" i="55" s="1"/>
  <c r="F382" i="55" s="1"/>
  <c r="F96" i="55" s="1"/>
  <c r="F157" i="55" s="1"/>
  <c r="AE663" i="55"/>
  <c r="AT621" i="55"/>
  <c r="F643" i="55"/>
  <c r="F484" i="55" s="1"/>
  <c r="F362" i="55" s="1"/>
  <c r="F71" i="55" s="1"/>
  <c r="F143" i="55" s="1"/>
  <c r="AE643" i="55"/>
  <c r="F645" i="55"/>
  <c r="F486" i="55" s="1"/>
  <c r="F364" i="55" s="1"/>
  <c r="F73" i="55" s="1"/>
  <c r="F154" i="55" s="1"/>
  <c r="AE645" i="55"/>
  <c r="AF645" i="55" s="1"/>
  <c r="AT622" i="55"/>
  <c r="AT646" i="55"/>
  <c r="AE644" i="55"/>
  <c r="AF644" i="55" s="1"/>
  <c r="G644" i="55"/>
  <c r="G485" i="55" s="1"/>
  <c r="AT620" i="55"/>
  <c r="F644" i="55"/>
  <c r="F485" i="55" s="1"/>
  <c r="F363" i="55" s="1"/>
  <c r="F72" i="55" s="1"/>
  <c r="F144" i="55" s="1"/>
  <c r="AS643" i="55"/>
  <c r="F625" i="55"/>
  <c r="F466" i="55" s="1"/>
  <c r="F346" i="55" s="1"/>
  <c r="F50" i="55" s="1"/>
  <c r="F153" i="55" s="1"/>
  <c r="AE625" i="55"/>
  <c r="F624" i="55"/>
  <c r="F465" i="55" s="1"/>
  <c r="F345" i="55" s="1"/>
  <c r="F49" i="55" s="1"/>
  <c r="F152" i="55" s="1"/>
  <c r="AE624" i="55"/>
  <c r="F623" i="55"/>
  <c r="F464" i="55" s="1"/>
  <c r="F344" i="55" s="1"/>
  <c r="F48" i="55" s="1"/>
  <c r="F151" i="55" s="1"/>
  <c r="AE623" i="55"/>
  <c r="AT615" i="55"/>
  <c r="AS621" i="55"/>
  <c r="F621" i="55"/>
  <c r="F462" i="55" s="1"/>
  <c r="F342" i="55" s="1"/>
  <c r="F46" i="55" s="1"/>
  <c r="F141" i="55" s="1"/>
  <c r="AE621" i="55"/>
  <c r="F620" i="55"/>
  <c r="F461" i="55" s="1"/>
  <c r="F341" i="55" s="1"/>
  <c r="F45" i="55" s="1"/>
  <c r="F140" i="55" s="1"/>
  <c r="AE620" i="55"/>
  <c r="AT618" i="55"/>
  <c r="F618" i="55"/>
  <c r="F459" i="55" s="1"/>
  <c r="F348" i="55" s="1"/>
  <c r="F52" i="55" s="1"/>
  <c r="AE618" i="55"/>
  <c r="F615" i="55"/>
  <c r="F456" i="55" s="1"/>
  <c r="F339" i="55" s="1"/>
  <c r="F43" i="55" s="1"/>
  <c r="AE615" i="55"/>
  <c r="AF615" i="55" s="1"/>
  <c r="G446" i="55"/>
  <c r="G319" i="55" s="1"/>
  <c r="G18" i="55" s="1"/>
  <c r="G160" i="55" s="1"/>
  <c r="G452" i="55"/>
  <c r="G447" i="55"/>
  <c r="G320" i="55" s="1"/>
  <c r="G19" i="55" s="1"/>
  <c r="G161" i="55" s="1"/>
  <c r="G449" i="55"/>
  <c r="G322" i="55" s="1"/>
  <c r="G21" i="55" s="1"/>
  <c r="G168" i="55" s="1"/>
  <c r="G450" i="55"/>
  <c r="G453" i="55"/>
  <c r="G448" i="55"/>
  <c r="G321" i="55" s="1"/>
  <c r="G20" i="55" s="1"/>
  <c r="G167" i="55" s="1"/>
  <c r="G451" i="55"/>
  <c r="AS676" i="55"/>
  <c r="AS658" i="55"/>
  <c r="AT658" i="55"/>
  <c r="AT641" i="55"/>
  <c r="AS654" i="55"/>
  <c r="AS638" i="55"/>
  <c r="AT639" i="55"/>
  <c r="G639" i="55"/>
  <c r="G480" i="55" s="1"/>
  <c r="G361" i="55" s="1"/>
  <c r="G70" i="55" s="1"/>
  <c r="AT656" i="55"/>
  <c r="G656" i="55"/>
  <c r="G497" i="55" s="1"/>
  <c r="G378" i="55" s="1"/>
  <c r="G92" i="55" s="1"/>
  <c r="AS671" i="55"/>
  <c r="F671" i="55"/>
  <c r="F512" i="55" s="1"/>
  <c r="F393" i="55" s="1"/>
  <c r="F112" i="55" s="1"/>
  <c r="AT657" i="55"/>
  <c r="G657" i="55"/>
  <c r="G498" i="55" s="1"/>
  <c r="G383" i="55" s="1"/>
  <c r="G97" i="55" s="1"/>
  <c r="AT671" i="55"/>
  <c r="G671" i="55"/>
  <c r="G512" i="55" s="1"/>
  <c r="G393" i="55" s="1"/>
  <c r="G112" i="55" s="1"/>
  <c r="AT638" i="55"/>
  <c r="G638" i="55"/>
  <c r="G479" i="55" s="1"/>
  <c r="AT672" i="55"/>
  <c r="G672" i="55"/>
  <c r="G513" i="55" s="1"/>
  <c r="AT655" i="55"/>
  <c r="G655" i="55"/>
  <c r="G496" i="55" s="1"/>
  <c r="AT676" i="55"/>
  <c r="AT640" i="55"/>
  <c r="G640" i="55"/>
  <c r="G481" i="55" s="1"/>
  <c r="G366" i="55" s="1"/>
  <c r="G75" i="55" s="1"/>
  <c r="AT659" i="55"/>
  <c r="G659" i="55"/>
  <c r="G500" i="55" s="1"/>
  <c r="G385" i="55" s="1"/>
  <c r="G99" i="55" s="1"/>
  <c r="AT674" i="55"/>
  <c r="G674" i="55"/>
  <c r="G515" i="55" s="1"/>
  <c r="G400" i="55" s="1"/>
  <c r="G119" i="55" s="1"/>
  <c r="AT654" i="55"/>
  <c r="G654" i="55"/>
  <c r="G495" i="55" s="1"/>
  <c r="G376" i="55" s="1"/>
  <c r="G90" i="55" s="1"/>
  <c r="AT642" i="55"/>
  <c r="G642" i="55"/>
  <c r="G483" i="55" s="1"/>
  <c r="G368" i="55" s="1"/>
  <c r="G77" i="55" s="1"/>
  <c r="AT637" i="55"/>
  <c r="G637" i="55"/>
  <c r="G478" i="55" s="1"/>
  <c r="G359" i="55" s="1"/>
  <c r="G68" i="55" s="1"/>
  <c r="AT673" i="55"/>
  <c r="G673" i="55"/>
  <c r="G514" i="55" s="1"/>
  <c r="G395" i="55" s="1"/>
  <c r="G114" i="55" s="1"/>
  <c r="AT617" i="55"/>
  <c r="G617" i="55"/>
  <c r="G458" i="55" s="1"/>
  <c r="G347" i="55" s="1"/>
  <c r="G51" i="55" s="1"/>
  <c r="AT619" i="55"/>
  <c r="G619" i="55"/>
  <c r="G460" i="55" s="1"/>
  <c r="G349" i="55" s="1"/>
  <c r="G53" i="55" s="1"/>
  <c r="AS672" i="55"/>
  <c r="AE656" i="55"/>
  <c r="AS656" i="55"/>
  <c r="AE638" i="55"/>
  <c r="AE676" i="55"/>
  <c r="AE672" i="55"/>
  <c r="AE640" i="55"/>
  <c r="AE617" i="55"/>
  <c r="AF617" i="55" s="1"/>
  <c r="AS640" i="55"/>
  <c r="AE671" i="55"/>
  <c r="AS617" i="55"/>
  <c r="AE658" i="55"/>
  <c r="AE654" i="55"/>
  <c r="MM293" i="69"/>
  <c r="H160" i="53"/>
  <c r="H158" i="53"/>
  <c r="H156" i="53"/>
  <c r="H161" i="53"/>
  <c r="H19" i="53"/>
  <c r="H7" i="53"/>
  <c r="H21" i="53"/>
  <c r="H20" i="53"/>
  <c r="H162" i="53"/>
  <c r="H8" i="53"/>
  <c r="H157" i="53"/>
  <c r="H18" i="53"/>
  <c r="H5" i="53"/>
  <c r="H6" i="53"/>
  <c r="H159" i="53"/>
  <c r="AF44" i="53"/>
  <c r="AA35" i="53" s="1"/>
  <c r="H155" i="53"/>
  <c r="ML293" i="69"/>
  <c r="MK293" i="69"/>
  <c r="K294" i="69"/>
  <c r="G21" i="53"/>
  <c r="I20" i="53"/>
  <c r="I7" i="53"/>
  <c r="I8" i="53"/>
  <c r="G7" i="53"/>
  <c r="G20" i="53"/>
  <c r="I21" i="53"/>
  <c r="I5" i="53"/>
  <c r="G8" i="53"/>
  <c r="G18" i="53"/>
  <c r="I18" i="53"/>
  <c r="I6" i="53"/>
  <c r="G19" i="53"/>
  <c r="I19" i="53"/>
  <c r="G5" i="53"/>
  <c r="G6" i="53"/>
  <c r="AT612" i="55"/>
  <c r="AT606" i="55"/>
  <c r="AT609" i="55"/>
  <c r="F610" i="55"/>
  <c r="F451" i="55" s="1"/>
  <c r="F330" i="55" s="1"/>
  <c r="F29" i="55" s="1"/>
  <c r="F175" i="55" s="1"/>
  <c r="AE610" i="55"/>
  <c r="AF610" i="55" s="1"/>
  <c r="AS612" i="55"/>
  <c r="F612" i="55"/>
  <c r="F453" i="55" s="1"/>
  <c r="F332" i="55" s="1"/>
  <c r="F31" i="55" s="1"/>
  <c r="F186" i="55" s="1"/>
  <c r="AE612" i="55"/>
  <c r="AF612" i="55" s="1"/>
  <c r="F611" i="55"/>
  <c r="F452" i="55" s="1"/>
  <c r="F331" i="55" s="1"/>
  <c r="F30" i="55" s="1"/>
  <c r="F185" i="55" s="1"/>
  <c r="AE611" i="55"/>
  <c r="AF611" i="55" s="1"/>
  <c r="F609" i="55"/>
  <c r="F450" i="55" s="1"/>
  <c r="F329" i="55" s="1"/>
  <c r="F28" i="55" s="1"/>
  <c r="F174" i="55" s="1"/>
  <c r="AE609" i="55"/>
  <c r="AF609" i="55" s="1"/>
  <c r="AS607" i="55"/>
  <c r="AE607" i="55"/>
  <c r="AF607" i="55" s="1"/>
  <c r="F607" i="55"/>
  <c r="F448" i="55" s="1"/>
  <c r="F321" i="55" s="1"/>
  <c r="F20" i="55" s="1"/>
  <c r="F167" i="55" s="1"/>
  <c r="F608" i="55"/>
  <c r="F449" i="55" s="1"/>
  <c r="F322" i="55" s="1"/>
  <c r="F21" i="55" s="1"/>
  <c r="F168" i="55" s="1"/>
  <c r="AE608" i="55"/>
  <c r="AF608" i="55" s="1"/>
  <c r="F606" i="55"/>
  <c r="F447" i="55" s="1"/>
  <c r="F320" i="55" s="1"/>
  <c r="F19" i="55" s="1"/>
  <c r="F161" i="55" s="1"/>
  <c r="AE606" i="55"/>
  <c r="F605" i="55"/>
  <c r="F446" i="55" s="1"/>
  <c r="F319" i="55" s="1"/>
  <c r="F18" i="55" s="1"/>
  <c r="F160" i="55" s="1"/>
  <c r="AE605" i="55"/>
  <c r="AF605" i="55" s="1"/>
  <c r="Z128" i="63"/>
  <c r="O128" i="63"/>
  <c r="P128" i="63" s="1"/>
  <c r="O124" i="63"/>
  <c r="P124" i="63" s="1"/>
  <c r="Z124" i="63"/>
  <c r="Z65" i="63"/>
  <c r="O65" i="63"/>
  <c r="P65" i="63" s="1"/>
  <c r="Z95" i="63"/>
  <c r="O95" i="63"/>
  <c r="P95" i="63" s="1"/>
  <c r="Z54" i="63"/>
  <c r="O54" i="63"/>
  <c r="P54" i="63" s="1"/>
  <c r="O52" i="63"/>
  <c r="P52" i="63" s="1"/>
  <c r="Z52" i="63"/>
  <c r="AA129" i="63"/>
  <c r="K128" i="65" s="1"/>
  <c r="AA82" i="63"/>
  <c r="K81" i="65" s="1"/>
  <c r="AA130" i="63"/>
  <c r="K129" i="65" s="1"/>
  <c r="AA48" i="63"/>
  <c r="K47" i="65" s="1"/>
  <c r="AA86" i="63"/>
  <c r="K85" i="65" s="1"/>
  <c r="AA68" i="63"/>
  <c r="K67" i="65" s="1"/>
  <c r="Z120" i="63"/>
  <c r="O120" i="63"/>
  <c r="P120" i="63" s="1"/>
  <c r="Z73" i="63"/>
  <c r="O73" i="63"/>
  <c r="P73" i="63" s="1"/>
  <c r="Z57" i="63"/>
  <c r="O57" i="63"/>
  <c r="P57" i="63" s="1"/>
  <c r="Z87" i="63"/>
  <c r="O87" i="63"/>
  <c r="P87" i="63" s="1"/>
  <c r="Z46" i="63"/>
  <c r="O46" i="63"/>
  <c r="P46" i="63" s="1"/>
  <c r="O44" i="63"/>
  <c r="P44" i="63" s="1"/>
  <c r="Z44" i="63"/>
  <c r="AA121" i="63"/>
  <c r="K120" i="65" s="1"/>
  <c r="AA69" i="63"/>
  <c r="K68" i="65" s="1"/>
  <c r="AA122" i="63"/>
  <c r="K121" i="65" s="1"/>
  <c r="AA40" i="63"/>
  <c r="K39" i="65" s="1"/>
  <c r="AA78" i="63"/>
  <c r="K77" i="65" s="1"/>
  <c r="AA60" i="63"/>
  <c r="K59" i="65" s="1"/>
  <c r="O93" i="63"/>
  <c r="P93" i="63" s="1"/>
  <c r="Z93" i="63"/>
  <c r="O131" i="63"/>
  <c r="P131" i="63" s="1"/>
  <c r="Z131" i="63"/>
  <c r="Z49" i="63"/>
  <c r="O49" i="63"/>
  <c r="P49" i="63" s="1"/>
  <c r="Z79" i="63"/>
  <c r="O79" i="63"/>
  <c r="P79" i="63" s="1"/>
  <c r="Z38" i="63"/>
  <c r="O38" i="63"/>
  <c r="P38" i="63" s="1"/>
  <c r="O36" i="63"/>
  <c r="P36" i="63" s="1"/>
  <c r="Z36" i="63"/>
  <c r="AA106" i="63"/>
  <c r="K105" i="65" s="1"/>
  <c r="AA120" i="63"/>
  <c r="K119" i="65" s="1"/>
  <c r="AA117" i="63"/>
  <c r="K116" i="65" s="1"/>
  <c r="AA111" i="63"/>
  <c r="K110" i="65" s="1"/>
  <c r="AA70" i="63"/>
  <c r="K69" i="65" s="1"/>
  <c r="AA52" i="63"/>
  <c r="K51" i="65" s="1"/>
  <c r="Z119" i="63"/>
  <c r="O119" i="63"/>
  <c r="P119" i="63" s="1"/>
  <c r="O123" i="63"/>
  <c r="P123" i="63" s="1"/>
  <c r="Z123" i="63"/>
  <c r="Z41" i="63"/>
  <c r="O41" i="63"/>
  <c r="P41" i="63" s="1"/>
  <c r="Z71" i="63"/>
  <c r="O71" i="63"/>
  <c r="P71" i="63" s="1"/>
  <c r="O69" i="63"/>
  <c r="P69" i="63" s="1"/>
  <c r="Z69" i="63"/>
  <c r="O115" i="63"/>
  <c r="P115" i="63" s="1"/>
  <c r="Z115" i="63"/>
  <c r="AA89" i="63"/>
  <c r="K88" i="65" s="1"/>
  <c r="AA93" i="63"/>
  <c r="K92" i="65" s="1"/>
  <c r="AA81" i="63"/>
  <c r="K80" i="65" s="1"/>
  <c r="AA103" i="63"/>
  <c r="K102" i="65" s="1"/>
  <c r="AA62" i="63"/>
  <c r="K61" i="65" s="1"/>
  <c r="AA44" i="63"/>
  <c r="K43" i="65" s="1"/>
  <c r="Z97" i="63"/>
  <c r="O97" i="63"/>
  <c r="P97" i="63" s="1"/>
  <c r="O77" i="63"/>
  <c r="P77" i="63" s="1"/>
  <c r="Z77" i="63"/>
  <c r="Z112" i="63"/>
  <c r="O112" i="63"/>
  <c r="P112" i="63" s="1"/>
  <c r="Z63" i="63"/>
  <c r="O63" i="63"/>
  <c r="P63" i="63" s="1"/>
  <c r="O61" i="63"/>
  <c r="P61" i="63" s="1"/>
  <c r="Z61" i="63"/>
  <c r="O107" i="63"/>
  <c r="P107" i="63" s="1"/>
  <c r="Z107" i="63"/>
  <c r="AA42" i="63"/>
  <c r="K41" i="65" s="1"/>
  <c r="AA125" i="63"/>
  <c r="K124" i="65" s="1"/>
  <c r="AA65" i="63"/>
  <c r="K64" i="65" s="1"/>
  <c r="AA95" i="63"/>
  <c r="K94" i="65" s="1"/>
  <c r="AA54" i="63"/>
  <c r="K53" i="65" s="1"/>
  <c r="AA36" i="63"/>
  <c r="K35" i="65" s="1"/>
  <c r="O122" i="63"/>
  <c r="P122" i="63" s="1"/>
  <c r="Z122" i="63"/>
  <c r="O132" i="63"/>
  <c r="P132" i="63" s="1"/>
  <c r="Z132" i="63"/>
  <c r="Z104" i="63"/>
  <c r="O104" i="63"/>
  <c r="P104" i="63" s="1"/>
  <c r="Z55" i="63"/>
  <c r="O55" i="63"/>
  <c r="P55" i="63" s="1"/>
  <c r="O53" i="63"/>
  <c r="P53" i="63" s="1"/>
  <c r="Z53" i="63"/>
  <c r="O99" i="63"/>
  <c r="P99" i="63" s="1"/>
  <c r="Z99" i="63"/>
  <c r="AA127" i="63"/>
  <c r="K126" i="65" s="1"/>
  <c r="AA113" i="63"/>
  <c r="K112" i="65" s="1"/>
  <c r="AA57" i="63"/>
  <c r="K56" i="65" s="1"/>
  <c r="AA87" i="63"/>
  <c r="K86" i="65" s="1"/>
  <c r="AA46" i="63"/>
  <c r="K45" i="65" s="1"/>
  <c r="AA115" i="63"/>
  <c r="K114" i="65" s="1"/>
  <c r="O101" i="63"/>
  <c r="P101" i="63" s="1"/>
  <c r="Z101" i="63"/>
  <c r="O114" i="63"/>
  <c r="P114" i="63" s="1"/>
  <c r="Z114" i="63"/>
  <c r="O96" i="63"/>
  <c r="P96" i="63" s="1"/>
  <c r="Z96" i="63"/>
  <c r="Z47" i="63"/>
  <c r="O47" i="63"/>
  <c r="P47" i="63" s="1"/>
  <c r="O45" i="63"/>
  <c r="P45" i="63" s="1"/>
  <c r="Z45" i="63"/>
  <c r="O91" i="63"/>
  <c r="P91" i="63" s="1"/>
  <c r="Z91" i="63"/>
  <c r="AA119" i="63"/>
  <c r="K118" i="65" s="1"/>
  <c r="AA109" i="63"/>
  <c r="K108" i="65" s="1"/>
  <c r="AA49" i="63"/>
  <c r="K48" i="65" s="1"/>
  <c r="AA79" i="63"/>
  <c r="K78" i="65" s="1"/>
  <c r="AA38" i="63"/>
  <c r="K37" i="65" s="1"/>
  <c r="AA107" i="63"/>
  <c r="K106" i="65" s="1"/>
  <c r="Z89" i="63"/>
  <c r="O89" i="63"/>
  <c r="P89" i="63" s="1"/>
  <c r="O106" i="63"/>
  <c r="P106" i="63" s="1"/>
  <c r="Z106" i="63"/>
  <c r="O88" i="63"/>
  <c r="P88" i="63" s="1"/>
  <c r="Z88" i="63"/>
  <c r="Z39" i="63"/>
  <c r="O39" i="63"/>
  <c r="P39" i="63" s="1"/>
  <c r="O37" i="63"/>
  <c r="P37" i="63" s="1"/>
  <c r="Z37" i="63"/>
  <c r="O83" i="63"/>
  <c r="P83" i="63" s="1"/>
  <c r="Z83" i="63"/>
  <c r="AA97" i="63"/>
  <c r="K96" i="65" s="1"/>
  <c r="AA116" i="63"/>
  <c r="K115" i="65" s="1"/>
  <c r="AA41" i="63"/>
  <c r="K40" i="65" s="1"/>
  <c r="AA71" i="63"/>
  <c r="K70" i="65" s="1"/>
  <c r="AA61" i="63"/>
  <c r="K60" i="65" s="1"/>
  <c r="AA99" i="63"/>
  <c r="K98" i="65" s="1"/>
  <c r="Z127" i="63"/>
  <c r="O127" i="63"/>
  <c r="P127" i="63" s="1"/>
  <c r="O98" i="63"/>
  <c r="P98" i="63" s="1"/>
  <c r="Z98" i="63"/>
  <c r="O80" i="63"/>
  <c r="P80" i="63" s="1"/>
  <c r="Z80" i="63"/>
  <c r="Z118" i="63"/>
  <c r="O118" i="63"/>
  <c r="P118" i="63" s="1"/>
  <c r="O116" i="63"/>
  <c r="P116" i="63" s="1"/>
  <c r="Z116" i="63"/>
  <c r="O75" i="63"/>
  <c r="P75" i="63" s="1"/>
  <c r="Z75" i="63"/>
  <c r="AA74" i="63"/>
  <c r="K73" i="65" s="1"/>
  <c r="AA124" i="63"/>
  <c r="K123" i="65" s="1"/>
  <c r="AA112" i="63"/>
  <c r="K111" i="65" s="1"/>
  <c r="AA63" i="63"/>
  <c r="K62" i="65" s="1"/>
  <c r="AA53" i="63"/>
  <c r="K52" i="65" s="1"/>
  <c r="AA91" i="63"/>
  <c r="K90" i="65" s="1"/>
  <c r="Z126" i="63"/>
  <c r="O126" i="63"/>
  <c r="P126" i="63" s="1"/>
  <c r="O90" i="63"/>
  <c r="P90" i="63" s="1"/>
  <c r="Z90" i="63"/>
  <c r="Z72" i="63"/>
  <c r="O72" i="63"/>
  <c r="P72" i="63" s="1"/>
  <c r="Z110" i="63"/>
  <c r="O110" i="63"/>
  <c r="P110" i="63" s="1"/>
  <c r="Z108" i="63"/>
  <c r="O108" i="63"/>
  <c r="P108" i="63" s="1"/>
  <c r="O67" i="63"/>
  <c r="P67" i="63" s="1"/>
  <c r="Z67" i="63"/>
  <c r="AA50" i="63"/>
  <c r="K49" i="65" s="1"/>
  <c r="AA132" i="63"/>
  <c r="K131" i="65" s="1"/>
  <c r="AA104" i="63"/>
  <c r="K103" i="65" s="1"/>
  <c r="AA55" i="63"/>
  <c r="K54" i="65" s="1"/>
  <c r="AA45" i="63"/>
  <c r="K44" i="65" s="1"/>
  <c r="AA83" i="63"/>
  <c r="K82" i="65" s="1"/>
  <c r="O130" i="63"/>
  <c r="P130" i="63" s="1"/>
  <c r="Z130" i="63"/>
  <c r="O82" i="63"/>
  <c r="P82" i="63" s="1"/>
  <c r="Z82" i="63"/>
  <c r="Z64" i="63"/>
  <c r="O64" i="63"/>
  <c r="P64" i="63" s="1"/>
  <c r="Z102" i="63"/>
  <c r="O102" i="63"/>
  <c r="P102" i="63" s="1"/>
  <c r="O100" i="63"/>
  <c r="P100" i="63" s="1"/>
  <c r="Z100" i="63"/>
  <c r="O59" i="63"/>
  <c r="P59" i="63" s="1"/>
  <c r="Z59" i="63"/>
  <c r="AA128" i="63"/>
  <c r="K127" i="65" s="1"/>
  <c r="AA73" i="63"/>
  <c r="K72" i="65" s="1"/>
  <c r="AA96" i="63"/>
  <c r="K95" i="65" s="1"/>
  <c r="AA47" i="63"/>
  <c r="K46" i="65" s="1"/>
  <c r="AA37" i="63"/>
  <c r="K36" i="65" s="1"/>
  <c r="AA75" i="63"/>
  <c r="K74" i="65" s="1"/>
  <c r="O117" i="63"/>
  <c r="P117" i="63" s="1"/>
  <c r="Z117" i="63"/>
  <c r="O74" i="63"/>
  <c r="P74" i="63" s="1"/>
  <c r="Z74" i="63"/>
  <c r="Z56" i="63"/>
  <c r="O56" i="63"/>
  <c r="P56" i="63" s="1"/>
  <c r="Z94" i="63"/>
  <c r="O94" i="63"/>
  <c r="P94" i="63" s="1"/>
  <c r="O92" i="63"/>
  <c r="P92" i="63" s="1"/>
  <c r="Z92" i="63"/>
  <c r="O51" i="63"/>
  <c r="P51" i="63" s="1"/>
  <c r="Z51" i="63"/>
  <c r="AA101" i="63"/>
  <c r="K100" i="65" s="1"/>
  <c r="AA131" i="63"/>
  <c r="K130" i="65" s="1"/>
  <c r="AA88" i="63"/>
  <c r="K87" i="65" s="1"/>
  <c r="AA39" i="63"/>
  <c r="K38" i="65" s="1"/>
  <c r="AA108" i="63"/>
  <c r="K107" i="65" s="1"/>
  <c r="AA67" i="63"/>
  <c r="K66" i="65" s="1"/>
  <c r="Z81" i="63"/>
  <c r="O81" i="63"/>
  <c r="P81" i="63" s="1"/>
  <c r="Z105" i="63"/>
  <c r="O105" i="63"/>
  <c r="P105" i="63" s="1"/>
  <c r="O66" i="63"/>
  <c r="P66" i="63" s="1"/>
  <c r="Z66" i="63"/>
  <c r="Z48" i="63"/>
  <c r="O48" i="63"/>
  <c r="P48" i="63" s="1"/>
  <c r="Z86" i="63"/>
  <c r="O86" i="63"/>
  <c r="P86" i="63" s="1"/>
  <c r="O84" i="63"/>
  <c r="P84" i="63" s="1"/>
  <c r="Z84" i="63"/>
  <c r="O43" i="63"/>
  <c r="P43" i="63" s="1"/>
  <c r="Z43" i="63"/>
  <c r="AA66" i="63"/>
  <c r="K65" i="65" s="1"/>
  <c r="AA123" i="63"/>
  <c r="K122" i="65" s="1"/>
  <c r="AA80" i="63"/>
  <c r="K79" i="65" s="1"/>
  <c r="AA118" i="63"/>
  <c r="K117" i="65" s="1"/>
  <c r="AA100" i="63"/>
  <c r="K99" i="65" s="1"/>
  <c r="AA59" i="63"/>
  <c r="K58" i="65" s="1"/>
  <c r="O85" i="63"/>
  <c r="P85" i="63" s="1"/>
  <c r="Z85" i="63"/>
  <c r="Z125" i="63"/>
  <c r="O125" i="63"/>
  <c r="P125" i="63" s="1"/>
  <c r="O58" i="63"/>
  <c r="P58" i="63" s="1"/>
  <c r="Z58" i="63"/>
  <c r="Z40" i="63"/>
  <c r="O40" i="63"/>
  <c r="P40" i="63" s="1"/>
  <c r="Z78" i="63"/>
  <c r="O78" i="63"/>
  <c r="P78" i="63" s="1"/>
  <c r="O76" i="63"/>
  <c r="P76" i="63" s="1"/>
  <c r="Z76" i="63"/>
  <c r="O35" i="63"/>
  <c r="P35" i="63" s="1"/>
  <c r="Z35" i="63"/>
  <c r="AA58" i="63"/>
  <c r="K57" i="65" s="1"/>
  <c r="AA77" i="63"/>
  <c r="K76" i="65" s="1"/>
  <c r="AA72" i="63"/>
  <c r="K71" i="65" s="1"/>
  <c r="AA110" i="63"/>
  <c r="K109" i="65" s="1"/>
  <c r="AA92" i="63"/>
  <c r="K91" i="65" s="1"/>
  <c r="AA51" i="63"/>
  <c r="K50" i="65" s="1"/>
  <c r="O129" i="63"/>
  <c r="P129" i="63" s="1"/>
  <c r="Z129" i="63"/>
  <c r="Z113" i="63"/>
  <c r="O113" i="63"/>
  <c r="P113" i="63" s="1"/>
  <c r="O50" i="63"/>
  <c r="P50" i="63" s="1"/>
  <c r="Z50" i="63"/>
  <c r="O111" i="63"/>
  <c r="P111" i="63" s="1"/>
  <c r="Z111" i="63"/>
  <c r="Z70" i="63"/>
  <c r="O70" i="63"/>
  <c r="P70" i="63" s="1"/>
  <c r="O68" i="63"/>
  <c r="P68" i="63" s="1"/>
  <c r="Z68" i="63"/>
  <c r="AA114" i="63"/>
  <c r="K113" i="65" s="1"/>
  <c r="AA126" i="63"/>
  <c r="K125" i="65" s="1"/>
  <c r="AA90" i="63"/>
  <c r="K89" i="65" s="1"/>
  <c r="AA64" i="63"/>
  <c r="K63" i="65" s="1"/>
  <c r="AA102" i="63"/>
  <c r="K101" i="65" s="1"/>
  <c r="AA84" i="63"/>
  <c r="K83" i="65" s="1"/>
  <c r="AA43" i="63"/>
  <c r="K42" i="65" s="1"/>
  <c r="Z121" i="63"/>
  <c r="O121" i="63"/>
  <c r="P121" i="63" s="1"/>
  <c r="O109" i="63"/>
  <c r="P109" i="63" s="1"/>
  <c r="Z109" i="63"/>
  <c r="O42" i="63"/>
  <c r="P42" i="63" s="1"/>
  <c r="Z42" i="63"/>
  <c r="Z103" i="63"/>
  <c r="O103" i="63"/>
  <c r="P103" i="63" s="1"/>
  <c r="Z62" i="63"/>
  <c r="O62" i="63"/>
  <c r="P62" i="63" s="1"/>
  <c r="O60" i="63"/>
  <c r="P60" i="63" s="1"/>
  <c r="Z60" i="63"/>
  <c r="AA85" i="63"/>
  <c r="K84" i="65" s="1"/>
  <c r="AA105" i="63"/>
  <c r="K104" i="65" s="1"/>
  <c r="AA98" i="63"/>
  <c r="K97" i="65" s="1"/>
  <c r="AA56" i="63"/>
  <c r="K55" i="65" s="1"/>
  <c r="AA94" i="63"/>
  <c r="K93" i="65" s="1"/>
  <c r="AA76" i="63"/>
  <c r="K75" i="65" s="1"/>
  <c r="AA35" i="63"/>
  <c r="K34" i="65" s="1"/>
  <c r="AB31" i="63"/>
  <c r="AB34" i="63"/>
  <c r="AB32" i="63"/>
  <c r="AB26" i="63"/>
  <c r="AB27" i="63"/>
  <c r="AB33" i="63"/>
  <c r="AB28" i="63"/>
  <c r="AB25" i="63"/>
  <c r="AB29" i="63"/>
  <c r="AB30" i="63"/>
  <c r="AB24" i="63"/>
  <c r="AB23" i="63"/>
  <c r="P529" i="60"/>
  <c r="H40" i="69"/>
  <c r="P548" i="60"/>
  <c r="R52" i="1"/>
  <c r="G46" i="1"/>
  <c r="G365" i="19" s="1"/>
  <c r="G26" i="69"/>
  <c r="L525" i="60"/>
  <c r="O525" i="60" s="1"/>
  <c r="R525" i="60" s="1"/>
  <c r="L549" i="60"/>
  <c r="O549" i="60" s="1"/>
  <c r="R549" i="60" s="1"/>
  <c r="L528" i="60"/>
  <c r="O528" i="60" s="1"/>
  <c r="R528" i="60" s="1"/>
  <c r="AA528" i="60" s="1"/>
  <c r="AB528" i="60" s="1"/>
  <c r="L564" i="60"/>
  <c r="O564" i="60" s="1"/>
  <c r="R564" i="60" s="1"/>
  <c r="L603" i="60"/>
  <c r="Y321" i="61" s="1"/>
  <c r="L321" i="61" s="1"/>
  <c r="L189" i="61" s="1"/>
  <c r="L18" i="61" s="1"/>
  <c r="L432" i="60"/>
  <c r="L518" i="60" s="1"/>
  <c r="L558" i="60"/>
  <c r="O558" i="60" s="1"/>
  <c r="R558" i="60" s="1"/>
  <c r="L495" i="60"/>
  <c r="O495" i="60" s="1"/>
  <c r="R495" i="60" s="1"/>
  <c r="L466" i="60"/>
  <c r="O466" i="60" s="1"/>
  <c r="R466" i="60" s="1"/>
  <c r="L612" i="60"/>
  <c r="Y330" i="61" s="1"/>
  <c r="L330" i="61" s="1"/>
  <c r="L198" i="61" s="1"/>
  <c r="L30" i="61" s="1"/>
  <c r="L489" i="60"/>
  <c r="O489" i="60" s="1"/>
  <c r="R489" i="60" s="1"/>
  <c r="L532" i="60"/>
  <c r="O532" i="60" s="1"/>
  <c r="R532" i="60" s="1"/>
  <c r="L456" i="60"/>
  <c r="O456" i="60" s="1"/>
  <c r="R456" i="60" s="1"/>
  <c r="L546" i="60"/>
  <c r="O546" i="60" s="1"/>
  <c r="R546" i="60" s="1"/>
  <c r="L566" i="60"/>
  <c r="O566" i="60" s="1"/>
  <c r="R566" i="60" s="1"/>
  <c r="L537" i="60"/>
  <c r="T537" i="60" s="1"/>
  <c r="L446" i="60"/>
  <c r="O446" i="60" s="1"/>
  <c r="R446" i="60" s="1"/>
  <c r="L569" i="60"/>
  <c r="O569" i="60" s="1"/>
  <c r="R569" i="60" s="1"/>
  <c r="P603" i="60"/>
  <c r="AC321" i="61" s="1"/>
  <c r="L453" i="60"/>
  <c r="O453" i="60" s="1"/>
  <c r="R453" i="60" s="1"/>
  <c r="L439" i="60"/>
  <c r="O439" i="60" s="1"/>
  <c r="R439" i="60" s="1"/>
  <c r="L578" i="60"/>
  <c r="O578" i="60" s="1"/>
  <c r="R578" i="60" s="1"/>
  <c r="L586" i="60"/>
  <c r="O586" i="60" s="1"/>
  <c r="M798" i="60" s="1"/>
  <c r="L634" i="60"/>
  <c r="Y352" i="61" s="1"/>
  <c r="L352" i="61" s="1"/>
  <c r="L220" i="61" s="1"/>
  <c r="L62" i="61" s="1"/>
  <c r="L561" i="60"/>
  <c r="O561" i="60" s="1"/>
  <c r="R561" i="60" s="1"/>
  <c r="L615" i="60"/>
  <c r="Y333" i="61" s="1"/>
  <c r="L333" i="61" s="1"/>
  <c r="L201" i="61" s="1"/>
  <c r="L38" i="61" s="1"/>
  <c r="L442" i="60"/>
  <c r="O442" i="60" s="1"/>
  <c r="R442" i="60" s="1"/>
  <c r="L433" i="60"/>
  <c r="O433" i="60" s="1"/>
  <c r="R433" i="60" s="1"/>
  <c r="L473" i="60"/>
  <c r="O473" i="60" s="1"/>
  <c r="R473" i="60" s="1"/>
  <c r="L513" i="60"/>
  <c r="O513" i="60" s="1"/>
  <c r="R513" i="60" s="1"/>
  <c r="L631" i="60"/>
  <c r="Y349" i="61" s="1"/>
  <c r="L349" i="61" s="1"/>
  <c r="L217" i="61" s="1"/>
  <c r="L60" i="61" s="1"/>
  <c r="L471" i="60"/>
  <c r="O471" i="60" s="1"/>
  <c r="R471" i="60" s="1"/>
  <c r="L604" i="60"/>
  <c r="Y322" i="61" s="1"/>
  <c r="L322" i="61" s="1"/>
  <c r="L190" i="61" s="1"/>
  <c r="L19" i="61" s="1"/>
  <c r="L459" i="60"/>
  <c r="O459" i="60" s="1"/>
  <c r="R459" i="60" s="1"/>
  <c r="L435" i="60"/>
  <c r="O435" i="60" s="1"/>
  <c r="R435" i="60" s="1"/>
  <c r="L477" i="60"/>
  <c r="O477" i="60" s="1"/>
  <c r="R477" i="60" s="1"/>
  <c r="L534" i="60"/>
  <c r="O534" i="60" s="1"/>
  <c r="R534" i="60" s="1"/>
  <c r="L448" i="60"/>
  <c r="O448" i="60" s="1"/>
  <c r="R448" i="60" s="1"/>
  <c r="L482" i="60"/>
  <c r="O482" i="60" s="1"/>
  <c r="R482" i="60" s="1"/>
  <c r="L573" i="60"/>
  <c r="O573" i="60" s="1"/>
  <c r="R573" i="60" s="1"/>
  <c r="L552" i="60"/>
  <c r="O552" i="60" s="1"/>
  <c r="R552" i="60" s="1"/>
  <c r="L460" i="60"/>
  <c r="O460" i="60" s="1"/>
  <c r="R460" i="60" s="1"/>
  <c r="L502" i="60"/>
  <c r="O502" i="60" s="1"/>
  <c r="R502" i="60" s="1"/>
  <c r="L516" i="60"/>
  <c r="O516" i="60" s="1"/>
  <c r="R516" i="60" s="1"/>
  <c r="R51" i="1"/>
  <c r="R50" i="1"/>
  <c r="R49" i="1"/>
  <c r="R42" i="1"/>
  <c r="P646" i="60"/>
  <c r="AC364" i="61" s="1"/>
  <c r="P569" i="60"/>
  <c r="AG364" i="61"/>
  <c r="R44" i="1"/>
  <c r="R43" i="1"/>
  <c r="R41" i="1"/>
  <c r="T86" i="53"/>
  <c r="U86" i="53" s="1"/>
  <c r="L610" i="60"/>
  <c r="Y328" i="61" s="1"/>
  <c r="L328" i="61" s="1"/>
  <c r="L196" i="61" s="1"/>
  <c r="L29" i="61" s="1"/>
  <c r="L630" i="60"/>
  <c r="Y348" i="61" s="1"/>
  <c r="L348" i="61" s="1"/>
  <c r="L216" i="61" s="1"/>
  <c r="L59" i="61" s="1"/>
  <c r="L65" i="61" s="1"/>
  <c r="T133" i="53"/>
  <c r="U133" i="53" s="1"/>
  <c r="N548" i="60"/>
  <c r="W548" i="60" s="1"/>
  <c r="N541" i="60"/>
  <c r="W541" i="60" s="1"/>
  <c r="N612" i="60"/>
  <c r="AA330" i="61" s="1"/>
  <c r="M330" i="61" s="1"/>
  <c r="M198" i="61" s="1"/>
  <c r="M30" i="61" s="1"/>
  <c r="N586" i="60"/>
  <c r="W586" i="60" s="1"/>
  <c r="Z586" i="60" s="1"/>
  <c r="N466" i="60"/>
  <c r="Q466" i="60" s="1"/>
  <c r="N448" i="60"/>
  <c r="Q448" i="60" s="1"/>
  <c r="N623" i="60"/>
  <c r="AA341" i="61" s="1"/>
  <c r="M341" i="61" s="1"/>
  <c r="M209" i="61" s="1"/>
  <c r="M49" i="61" s="1"/>
  <c r="N532" i="60"/>
  <c r="W532" i="60" s="1"/>
  <c r="AG335" i="61"/>
  <c r="P573" i="60"/>
  <c r="P541" i="60"/>
  <c r="N531" i="60"/>
  <c r="W531" i="60" s="1"/>
  <c r="Z531" i="60" s="1"/>
  <c r="N526" i="60"/>
  <c r="W526" i="60" s="1"/>
  <c r="N557" i="60"/>
  <c r="W557" i="60" s="1"/>
  <c r="N482" i="60"/>
  <c r="Q482" i="60" s="1"/>
  <c r="N453" i="60"/>
  <c r="Q453" i="60" s="1"/>
  <c r="N464" i="60"/>
  <c r="Q464" i="60" s="1"/>
  <c r="N542" i="60"/>
  <c r="W542" i="60" s="1"/>
  <c r="N644" i="60"/>
  <c r="AA362" i="61" s="1"/>
  <c r="M362" i="61" s="1"/>
  <c r="M225" i="61" s="1"/>
  <c r="M85" i="61" s="1"/>
  <c r="N476" i="60"/>
  <c r="Q476" i="60" s="1"/>
  <c r="L538" i="60"/>
  <c r="O538" i="60" s="1"/>
  <c r="R538" i="60" s="1"/>
  <c r="L644" i="60"/>
  <c r="Y362" i="61" s="1"/>
  <c r="L362" i="61" s="1"/>
  <c r="L225" i="61" s="1"/>
  <c r="L85" i="61" s="1"/>
  <c r="L602" i="60"/>
  <c r="O602" i="60" s="1"/>
  <c r="AB320" i="61" s="1"/>
  <c r="AB394" i="61" s="1"/>
  <c r="AB257" i="61" s="1"/>
  <c r="L617" i="60"/>
  <c r="Y335" i="61" s="1"/>
  <c r="L335" i="61" s="1"/>
  <c r="L203" i="61" s="1"/>
  <c r="L39" i="61" s="1"/>
  <c r="L618" i="60"/>
  <c r="Y336" i="61" s="1"/>
  <c r="L336" i="61" s="1"/>
  <c r="L204" i="61" s="1"/>
  <c r="L40" i="61" s="1"/>
  <c r="L484" i="60"/>
  <c r="O484" i="60" s="1"/>
  <c r="R484" i="60" s="1"/>
  <c r="L507" i="60"/>
  <c r="O507" i="60" s="1"/>
  <c r="R507" i="60" s="1"/>
  <c r="L590" i="60"/>
  <c r="O590" i="60" s="1"/>
  <c r="R590" i="60" s="1"/>
  <c r="N589" i="60"/>
  <c r="W589" i="60" s="1"/>
  <c r="Z589" i="60" s="1"/>
  <c r="N484" i="60"/>
  <c r="Q484" i="60" s="1"/>
  <c r="L509" i="60"/>
  <c r="O509" i="60" s="1"/>
  <c r="R509" i="60" s="1"/>
  <c r="N494" i="60"/>
  <c r="Q494" i="60" s="1"/>
  <c r="N539" i="60"/>
  <c r="W539" i="60" s="1"/>
  <c r="L545" i="60"/>
  <c r="O545" i="60" s="1"/>
  <c r="R545" i="60" s="1"/>
  <c r="N546" i="60"/>
  <c r="W546" i="60" s="1"/>
  <c r="N570" i="60"/>
  <c r="W570" i="60" s="1"/>
  <c r="N554" i="60"/>
  <c r="W554" i="60" s="1"/>
  <c r="N631" i="60"/>
  <c r="AA349" i="61" s="1"/>
  <c r="M349" i="61" s="1"/>
  <c r="M217" i="61" s="1"/>
  <c r="M60" i="61" s="1"/>
  <c r="L626" i="60"/>
  <c r="Y344" i="61" s="1"/>
  <c r="L344" i="61" s="1"/>
  <c r="L212" i="61" s="1"/>
  <c r="L51" i="61" s="1"/>
  <c r="N525" i="60"/>
  <c r="W525" i="60" s="1"/>
  <c r="L452" i="60"/>
  <c r="O452" i="60" s="1"/>
  <c r="R452" i="60" s="1"/>
  <c r="L455" i="60"/>
  <c r="O455" i="60" s="1"/>
  <c r="R455" i="60" s="1"/>
  <c r="L554" i="60"/>
  <c r="O554" i="60" s="1"/>
  <c r="R554" i="60" s="1"/>
  <c r="L512" i="60"/>
  <c r="O512" i="60" s="1"/>
  <c r="R512" i="60" s="1"/>
  <c r="N622" i="60"/>
  <c r="AA340" i="61" s="1"/>
  <c r="M340" i="61" s="1"/>
  <c r="M208" i="61" s="1"/>
  <c r="M48" i="61" s="1"/>
  <c r="M54" i="61" s="1"/>
  <c r="N471" i="60"/>
  <c r="Q471" i="60" s="1"/>
  <c r="N609" i="60"/>
  <c r="AA327" i="61" s="1"/>
  <c r="M327" i="61" s="1"/>
  <c r="M195" i="61" s="1"/>
  <c r="M28" i="61" s="1"/>
  <c r="I519" i="60"/>
  <c r="N606" i="60"/>
  <c r="AA324" i="61" s="1"/>
  <c r="M324" i="61" s="1"/>
  <c r="M192" i="61" s="1"/>
  <c r="M26" i="61" s="1"/>
  <c r="M32" i="61" s="1"/>
  <c r="N607" i="60"/>
  <c r="AA325" i="61" s="1"/>
  <c r="M325" i="61" s="1"/>
  <c r="M193" i="61" s="1"/>
  <c r="M27" i="61" s="1"/>
  <c r="N516" i="60"/>
  <c r="Q516" i="60" s="1"/>
  <c r="N438" i="60"/>
  <c r="Q438" i="60" s="1"/>
  <c r="T85" i="53"/>
  <c r="U85" i="53" s="1"/>
  <c r="P537" i="60"/>
  <c r="AG341" i="61"/>
  <c r="N561" i="60"/>
  <c r="W561" i="60" s="1"/>
  <c r="N537" i="60"/>
  <c r="W537" i="60" s="1"/>
  <c r="P617" i="60"/>
  <c r="AC335" i="61" s="1"/>
  <c r="T83" i="53"/>
  <c r="U83" i="53" s="1"/>
  <c r="AG321" i="61"/>
  <c r="H9" i="8"/>
  <c r="P532" i="60"/>
  <c r="P623" i="60"/>
  <c r="AC341" i="61" s="1"/>
  <c r="M592" i="60"/>
  <c r="V523" i="60"/>
  <c r="V592" i="60" s="1"/>
  <c r="M594" i="60"/>
  <c r="Q365" i="61"/>
  <c r="P647" i="60"/>
  <c r="AC365" i="61" s="1"/>
  <c r="L524" i="60"/>
  <c r="O524" i="60" s="1"/>
  <c r="M793" i="60" s="1"/>
  <c r="L464" i="60"/>
  <c r="O464" i="60" s="1"/>
  <c r="R464" i="60" s="1"/>
  <c r="L557" i="60"/>
  <c r="U557" i="60" s="1"/>
  <c r="P526" i="60"/>
  <c r="P589" i="60"/>
  <c r="N799" i="60" s="1"/>
  <c r="L494" i="60"/>
  <c r="O494" i="60" s="1"/>
  <c r="R494" i="60" s="1"/>
  <c r="L622" i="60"/>
  <c r="Y340" i="61" s="1"/>
  <c r="L340" i="61" s="1"/>
  <c r="L208" i="61" s="1"/>
  <c r="L48" i="61" s="1"/>
  <c r="L54" i="61" s="1"/>
  <c r="L491" i="60"/>
  <c r="O491" i="60" s="1"/>
  <c r="R491" i="60" s="1"/>
  <c r="L462" i="60"/>
  <c r="O462" i="60" s="1"/>
  <c r="R462" i="60" s="1"/>
  <c r="L527" i="60"/>
  <c r="O527" i="60" s="1"/>
  <c r="R527" i="60" s="1"/>
  <c r="L614" i="60"/>
  <c r="Y332" i="61" s="1"/>
  <c r="L332" i="61" s="1"/>
  <c r="L200" i="61" s="1"/>
  <c r="L37" i="61" s="1"/>
  <c r="L43" i="61" s="1"/>
  <c r="I650" i="60"/>
  <c r="K651" i="60" s="1"/>
  <c r="N512" i="60"/>
  <c r="Q512" i="60" s="1"/>
  <c r="N564" i="60"/>
  <c r="W564" i="60" s="1"/>
  <c r="N509" i="60"/>
  <c r="Q509" i="60" s="1"/>
  <c r="N534" i="60"/>
  <c r="W534" i="60" s="1"/>
  <c r="S518" i="60"/>
  <c r="S519" i="60" s="1"/>
  <c r="N455" i="60"/>
  <c r="Q455" i="60" s="1"/>
  <c r="L531" i="60"/>
  <c r="U531" i="60" s="1"/>
  <c r="X531" i="60" s="1"/>
  <c r="T129" i="53"/>
  <c r="U129" i="53" s="1"/>
  <c r="L576" i="60"/>
  <c r="O576" i="60" s="1"/>
  <c r="R576" i="60" s="1"/>
  <c r="N439" i="60"/>
  <c r="Q439" i="60" s="1"/>
  <c r="L623" i="60"/>
  <c r="L609" i="60"/>
  <c r="L606" i="60"/>
  <c r="Y324" i="61" s="1"/>
  <c r="L324" i="61" s="1"/>
  <c r="L192" i="61" s="1"/>
  <c r="L26" i="61" s="1"/>
  <c r="L32" i="61" s="1"/>
  <c r="T134" i="53"/>
  <c r="U134" i="53" s="1"/>
  <c r="L646" i="60"/>
  <c r="Y364" i="61" s="1"/>
  <c r="L364" i="61" s="1"/>
  <c r="L226" i="61" s="1"/>
  <c r="L93" i="61" s="1"/>
  <c r="L535" i="60"/>
  <c r="O535" i="60" s="1"/>
  <c r="R535" i="60" s="1"/>
  <c r="L643" i="60"/>
  <c r="Y361" i="61" s="1"/>
  <c r="L361" i="61" s="1"/>
  <c r="L224" i="61" s="1"/>
  <c r="L84" i="61" s="1"/>
  <c r="T131" i="53"/>
  <c r="U131" i="53" s="1"/>
  <c r="L529" i="60"/>
  <c r="O529" i="60" s="1"/>
  <c r="R529" i="60" s="1"/>
  <c r="AA529" i="60" s="1"/>
  <c r="AB529" i="60" s="1"/>
  <c r="L589" i="60"/>
  <c r="L437" i="60"/>
  <c r="O437" i="60" s="1"/>
  <c r="R437" i="60" s="1"/>
  <c r="L436" i="60"/>
  <c r="O436" i="60" s="1"/>
  <c r="R436" i="60" s="1"/>
  <c r="L515" i="60"/>
  <c r="O515" i="60" s="1"/>
  <c r="R515" i="60" s="1"/>
  <c r="T81" i="53"/>
  <c r="U81" i="53" s="1"/>
  <c r="T109" i="53"/>
  <c r="U109" i="53" s="1"/>
  <c r="N513" i="60"/>
  <c r="Q513" i="60" s="1"/>
  <c r="N518" i="60"/>
  <c r="Q432" i="60"/>
  <c r="Q518" i="60" s="1"/>
  <c r="F195" i="19"/>
  <c r="H202" i="56"/>
  <c r="P59" i="1"/>
  <c r="P53" i="1"/>
  <c r="J354" i="58"/>
  <c r="K225" i="58"/>
  <c r="F312" i="56"/>
  <c r="AD604" i="55"/>
  <c r="G604" i="55" s="1"/>
  <c r="G445" i="55" s="1"/>
  <c r="G327" i="55" s="1"/>
  <c r="G26" i="55" s="1"/>
  <c r="G150" i="55" s="1"/>
  <c r="J327" i="61"/>
  <c r="I352" i="61"/>
  <c r="I388" i="58"/>
  <c r="F222" i="19"/>
  <c r="F335" i="56"/>
  <c r="F321" i="56"/>
  <c r="G309" i="56"/>
  <c r="N630" i="60"/>
  <c r="K220" i="61"/>
  <c r="O32" i="63"/>
  <c r="J31" i="65"/>
  <c r="N435" i="60"/>
  <c r="Q435" i="60" s="1"/>
  <c r="L633" i="60"/>
  <c r="L637" i="60"/>
  <c r="L645" i="60"/>
  <c r="L635" i="60"/>
  <c r="L638" i="60"/>
  <c r="L608" i="60"/>
  <c r="L640" i="60"/>
  <c r="L632" i="60"/>
  <c r="L613" i="60"/>
  <c r="L591" i="60"/>
  <c r="L560" i="60"/>
  <c r="L559" i="60"/>
  <c r="L575" i="60"/>
  <c r="L540" i="60"/>
  <c r="L536" i="60"/>
  <c r="L605" i="60"/>
  <c r="L641" i="60"/>
  <c r="L639" i="60"/>
  <c r="L562" i="60"/>
  <c r="L629" i="60"/>
  <c r="L550" i="60"/>
  <c r="L571" i="60"/>
  <c r="L556" i="60"/>
  <c r="L611" i="60"/>
  <c r="L568" i="60"/>
  <c r="L628" i="60"/>
  <c r="L624" i="60"/>
  <c r="L625" i="60"/>
  <c r="L619" i="60"/>
  <c r="L642" i="60"/>
  <c r="L627" i="60"/>
  <c r="L543" i="60"/>
  <c r="L553" i="60"/>
  <c r="L620" i="60"/>
  <c r="L636" i="60"/>
  <c r="L648" i="60"/>
  <c r="L572" i="60"/>
  <c r="L616" i="60"/>
  <c r="L621" i="60"/>
  <c r="L547" i="60"/>
  <c r="L580" i="60"/>
  <c r="L530" i="60"/>
  <c r="L563" i="60"/>
  <c r="L490" i="60"/>
  <c r="O490" i="60" s="1"/>
  <c r="R490" i="60" s="1"/>
  <c r="L581" i="60"/>
  <c r="O581" i="60" s="1"/>
  <c r="R581" i="60" s="1"/>
  <c r="L492" i="60"/>
  <c r="O492" i="60" s="1"/>
  <c r="R492" i="60" s="1"/>
  <c r="L511" i="60"/>
  <c r="O511" i="60" s="1"/>
  <c r="R511" i="60" s="1"/>
  <c r="L457" i="60"/>
  <c r="O457" i="60" s="1"/>
  <c r="R457" i="60" s="1"/>
  <c r="L588" i="60"/>
  <c r="L574" i="60"/>
  <c r="L510" i="60"/>
  <c r="O510" i="60" s="1"/>
  <c r="R510" i="60" s="1"/>
  <c r="L461" i="60"/>
  <c r="O461" i="60" s="1"/>
  <c r="R461" i="60" s="1"/>
  <c r="L434" i="60"/>
  <c r="O434" i="60" s="1"/>
  <c r="R434" i="60" s="1"/>
  <c r="L447" i="60"/>
  <c r="O447" i="60" s="1"/>
  <c r="R447" i="60" s="1"/>
  <c r="L585" i="60"/>
  <c r="O585" i="60" s="1"/>
  <c r="R585" i="60" s="1"/>
  <c r="L501" i="60"/>
  <c r="O501" i="60" s="1"/>
  <c r="R501" i="60" s="1"/>
  <c r="L465" i="60"/>
  <c r="O465" i="60" s="1"/>
  <c r="R465" i="60" s="1"/>
  <c r="L533" i="60"/>
  <c r="L565" i="60"/>
  <c r="L514" i="60"/>
  <c r="O514" i="60" s="1"/>
  <c r="R514" i="60" s="1"/>
  <c r="L478" i="60"/>
  <c r="O478" i="60" s="1"/>
  <c r="R478" i="60" s="1"/>
  <c r="L440" i="60"/>
  <c r="O440" i="60" s="1"/>
  <c r="R440" i="60" s="1"/>
  <c r="L474" i="60"/>
  <c r="O474" i="60" s="1"/>
  <c r="R474" i="60" s="1"/>
  <c r="L498" i="60"/>
  <c r="O498" i="60" s="1"/>
  <c r="R498" i="60" s="1"/>
  <c r="L485" i="60"/>
  <c r="O485" i="60" s="1"/>
  <c r="R485" i="60" s="1"/>
  <c r="L454" i="60"/>
  <c r="O454" i="60" s="1"/>
  <c r="R454" i="60" s="1"/>
  <c r="L483" i="60"/>
  <c r="O483" i="60" s="1"/>
  <c r="R483" i="60" s="1"/>
  <c r="L577" i="60"/>
  <c r="L480" i="60"/>
  <c r="O480" i="60" s="1"/>
  <c r="R480" i="60" s="1"/>
  <c r="L458" i="60"/>
  <c r="O458" i="60" s="1"/>
  <c r="R458" i="60" s="1"/>
  <c r="L544" i="60"/>
  <c r="L579" i="60"/>
  <c r="L517" i="60"/>
  <c r="O517" i="60" s="1"/>
  <c r="R517" i="60" s="1"/>
  <c r="L467" i="60"/>
  <c r="O467" i="60" s="1"/>
  <c r="R467" i="60" s="1"/>
  <c r="L508" i="60"/>
  <c r="O508" i="60" s="1"/>
  <c r="R508" i="60" s="1"/>
  <c r="L503" i="60"/>
  <c r="O503" i="60" s="1"/>
  <c r="R503" i="60" s="1"/>
  <c r="L551" i="60"/>
  <c r="L567" i="60"/>
  <c r="L582" i="60"/>
  <c r="O582" i="60" s="1"/>
  <c r="R582" i="60" s="1"/>
  <c r="L583" i="60"/>
  <c r="O583" i="60" s="1"/>
  <c r="R583" i="60" s="1"/>
  <c r="L499" i="60"/>
  <c r="O499" i="60" s="1"/>
  <c r="R499" i="60" s="1"/>
  <c r="L555" i="60"/>
  <c r="L493" i="60"/>
  <c r="O493" i="60" s="1"/>
  <c r="R493" i="60" s="1"/>
  <c r="L472" i="60"/>
  <c r="O472" i="60" s="1"/>
  <c r="R472" i="60" s="1"/>
  <c r="L445" i="60"/>
  <c r="O445" i="60" s="1"/>
  <c r="R445" i="60" s="1"/>
  <c r="L584" i="60"/>
  <c r="O584" i="60" s="1"/>
  <c r="R584" i="60" s="1"/>
  <c r="L496" i="60"/>
  <c r="O496" i="60" s="1"/>
  <c r="R496" i="60" s="1"/>
  <c r="L463" i="60"/>
  <c r="O463" i="60" s="1"/>
  <c r="R463" i="60" s="1"/>
  <c r="L443" i="60"/>
  <c r="O443" i="60" s="1"/>
  <c r="R443" i="60" s="1"/>
  <c r="L475" i="60"/>
  <c r="O475" i="60" s="1"/>
  <c r="R475" i="60" s="1"/>
  <c r="L481" i="60"/>
  <c r="O481" i="60" s="1"/>
  <c r="R481" i="60" s="1"/>
  <c r="V535" i="60"/>
  <c r="P535" i="60"/>
  <c r="N535" i="60"/>
  <c r="N604" i="60"/>
  <c r="L570" i="60"/>
  <c r="L500" i="60"/>
  <c r="O500" i="60" s="1"/>
  <c r="R500" i="60" s="1"/>
  <c r="J336" i="61"/>
  <c r="V407" i="19"/>
  <c r="I363" i="19"/>
  <c r="AD599" i="55"/>
  <c r="G599" i="55" s="1"/>
  <c r="G440" i="55" s="1"/>
  <c r="G323" i="55" s="1"/>
  <c r="G22" i="55" s="1"/>
  <c r="I371" i="58"/>
  <c r="Z346" i="61"/>
  <c r="P628" i="60"/>
  <c r="AC346" i="61" s="1"/>
  <c r="Z323" i="61"/>
  <c r="P605" i="60"/>
  <c r="AC323" i="61" s="1"/>
  <c r="Z331" i="61"/>
  <c r="P613" i="60"/>
  <c r="AC331" i="61" s="1"/>
  <c r="Y363" i="19"/>
  <c r="AA369" i="56"/>
  <c r="X718" i="55"/>
  <c r="M62" i="1"/>
  <c r="L75" i="1" s="1"/>
  <c r="O75" i="1" s="1"/>
  <c r="AD428" i="58"/>
  <c r="Z402" i="61"/>
  <c r="I367" i="58"/>
  <c r="H46" i="56"/>
  <c r="Z325" i="61"/>
  <c r="P607" i="60"/>
  <c r="AC325" i="61" s="1"/>
  <c r="K29" i="65"/>
  <c r="T105" i="53"/>
  <c r="U105" i="53" s="1"/>
  <c r="T107" i="53"/>
  <c r="U107" i="53" s="1"/>
  <c r="W378" i="56"/>
  <c r="S728" i="55"/>
  <c r="V412" i="61"/>
  <c r="U372" i="19"/>
  <c r="Z438" i="58"/>
  <c r="G301" i="56"/>
  <c r="K189" i="61"/>
  <c r="Q321" i="61"/>
  <c r="Z336" i="61"/>
  <c r="P618" i="60"/>
  <c r="AC336" i="61" s="1"/>
  <c r="J357" i="58"/>
  <c r="AC616" i="55"/>
  <c r="AO616" i="55"/>
  <c r="AP616" i="55" s="1"/>
  <c r="K731" i="55"/>
  <c r="N441" i="58"/>
  <c r="N415" i="61"/>
  <c r="K375" i="19"/>
  <c r="K381" i="56"/>
  <c r="G327" i="56"/>
  <c r="G307" i="56"/>
  <c r="T57" i="53"/>
  <c r="U57" i="53" s="1"/>
  <c r="M167" i="60"/>
  <c r="I387" i="58"/>
  <c r="V531" i="60"/>
  <c r="Y531" i="60" s="1"/>
  <c r="P531" i="60"/>
  <c r="N794" i="60" s="1"/>
  <c r="N479" i="60"/>
  <c r="Q479" i="60" s="1"/>
  <c r="N614" i="60"/>
  <c r="F320" i="56"/>
  <c r="F207" i="56" s="1"/>
  <c r="T108" i="53"/>
  <c r="U108" i="53" s="1"/>
  <c r="K214" i="53"/>
  <c r="M214" i="53" s="1"/>
  <c r="G214" i="19"/>
  <c r="V415" i="19"/>
  <c r="AA481" i="58"/>
  <c r="W455" i="61"/>
  <c r="T771" i="55"/>
  <c r="X421" i="56"/>
  <c r="X424" i="56" s="1"/>
  <c r="I78" i="1"/>
  <c r="I16" i="66" s="1"/>
  <c r="L27" i="66" s="1"/>
  <c r="I13" i="66"/>
  <c r="L24" i="66" s="1"/>
  <c r="J335" i="61"/>
  <c r="F322" i="56"/>
  <c r="T135" i="53"/>
  <c r="U135" i="53" s="1"/>
  <c r="H46" i="19"/>
  <c r="H201" i="56"/>
  <c r="P555" i="60"/>
  <c r="V555" i="60"/>
  <c r="Z339" i="61"/>
  <c r="P621" i="60"/>
  <c r="AC339" i="61" s="1"/>
  <c r="Z350" i="61"/>
  <c r="N350" i="61" s="1"/>
  <c r="P632" i="60"/>
  <c r="AC350" i="61" s="1"/>
  <c r="T87" i="53"/>
  <c r="U87" i="53" s="1"/>
  <c r="H208" i="56"/>
  <c r="F319" i="56"/>
  <c r="F206" i="56" s="1"/>
  <c r="T110" i="53"/>
  <c r="U110" i="53" s="1"/>
  <c r="J356" i="58"/>
  <c r="J382" i="58"/>
  <c r="V586" i="60"/>
  <c r="Y586" i="60" s="1"/>
  <c r="P586" i="60"/>
  <c r="N798" i="60" s="1"/>
  <c r="J25" i="65"/>
  <c r="O26" i="63"/>
  <c r="L444" i="60"/>
  <c r="O444" i="60" s="1"/>
  <c r="R444" i="60" s="1"/>
  <c r="H67" i="56"/>
  <c r="N590" i="60"/>
  <c r="Q590" i="60" s="1"/>
  <c r="G203" i="19"/>
  <c r="L523" i="60"/>
  <c r="T82" i="53"/>
  <c r="U82" i="53" s="1"/>
  <c r="K242" i="58"/>
  <c r="J380" i="58"/>
  <c r="G336" i="56"/>
  <c r="S157" i="69"/>
  <c r="S158" i="69" s="1"/>
  <c r="L542" i="60"/>
  <c r="N441" i="60"/>
  <c r="Q441" i="60" s="1"/>
  <c r="J364" i="61"/>
  <c r="Z329" i="61"/>
  <c r="P611" i="60"/>
  <c r="AC329" i="61" s="1"/>
  <c r="P574" i="60"/>
  <c r="V574" i="60"/>
  <c r="P547" i="60"/>
  <c r="V547" i="60"/>
  <c r="I336" i="61"/>
  <c r="N578" i="60"/>
  <c r="K107" i="58"/>
  <c r="G332" i="56"/>
  <c r="G219" i="56" s="1"/>
  <c r="H200" i="56"/>
  <c r="J26" i="65"/>
  <c r="O27" i="63"/>
  <c r="H16" i="19"/>
  <c r="G5" i="40"/>
  <c r="G26" i="40" s="1"/>
  <c r="T128" i="53"/>
  <c r="U128" i="53" s="1"/>
  <c r="K218" i="53"/>
  <c r="M218" i="53" s="1"/>
  <c r="N515" i="60"/>
  <c r="Q515" i="60" s="1"/>
  <c r="G330" i="56"/>
  <c r="G217" i="56" s="1"/>
  <c r="J387" i="58"/>
  <c r="J328" i="61"/>
  <c r="I158" i="69"/>
  <c r="H69" i="56"/>
  <c r="K25" i="65"/>
  <c r="G310" i="56"/>
  <c r="G197" i="56" s="1"/>
  <c r="Z348" i="61"/>
  <c r="P630" i="60"/>
  <c r="AC348" i="61" s="1"/>
  <c r="P163" i="60"/>
  <c r="P164" i="60" s="1"/>
  <c r="P168" i="60" s="1"/>
  <c r="P235" i="60"/>
  <c r="F231" i="19"/>
  <c r="F68" i="19" s="1"/>
  <c r="F336" i="56"/>
  <c r="H19" i="56"/>
  <c r="AD614" i="55"/>
  <c r="G614" i="55" s="1"/>
  <c r="G455" i="55" s="1"/>
  <c r="G338" i="55" s="1"/>
  <c r="G42" i="55" s="1"/>
  <c r="I386" i="58"/>
  <c r="K221" i="58"/>
  <c r="G352" i="19"/>
  <c r="G245" i="19" s="1"/>
  <c r="W410" i="19"/>
  <c r="G306" i="56"/>
  <c r="G193" i="56" s="1"/>
  <c r="K24" i="65"/>
  <c r="I390" i="58"/>
  <c r="I346" i="58"/>
  <c r="Z420" i="58"/>
  <c r="Z477" i="58"/>
  <c r="Z421" i="58"/>
  <c r="AA421" i="58" s="1"/>
  <c r="Z332" i="61"/>
  <c r="N332" i="61" s="1"/>
  <c r="P614" i="60"/>
  <c r="AC332" i="61" s="1"/>
  <c r="K198" i="61"/>
  <c r="H22" i="56"/>
  <c r="I321" i="61"/>
  <c r="N527" i="60"/>
  <c r="M164" i="60"/>
  <c r="M168" i="60" s="1"/>
  <c r="I359" i="58"/>
  <c r="V546" i="60"/>
  <c r="P546" i="60"/>
  <c r="I369" i="58"/>
  <c r="V576" i="60"/>
  <c r="P576" i="60"/>
  <c r="G200" i="19"/>
  <c r="AC601" i="55"/>
  <c r="AS601" i="55" s="1"/>
  <c r="AO601" i="55"/>
  <c r="AP601" i="55" s="1"/>
  <c r="V538" i="60"/>
  <c r="P538" i="60"/>
  <c r="J393" i="58"/>
  <c r="F307" i="56"/>
  <c r="K519" i="60"/>
  <c r="K231" i="58"/>
  <c r="V558" i="60"/>
  <c r="P558" i="60"/>
  <c r="G234" i="19"/>
  <c r="N646" i="60"/>
  <c r="Z360" i="61"/>
  <c r="P642" i="60"/>
  <c r="AC360" i="61" s="1"/>
  <c r="V550" i="60"/>
  <c r="P550" i="60"/>
  <c r="P562" i="60"/>
  <c r="V562" i="60"/>
  <c r="H216" i="56"/>
  <c r="Z328" i="61"/>
  <c r="P610" i="60"/>
  <c r="AC328" i="61" s="1"/>
  <c r="J32" i="65"/>
  <c r="O33" i="63"/>
  <c r="L479" i="60"/>
  <c r="O479" i="60" s="1"/>
  <c r="R479" i="60" s="1"/>
  <c r="N558" i="60"/>
  <c r="L441" i="60"/>
  <c r="O441" i="60" s="1"/>
  <c r="R441" i="60" s="1"/>
  <c r="N610" i="60"/>
  <c r="F203" i="19"/>
  <c r="N444" i="60"/>
  <c r="Q444" i="60" s="1"/>
  <c r="AC600" i="55"/>
  <c r="AS600" i="55" s="1"/>
  <c r="AO600" i="55"/>
  <c r="AP600" i="55" s="1"/>
  <c r="N528" i="60"/>
  <c r="I354" i="58"/>
  <c r="N500" i="60"/>
  <c r="Q500" i="60" s="1"/>
  <c r="P645" i="60"/>
  <c r="AC363" i="61" s="1"/>
  <c r="Z363" i="61"/>
  <c r="Z337" i="61"/>
  <c r="P619" i="60"/>
  <c r="AC337" i="61" s="1"/>
  <c r="P565" i="60"/>
  <c r="V565" i="60"/>
  <c r="I200" i="61"/>
  <c r="G333" i="56"/>
  <c r="G220" i="56" s="1"/>
  <c r="R41" i="66"/>
  <c r="M41" i="66" s="1"/>
  <c r="T708" i="55"/>
  <c r="I327" i="61"/>
  <c r="G300" i="19"/>
  <c r="W355" i="19"/>
  <c r="W411" i="19"/>
  <c r="J27" i="65"/>
  <c r="O28" i="63"/>
  <c r="G223" i="19"/>
  <c r="L497" i="60"/>
  <c r="O497" i="60" s="1"/>
  <c r="R497" i="60" s="1"/>
  <c r="J252" i="58"/>
  <c r="V545" i="60"/>
  <c r="P545" i="60"/>
  <c r="H355" i="19"/>
  <c r="H193" i="19"/>
  <c r="L587" i="60"/>
  <c r="J353" i="58"/>
  <c r="F306" i="56"/>
  <c r="F193" i="56" s="1"/>
  <c r="K193" i="61"/>
  <c r="H37" i="19"/>
  <c r="T106" i="53"/>
  <c r="U106" i="53" s="1"/>
  <c r="H48" i="19"/>
  <c r="G213" i="19"/>
  <c r="J333" i="61"/>
  <c r="I377" i="58"/>
  <c r="G157" i="53"/>
  <c r="T58" i="53"/>
  <c r="U58" i="53" s="1"/>
  <c r="Z361" i="61"/>
  <c r="P643" i="60"/>
  <c r="AC361" i="61" s="1"/>
  <c r="I250" i="58"/>
  <c r="K212" i="58"/>
  <c r="K224" i="61"/>
  <c r="I349" i="61"/>
  <c r="G311" i="56"/>
  <c r="G198" i="56" s="1"/>
  <c r="N555" i="60"/>
  <c r="N580" i="60"/>
  <c r="N547" i="60"/>
  <c r="N638" i="60"/>
  <c r="N637" i="60"/>
  <c r="N639" i="60"/>
  <c r="N568" i="60"/>
  <c r="N540" i="60"/>
  <c r="N533" i="60"/>
  <c r="N536" i="60"/>
  <c r="N636" i="60"/>
  <c r="N553" i="60"/>
  <c r="N588" i="60"/>
  <c r="N544" i="60"/>
  <c r="N633" i="60"/>
  <c r="N613" i="60"/>
  <c r="N560" i="60"/>
  <c r="N616" i="60"/>
  <c r="N575" i="60"/>
  <c r="N571" i="60"/>
  <c r="N551" i="60"/>
  <c r="N627" i="60"/>
  <c r="N648" i="60"/>
  <c r="N574" i="60"/>
  <c r="N621" i="60"/>
  <c r="N640" i="60"/>
  <c r="N635" i="60"/>
  <c r="N619" i="60"/>
  <c r="N641" i="60"/>
  <c r="N572" i="60"/>
  <c r="N579" i="60"/>
  <c r="N624" i="60"/>
  <c r="N565" i="60"/>
  <c r="N550" i="60"/>
  <c r="N608" i="60"/>
  <c r="N543" i="60"/>
  <c r="N530" i="60"/>
  <c r="N629" i="60"/>
  <c r="N605" i="60"/>
  <c r="N577" i="60"/>
  <c r="N625" i="60"/>
  <c r="N559" i="60"/>
  <c r="N642" i="60"/>
  <c r="N628" i="60"/>
  <c r="N645" i="60"/>
  <c r="N632" i="60"/>
  <c r="N563" i="60"/>
  <c r="N611" i="60"/>
  <c r="N620" i="60"/>
  <c r="N556" i="60"/>
  <c r="N591" i="60"/>
  <c r="N567" i="60"/>
  <c r="N562" i="60"/>
  <c r="N498" i="60"/>
  <c r="Q498" i="60" s="1"/>
  <c r="N445" i="60"/>
  <c r="Q445" i="60" s="1"/>
  <c r="N454" i="60"/>
  <c r="Q454" i="60" s="1"/>
  <c r="N496" i="60"/>
  <c r="Q496" i="60" s="1"/>
  <c r="N467" i="60"/>
  <c r="Q467" i="60" s="1"/>
  <c r="N508" i="60"/>
  <c r="Q508" i="60" s="1"/>
  <c r="N440" i="60"/>
  <c r="Q440" i="60" s="1"/>
  <c r="N501" i="60"/>
  <c r="Q501" i="60" s="1"/>
  <c r="N493" i="60"/>
  <c r="Q493" i="60" s="1"/>
  <c r="N481" i="60"/>
  <c r="Q481" i="60" s="1"/>
  <c r="N483" i="60"/>
  <c r="Q483" i="60" s="1"/>
  <c r="N492" i="60"/>
  <c r="Q492" i="60" s="1"/>
  <c r="N490" i="60"/>
  <c r="Q490" i="60" s="1"/>
  <c r="N510" i="60"/>
  <c r="Q510" i="60" s="1"/>
  <c r="N474" i="60"/>
  <c r="Q474" i="60" s="1"/>
  <c r="N434" i="60"/>
  <c r="Q434" i="60" s="1"/>
  <c r="N582" i="60"/>
  <c r="Q582" i="60" s="1"/>
  <c r="N585" i="60"/>
  <c r="Q585" i="60" s="1"/>
  <c r="N584" i="60"/>
  <c r="Q584" i="60" s="1"/>
  <c r="N583" i="60"/>
  <c r="Q583" i="60" s="1"/>
  <c r="N447" i="60"/>
  <c r="Q447" i="60" s="1"/>
  <c r="N511" i="60"/>
  <c r="Q511" i="60" s="1"/>
  <c r="N472" i="60"/>
  <c r="Q472" i="60" s="1"/>
  <c r="N458" i="60"/>
  <c r="Q458" i="60" s="1"/>
  <c r="N499" i="60"/>
  <c r="Q499" i="60" s="1"/>
  <c r="N478" i="60"/>
  <c r="Q478" i="60" s="1"/>
  <c r="N461" i="60"/>
  <c r="Q461" i="60" s="1"/>
  <c r="N457" i="60"/>
  <c r="Q457" i="60" s="1"/>
  <c r="N443" i="60"/>
  <c r="Q443" i="60" s="1"/>
  <c r="N517" i="60"/>
  <c r="Q517" i="60" s="1"/>
  <c r="N463" i="60"/>
  <c r="Q463" i="60" s="1"/>
  <c r="N485" i="60"/>
  <c r="Q485" i="60" s="1"/>
  <c r="N514" i="60"/>
  <c r="Q514" i="60" s="1"/>
  <c r="N480" i="60"/>
  <c r="Q480" i="60" s="1"/>
  <c r="N581" i="60"/>
  <c r="Q581" i="60" s="1"/>
  <c r="N465" i="60"/>
  <c r="Q465" i="60" s="1"/>
  <c r="N475" i="60"/>
  <c r="Q475" i="60" s="1"/>
  <c r="N503" i="60"/>
  <c r="Q503" i="60" s="1"/>
  <c r="V65" i="19"/>
  <c r="F305" i="56"/>
  <c r="F192" i="56" s="1"/>
  <c r="Z356" i="61"/>
  <c r="P638" i="60"/>
  <c r="AC356" i="61" s="1"/>
  <c r="V530" i="60"/>
  <c r="P530" i="60"/>
  <c r="P563" i="60"/>
  <c r="V563" i="60"/>
  <c r="D22" i="15"/>
  <c r="G8" i="40"/>
  <c r="H17" i="19"/>
  <c r="H21" i="56"/>
  <c r="G211" i="19"/>
  <c r="T61" i="53"/>
  <c r="U61" i="53" s="1"/>
  <c r="J24" i="65"/>
  <c r="O25" i="63"/>
  <c r="G323" i="56"/>
  <c r="K229" i="58"/>
  <c r="Z333" i="61"/>
  <c r="P615" i="60"/>
  <c r="AC333" i="61" s="1"/>
  <c r="G320" i="56"/>
  <c r="G207" i="56" s="1"/>
  <c r="K195" i="61"/>
  <c r="N477" i="60"/>
  <c r="Q477" i="60" s="1"/>
  <c r="H29" i="19"/>
  <c r="G14" i="40"/>
  <c r="G302" i="56"/>
  <c r="G189" i="56" s="1"/>
  <c r="H214" i="56"/>
  <c r="N615" i="60"/>
  <c r="J325" i="61"/>
  <c r="I190" i="61"/>
  <c r="N552" i="60"/>
  <c r="H62" i="19"/>
  <c r="G305" i="56"/>
  <c r="G192" i="56" s="1"/>
  <c r="K245" i="58"/>
  <c r="N459" i="60"/>
  <c r="Q459" i="60" s="1"/>
  <c r="I731" i="55"/>
  <c r="L441" i="58"/>
  <c r="I381" i="56"/>
  <c r="I375" i="19"/>
  <c r="L415" i="61"/>
  <c r="I352" i="58"/>
  <c r="L58" i="1"/>
  <c r="L45" i="1"/>
  <c r="O40" i="1"/>
  <c r="K239" i="58"/>
  <c r="P567" i="60"/>
  <c r="V567" i="60"/>
  <c r="V540" i="60"/>
  <c r="P540" i="60"/>
  <c r="P635" i="60"/>
  <c r="AC353" i="61" s="1"/>
  <c r="Z353" i="61"/>
  <c r="G161" i="53"/>
  <c r="T62" i="53"/>
  <c r="U62" i="53" s="1"/>
  <c r="N566" i="60"/>
  <c r="J383" i="58"/>
  <c r="G202" i="19"/>
  <c r="I357" i="58"/>
  <c r="F216" i="19"/>
  <c r="J372" i="58"/>
  <c r="G216" i="19"/>
  <c r="L539" i="60"/>
  <c r="L438" i="60"/>
  <c r="O438" i="60" s="1"/>
  <c r="R438" i="60" s="1"/>
  <c r="N569" i="60"/>
  <c r="J369" i="58"/>
  <c r="V587" i="60"/>
  <c r="P587" i="60"/>
  <c r="I325" i="61"/>
  <c r="AF325" i="61"/>
  <c r="F333" i="56"/>
  <c r="F220" i="56" s="1"/>
  <c r="K226" i="58"/>
  <c r="I159" i="53"/>
  <c r="I156" i="53"/>
  <c r="I357" i="60"/>
  <c r="K30" i="65"/>
  <c r="AD616" i="55"/>
  <c r="G616" i="55" s="1"/>
  <c r="G457" i="55" s="1"/>
  <c r="G340" i="55" s="1"/>
  <c r="G44" i="55" s="1"/>
  <c r="K232" i="58"/>
  <c r="J349" i="58"/>
  <c r="K233" i="58"/>
  <c r="I333" i="61"/>
  <c r="F210" i="19"/>
  <c r="I375" i="58"/>
  <c r="S39" i="66"/>
  <c r="L39" i="66" s="1"/>
  <c r="AC602" i="55"/>
  <c r="AS602" i="55" s="1"/>
  <c r="AO602" i="55"/>
  <c r="AP602" i="55" s="1"/>
  <c r="F213" i="19"/>
  <c r="K217" i="58"/>
  <c r="J352" i="58"/>
  <c r="I362" i="61"/>
  <c r="F314" i="56"/>
  <c r="N524" i="60"/>
  <c r="H222" i="56"/>
  <c r="J359" i="58"/>
  <c r="K219" i="53"/>
  <c r="M219" i="53" s="1"/>
  <c r="T132" i="53"/>
  <c r="U132" i="53" s="1"/>
  <c r="N59" i="1"/>
  <c r="N53" i="1"/>
  <c r="Q48" i="1"/>
  <c r="H27" i="19"/>
  <c r="G11" i="40"/>
  <c r="E18" i="34"/>
  <c r="H59" i="19"/>
  <c r="G315" i="56"/>
  <c r="Z359" i="61"/>
  <c r="P641" i="60"/>
  <c r="AC359" i="61" s="1"/>
  <c r="P533" i="60"/>
  <c r="V533" i="60"/>
  <c r="Z354" i="61"/>
  <c r="P636" i="60"/>
  <c r="AC354" i="61" s="1"/>
  <c r="V536" i="60"/>
  <c r="P536" i="60"/>
  <c r="N573" i="60"/>
  <c r="W409" i="19"/>
  <c r="G351" i="19"/>
  <c r="G244" i="19" s="1"/>
  <c r="H45" i="19"/>
  <c r="H361" i="56"/>
  <c r="H187" i="56"/>
  <c r="R40" i="66"/>
  <c r="M40" i="66" s="1"/>
  <c r="T707" i="55"/>
  <c r="AD598" i="55"/>
  <c r="AT598" i="55" s="1"/>
  <c r="I341" i="61"/>
  <c r="F310" i="56"/>
  <c r="F197" i="56" s="1"/>
  <c r="N576" i="60"/>
  <c r="O607" i="60"/>
  <c r="L526" i="60"/>
  <c r="J385" i="58"/>
  <c r="I383" i="58"/>
  <c r="F300" i="56"/>
  <c r="W417" i="56"/>
  <c r="W361" i="56"/>
  <c r="T361" i="56" s="1"/>
  <c r="I353" i="58"/>
  <c r="F311" i="56"/>
  <c r="F198" i="56" s="1"/>
  <c r="K219" i="58"/>
  <c r="H223" i="56"/>
  <c r="J341" i="61"/>
  <c r="K33" i="65"/>
  <c r="I351" i="58"/>
  <c r="H203" i="56"/>
  <c r="P218" i="60"/>
  <c r="P220" i="60" s="1"/>
  <c r="P251" i="60"/>
  <c r="K237" i="58"/>
  <c r="F326" i="56"/>
  <c r="H209" i="56"/>
  <c r="H70" i="56"/>
  <c r="J349" i="61"/>
  <c r="W414" i="61"/>
  <c r="L412" i="61"/>
  <c r="AC604" i="55"/>
  <c r="AS604" i="55" s="1"/>
  <c r="AO604" i="55"/>
  <c r="AP604" i="55" s="1"/>
  <c r="F234" i="19"/>
  <c r="K216" i="61"/>
  <c r="I362" i="58"/>
  <c r="G99" i="19"/>
  <c r="K230" i="58"/>
  <c r="G98" i="19"/>
  <c r="N523" i="60"/>
  <c r="M518" i="60"/>
  <c r="P432" i="60"/>
  <c r="P518" i="60" s="1"/>
  <c r="Y378" i="56"/>
  <c r="T728" i="55"/>
  <c r="W372" i="19"/>
  <c r="X412" i="61"/>
  <c r="AB438" i="58"/>
  <c r="I328" i="61"/>
  <c r="E10" i="9"/>
  <c r="H11" i="9"/>
  <c r="J363" i="58"/>
  <c r="V551" i="60"/>
  <c r="P551" i="60"/>
  <c r="Z351" i="61"/>
  <c r="P633" i="60"/>
  <c r="AC351" i="61" s="1"/>
  <c r="V571" i="60"/>
  <c r="P571" i="60"/>
  <c r="F202" i="19"/>
  <c r="H69" i="19"/>
  <c r="E77" i="34"/>
  <c r="X394" i="61"/>
  <c r="W257" i="61" s="1"/>
  <c r="J320" i="61"/>
  <c r="X451" i="61"/>
  <c r="X452" i="61" s="1"/>
  <c r="Q41" i="66"/>
  <c r="K41" i="66" s="1"/>
  <c r="S708" i="55"/>
  <c r="K235" i="58"/>
  <c r="N538" i="60"/>
  <c r="I324" i="61"/>
  <c r="AD603" i="55"/>
  <c r="G603" i="55" s="1"/>
  <c r="G444" i="55" s="1"/>
  <c r="G326" i="55" s="1"/>
  <c r="G25" i="55" s="1"/>
  <c r="G149" i="55" s="1"/>
  <c r="T84" i="53"/>
  <c r="U84" i="53" s="1"/>
  <c r="K209" i="53"/>
  <c r="M209" i="53" s="1"/>
  <c r="G334" i="56"/>
  <c r="Z330" i="61"/>
  <c r="P612" i="60"/>
  <c r="AC330" i="61" s="1"/>
  <c r="H109" i="19"/>
  <c r="J347" i="58"/>
  <c r="J377" i="58"/>
  <c r="H210" i="56"/>
  <c r="H23" i="56"/>
  <c r="K204" i="61"/>
  <c r="J324" i="61"/>
  <c r="K31" i="65"/>
  <c r="H47" i="56"/>
  <c r="N491" i="60"/>
  <c r="Q491" i="60" s="1"/>
  <c r="N442" i="60"/>
  <c r="Q442" i="60" s="1"/>
  <c r="I158" i="53"/>
  <c r="N437" i="60"/>
  <c r="Q437" i="60" s="1"/>
  <c r="K251" i="58"/>
  <c r="S718" i="55"/>
  <c r="V402" i="61"/>
  <c r="U363" i="19"/>
  <c r="G62" i="1"/>
  <c r="H75" i="1" s="1"/>
  <c r="W369" i="56"/>
  <c r="Z428" i="58"/>
  <c r="P616" i="60"/>
  <c r="AC334" i="61" s="1"/>
  <c r="Z334" i="61"/>
  <c r="V544" i="60"/>
  <c r="P544" i="60"/>
  <c r="Z345" i="61"/>
  <c r="P627" i="60"/>
  <c r="AC345" i="61" s="1"/>
  <c r="I340" i="61"/>
  <c r="N489" i="60"/>
  <c r="Q489" i="60" s="1"/>
  <c r="K650" i="60"/>
  <c r="I364" i="61"/>
  <c r="E32" i="66"/>
  <c r="V542" i="60"/>
  <c r="P542" i="60"/>
  <c r="N456" i="60"/>
  <c r="Q456" i="60" s="1"/>
  <c r="G195" i="19"/>
  <c r="Z352" i="61"/>
  <c r="P634" i="60"/>
  <c r="AC352" i="61" s="1"/>
  <c r="T130" i="53"/>
  <c r="U130" i="53" s="1"/>
  <c r="F223" i="19"/>
  <c r="L218" i="60"/>
  <c r="L220" i="60" s="1"/>
  <c r="O171" i="60"/>
  <c r="L251" i="60"/>
  <c r="G231" i="19"/>
  <c r="G68" i="19" s="1"/>
  <c r="G100" i="19" s="1"/>
  <c r="V527" i="60"/>
  <c r="P527" i="60"/>
  <c r="J351" i="58"/>
  <c r="L53" i="1"/>
  <c r="O48" i="1"/>
  <c r="L59" i="1"/>
  <c r="G16" i="40"/>
  <c r="H31" i="19"/>
  <c r="K211" i="58"/>
  <c r="F315" i="56"/>
  <c r="K249" i="58"/>
  <c r="AA440" i="58"/>
  <c r="L438" i="58"/>
  <c r="Q40" i="66"/>
  <c r="K40" i="66" s="1"/>
  <c r="AC598" i="55"/>
  <c r="AS598" i="55" s="1"/>
  <c r="AO598" i="55"/>
  <c r="AP598" i="55" s="1"/>
  <c r="S707" i="55"/>
  <c r="V524" i="60"/>
  <c r="Y524" i="60" s="1"/>
  <c r="P524" i="60"/>
  <c r="N793" i="60" s="1"/>
  <c r="K32" i="65"/>
  <c r="F199" i="19"/>
  <c r="N163" i="60"/>
  <c r="N164" i="60" s="1"/>
  <c r="N168" i="60" s="1"/>
  <c r="Q116" i="60"/>
  <c r="N235" i="60"/>
  <c r="V392" i="19"/>
  <c r="V377" i="19"/>
  <c r="I372" i="19"/>
  <c r="H213" i="56"/>
  <c r="K203" i="61"/>
  <c r="Q335" i="61"/>
  <c r="F300" i="19"/>
  <c r="U411" i="19"/>
  <c r="AA411" i="19" s="1"/>
  <c r="U355" i="19"/>
  <c r="T355" i="19" s="1"/>
  <c r="J361" i="61"/>
  <c r="V570" i="60"/>
  <c r="P570" i="60"/>
  <c r="I252" i="58"/>
  <c r="F334" i="56"/>
  <c r="K228" i="58"/>
  <c r="K247" i="58"/>
  <c r="T718" i="55"/>
  <c r="AB428" i="58"/>
  <c r="Y369" i="56"/>
  <c r="W363" i="19"/>
  <c r="X402" i="61"/>
  <c r="I62" i="1"/>
  <c r="J75" i="1" s="1"/>
  <c r="K420" i="58"/>
  <c r="K210" i="58"/>
  <c r="P543" i="60"/>
  <c r="V543" i="60"/>
  <c r="Z338" i="61"/>
  <c r="P620" i="60"/>
  <c r="AC338" i="61" s="1"/>
  <c r="P559" i="60"/>
  <c r="V559" i="60"/>
  <c r="K224" i="58"/>
  <c r="N602" i="60"/>
  <c r="F351" i="19"/>
  <c r="F244" i="19" s="1"/>
  <c r="U409" i="19"/>
  <c r="I160" i="53"/>
  <c r="O23" i="63"/>
  <c r="I379" i="58"/>
  <c r="N545" i="60"/>
  <c r="G304" i="56"/>
  <c r="G191" i="56" s="1"/>
  <c r="K192" i="61"/>
  <c r="I356" i="58"/>
  <c r="K220" i="58"/>
  <c r="K201" i="61"/>
  <c r="F352" i="19"/>
  <c r="F245" i="19" s="1"/>
  <c r="U410" i="19"/>
  <c r="F327" i="56"/>
  <c r="F65" i="19"/>
  <c r="C68" i="34"/>
  <c r="G204" i="19"/>
  <c r="F304" i="56"/>
  <c r="F191" i="56" s="1"/>
  <c r="K19" i="61"/>
  <c r="H227" i="61"/>
  <c r="H94" i="61" s="1"/>
  <c r="K94" i="61"/>
  <c r="Q94" i="61" s="1"/>
  <c r="Q227" i="61"/>
  <c r="F330" i="56"/>
  <c r="F217" i="56" s="1"/>
  <c r="G300" i="56"/>
  <c r="Y361" i="56"/>
  <c r="Y417" i="56"/>
  <c r="Y418" i="56" s="1"/>
  <c r="I363" i="58"/>
  <c r="K188" i="61"/>
  <c r="K394" i="61"/>
  <c r="H188" i="56"/>
  <c r="AC613" i="55"/>
  <c r="AS613" i="55" s="1"/>
  <c r="AO613" i="55"/>
  <c r="AP613" i="55" s="1"/>
  <c r="K244" i="58"/>
  <c r="I167" i="60"/>
  <c r="I169" i="60" s="1"/>
  <c r="I268" i="60" s="1"/>
  <c r="I290" i="60" s="1"/>
  <c r="I292" i="60" s="1"/>
  <c r="J354" i="60" s="1"/>
  <c r="I165" i="60"/>
  <c r="F232" i="19"/>
  <c r="K37" i="61"/>
  <c r="J340" i="61"/>
  <c r="F301" i="56"/>
  <c r="K215" i="58"/>
  <c r="Z340" i="61"/>
  <c r="P622" i="60"/>
  <c r="AC340" i="61" s="1"/>
  <c r="G206" i="19"/>
  <c r="J362" i="61"/>
  <c r="AC599" i="55"/>
  <c r="AS599" i="55" s="1"/>
  <c r="AO599" i="55"/>
  <c r="AP599" i="55" s="1"/>
  <c r="G162" i="53"/>
  <c r="T63" i="53"/>
  <c r="U63" i="53" s="1"/>
  <c r="I378" i="56"/>
  <c r="X398" i="56"/>
  <c r="X383" i="56"/>
  <c r="N634" i="60"/>
  <c r="V539" i="60"/>
  <c r="P539" i="60"/>
  <c r="AO56" i="53"/>
  <c r="K202" i="53"/>
  <c r="M202" i="53" s="1"/>
  <c r="T56" i="53"/>
  <c r="U56" i="53" s="1"/>
  <c r="I380" i="58"/>
  <c r="E31" i="66"/>
  <c r="N643" i="60"/>
  <c r="H60" i="19"/>
  <c r="E28" i="34"/>
  <c r="I385" i="58"/>
  <c r="L163" i="60"/>
  <c r="L164" i="60" s="1"/>
  <c r="L168" i="60" s="1"/>
  <c r="O116" i="60"/>
  <c r="L235" i="60"/>
  <c r="N452" i="60"/>
  <c r="Q452" i="60" s="1"/>
  <c r="G319" i="56"/>
  <c r="G206" i="56" s="1"/>
  <c r="G222" i="19"/>
  <c r="N218" i="60"/>
  <c r="N220" i="60" s="1"/>
  <c r="Q171" i="60"/>
  <c r="N251" i="60"/>
  <c r="H100" i="19"/>
  <c r="G312" i="56"/>
  <c r="J386" i="58"/>
  <c r="I371" i="56"/>
  <c r="I721" i="55"/>
  <c r="L431" i="58"/>
  <c r="I365" i="19"/>
  <c r="L405" i="61"/>
  <c r="I348" i="61"/>
  <c r="V568" i="60"/>
  <c r="P568" i="60"/>
  <c r="P624" i="60"/>
  <c r="AC342" i="61" s="1"/>
  <c r="Z342" i="61"/>
  <c r="N342" i="61" s="1"/>
  <c r="P560" i="60"/>
  <c r="V560" i="60"/>
  <c r="P579" i="60"/>
  <c r="V579" i="60"/>
  <c r="AD602" i="55"/>
  <c r="G602" i="55" s="1"/>
  <c r="G443" i="55" s="1"/>
  <c r="G325" i="55" s="1"/>
  <c r="G24" i="55" s="1"/>
  <c r="G139" i="55" s="1"/>
  <c r="O29" i="63"/>
  <c r="J28" i="65"/>
  <c r="F211" i="19"/>
  <c r="AC614" i="55"/>
  <c r="AO614" i="55"/>
  <c r="AP614" i="55" s="1"/>
  <c r="I361" i="61"/>
  <c r="K222" i="58"/>
  <c r="K209" i="61"/>
  <c r="Q341" i="61"/>
  <c r="F329" i="56"/>
  <c r="N507" i="60"/>
  <c r="Q507" i="60" s="1"/>
  <c r="K196" i="61"/>
  <c r="J388" i="58"/>
  <c r="L541" i="60"/>
  <c r="F309" i="56"/>
  <c r="L647" i="60"/>
  <c r="J362" i="58"/>
  <c r="I374" i="58"/>
  <c r="K28" i="65"/>
  <c r="I361" i="58"/>
  <c r="K27" i="65"/>
  <c r="S285" i="1"/>
  <c r="H117" i="19"/>
  <c r="AD601" i="55"/>
  <c r="G601" i="55" s="1"/>
  <c r="G442" i="55" s="1"/>
  <c r="G324" i="55" s="1"/>
  <c r="G23" i="55" s="1"/>
  <c r="G138" i="55" s="1"/>
  <c r="J390" i="58"/>
  <c r="AB420" i="58"/>
  <c r="AA283" i="58" s="1"/>
  <c r="J346" i="58"/>
  <c r="AB477" i="58"/>
  <c r="AB478" i="58" s="1"/>
  <c r="J330" i="61"/>
  <c r="J366" i="58"/>
  <c r="V528" i="60"/>
  <c r="Y528" i="60" s="1"/>
  <c r="P528" i="60"/>
  <c r="I347" i="58"/>
  <c r="G158" i="53"/>
  <c r="T59" i="53"/>
  <c r="U59" i="53" s="1"/>
  <c r="G159" i="53"/>
  <c r="K196" i="53"/>
  <c r="M196" i="53" s="1"/>
  <c r="T46" i="53"/>
  <c r="U46" i="53" s="1"/>
  <c r="V566" i="60"/>
  <c r="P566" i="60"/>
  <c r="J379" i="58"/>
  <c r="F194" i="19"/>
  <c r="J352" i="61"/>
  <c r="I330" i="61"/>
  <c r="F316" i="56"/>
  <c r="T80" i="53"/>
  <c r="U80" i="53" s="1"/>
  <c r="K208" i="53"/>
  <c r="M208" i="53" s="1"/>
  <c r="V549" i="60"/>
  <c r="P549" i="60"/>
  <c r="N473" i="60"/>
  <c r="Q473" i="60" s="1"/>
  <c r="G210" i="19"/>
  <c r="G156" i="53"/>
  <c r="K195" i="53"/>
  <c r="M195" i="53" s="1"/>
  <c r="T45" i="53"/>
  <c r="U45" i="53" s="1"/>
  <c r="G165" i="60"/>
  <c r="G167" i="60"/>
  <c r="G169" i="60" s="1"/>
  <c r="G268" i="60" s="1"/>
  <c r="G290" i="60" s="1"/>
  <c r="G292" i="60" s="1"/>
  <c r="H354" i="60" s="1"/>
  <c r="K212" i="61"/>
  <c r="J367" i="58"/>
  <c r="N433" i="60"/>
  <c r="Q433" i="60" s="1"/>
  <c r="L428" i="58"/>
  <c r="AA473" i="58"/>
  <c r="AA430" i="58"/>
  <c r="H45" i="56"/>
  <c r="J360" i="58"/>
  <c r="G335" i="56"/>
  <c r="N58" i="1"/>
  <c r="Q40" i="1"/>
  <c r="N45" i="1"/>
  <c r="N46" i="1" s="1"/>
  <c r="K236" i="58"/>
  <c r="F214" i="19"/>
  <c r="N529" i="60"/>
  <c r="V556" i="60"/>
  <c r="P556" i="60"/>
  <c r="Z343" i="61"/>
  <c r="P625" i="60"/>
  <c r="AC343" i="61" s="1"/>
  <c r="V580" i="60"/>
  <c r="P580" i="60"/>
  <c r="P639" i="60"/>
  <c r="AC357" i="61" s="1"/>
  <c r="Z357" i="61"/>
  <c r="F332" i="56"/>
  <c r="F219" i="56" s="1"/>
  <c r="K214" i="58"/>
  <c r="K223" i="58"/>
  <c r="G313" i="56"/>
  <c r="N446" i="60"/>
  <c r="Q446" i="60" s="1"/>
  <c r="O30" i="63"/>
  <c r="J29" i="65"/>
  <c r="F200" i="19"/>
  <c r="H57" i="56"/>
  <c r="N587" i="60"/>
  <c r="V561" i="60"/>
  <c r="P561" i="60"/>
  <c r="K226" i="61"/>
  <c r="Q364" i="61"/>
  <c r="H199" i="56"/>
  <c r="J227" i="61"/>
  <c r="Z344" i="61"/>
  <c r="P626" i="60"/>
  <c r="AC344" i="61" s="1"/>
  <c r="I393" i="58"/>
  <c r="I344" i="61"/>
  <c r="N502" i="60"/>
  <c r="Q502" i="60" s="1"/>
  <c r="I162" i="53"/>
  <c r="L402" i="61"/>
  <c r="W447" i="61"/>
  <c r="W404" i="61"/>
  <c r="N436" i="60"/>
  <c r="Q436" i="60" s="1"/>
  <c r="P572" i="60"/>
  <c r="V572" i="60"/>
  <c r="Z347" i="61"/>
  <c r="P629" i="60"/>
  <c r="AC347" i="61" s="1"/>
  <c r="Z326" i="61"/>
  <c r="P608" i="60"/>
  <c r="AC326" i="61" s="1"/>
  <c r="P591" i="60"/>
  <c r="V591" i="60"/>
  <c r="I382" i="58"/>
  <c r="F225" i="19"/>
  <c r="AD600" i="55"/>
  <c r="G600" i="55" s="1"/>
  <c r="G441" i="55" s="1"/>
  <c r="G328" i="55" s="1"/>
  <c r="G27" i="55" s="1"/>
  <c r="K240" i="58"/>
  <c r="N549" i="60"/>
  <c r="J361" i="58"/>
  <c r="J23" i="65"/>
  <c r="O24" i="63"/>
  <c r="J321" i="61"/>
  <c r="G316" i="56"/>
  <c r="H33" i="19"/>
  <c r="G17" i="40"/>
  <c r="G225" i="19"/>
  <c r="N460" i="60"/>
  <c r="Q460" i="60" s="1"/>
  <c r="G325" i="56"/>
  <c r="G212" i="56" s="1"/>
  <c r="I227" i="61"/>
  <c r="N647" i="60"/>
  <c r="K26" i="65"/>
  <c r="G65" i="19"/>
  <c r="D68" i="34"/>
  <c r="V552" i="60"/>
  <c r="P552" i="60"/>
  <c r="K246" i="58"/>
  <c r="H32" i="56"/>
  <c r="T104" i="53"/>
  <c r="U104" i="53" s="1"/>
  <c r="K213" i="53"/>
  <c r="M213" i="53" s="1"/>
  <c r="V557" i="60"/>
  <c r="P557" i="60"/>
  <c r="G329" i="56"/>
  <c r="V578" i="60"/>
  <c r="P578" i="60"/>
  <c r="K243" i="58"/>
  <c r="I364" i="58"/>
  <c r="F318" i="56"/>
  <c r="F205" i="56" s="1"/>
  <c r="V554" i="60"/>
  <c r="P554" i="60"/>
  <c r="G381" i="56"/>
  <c r="G731" i="55"/>
  <c r="G375" i="19"/>
  <c r="J415" i="61"/>
  <c r="J441" i="58"/>
  <c r="G326" i="56"/>
  <c r="Z320" i="61"/>
  <c r="M649" i="60"/>
  <c r="P602" i="60"/>
  <c r="J370" i="58"/>
  <c r="Z322" i="61"/>
  <c r="N322" i="61" s="1"/>
  <c r="P604" i="60"/>
  <c r="AC322" i="61" s="1"/>
  <c r="F302" i="56"/>
  <c r="F189" i="56" s="1"/>
  <c r="K208" i="61"/>
  <c r="N626" i="60"/>
  <c r="F206" i="19"/>
  <c r="I366" i="58"/>
  <c r="V534" i="60"/>
  <c r="P534" i="60"/>
  <c r="G232" i="19"/>
  <c r="T111" i="53"/>
  <c r="U111" i="53" s="1"/>
  <c r="N495" i="60"/>
  <c r="Q495" i="60" s="1"/>
  <c r="H194" i="56"/>
  <c r="P594" i="60"/>
  <c r="N792" i="60"/>
  <c r="P592" i="60"/>
  <c r="F323" i="56"/>
  <c r="G322" i="56"/>
  <c r="I369" i="56"/>
  <c r="X413" i="56"/>
  <c r="H76" i="19"/>
  <c r="V451" i="61"/>
  <c r="V394" i="61"/>
  <c r="I320" i="61"/>
  <c r="V395" i="61"/>
  <c r="W395" i="61" s="1"/>
  <c r="H21" i="19"/>
  <c r="G9" i="40"/>
  <c r="Z366" i="61"/>
  <c r="N366" i="61" s="1"/>
  <c r="P648" i="60"/>
  <c r="AC366" i="61" s="1"/>
  <c r="P640" i="60"/>
  <c r="AC358" i="61" s="1"/>
  <c r="Z358" i="61"/>
  <c r="N358" i="61" s="1"/>
  <c r="P553" i="60"/>
  <c r="V553" i="60"/>
  <c r="P577" i="60"/>
  <c r="V577" i="60"/>
  <c r="F98" i="19"/>
  <c r="AD613" i="55"/>
  <c r="G613" i="55" s="1"/>
  <c r="G454" i="55" s="1"/>
  <c r="G333" i="55" s="1"/>
  <c r="G37" i="55" s="1"/>
  <c r="K365" i="19"/>
  <c r="N405" i="61"/>
  <c r="K721" i="55"/>
  <c r="N431" i="58"/>
  <c r="K371" i="56"/>
  <c r="F99" i="19"/>
  <c r="J348" i="61"/>
  <c r="Z327" i="61"/>
  <c r="P609" i="60"/>
  <c r="AC327" i="61" s="1"/>
  <c r="O31" i="63"/>
  <c r="J30" i="65"/>
  <c r="N497" i="60"/>
  <c r="Q497" i="60" s="1"/>
  <c r="Z349" i="61"/>
  <c r="P631" i="60"/>
  <c r="AC349" i="61" s="1"/>
  <c r="J364" i="58"/>
  <c r="J374" i="58"/>
  <c r="L548" i="60"/>
  <c r="N618" i="60"/>
  <c r="K116" i="58"/>
  <c r="H43" i="19"/>
  <c r="F313" i="56"/>
  <c r="H221" i="56"/>
  <c r="G160" i="53"/>
  <c r="T47" i="53"/>
  <c r="U47" i="53" s="1"/>
  <c r="K197" i="53"/>
  <c r="M197" i="53" s="1"/>
  <c r="T44" i="53"/>
  <c r="K194" i="53"/>
  <c r="AE44" i="53"/>
  <c r="G155" i="53"/>
  <c r="K225" i="61"/>
  <c r="I157" i="53"/>
  <c r="G321" i="56"/>
  <c r="Z362" i="61"/>
  <c r="P644" i="60"/>
  <c r="AC362" i="61" s="1"/>
  <c r="G314" i="56"/>
  <c r="K23" i="65"/>
  <c r="F325" i="56"/>
  <c r="F212" i="56" s="1"/>
  <c r="J375" i="58"/>
  <c r="G318" i="56"/>
  <c r="G205" i="56" s="1"/>
  <c r="AC603" i="55"/>
  <c r="AS603" i="55" s="1"/>
  <c r="AO603" i="55"/>
  <c r="AP603" i="55" s="1"/>
  <c r="V412" i="19"/>
  <c r="I155" i="53"/>
  <c r="AG44" i="53"/>
  <c r="AB35" i="53" s="1"/>
  <c r="AD438" i="58"/>
  <c r="Z412" i="61"/>
  <c r="AA378" i="56"/>
  <c r="Y372" i="19"/>
  <c r="X728" i="55"/>
  <c r="X730" i="55" s="1"/>
  <c r="I349" i="58"/>
  <c r="I360" i="58"/>
  <c r="J344" i="61"/>
  <c r="V564" i="60"/>
  <c r="P564" i="60"/>
  <c r="J200" i="61"/>
  <c r="I161" i="53"/>
  <c r="I370" i="58"/>
  <c r="F204" i="19"/>
  <c r="K216" i="58"/>
  <c r="I372" i="58"/>
  <c r="J371" i="58"/>
  <c r="U720" i="55"/>
  <c r="S38" i="66" s="1"/>
  <c r="L38" i="66" s="1"/>
  <c r="U763" i="55"/>
  <c r="H33" i="56"/>
  <c r="G194" i="19"/>
  <c r="N617" i="60"/>
  <c r="T60" i="53"/>
  <c r="U60" i="53" s="1"/>
  <c r="K204" i="53"/>
  <c r="M204" i="53" s="1"/>
  <c r="S649" i="60"/>
  <c r="H196" i="56"/>
  <c r="P637" i="60"/>
  <c r="AC355" i="61" s="1"/>
  <c r="Z355" i="61"/>
  <c r="P575" i="60"/>
  <c r="V575" i="60"/>
  <c r="V588" i="60"/>
  <c r="P588" i="60"/>
  <c r="G199" i="19"/>
  <c r="J250" i="58"/>
  <c r="P58" i="1"/>
  <c r="P45" i="1"/>
  <c r="P46" i="1" s="1"/>
  <c r="I335" i="61"/>
  <c r="H30" i="19"/>
  <c r="G15" i="40"/>
  <c r="N462" i="60"/>
  <c r="Q462" i="60" s="1"/>
  <c r="O34" i="63"/>
  <c r="J33" i="65"/>
  <c r="L476" i="60"/>
  <c r="O476" i="60" s="1"/>
  <c r="R476" i="60" s="1"/>
  <c r="V525" i="60"/>
  <c r="P525" i="60"/>
  <c r="N603" i="60"/>
  <c r="Z324" i="61"/>
  <c r="P606" i="60"/>
  <c r="AC324" i="61" s="1"/>
  <c r="K158" i="69"/>
  <c r="K217" i="61"/>
  <c r="J190" i="61"/>
  <c r="F678" i="55" l="1"/>
  <c r="F519" i="55" s="1"/>
  <c r="AS642" i="55"/>
  <c r="AE642" i="55"/>
  <c r="AE678" i="55"/>
  <c r="AU678" i="55" s="1"/>
  <c r="AE674" i="55"/>
  <c r="AF674" i="55" s="1"/>
  <c r="AS641" i="55"/>
  <c r="AE641" i="55"/>
  <c r="AF641" i="55" s="1"/>
  <c r="AS674" i="55"/>
  <c r="AE622" i="55"/>
  <c r="F622" i="55"/>
  <c r="F463" i="55" s="1"/>
  <c r="F343" i="55" s="1"/>
  <c r="F47" i="55" s="1"/>
  <c r="F142" i="55" s="1"/>
  <c r="AS655" i="55"/>
  <c r="AE655" i="55"/>
  <c r="AU655" i="55" s="1"/>
  <c r="AS680" i="55"/>
  <c r="AE680" i="55"/>
  <c r="AF680" i="55" s="1"/>
  <c r="F680" i="55"/>
  <c r="F521" i="55" s="1"/>
  <c r="AF678" i="55"/>
  <c r="F397" i="55"/>
  <c r="F116" i="55" s="1"/>
  <c r="F148" i="55" s="1"/>
  <c r="G153" i="55"/>
  <c r="F133" i="55"/>
  <c r="G136" i="55"/>
  <c r="G134" i="55"/>
  <c r="G132" i="55"/>
  <c r="G135" i="55"/>
  <c r="G137" i="55"/>
  <c r="AE619" i="55"/>
  <c r="AU619" i="55" s="1"/>
  <c r="AE661" i="55"/>
  <c r="H661" i="55" s="1"/>
  <c r="H502" i="55" s="1"/>
  <c r="F661" i="55"/>
  <c r="F502" i="55" s="1"/>
  <c r="F380" i="55" s="1"/>
  <c r="F94" i="55" s="1"/>
  <c r="F146" i="55" s="1"/>
  <c r="AE628" i="55"/>
  <c r="AF628" i="55" s="1"/>
  <c r="F628" i="55"/>
  <c r="F469" i="55" s="1"/>
  <c r="F336" i="55" s="1"/>
  <c r="F40" i="55" s="1"/>
  <c r="F169" i="55" s="1"/>
  <c r="AS639" i="55"/>
  <c r="AE639" i="55"/>
  <c r="AU639" i="55" s="1"/>
  <c r="G394" i="55"/>
  <c r="G113" i="55" s="1"/>
  <c r="G360" i="55"/>
  <c r="G69" i="55" s="1"/>
  <c r="G363" i="55"/>
  <c r="G72" i="55" s="1"/>
  <c r="G144" i="55" s="1"/>
  <c r="G330" i="55"/>
  <c r="G29" i="55" s="1"/>
  <c r="G175" i="55" s="1"/>
  <c r="F367" i="55"/>
  <c r="F76" i="55" s="1"/>
  <c r="F136" i="55" s="1"/>
  <c r="G332" i="55"/>
  <c r="G31" i="55" s="1"/>
  <c r="G186" i="55" s="1"/>
  <c r="G329" i="55"/>
  <c r="G28" i="55" s="1"/>
  <c r="G174" i="55" s="1"/>
  <c r="G331" i="55"/>
  <c r="G30" i="55" s="1"/>
  <c r="G185" i="55" s="1"/>
  <c r="G377" i="55"/>
  <c r="G91" i="55" s="1"/>
  <c r="AS619" i="55"/>
  <c r="AS657" i="55"/>
  <c r="AE657" i="55"/>
  <c r="AF657" i="55" s="1"/>
  <c r="AS637" i="55"/>
  <c r="AE637" i="55"/>
  <c r="AU637" i="55" s="1"/>
  <c r="AE631" i="55"/>
  <c r="H631" i="55" s="1"/>
  <c r="H472" i="55" s="1"/>
  <c r="F631" i="55"/>
  <c r="F472" i="55" s="1"/>
  <c r="F351" i="55" s="1"/>
  <c r="F55" i="55" s="1"/>
  <c r="F177" i="55" s="1"/>
  <c r="AE660" i="55"/>
  <c r="H660" i="55" s="1"/>
  <c r="H501" i="55" s="1"/>
  <c r="H379" i="55" s="1"/>
  <c r="H93" i="55" s="1"/>
  <c r="H145" i="55" s="1"/>
  <c r="F660" i="55"/>
  <c r="F501" i="55" s="1"/>
  <c r="F379" i="55" s="1"/>
  <c r="F93" i="55" s="1"/>
  <c r="F145" i="55" s="1"/>
  <c r="AE646" i="55"/>
  <c r="H646" i="55" s="1"/>
  <c r="H487" i="55" s="1"/>
  <c r="F646" i="55"/>
  <c r="F487" i="55" s="1"/>
  <c r="F659" i="55"/>
  <c r="F500" i="55" s="1"/>
  <c r="F385" i="55" s="1"/>
  <c r="F99" i="55" s="1"/>
  <c r="F137" i="55" s="1"/>
  <c r="AS659" i="55"/>
  <c r="AS673" i="55"/>
  <c r="AE673" i="55"/>
  <c r="AU673" i="55" s="1"/>
  <c r="AE670" i="55"/>
  <c r="AF670" i="55" s="1"/>
  <c r="AE653" i="55"/>
  <c r="H653" i="55" s="1"/>
  <c r="H494" i="55" s="1"/>
  <c r="H373" i="55" s="1"/>
  <c r="H87" i="55" s="1"/>
  <c r="F670" i="55"/>
  <c r="F511" i="55" s="1"/>
  <c r="F390" i="55" s="1"/>
  <c r="F109" i="55" s="1"/>
  <c r="F653" i="55"/>
  <c r="F494" i="55" s="1"/>
  <c r="F373" i="55" s="1"/>
  <c r="F87" i="55" s="1"/>
  <c r="AE690" i="55"/>
  <c r="AU690" i="55" s="1"/>
  <c r="F690" i="55"/>
  <c r="F531" i="55" s="1"/>
  <c r="F410" i="55" s="1"/>
  <c r="H675" i="55"/>
  <c r="H516" i="55" s="1"/>
  <c r="H664" i="55"/>
  <c r="H505" i="55" s="1"/>
  <c r="AU664" i="55"/>
  <c r="AF682" i="55"/>
  <c r="H682" i="55"/>
  <c r="H523" i="55" s="1"/>
  <c r="AU682" i="55"/>
  <c r="AF689" i="55"/>
  <c r="H689" i="55"/>
  <c r="H530" i="55" s="1"/>
  <c r="AU689" i="55"/>
  <c r="H651" i="55"/>
  <c r="H492" i="55" s="1"/>
  <c r="AU651" i="55"/>
  <c r="H627" i="55"/>
  <c r="H468" i="55" s="1"/>
  <c r="AU627" i="55"/>
  <c r="AF648" i="55"/>
  <c r="H648" i="55"/>
  <c r="H489" i="55" s="1"/>
  <c r="AU648" i="55"/>
  <c r="AF668" i="55"/>
  <c r="H668" i="55"/>
  <c r="H509" i="55" s="1"/>
  <c r="AU668" i="55"/>
  <c r="H683" i="55"/>
  <c r="H524" i="55" s="1"/>
  <c r="AU683" i="55"/>
  <c r="H687" i="55"/>
  <c r="H528" i="55" s="1"/>
  <c r="AU687" i="55"/>
  <c r="AU685" i="55"/>
  <c r="H685" i="55"/>
  <c r="H526" i="55" s="1"/>
  <c r="AF683" i="55"/>
  <c r="H629" i="55"/>
  <c r="H470" i="55" s="1"/>
  <c r="AU629" i="55"/>
  <c r="AF687" i="55"/>
  <c r="H665" i="55"/>
  <c r="H506" i="55" s="1"/>
  <c r="AU665" i="55"/>
  <c r="AF629" i="55"/>
  <c r="AF665" i="55"/>
  <c r="H666" i="55"/>
  <c r="H507" i="55" s="1"/>
  <c r="AU666" i="55"/>
  <c r="H630" i="55"/>
  <c r="H471" i="55" s="1"/>
  <c r="AU630" i="55"/>
  <c r="AU675" i="55"/>
  <c r="AF666" i="55"/>
  <c r="H649" i="55"/>
  <c r="H490" i="55" s="1"/>
  <c r="AU649" i="55"/>
  <c r="AF630" i="55"/>
  <c r="H647" i="55"/>
  <c r="H488" i="55" s="1"/>
  <c r="AU647" i="55"/>
  <c r="AF649" i="55"/>
  <c r="AF647" i="55"/>
  <c r="H688" i="55"/>
  <c r="H529" i="55" s="1"/>
  <c r="AU688" i="55"/>
  <c r="AF633" i="55"/>
  <c r="H633" i="55"/>
  <c r="H474" i="55" s="1"/>
  <c r="AU633" i="55"/>
  <c r="H634" i="55"/>
  <c r="H475" i="55" s="1"/>
  <c r="AU634" i="55"/>
  <c r="AF688" i="55"/>
  <c r="H636" i="55"/>
  <c r="H477" i="55" s="1"/>
  <c r="AU636" i="55"/>
  <c r="AF634" i="55"/>
  <c r="AF636" i="55"/>
  <c r="H626" i="55"/>
  <c r="H467" i="55" s="1"/>
  <c r="AU626" i="55"/>
  <c r="H681" i="55"/>
  <c r="H522" i="55" s="1"/>
  <c r="AU681" i="55"/>
  <c r="AF626" i="55"/>
  <c r="H679" i="55"/>
  <c r="H520" i="55" s="1"/>
  <c r="AU679" i="55"/>
  <c r="AF679" i="55"/>
  <c r="AF677" i="55"/>
  <c r="H677" i="55"/>
  <c r="H518" i="55" s="1"/>
  <c r="AU677" i="55"/>
  <c r="H663" i="55"/>
  <c r="H504" i="55" s="1"/>
  <c r="AU663" i="55"/>
  <c r="AF663" i="55"/>
  <c r="H662" i="55"/>
  <c r="H503" i="55" s="1"/>
  <c r="AU662" i="55"/>
  <c r="AF662" i="55"/>
  <c r="H644" i="55"/>
  <c r="H485" i="55" s="1"/>
  <c r="AU644" i="55"/>
  <c r="H645" i="55"/>
  <c r="H486" i="55" s="1"/>
  <c r="AU645" i="55"/>
  <c r="H643" i="55"/>
  <c r="H484" i="55" s="1"/>
  <c r="AU643" i="55"/>
  <c r="AF643" i="55"/>
  <c r="H623" i="55"/>
  <c r="H464" i="55" s="1"/>
  <c r="AU623" i="55"/>
  <c r="AF623" i="55"/>
  <c r="H624" i="55"/>
  <c r="H465" i="55" s="1"/>
  <c r="AU624" i="55"/>
  <c r="AF624" i="55"/>
  <c r="AF625" i="55"/>
  <c r="H625" i="55"/>
  <c r="H466" i="55" s="1"/>
  <c r="AU625" i="55"/>
  <c r="AF622" i="55"/>
  <c r="H622" i="55"/>
  <c r="H463" i="55" s="1"/>
  <c r="AU622" i="55"/>
  <c r="H621" i="55"/>
  <c r="H462" i="55" s="1"/>
  <c r="AU621" i="55"/>
  <c r="AF621" i="55"/>
  <c r="H620" i="55"/>
  <c r="H461" i="55" s="1"/>
  <c r="AU620" i="55"/>
  <c r="AF620" i="55"/>
  <c r="H618" i="55"/>
  <c r="H459" i="55" s="1"/>
  <c r="AU618" i="55"/>
  <c r="AF618" i="55"/>
  <c r="H615" i="55"/>
  <c r="H456" i="55" s="1"/>
  <c r="AU615" i="55"/>
  <c r="AU617" i="55"/>
  <c r="H617" i="55"/>
  <c r="H458" i="55" s="1"/>
  <c r="AU654" i="55"/>
  <c r="H654" i="55"/>
  <c r="H495" i="55" s="1"/>
  <c r="AU640" i="55"/>
  <c r="H640" i="55"/>
  <c r="H481" i="55" s="1"/>
  <c r="AU658" i="55"/>
  <c r="H658" i="55"/>
  <c r="H499" i="55" s="1"/>
  <c r="H384" i="55" s="1"/>
  <c r="H98" i="55" s="1"/>
  <c r="AU672" i="55"/>
  <c r="H672" i="55"/>
  <c r="H513" i="55" s="1"/>
  <c r="H394" i="55" s="1"/>
  <c r="H113" i="55" s="1"/>
  <c r="AU642" i="55"/>
  <c r="H642" i="55"/>
  <c r="H483" i="55" s="1"/>
  <c r="AU676" i="55"/>
  <c r="H676" i="55"/>
  <c r="H517" i="55" s="1"/>
  <c r="AU638" i="55"/>
  <c r="H638" i="55"/>
  <c r="H479" i="55" s="1"/>
  <c r="H360" i="55" s="1"/>
  <c r="H69" i="55" s="1"/>
  <c r="AU659" i="55"/>
  <c r="H659" i="55"/>
  <c r="H500" i="55" s="1"/>
  <c r="H385" i="55" s="1"/>
  <c r="H99" i="55" s="1"/>
  <c r="AU671" i="55"/>
  <c r="H671" i="55"/>
  <c r="H512" i="55" s="1"/>
  <c r="AS616" i="55"/>
  <c r="F616" i="55"/>
  <c r="F457" i="55" s="1"/>
  <c r="F340" i="55" s="1"/>
  <c r="F44" i="55" s="1"/>
  <c r="F134" i="55" s="1"/>
  <c r="H674" i="55"/>
  <c r="H515" i="55" s="1"/>
  <c r="AU656" i="55"/>
  <c r="H656" i="55"/>
  <c r="H497" i="55" s="1"/>
  <c r="AF671" i="55"/>
  <c r="AF638" i="55"/>
  <c r="AF640" i="55"/>
  <c r="AF658" i="55"/>
  <c r="AF659" i="55"/>
  <c r="AF672" i="55"/>
  <c r="AF642" i="55"/>
  <c r="AF656" i="55"/>
  <c r="AF676" i="55"/>
  <c r="AF654" i="55"/>
  <c r="J431" i="58"/>
  <c r="H22" i="53"/>
  <c r="J405" i="61"/>
  <c r="G721" i="55"/>
  <c r="G371" i="56"/>
  <c r="H9" i="53"/>
  <c r="H163" i="53"/>
  <c r="MM294" i="69"/>
  <c r="H609" i="55"/>
  <c r="AU609" i="55"/>
  <c r="H611" i="55"/>
  <c r="AU611" i="55"/>
  <c r="H612" i="55"/>
  <c r="AU612" i="55"/>
  <c r="H610" i="55"/>
  <c r="AU610" i="55"/>
  <c r="H605" i="55"/>
  <c r="AU605" i="55"/>
  <c r="AF606" i="55"/>
  <c r="H606" i="55"/>
  <c r="AU606" i="55"/>
  <c r="H608" i="55"/>
  <c r="AU608" i="55"/>
  <c r="H607" i="55"/>
  <c r="AU607" i="55"/>
  <c r="L30" i="65"/>
  <c r="U525" i="60"/>
  <c r="T525" i="60"/>
  <c r="L33" i="65"/>
  <c r="AB111" i="63"/>
  <c r="L110" i="65" s="1"/>
  <c r="J110" i="65"/>
  <c r="AB76" i="63"/>
  <c r="L75" i="65" s="1"/>
  <c r="J75" i="65"/>
  <c r="AB92" i="63"/>
  <c r="L91" i="65" s="1"/>
  <c r="J91" i="65"/>
  <c r="AB117" i="63"/>
  <c r="L116" i="65" s="1"/>
  <c r="J116" i="65"/>
  <c r="AB59" i="63"/>
  <c r="L58" i="65" s="1"/>
  <c r="J58" i="65"/>
  <c r="AB82" i="63"/>
  <c r="L81" i="65" s="1"/>
  <c r="J81" i="65"/>
  <c r="AB37" i="63"/>
  <c r="L36" i="65" s="1"/>
  <c r="J36" i="65"/>
  <c r="AB114" i="63"/>
  <c r="L113" i="65" s="1"/>
  <c r="J113" i="65"/>
  <c r="AB69" i="63"/>
  <c r="L68" i="65" s="1"/>
  <c r="J68" i="65"/>
  <c r="AB36" i="63"/>
  <c r="L35" i="65" s="1"/>
  <c r="J35" i="65"/>
  <c r="AB131" i="63"/>
  <c r="L130" i="65" s="1"/>
  <c r="J130" i="65"/>
  <c r="AB91" i="63"/>
  <c r="L90" i="65" s="1"/>
  <c r="J90" i="65"/>
  <c r="AB104" i="63"/>
  <c r="L103" i="65" s="1"/>
  <c r="J103" i="65"/>
  <c r="AB60" i="63"/>
  <c r="L59" i="65" s="1"/>
  <c r="J59" i="65"/>
  <c r="AB109" i="63"/>
  <c r="L108" i="65" s="1"/>
  <c r="J108" i="65"/>
  <c r="AB72" i="63"/>
  <c r="L71" i="65" s="1"/>
  <c r="J71" i="65"/>
  <c r="AB89" i="63"/>
  <c r="L88" i="65" s="1"/>
  <c r="J88" i="65"/>
  <c r="AB57" i="63"/>
  <c r="L56" i="65" s="1"/>
  <c r="J56" i="65"/>
  <c r="AB125" i="63"/>
  <c r="L124" i="65" s="1"/>
  <c r="J124" i="65"/>
  <c r="AB48" i="63"/>
  <c r="L47" i="65" s="1"/>
  <c r="J47" i="65"/>
  <c r="AB118" i="63"/>
  <c r="L117" i="65" s="1"/>
  <c r="J117" i="65"/>
  <c r="AB63" i="63"/>
  <c r="L62" i="65" s="1"/>
  <c r="J62" i="65"/>
  <c r="AB119" i="63"/>
  <c r="L118" i="65" s="1"/>
  <c r="J118" i="65"/>
  <c r="AB95" i="63"/>
  <c r="L94" i="65" s="1"/>
  <c r="J94" i="65"/>
  <c r="AB50" i="63"/>
  <c r="L49" i="65" s="1"/>
  <c r="J49" i="65"/>
  <c r="AB85" i="63"/>
  <c r="L84" i="65" s="1"/>
  <c r="J84" i="65"/>
  <c r="AB43" i="63"/>
  <c r="L42" i="65" s="1"/>
  <c r="J42" i="65"/>
  <c r="AB66" i="63"/>
  <c r="L65" i="65" s="1"/>
  <c r="J65" i="65"/>
  <c r="AB100" i="63"/>
  <c r="L99" i="65" s="1"/>
  <c r="J99" i="65"/>
  <c r="AB130" i="63"/>
  <c r="L129" i="65" s="1"/>
  <c r="J129" i="65"/>
  <c r="AB67" i="63"/>
  <c r="L66" i="65" s="1"/>
  <c r="J66" i="65"/>
  <c r="AB90" i="63"/>
  <c r="L89" i="65" s="1"/>
  <c r="J89" i="65"/>
  <c r="AB80" i="63"/>
  <c r="L79" i="65" s="1"/>
  <c r="J79" i="65"/>
  <c r="AB45" i="63"/>
  <c r="L44" i="65" s="1"/>
  <c r="J44" i="65"/>
  <c r="AB101" i="63"/>
  <c r="L100" i="65" s="1"/>
  <c r="J100" i="65"/>
  <c r="AB132" i="63"/>
  <c r="L131" i="65" s="1"/>
  <c r="J131" i="65"/>
  <c r="AB93" i="63"/>
  <c r="L92" i="65" s="1"/>
  <c r="J92" i="65"/>
  <c r="AB44" i="63"/>
  <c r="L43" i="65" s="1"/>
  <c r="J43" i="65"/>
  <c r="AB99" i="63"/>
  <c r="L98" i="65" s="1"/>
  <c r="J98" i="65"/>
  <c r="AB112" i="63"/>
  <c r="L111" i="65" s="1"/>
  <c r="J111" i="65"/>
  <c r="AB73" i="63"/>
  <c r="L72" i="65" s="1"/>
  <c r="J72" i="65"/>
  <c r="AB65" i="63"/>
  <c r="L64" i="65" s="1"/>
  <c r="J64" i="65"/>
  <c r="AB121" i="63"/>
  <c r="L120" i="65" s="1"/>
  <c r="J120" i="65"/>
  <c r="AB78" i="63"/>
  <c r="L77" i="65" s="1"/>
  <c r="J77" i="65"/>
  <c r="AB94" i="63"/>
  <c r="L93" i="65" s="1"/>
  <c r="J93" i="65"/>
  <c r="AB39" i="63"/>
  <c r="L38" i="65" s="1"/>
  <c r="J38" i="65"/>
  <c r="AB71" i="63"/>
  <c r="L70" i="65" s="1"/>
  <c r="J70" i="65"/>
  <c r="AB38" i="63"/>
  <c r="L37" i="65" s="1"/>
  <c r="J37" i="65"/>
  <c r="AB68" i="63"/>
  <c r="L67" i="65" s="1"/>
  <c r="J67" i="65"/>
  <c r="AB84" i="63"/>
  <c r="L83" i="65" s="1"/>
  <c r="J83" i="65"/>
  <c r="AB98" i="63"/>
  <c r="L97" i="65" s="1"/>
  <c r="J97" i="65"/>
  <c r="AB88" i="63"/>
  <c r="L87" i="65" s="1"/>
  <c r="J87" i="65"/>
  <c r="AB53" i="63"/>
  <c r="L52" i="65" s="1"/>
  <c r="J52" i="65"/>
  <c r="AB122" i="63"/>
  <c r="L121" i="65" s="1"/>
  <c r="J121" i="65"/>
  <c r="AB77" i="63"/>
  <c r="L76" i="65" s="1"/>
  <c r="J76" i="65"/>
  <c r="AB52" i="63"/>
  <c r="L51" i="65" s="1"/>
  <c r="J51" i="65"/>
  <c r="AB124" i="63"/>
  <c r="L123" i="65" s="1"/>
  <c r="J123" i="65"/>
  <c r="AB62" i="63"/>
  <c r="L61" i="65" s="1"/>
  <c r="J61" i="65"/>
  <c r="AB75" i="63"/>
  <c r="L74" i="65" s="1"/>
  <c r="J74" i="65"/>
  <c r="AB107" i="63"/>
  <c r="L106" i="65" s="1"/>
  <c r="J106" i="65"/>
  <c r="AB113" i="63"/>
  <c r="L112" i="65" s="1"/>
  <c r="J112" i="65"/>
  <c r="AB105" i="63"/>
  <c r="L104" i="65" s="1"/>
  <c r="J104" i="65"/>
  <c r="AB108" i="63"/>
  <c r="L107" i="65" s="1"/>
  <c r="J107" i="65"/>
  <c r="AB41" i="63"/>
  <c r="L40" i="65" s="1"/>
  <c r="J40" i="65"/>
  <c r="AB40" i="63"/>
  <c r="L39" i="65" s="1"/>
  <c r="J39" i="65"/>
  <c r="AB56" i="63"/>
  <c r="L55" i="65" s="1"/>
  <c r="J55" i="65"/>
  <c r="AB102" i="63"/>
  <c r="L101" i="65" s="1"/>
  <c r="J101" i="65"/>
  <c r="AB126" i="63"/>
  <c r="L125" i="65" s="1"/>
  <c r="J125" i="65"/>
  <c r="AB47" i="63"/>
  <c r="L46" i="65" s="1"/>
  <c r="J46" i="65"/>
  <c r="AB79" i="63"/>
  <c r="L78" i="65" s="1"/>
  <c r="J78" i="65"/>
  <c r="AB46" i="63"/>
  <c r="L45" i="65" s="1"/>
  <c r="J45" i="65"/>
  <c r="AB120" i="63"/>
  <c r="L119" i="65" s="1"/>
  <c r="J119" i="65"/>
  <c r="AB129" i="63"/>
  <c r="L128" i="65" s="1"/>
  <c r="J128" i="65"/>
  <c r="AB35" i="63"/>
  <c r="L34" i="65" s="1"/>
  <c r="J34" i="65"/>
  <c r="AB58" i="63"/>
  <c r="L57" i="65" s="1"/>
  <c r="J57" i="65"/>
  <c r="AB51" i="63"/>
  <c r="L50" i="65" s="1"/>
  <c r="J50" i="65"/>
  <c r="AB74" i="63"/>
  <c r="L73" i="65" s="1"/>
  <c r="J73" i="65"/>
  <c r="AB116" i="63"/>
  <c r="L115" i="65" s="1"/>
  <c r="J115" i="65"/>
  <c r="AB106" i="63"/>
  <c r="L105" i="65" s="1"/>
  <c r="J105" i="65"/>
  <c r="AB96" i="63"/>
  <c r="L95" i="65" s="1"/>
  <c r="J95" i="65"/>
  <c r="AB61" i="63"/>
  <c r="L60" i="65" s="1"/>
  <c r="J60" i="65"/>
  <c r="AB123" i="63"/>
  <c r="L122" i="65" s="1"/>
  <c r="J122" i="65"/>
  <c r="AB103" i="63"/>
  <c r="L102" i="65" s="1"/>
  <c r="J102" i="65"/>
  <c r="AB83" i="63"/>
  <c r="L82" i="65" s="1"/>
  <c r="J82" i="65"/>
  <c r="AB42" i="63"/>
  <c r="L41" i="65" s="1"/>
  <c r="J41" i="65"/>
  <c r="AB81" i="63"/>
  <c r="L80" i="65" s="1"/>
  <c r="J80" i="65"/>
  <c r="AB97" i="63"/>
  <c r="L96" i="65" s="1"/>
  <c r="J96" i="65"/>
  <c r="AB115" i="63"/>
  <c r="L114" i="65" s="1"/>
  <c r="J114" i="65"/>
  <c r="AB49" i="63"/>
  <c r="L48" i="65" s="1"/>
  <c r="J48" i="65"/>
  <c r="AB70" i="63"/>
  <c r="L69" i="65" s="1"/>
  <c r="J69" i="65"/>
  <c r="AB86" i="63"/>
  <c r="L85" i="65" s="1"/>
  <c r="J85" i="65"/>
  <c r="AB64" i="63"/>
  <c r="L63" i="65" s="1"/>
  <c r="J63" i="65"/>
  <c r="AB110" i="63"/>
  <c r="L109" i="65" s="1"/>
  <c r="J109" i="65"/>
  <c r="AB127" i="63"/>
  <c r="L126" i="65" s="1"/>
  <c r="J126" i="65"/>
  <c r="AB55" i="63"/>
  <c r="L54" i="65" s="1"/>
  <c r="J54" i="65"/>
  <c r="AB87" i="63"/>
  <c r="L86" i="65" s="1"/>
  <c r="J86" i="65"/>
  <c r="AB54" i="63"/>
  <c r="L53" i="65" s="1"/>
  <c r="J53" i="65"/>
  <c r="AB128" i="63"/>
  <c r="L127" i="65" s="1"/>
  <c r="J127" i="65"/>
  <c r="L25" i="65"/>
  <c r="U528" i="60"/>
  <c r="X528" i="60" s="1"/>
  <c r="T528" i="60"/>
  <c r="L27" i="65"/>
  <c r="L24" i="65"/>
  <c r="T564" i="60"/>
  <c r="L26" i="65"/>
  <c r="L32" i="65"/>
  <c r="L31" i="65"/>
  <c r="L23" i="65"/>
  <c r="L28" i="65"/>
  <c r="T586" i="60"/>
  <c r="L29" i="65"/>
  <c r="T578" i="60"/>
  <c r="U578" i="60"/>
  <c r="U558" i="60"/>
  <c r="U564" i="60"/>
  <c r="U586" i="60"/>
  <c r="X586" i="60" s="1"/>
  <c r="T558" i="60"/>
  <c r="U534" i="60"/>
  <c r="T534" i="60"/>
  <c r="T549" i="60"/>
  <c r="U549" i="60"/>
  <c r="T569" i="60"/>
  <c r="U569" i="60"/>
  <c r="Q557" i="60"/>
  <c r="O432" i="60"/>
  <c r="R432" i="60" s="1"/>
  <c r="R518" i="60" s="1"/>
  <c r="O603" i="60"/>
  <c r="AB321" i="61" s="1"/>
  <c r="U552" i="60"/>
  <c r="O630" i="60"/>
  <c r="AB348" i="61" s="1"/>
  <c r="AF348" i="61"/>
  <c r="O634" i="60"/>
  <c r="R634" i="60" s="1"/>
  <c r="Q612" i="60"/>
  <c r="AD330" i="61" s="1"/>
  <c r="AH362" i="61"/>
  <c r="Q644" i="60"/>
  <c r="AD362" i="61" s="1"/>
  <c r="AH330" i="61"/>
  <c r="R586" i="60"/>
  <c r="AA586" i="60" s="1"/>
  <c r="AB586" i="60" s="1"/>
  <c r="U535" i="60"/>
  <c r="T552" i="60"/>
  <c r="T561" i="60"/>
  <c r="U561" i="60"/>
  <c r="AF330" i="61"/>
  <c r="T573" i="60"/>
  <c r="U573" i="60"/>
  <c r="AF328" i="61"/>
  <c r="AH324" i="61"/>
  <c r="T535" i="60"/>
  <c r="Q548" i="60"/>
  <c r="Q606" i="60"/>
  <c r="AD324" i="61" s="1"/>
  <c r="AF321" i="61"/>
  <c r="Y523" i="60"/>
  <c r="V594" i="60"/>
  <c r="Q539" i="60"/>
  <c r="O615" i="60"/>
  <c r="AB333" i="61" s="1"/>
  <c r="O612" i="60"/>
  <c r="M650" i="60"/>
  <c r="AF333" i="61"/>
  <c r="T532" i="60"/>
  <c r="U532" i="60"/>
  <c r="T546" i="60"/>
  <c r="U546" i="60"/>
  <c r="O646" i="60"/>
  <c r="AB364" i="61" s="1"/>
  <c r="T566" i="60"/>
  <c r="U566" i="60"/>
  <c r="U537" i="60"/>
  <c r="O537" i="60"/>
  <c r="R537" i="60" s="1"/>
  <c r="O643" i="60"/>
  <c r="AB361" i="61" s="1"/>
  <c r="Q542" i="60"/>
  <c r="Q607" i="60"/>
  <c r="AD325" i="61" s="1"/>
  <c r="AH325" i="61"/>
  <c r="U545" i="60"/>
  <c r="AF362" i="61"/>
  <c r="Q554" i="60"/>
  <c r="Q534" i="60"/>
  <c r="U529" i="60"/>
  <c r="X529" i="60" s="1"/>
  <c r="Q570" i="60"/>
  <c r="T529" i="60"/>
  <c r="O557" i="60"/>
  <c r="R557" i="60" s="1"/>
  <c r="O322" i="61"/>
  <c r="O631" i="60"/>
  <c r="R631" i="60" s="1"/>
  <c r="AF349" i="61"/>
  <c r="O604" i="60"/>
  <c r="R604" i="60" s="1"/>
  <c r="AF352" i="61"/>
  <c r="O610" i="60"/>
  <c r="R610" i="60" s="1"/>
  <c r="T557" i="60"/>
  <c r="AF344" i="61"/>
  <c r="Q623" i="60"/>
  <c r="AD341" i="61" s="1"/>
  <c r="AH341" i="61"/>
  <c r="O649" i="60"/>
  <c r="R602" i="60"/>
  <c r="R649" i="60" s="1"/>
  <c r="Y320" i="61"/>
  <c r="AF320" i="61" s="1"/>
  <c r="Q609" i="60"/>
  <c r="AD327" i="61" s="1"/>
  <c r="T545" i="60"/>
  <c r="Q541" i="60"/>
  <c r="AH349" i="61"/>
  <c r="Q631" i="60"/>
  <c r="AD349" i="61" s="1"/>
  <c r="O531" i="60"/>
  <c r="R531" i="60" s="1"/>
  <c r="AA531" i="60" s="1"/>
  <c r="AB531" i="60" s="1"/>
  <c r="O622" i="60"/>
  <c r="AB340" i="61" s="1"/>
  <c r="U554" i="60"/>
  <c r="T554" i="60"/>
  <c r="AF361" i="61"/>
  <c r="Q531" i="60"/>
  <c r="O794" i="60" s="1"/>
  <c r="L649" i="60"/>
  <c r="O626" i="60"/>
  <c r="AB344" i="61" s="1"/>
  <c r="Q589" i="60"/>
  <c r="O799" i="60" s="1"/>
  <c r="T531" i="60"/>
  <c r="AH340" i="61"/>
  <c r="Q526" i="60"/>
  <c r="Q622" i="60"/>
  <c r="AD340" i="61" s="1"/>
  <c r="Q532" i="60"/>
  <c r="Q586" i="60"/>
  <c r="O798" i="60" s="1"/>
  <c r="G674" i="60"/>
  <c r="J674" i="60" s="1"/>
  <c r="AH327" i="61"/>
  <c r="Q546" i="60"/>
  <c r="O644" i="60"/>
  <c r="AB362" i="61" s="1"/>
  <c r="O617" i="60"/>
  <c r="AB335" i="61" s="1"/>
  <c r="Q561" i="60"/>
  <c r="AF335" i="61"/>
  <c r="O606" i="60"/>
  <c r="R606" i="60" s="1"/>
  <c r="U524" i="60"/>
  <c r="X524" i="60" s="1"/>
  <c r="U538" i="60"/>
  <c r="T524" i="60"/>
  <c r="T538" i="60"/>
  <c r="O618" i="60"/>
  <c r="R618" i="60" s="1"/>
  <c r="AF336" i="61"/>
  <c r="Q537" i="60"/>
  <c r="Q525" i="60"/>
  <c r="L73" i="61"/>
  <c r="AF324" i="61"/>
  <c r="Q564" i="60"/>
  <c r="M519" i="60"/>
  <c r="M595" i="60"/>
  <c r="AF340" i="61"/>
  <c r="O589" i="60"/>
  <c r="R589" i="60" s="1"/>
  <c r="AA589" i="60" s="1"/>
  <c r="AB589" i="60" s="1"/>
  <c r="U589" i="60"/>
  <c r="X589" i="60" s="1"/>
  <c r="T589" i="60"/>
  <c r="AF364" i="61"/>
  <c r="R524" i="60"/>
  <c r="AA524" i="60" s="1"/>
  <c r="AB524" i="60" s="1"/>
  <c r="T576" i="60"/>
  <c r="U576" i="60"/>
  <c r="T527" i="60"/>
  <c r="U527" i="60"/>
  <c r="V87" i="53"/>
  <c r="W87" i="53" s="1"/>
  <c r="O332" i="61"/>
  <c r="O614" i="60"/>
  <c r="P27" i="63"/>
  <c r="W412" i="19"/>
  <c r="AT613" i="55"/>
  <c r="P28" i="63"/>
  <c r="AT604" i="55"/>
  <c r="AT600" i="55"/>
  <c r="P31" i="63"/>
  <c r="Y327" i="61"/>
  <c r="O609" i="60"/>
  <c r="Y341" i="61"/>
  <c r="O623" i="60"/>
  <c r="AT601" i="55"/>
  <c r="AT616" i="55"/>
  <c r="P34" i="63"/>
  <c r="P29" i="63"/>
  <c r="M169" i="60"/>
  <c r="M268" i="60" s="1"/>
  <c r="M290" i="60" s="1"/>
  <c r="M292" i="60" s="1"/>
  <c r="L354" i="60" s="1"/>
  <c r="L357" i="60" s="1"/>
  <c r="P32" i="63"/>
  <c r="AT602" i="55"/>
  <c r="AT603" i="55"/>
  <c r="AT614" i="55"/>
  <c r="P23" i="63"/>
  <c r="AA459" i="58"/>
  <c r="P519" i="60"/>
  <c r="P30" i="63"/>
  <c r="J212" i="61"/>
  <c r="G187" i="56"/>
  <c r="G361" i="56"/>
  <c r="G109" i="19"/>
  <c r="R160" i="53"/>
  <c r="J216" i="61"/>
  <c r="AB451" i="61"/>
  <c r="V452" i="61"/>
  <c r="K48" i="61"/>
  <c r="K61" i="58"/>
  <c r="AG357" i="61"/>
  <c r="N357" i="61"/>
  <c r="J229" i="58"/>
  <c r="I235" i="58"/>
  <c r="I240" i="58"/>
  <c r="R162" i="53"/>
  <c r="F67" i="56"/>
  <c r="T65" i="19"/>
  <c r="G21" i="56"/>
  <c r="T720" i="55"/>
  <c r="R38" i="66" s="1"/>
  <c r="M38" i="66" s="1"/>
  <c r="AD718" i="55"/>
  <c r="H718" i="55" s="1"/>
  <c r="T763" i="55"/>
  <c r="N167" i="60"/>
  <c r="N169" i="60" s="1"/>
  <c r="N268" i="60" s="1"/>
  <c r="N290" i="60" s="1"/>
  <c r="N292" i="60" s="1"/>
  <c r="M354" i="60" s="1"/>
  <c r="M357" i="60" s="1"/>
  <c r="N165" i="60"/>
  <c r="L440" i="58"/>
  <c r="L312" i="58"/>
  <c r="E41" i="66"/>
  <c r="E66" i="66" s="1"/>
  <c r="I214" i="58"/>
  <c r="W573" i="60"/>
  <c r="Q573" i="60"/>
  <c r="F45" i="19"/>
  <c r="J212" i="58"/>
  <c r="N353" i="61"/>
  <c r="AG353" i="61"/>
  <c r="G47" i="56"/>
  <c r="G20" i="40"/>
  <c r="G28" i="40"/>
  <c r="G30" i="40" s="1"/>
  <c r="AA360" i="61"/>
  <c r="Q642" i="60"/>
  <c r="AD360" i="61" s="1"/>
  <c r="AA353" i="61"/>
  <c r="Q635" i="60"/>
  <c r="AD353" i="61" s="1"/>
  <c r="AA354" i="61"/>
  <c r="Q636" i="60"/>
  <c r="AD354" i="61" s="1"/>
  <c r="K84" i="61"/>
  <c r="I237" i="58"/>
  <c r="W528" i="60"/>
  <c r="Z528" i="60" s="1"/>
  <c r="Q528" i="60"/>
  <c r="W578" i="60"/>
  <c r="Q578" i="60"/>
  <c r="S730" i="55"/>
  <c r="AC728" i="55"/>
  <c r="I232" i="58"/>
  <c r="O625" i="60"/>
  <c r="Y343" i="61"/>
  <c r="T559" i="60"/>
  <c r="U559" i="60"/>
  <c r="O559" i="60"/>
  <c r="R559" i="60" s="1"/>
  <c r="F59" i="19"/>
  <c r="C18" i="34"/>
  <c r="I394" i="61"/>
  <c r="I188" i="61"/>
  <c r="W549" i="60"/>
  <c r="Q549" i="60"/>
  <c r="K23" i="58"/>
  <c r="N362" i="61"/>
  <c r="AG362" i="61"/>
  <c r="AA335" i="61"/>
  <c r="Q617" i="60"/>
  <c r="AD335" i="61" s="1"/>
  <c r="I222" i="58"/>
  <c r="F193" i="19"/>
  <c r="F355" i="19"/>
  <c r="J214" i="58"/>
  <c r="H55" i="56"/>
  <c r="J221" i="58"/>
  <c r="K37" i="58"/>
  <c r="W559" i="60"/>
  <c r="Q559" i="60"/>
  <c r="Q640" i="60"/>
  <c r="AD358" i="61" s="1"/>
  <c r="AA358" i="61"/>
  <c r="M358" i="61" s="1"/>
  <c r="Q536" i="60"/>
  <c r="W536" i="60"/>
  <c r="F23" i="56"/>
  <c r="G60" i="19"/>
  <c r="D28" i="34"/>
  <c r="AG360" i="61"/>
  <c r="N360" i="61"/>
  <c r="AE616" i="55"/>
  <c r="W383" i="56"/>
  <c r="W398" i="56"/>
  <c r="G378" i="56"/>
  <c r="I229" i="58"/>
  <c r="AT599" i="55"/>
  <c r="U565" i="60"/>
  <c r="T565" i="60"/>
  <c r="O565" i="60"/>
  <c r="R565" i="60" s="1"/>
  <c r="U563" i="60"/>
  <c r="O563" i="60"/>
  <c r="R563" i="60" s="1"/>
  <c r="T563" i="60"/>
  <c r="Y342" i="61"/>
  <c r="L342" i="61" s="1"/>
  <c r="O624" i="60"/>
  <c r="O560" i="60"/>
  <c r="R560" i="60" s="1"/>
  <c r="T560" i="60"/>
  <c r="U560" i="60"/>
  <c r="I247" i="58"/>
  <c r="J217" i="58"/>
  <c r="I251" i="58"/>
  <c r="Y383" i="56"/>
  <c r="Y398" i="56"/>
  <c r="H378" i="56"/>
  <c r="K73" i="58"/>
  <c r="F21" i="19"/>
  <c r="E9" i="40"/>
  <c r="H94" i="56"/>
  <c r="F361" i="56"/>
  <c r="F187" i="56"/>
  <c r="I209" i="61"/>
  <c r="K48" i="58"/>
  <c r="F18" i="37"/>
  <c r="N62" i="19"/>
  <c r="H59" i="56"/>
  <c r="AA343" i="61"/>
  <c r="Q625" i="60"/>
  <c r="AD343" i="61" s="1"/>
  <c r="Q621" i="60"/>
  <c r="AD339" i="61" s="1"/>
  <c r="AA339" i="61"/>
  <c r="Q533" i="60"/>
  <c r="W533" i="60"/>
  <c r="G70" i="56"/>
  <c r="P33" i="63"/>
  <c r="AA364" i="61"/>
  <c r="Q646" i="60"/>
  <c r="AD364" i="61" s="1"/>
  <c r="K30" i="61"/>
  <c r="G23" i="56"/>
  <c r="H79" i="56"/>
  <c r="H87" i="56"/>
  <c r="I204" i="61"/>
  <c r="O336" i="61"/>
  <c r="G223" i="56"/>
  <c r="H48" i="56"/>
  <c r="F209" i="56"/>
  <c r="U533" i="60"/>
  <c r="T533" i="60"/>
  <c r="O533" i="60"/>
  <c r="R533" i="60" s="1"/>
  <c r="U530" i="60"/>
  <c r="O530" i="60"/>
  <c r="R530" i="60" s="1"/>
  <c r="AA530" i="60" s="1"/>
  <c r="AB530" i="60" s="1"/>
  <c r="T530" i="60"/>
  <c r="O628" i="60"/>
  <c r="Y346" i="61"/>
  <c r="O591" i="60"/>
  <c r="R591" i="60" s="1"/>
  <c r="U591" i="60"/>
  <c r="T591" i="60"/>
  <c r="G675" i="60" s="1"/>
  <c r="H675" i="60" s="1"/>
  <c r="AA344" i="61"/>
  <c r="Q626" i="60"/>
  <c r="AD344" i="61" s="1"/>
  <c r="J208" i="61"/>
  <c r="P340" i="61"/>
  <c r="G16" i="19"/>
  <c r="F5" i="40"/>
  <c r="F26" i="40" s="1"/>
  <c r="H18" i="56"/>
  <c r="F214" i="56"/>
  <c r="H357" i="60"/>
  <c r="H359" i="60"/>
  <c r="R354" i="60"/>
  <c r="I212" i="58"/>
  <c r="G45" i="56"/>
  <c r="J226" i="58"/>
  <c r="N259" i="61"/>
  <c r="Q358" i="61"/>
  <c r="G203" i="56"/>
  <c r="L277" i="61"/>
  <c r="L404" i="61"/>
  <c r="Q58" i="1"/>
  <c r="Q45" i="1"/>
  <c r="Q46" i="1" s="1"/>
  <c r="F203" i="56"/>
  <c r="J228" i="58"/>
  <c r="Y365" i="61"/>
  <c r="L365" i="61" s="1"/>
  <c r="O647" i="60"/>
  <c r="I224" i="61"/>
  <c r="O361" i="61"/>
  <c r="AU56" i="53"/>
  <c r="AE599" i="55"/>
  <c r="F599" i="55"/>
  <c r="F440" i="55" s="1"/>
  <c r="F323" i="55" s="1"/>
  <c r="F22" i="55" s="1"/>
  <c r="N338" i="61"/>
  <c r="AG338" i="61"/>
  <c r="K39" i="61"/>
  <c r="Q203" i="61"/>
  <c r="H203" i="61"/>
  <c r="H85" i="56"/>
  <c r="J237" i="58"/>
  <c r="I243" i="58"/>
  <c r="G598" i="55"/>
  <c r="AD707" i="55"/>
  <c r="H103" i="56"/>
  <c r="F602" i="55"/>
  <c r="F443" i="55" s="1"/>
  <c r="F325" i="55" s="1"/>
  <c r="F24" i="55" s="1"/>
  <c r="F139" i="55" s="1"/>
  <c r="AE602" i="55"/>
  <c r="AF602" i="55" s="1"/>
  <c r="F70" i="56"/>
  <c r="F48" i="19"/>
  <c r="W552" i="60"/>
  <c r="Q552" i="60"/>
  <c r="N333" i="61"/>
  <c r="AG333" i="61"/>
  <c r="W577" i="60"/>
  <c r="Q577" i="60"/>
  <c r="W574" i="60"/>
  <c r="Q574" i="60"/>
  <c r="Q540" i="60"/>
  <c r="W540" i="60"/>
  <c r="K19" i="58"/>
  <c r="F200" i="61"/>
  <c r="I37" i="61"/>
  <c r="O200" i="61"/>
  <c r="R200" i="61" s="1"/>
  <c r="AE600" i="55"/>
  <c r="AF600" i="55" s="1"/>
  <c r="F600" i="55"/>
  <c r="F441" i="55" s="1"/>
  <c r="F328" i="55" s="1"/>
  <c r="F27" i="55" s="1"/>
  <c r="F135" i="55" s="1"/>
  <c r="G76" i="19"/>
  <c r="O402" i="61"/>
  <c r="Z447" i="61"/>
  <c r="Z404" i="61"/>
  <c r="I257" i="19"/>
  <c r="I364" i="19"/>
  <c r="U580" i="60"/>
  <c r="O580" i="60"/>
  <c r="R580" i="60" s="1"/>
  <c r="T580" i="60"/>
  <c r="O568" i="60"/>
  <c r="R568" i="60" s="1"/>
  <c r="U568" i="60"/>
  <c r="T568" i="60"/>
  <c r="Y331" i="61"/>
  <c r="O613" i="60"/>
  <c r="I220" i="61"/>
  <c r="O352" i="61"/>
  <c r="AG438" i="58"/>
  <c r="AG440" i="58" s="1"/>
  <c r="AC412" i="61"/>
  <c r="AC414" i="61" s="1"/>
  <c r="Z728" i="55"/>
  <c r="Z730" i="55" s="1"/>
  <c r="F31" i="19"/>
  <c r="E16" i="40"/>
  <c r="V257" i="61"/>
  <c r="S394" i="61"/>
  <c r="G208" i="56"/>
  <c r="F62" i="19"/>
  <c r="J357" i="60"/>
  <c r="J94" i="61"/>
  <c r="AE428" i="58"/>
  <c r="AB369" i="56"/>
  <c r="Z363" i="19"/>
  <c r="W718" i="55"/>
  <c r="AA402" i="61"/>
  <c r="N62" i="1"/>
  <c r="M75" i="1" s="1"/>
  <c r="P75" i="1" s="1"/>
  <c r="J198" i="61"/>
  <c r="P330" i="61"/>
  <c r="I239" i="58"/>
  <c r="K44" i="58"/>
  <c r="K106" i="58"/>
  <c r="N334" i="61"/>
  <c r="AG334" i="61"/>
  <c r="J211" i="58"/>
  <c r="O324" i="61"/>
  <c r="I192" i="61"/>
  <c r="AA323" i="61"/>
  <c r="Q605" i="60"/>
  <c r="AD323" i="61" s="1"/>
  <c r="Q648" i="60"/>
  <c r="AD366" i="61" s="1"/>
  <c r="AA366" i="61"/>
  <c r="M366" i="61" s="1"/>
  <c r="W568" i="60"/>
  <c r="Q568" i="60"/>
  <c r="J201" i="61"/>
  <c r="F223" i="56"/>
  <c r="H92" i="19"/>
  <c r="J240" i="58"/>
  <c r="J203" i="61"/>
  <c r="AD473" i="58"/>
  <c r="O428" i="58"/>
  <c r="V428" i="58" s="1"/>
  <c r="V430" i="58" s="1"/>
  <c r="AD430" i="58"/>
  <c r="U579" i="60"/>
  <c r="T579" i="60"/>
  <c r="O579" i="60"/>
  <c r="R579" i="60" s="1"/>
  <c r="U547" i="60"/>
  <c r="T547" i="60"/>
  <c r="O547" i="60"/>
  <c r="R547" i="60" s="1"/>
  <c r="O611" i="60"/>
  <c r="Y329" i="61"/>
  <c r="Y350" i="61"/>
  <c r="L350" i="61" s="1"/>
  <c r="O632" i="60"/>
  <c r="K62" i="61"/>
  <c r="V39" i="66"/>
  <c r="O39" i="66" s="1"/>
  <c r="I39" i="66" s="1"/>
  <c r="N190" i="61"/>
  <c r="Q322" i="61"/>
  <c r="P372" i="19"/>
  <c r="S372" i="19" s="1"/>
  <c r="S374" i="19" s="1"/>
  <c r="K85" i="61"/>
  <c r="F45" i="56"/>
  <c r="N343" i="61"/>
  <c r="AG343" i="61"/>
  <c r="F196" i="56"/>
  <c r="O163" i="60"/>
  <c r="R116" i="60"/>
  <c r="O235" i="60"/>
  <c r="J225" i="61"/>
  <c r="P362" i="61"/>
  <c r="F69" i="19"/>
  <c r="C77" i="34"/>
  <c r="K251" i="61"/>
  <c r="H58" i="56"/>
  <c r="J225" i="58"/>
  <c r="K46" i="58"/>
  <c r="H49" i="56"/>
  <c r="I193" i="61"/>
  <c r="O325" i="61"/>
  <c r="I220" i="58"/>
  <c r="I19" i="61"/>
  <c r="O190" i="61"/>
  <c r="R190" i="61" s="1"/>
  <c r="F190" i="61"/>
  <c r="K45" i="58"/>
  <c r="AA347" i="61"/>
  <c r="Q629" i="60"/>
  <c r="AD347" i="61" s="1"/>
  <c r="AA345" i="61"/>
  <c r="Q627" i="60"/>
  <c r="AD345" i="61" s="1"/>
  <c r="Q639" i="60"/>
  <c r="AD357" i="61" s="1"/>
  <c r="AA357" i="61"/>
  <c r="J216" i="58"/>
  <c r="N328" i="61"/>
  <c r="AG328" i="61"/>
  <c r="G117" i="19"/>
  <c r="P26" i="63"/>
  <c r="N218" i="61"/>
  <c r="Q350" i="61"/>
  <c r="J220" i="58"/>
  <c r="AD481" i="58"/>
  <c r="Y415" i="19"/>
  <c r="W771" i="55"/>
  <c r="Z455" i="61"/>
  <c r="AA421" i="56"/>
  <c r="AA424" i="56" s="1"/>
  <c r="X426" i="56" s="1"/>
  <c r="L13" i="66"/>
  <c r="O24" i="66" s="1"/>
  <c r="I24" i="66" s="1"/>
  <c r="L78" i="1"/>
  <c r="L16" i="66" s="1"/>
  <c r="O27" i="66" s="1"/>
  <c r="T544" i="60"/>
  <c r="U544" i="60"/>
  <c r="O544" i="60"/>
  <c r="R544" i="60" s="1"/>
  <c r="O621" i="60"/>
  <c r="Y339" i="61"/>
  <c r="T556" i="60"/>
  <c r="U556" i="60"/>
  <c r="O556" i="60"/>
  <c r="R556" i="60" s="1"/>
  <c r="O640" i="60"/>
  <c r="Y358" i="61"/>
  <c r="L358" i="61" s="1"/>
  <c r="AA348" i="61"/>
  <c r="Q630" i="60"/>
  <c r="AD348" i="61" s="1"/>
  <c r="G216" i="56"/>
  <c r="N344" i="61"/>
  <c r="AG344" i="61"/>
  <c r="G200" i="56"/>
  <c r="I198" i="61"/>
  <c r="O330" i="61"/>
  <c r="AE614" i="55"/>
  <c r="AF614" i="55" s="1"/>
  <c r="F614" i="55"/>
  <c r="F455" i="55" s="1"/>
  <c r="F338" i="55" s="1"/>
  <c r="F42" i="55" s="1"/>
  <c r="K60" i="61"/>
  <c r="P378" i="56"/>
  <c r="S378" i="56" s="1"/>
  <c r="S380" i="56" s="1"/>
  <c r="G163" i="53"/>
  <c r="R155" i="53"/>
  <c r="Q366" i="61"/>
  <c r="N265" i="61"/>
  <c r="G69" i="19"/>
  <c r="D77" i="34"/>
  <c r="H34" i="56"/>
  <c r="G222" i="56"/>
  <c r="AS614" i="55"/>
  <c r="L167" i="60"/>
  <c r="L169" i="60" s="1"/>
  <c r="L165" i="60"/>
  <c r="J244" i="58"/>
  <c r="W524" i="60"/>
  <c r="Z524" i="60" s="1"/>
  <c r="Q524" i="60"/>
  <c r="O793" i="60" s="1"/>
  <c r="G29" i="19"/>
  <c r="F14" i="40"/>
  <c r="Q562" i="60"/>
  <c r="W562" i="60"/>
  <c r="Q530" i="60"/>
  <c r="W530" i="60"/>
  <c r="W551" i="60"/>
  <c r="Q551" i="60"/>
  <c r="Q637" i="60"/>
  <c r="AD355" i="61" s="1"/>
  <c r="AA355" i="61"/>
  <c r="I107" i="58"/>
  <c r="G45" i="19"/>
  <c r="T587" i="60"/>
  <c r="U587" i="60"/>
  <c r="O587" i="60"/>
  <c r="R587" i="60" s="1"/>
  <c r="F30" i="19"/>
  <c r="E15" i="40"/>
  <c r="AE601" i="55"/>
  <c r="AF601" i="55" s="1"/>
  <c r="F601" i="55"/>
  <c r="F442" i="55" s="1"/>
  <c r="F324" i="55" s="1"/>
  <c r="F23" i="55" s="1"/>
  <c r="F138" i="55" s="1"/>
  <c r="N200" i="61"/>
  <c r="Q332" i="61"/>
  <c r="K68" i="58"/>
  <c r="F47" i="56"/>
  <c r="X720" i="55"/>
  <c r="V38" i="66" s="1"/>
  <c r="O38" i="66" s="1"/>
  <c r="I38" i="66" s="1"/>
  <c r="X763" i="55"/>
  <c r="O616" i="60"/>
  <c r="Y334" i="61"/>
  <c r="O571" i="60"/>
  <c r="R571" i="60" s="1"/>
  <c r="U571" i="60"/>
  <c r="T571" i="60"/>
  <c r="Y326" i="61"/>
  <c r="O608" i="60"/>
  <c r="G196" i="56"/>
  <c r="J195" i="61"/>
  <c r="P327" i="61"/>
  <c r="J217" i="61"/>
  <c r="P349" i="61"/>
  <c r="I231" i="58"/>
  <c r="U65" i="19"/>
  <c r="J236" i="58"/>
  <c r="F200" i="56"/>
  <c r="N349" i="61"/>
  <c r="AG349" i="61"/>
  <c r="N30" i="19"/>
  <c r="H94" i="19"/>
  <c r="J189" i="61"/>
  <c r="F117" i="19"/>
  <c r="U412" i="19"/>
  <c r="I374" i="19"/>
  <c r="I266" i="19"/>
  <c r="J394" i="61"/>
  <c r="J188" i="61"/>
  <c r="J209" i="61"/>
  <c r="P341" i="61"/>
  <c r="Z414" i="61"/>
  <c r="O412" i="61"/>
  <c r="AC320" i="61"/>
  <c r="AC394" i="61" s="1"/>
  <c r="AD257" i="61" s="1"/>
  <c r="P649" i="60"/>
  <c r="P650" i="60" s="1"/>
  <c r="I226" i="58"/>
  <c r="I242" i="58"/>
  <c r="K34" i="58"/>
  <c r="R156" i="53"/>
  <c r="G22" i="53"/>
  <c r="D18" i="53"/>
  <c r="J245" i="58"/>
  <c r="G33" i="19"/>
  <c r="F17" i="40"/>
  <c r="F109" i="19"/>
  <c r="K277" i="58"/>
  <c r="F202" i="56"/>
  <c r="R171" i="60"/>
  <c r="O218" i="60"/>
  <c r="O220" i="60" s="1"/>
  <c r="O251" i="60"/>
  <c r="G369" i="56"/>
  <c r="W413" i="56"/>
  <c r="H10" i="9"/>
  <c r="E14" i="9"/>
  <c r="H14" i="9" s="1"/>
  <c r="F213" i="56"/>
  <c r="T526" i="60"/>
  <c r="U526" i="60"/>
  <c r="O526" i="60"/>
  <c r="R526" i="60" s="1"/>
  <c r="AG354" i="61"/>
  <c r="N354" i="61"/>
  <c r="K60" i="58"/>
  <c r="G43" i="19"/>
  <c r="W567" i="60"/>
  <c r="Q567" i="60"/>
  <c r="Q543" i="60"/>
  <c r="W543" i="60"/>
  <c r="Q571" i="60"/>
  <c r="W571" i="60"/>
  <c r="Q638" i="60"/>
  <c r="AD356" i="61" s="1"/>
  <c r="AA356" i="61"/>
  <c r="F99" i="38"/>
  <c r="H248" i="19"/>
  <c r="G27" i="19"/>
  <c r="F11" i="40"/>
  <c r="N339" i="61"/>
  <c r="AG339" i="61"/>
  <c r="O78" i="1"/>
  <c r="O13" i="66"/>
  <c r="R24" i="66" s="1"/>
  <c r="N336" i="61"/>
  <c r="AG336" i="61"/>
  <c r="P369" i="56"/>
  <c r="AA413" i="56"/>
  <c r="U572" i="60"/>
  <c r="T572" i="60"/>
  <c r="O572" i="60"/>
  <c r="R572" i="60" s="1"/>
  <c r="U550" i="60"/>
  <c r="O550" i="60"/>
  <c r="R550" i="60" s="1"/>
  <c r="T550" i="60"/>
  <c r="O638" i="60"/>
  <c r="Y356" i="61"/>
  <c r="H37" i="56"/>
  <c r="H369" i="56"/>
  <c r="Y413" i="56"/>
  <c r="L286" i="61"/>
  <c r="L414" i="61"/>
  <c r="W418" i="56"/>
  <c r="AC417" i="56"/>
  <c r="H71" i="56"/>
  <c r="J19" i="61"/>
  <c r="J231" i="58"/>
  <c r="R159" i="53"/>
  <c r="U541" i="60"/>
  <c r="T541" i="60"/>
  <c r="O541" i="60"/>
  <c r="R541" i="60" s="1"/>
  <c r="J428" i="58"/>
  <c r="Z473" i="58"/>
  <c r="Z432" i="58"/>
  <c r="Z430" i="58"/>
  <c r="F57" i="56"/>
  <c r="Z35" i="53"/>
  <c r="AK44" i="53"/>
  <c r="AF35" i="53" s="1"/>
  <c r="I257" i="56"/>
  <c r="I370" i="56"/>
  <c r="I203" i="61"/>
  <c r="O335" i="61"/>
  <c r="J232" i="58"/>
  <c r="AD440" i="58"/>
  <c r="O438" i="58"/>
  <c r="G9" i="53"/>
  <c r="D5" i="53"/>
  <c r="G209" i="56"/>
  <c r="AA365" i="61"/>
  <c r="M365" i="61" s="1"/>
  <c r="Q647" i="60"/>
  <c r="AD365" i="61" s="1"/>
  <c r="P24" i="63"/>
  <c r="H226" i="61"/>
  <c r="H93" i="61" s="1"/>
  <c r="H97" i="61" s="1"/>
  <c r="J14" i="62" s="1"/>
  <c r="Q57" i="62" s="1"/>
  <c r="Q226" i="61"/>
  <c r="K93" i="61"/>
  <c r="W529" i="60"/>
  <c r="Z529" i="60" s="1"/>
  <c r="Q529" i="60"/>
  <c r="J222" i="58"/>
  <c r="D6" i="53"/>
  <c r="C6" i="53" s="1"/>
  <c r="J220" i="61"/>
  <c r="J247" i="58"/>
  <c r="F43" i="19"/>
  <c r="Q342" i="61"/>
  <c r="N210" i="61"/>
  <c r="G199" i="56"/>
  <c r="I244" i="58"/>
  <c r="K38" i="61"/>
  <c r="Z133" i="63"/>
  <c r="J22" i="65"/>
  <c r="F221" i="56"/>
  <c r="G677" i="60"/>
  <c r="H677" i="60" s="1"/>
  <c r="V455" i="61"/>
  <c r="U415" i="19"/>
  <c r="Z481" i="58"/>
  <c r="S771" i="55"/>
  <c r="H78" i="1"/>
  <c r="W421" i="56"/>
  <c r="W424" i="56" s="1"/>
  <c r="R75" i="1"/>
  <c r="R13" i="66" s="1"/>
  <c r="H13" i="66"/>
  <c r="K24" i="66" s="1"/>
  <c r="AA133" i="63"/>
  <c r="K22" i="65"/>
  <c r="I196" i="61"/>
  <c r="O328" i="61"/>
  <c r="H111" i="56"/>
  <c r="AB325" i="61"/>
  <c r="R607" i="60"/>
  <c r="G15" i="36"/>
  <c r="H38" i="19"/>
  <c r="F201" i="56"/>
  <c r="I236" i="58"/>
  <c r="R40" i="1"/>
  <c r="O45" i="1"/>
  <c r="O46" i="1" s="1"/>
  <c r="O58" i="1"/>
  <c r="G19" i="56"/>
  <c r="Q591" i="60"/>
  <c r="W591" i="60"/>
  <c r="AA326" i="61"/>
  <c r="Q608" i="60"/>
  <c r="AD326" i="61" s="1"/>
  <c r="W575" i="60"/>
  <c r="Q575" i="60"/>
  <c r="W547" i="60"/>
  <c r="Q547" i="60"/>
  <c r="N361" i="61"/>
  <c r="AG361" i="61"/>
  <c r="H96" i="19"/>
  <c r="N48" i="19"/>
  <c r="G50" i="36"/>
  <c r="G355" i="19"/>
  <c r="G193" i="19"/>
  <c r="AG337" i="61"/>
  <c r="N337" i="61"/>
  <c r="AA328" i="61"/>
  <c r="Q610" i="60"/>
  <c r="AD328" i="61" s="1"/>
  <c r="K47" i="58"/>
  <c r="I221" i="58"/>
  <c r="J196" i="61"/>
  <c r="N329" i="61"/>
  <c r="AG329" i="61"/>
  <c r="U523" i="60"/>
  <c r="L594" i="60"/>
  <c r="L592" i="60"/>
  <c r="L519" i="60" s="1"/>
  <c r="T523" i="60"/>
  <c r="O523" i="60"/>
  <c r="AA332" i="61"/>
  <c r="M332" i="61" s="1"/>
  <c r="Q614" i="60"/>
  <c r="AD332" i="61" s="1"/>
  <c r="G194" i="56"/>
  <c r="P363" i="19"/>
  <c r="S363" i="19" s="1"/>
  <c r="S364" i="19" s="1"/>
  <c r="Y407" i="19"/>
  <c r="T577" i="60"/>
  <c r="U577" i="60"/>
  <c r="O577" i="60"/>
  <c r="R577" i="60" s="1"/>
  <c r="Y366" i="61"/>
  <c r="L366" i="61" s="1"/>
  <c r="O648" i="60"/>
  <c r="Y347" i="61"/>
  <c r="O629" i="60"/>
  <c r="O635" i="60"/>
  <c r="Y353" i="61"/>
  <c r="F208" i="56"/>
  <c r="G62" i="19"/>
  <c r="K26" i="61"/>
  <c r="R48" i="1"/>
  <c r="O53" i="1"/>
  <c r="O59" i="1"/>
  <c r="I216" i="58"/>
  <c r="N351" i="61"/>
  <c r="AG351" i="61"/>
  <c r="H24" i="56"/>
  <c r="V33" i="19"/>
  <c r="H97" i="19"/>
  <c r="H54" i="19"/>
  <c r="G33" i="36"/>
  <c r="N340" i="61"/>
  <c r="AG340" i="61"/>
  <c r="I225" i="58"/>
  <c r="L22" i="65"/>
  <c r="AA320" i="61"/>
  <c r="N649" i="60"/>
  <c r="Q602" i="60"/>
  <c r="I116" i="58"/>
  <c r="K18" i="58"/>
  <c r="F60" i="19"/>
  <c r="C28" i="34"/>
  <c r="I226" i="61"/>
  <c r="O364" i="61"/>
  <c r="U407" i="19"/>
  <c r="G363" i="19"/>
  <c r="N330" i="61"/>
  <c r="AG330" i="61"/>
  <c r="W538" i="60"/>
  <c r="Q538" i="60"/>
  <c r="I224" i="58"/>
  <c r="W576" i="60"/>
  <c r="Q576" i="60"/>
  <c r="Q59" i="1"/>
  <c r="Q53" i="1"/>
  <c r="J230" i="58"/>
  <c r="L46" i="1"/>
  <c r="H82" i="56"/>
  <c r="AG356" i="61"/>
  <c r="N356" i="61"/>
  <c r="Q556" i="60"/>
  <c r="W556" i="60"/>
  <c r="Q550" i="60"/>
  <c r="W550" i="60"/>
  <c r="AA334" i="61"/>
  <c r="Q616" i="60"/>
  <c r="AD334" i="61" s="1"/>
  <c r="Q580" i="60"/>
  <c r="W580" i="60"/>
  <c r="N363" i="61"/>
  <c r="AG363" i="61"/>
  <c r="H66" i="56"/>
  <c r="Z478" i="58"/>
  <c r="AF477" i="58"/>
  <c r="K32" i="58"/>
  <c r="P165" i="60"/>
  <c r="P167" i="60"/>
  <c r="P169" i="60" s="1"/>
  <c r="P268" i="60" s="1"/>
  <c r="P290" i="60" s="1"/>
  <c r="P292" i="60" s="1"/>
  <c r="J246" i="58"/>
  <c r="K18" i="61"/>
  <c r="H189" i="61"/>
  <c r="Q189" i="61"/>
  <c r="J204" i="61"/>
  <c r="Y354" i="61"/>
  <c r="O636" i="60"/>
  <c r="O562" i="60"/>
  <c r="R562" i="60" s="1"/>
  <c r="T562" i="60"/>
  <c r="U562" i="60"/>
  <c r="Y363" i="61"/>
  <c r="O645" i="60"/>
  <c r="F199" i="56"/>
  <c r="B22" i="15"/>
  <c r="E8" i="40"/>
  <c r="F17" i="19"/>
  <c r="N327" i="61"/>
  <c r="AG327" i="61"/>
  <c r="K33" i="58"/>
  <c r="W545" i="60"/>
  <c r="Q545" i="60"/>
  <c r="J224" i="58"/>
  <c r="R158" i="53"/>
  <c r="J420" i="58"/>
  <c r="J210" i="58"/>
  <c r="K29" i="61"/>
  <c r="AA352" i="61"/>
  <c r="Q634" i="60"/>
  <c r="AD352" i="61" s="1"/>
  <c r="K31" i="58"/>
  <c r="AE598" i="55"/>
  <c r="AF598" i="55" s="1"/>
  <c r="F598" i="55"/>
  <c r="AC707" i="55"/>
  <c r="H95" i="19"/>
  <c r="G24" i="36"/>
  <c r="V447" i="61"/>
  <c r="V406" i="61"/>
  <c r="J402" i="61"/>
  <c r="V404" i="61"/>
  <c r="G221" i="56"/>
  <c r="AB440" i="58"/>
  <c r="K438" i="58"/>
  <c r="F76" i="19"/>
  <c r="K58" i="58"/>
  <c r="K30" i="58"/>
  <c r="H248" i="56"/>
  <c r="O415" i="61"/>
  <c r="O441" i="58"/>
  <c r="P381" i="56"/>
  <c r="P375" i="19"/>
  <c r="L731" i="55"/>
  <c r="O362" i="61"/>
  <c r="I225" i="61"/>
  <c r="W569" i="60"/>
  <c r="Q569" i="60"/>
  <c r="V718" i="55"/>
  <c r="Z369" i="56"/>
  <c r="L62" i="1"/>
  <c r="K75" i="1" s="1"/>
  <c r="AC428" i="58"/>
  <c r="X363" i="19"/>
  <c r="Y402" i="61"/>
  <c r="K71" i="58"/>
  <c r="J193" i="61"/>
  <c r="P325" i="61"/>
  <c r="AA338" i="61"/>
  <c r="Q620" i="60"/>
  <c r="AD338" i="61" s="1"/>
  <c r="Q565" i="60"/>
  <c r="W565" i="60"/>
  <c r="Q560" i="60"/>
  <c r="W560" i="60"/>
  <c r="Q555" i="60"/>
  <c r="W555" i="60"/>
  <c r="Z283" i="58"/>
  <c r="W420" i="58"/>
  <c r="H35" i="56"/>
  <c r="J226" i="61"/>
  <c r="G214" i="56"/>
  <c r="N331" i="61"/>
  <c r="AG331" i="61"/>
  <c r="T555" i="60"/>
  <c r="O555" i="60"/>
  <c r="R555" i="60" s="1"/>
  <c r="U555" i="60"/>
  <c r="T574" i="60"/>
  <c r="U574" i="60"/>
  <c r="O574" i="60"/>
  <c r="R574" i="60" s="1"/>
  <c r="O620" i="60"/>
  <c r="Y338" i="61"/>
  <c r="O639" i="60"/>
  <c r="Y357" i="61"/>
  <c r="Y355" i="61"/>
  <c r="O637" i="60"/>
  <c r="F222" i="56"/>
  <c r="V63" i="53"/>
  <c r="N594" i="60"/>
  <c r="W523" i="60"/>
  <c r="N592" i="60"/>
  <c r="N519" i="60" s="1"/>
  <c r="Q523" i="60"/>
  <c r="F54" i="37"/>
  <c r="K51" i="61"/>
  <c r="N355" i="61"/>
  <c r="AG355" i="61"/>
  <c r="M194" i="53"/>
  <c r="M221" i="53" s="1"/>
  <c r="K221" i="53"/>
  <c r="Z451" i="61"/>
  <c r="Z452" i="61" s="1"/>
  <c r="Z394" i="61"/>
  <c r="AA257" i="61" s="1"/>
  <c r="N320" i="61"/>
  <c r="AG320" i="61"/>
  <c r="G213" i="56"/>
  <c r="W587" i="60"/>
  <c r="Q587" i="60"/>
  <c r="I223" i="58"/>
  <c r="K21" i="58"/>
  <c r="K70" i="58"/>
  <c r="F21" i="56"/>
  <c r="K35" i="58"/>
  <c r="U771" i="55"/>
  <c r="AB481" i="58"/>
  <c r="X455" i="61"/>
  <c r="W415" i="19"/>
  <c r="Y421" i="56"/>
  <c r="Y424" i="56" s="1"/>
  <c r="J13" i="66"/>
  <c r="M24" i="66" s="1"/>
  <c r="J78" i="1"/>
  <c r="J16" i="66" s="1"/>
  <c r="M27" i="66" s="1"/>
  <c r="S763" i="55"/>
  <c r="S720" i="55"/>
  <c r="Q38" i="66" s="1"/>
  <c r="K38" i="66" s="1"/>
  <c r="AC718" i="55"/>
  <c r="J192" i="61"/>
  <c r="P324" i="61"/>
  <c r="K56" i="58"/>
  <c r="X414" i="61"/>
  <c r="K412" i="61"/>
  <c r="N359" i="61"/>
  <c r="AG359" i="61"/>
  <c r="AE438" i="58"/>
  <c r="AB378" i="56"/>
  <c r="AA412" i="61"/>
  <c r="W728" i="55"/>
  <c r="Z372" i="19"/>
  <c r="F37" i="19"/>
  <c r="J243" i="58"/>
  <c r="G210" i="56"/>
  <c r="F22" i="56"/>
  <c r="AA329" i="61"/>
  <c r="Q611" i="60"/>
  <c r="AD329" i="61" s="1"/>
  <c r="AA342" i="61"/>
  <c r="M342" i="61" s="1"/>
  <c r="Q624" i="60"/>
  <c r="AD342" i="61" s="1"/>
  <c r="AA331" i="61"/>
  <c r="Q613" i="60"/>
  <c r="AD331" i="61" s="1"/>
  <c r="G33" i="56"/>
  <c r="W558" i="60"/>
  <c r="Q558" i="60"/>
  <c r="W527" i="60"/>
  <c r="Q527" i="60"/>
  <c r="I420" i="58"/>
  <c r="I210" i="58"/>
  <c r="I245" i="58"/>
  <c r="J242" i="58"/>
  <c r="H36" i="56"/>
  <c r="G188" i="56"/>
  <c r="N325" i="61"/>
  <c r="AG325" i="61"/>
  <c r="U570" i="60"/>
  <c r="T570" i="60"/>
  <c r="O570" i="60"/>
  <c r="R570" i="60" s="1"/>
  <c r="T588" i="60"/>
  <c r="G673" i="60" s="1"/>
  <c r="H673" i="60" s="1"/>
  <c r="U588" i="60"/>
  <c r="O588" i="60"/>
  <c r="R588" i="60" s="1"/>
  <c r="U553" i="60"/>
  <c r="T553" i="60"/>
  <c r="O553" i="60"/>
  <c r="R553" i="60" s="1"/>
  <c r="Y359" i="61"/>
  <c r="O641" i="60"/>
  <c r="O633" i="60"/>
  <c r="Y351" i="61"/>
  <c r="K22" i="58"/>
  <c r="C22" i="15"/>
  <c r="G17" i="19"/>
  <c r="F8" i="40"/>
  <c r="H38" i="56"/>
  <c r="G46" i="56"/>
  <c r="N324" i="61"/>
  <c r="AG324" i="61"/>
  <c r="V111" i="53"/>
  <c r="W111" i="53" s="1"/>
  <c r="O344" i="61"/>
  <c r="I212" i="61"/>
  <c r="I233" i="58"/>
  <c r="I94" i="61"/>
  <c r="G8" i="36"/>
  <c r="G43" i="36" s="1"/>
  <c r="F210" i="56"/>
  <c r="AA336" i="61"/>
  <c r="Q618" i="60"/>
  <c r="AD336" i="61" s="1"/>
  <c r="F33" i="19"/>
  <c r="E17" i="40"/>
  <c r="J223" i="58"/>
  <c r="F216" i="56"/>
  <c r="Q218" i="60"/>
  <c r="Q220" i="60" s="1"/>
  <c r="Q251" i="60"/>
  <c r="AA361" i="61"/>
  <c r="Q643" i="60"/>
  <c r="AD361" i="61" s="1"/>
  <c r="G31" i="19"/>
  <c r="F16" i="40"/>
  <c r="I219" i="58"/>
  <c r="K402" i="61"/>
  <c r="X404" i="61"/>
  <c r="X447" i="61"/>
  <c r="E40" i="66"/>
  <c r="E65" i="66" s="1"/>
  <c r="F29" i="19"/>
  <c r="E14" i="40"/>
  <c r="W377" i="19"/>
  <c r="W392" i="19"/>
  <c r="H372" i="19"/>
  <c r="F33" i="56"/>
  <c r="N45" i="19"/>
  <c r="J215" i="58"/>
  <c r="T539" i="60"/>
  <c r="U539" i="60"/>
  <c r="O539" i="60"/>
  <c r="R539" i="60" s="1"/>
  <c r="W566" i="60"/>
  <c r="Q566" i="60"/>
  <c r="I215" i="58"/>
  <c r="G22" i="56"/>
  <c r="N29" i="19"/>
  <c r="W563" i="60"/>
  <c r="Q563" i="60"/>
  <c r="Q579" i="60"/>
  <c r="W579" i="60"/>
  <c r="AA351" i="61"/>
  <c r="Q633" i="60"/>
  <c r="AD351" i="61" s="1"/>
  <c r="V37" i="19"/>
  <c r="H101" i="19"/>
  <c r="J116" i="58"/>
  <c r="I195" i="61"/>
  <c r="F100" i="19"/>
  <c r="I189" i="61"/>
  <c r="O321" i="61"/>
  <c r="N348" i="61"/>
  <c r="AG348" i="61"/>
  <c r="G67" i="56"/>
  <c r="G69" i="56"/>
  <c r="G30" i="19"/>
  <c r="F15" i="40"/>
  <c r="AG323" i="61"/>
  <c r="N323" i="61"/>
  <c r="AA322" i="61"/>
  <c r="M322" i="61" s="1"/>
  <c r="Q604" i="60"/>
  <c r="AD322" i="61" s="1"/>
  <c r="T543" i="60"/>
  <c r="U543" i="60"/>
  <c r="O543" i="60"/>
  <c r="R543" i="60" s="1"/>
  <c r="O605" i="60"/>
  <c r="Y323" i="61"/>
  <c r="F27" i="19"/>
  <c r="E11" i="40"/>
  <c r="J235" i="58"/>
  <c r="G21" i="19"/>
  <c r="F9" i="40"/>
  <c r="AE603" i="55"/>
  <c r="AF603" i="55" s="1"/>
  <c r="F603" i="55"/>
  <c r="F444" i="55" s="1"/>
  <c r="F326" i="55" s="1"/>
  <c r="F25" i="55" s="1"/>
  <c r="F149" i="55" s="1"/>
  <c r="D19" i="53"/>
  <c r="C19" i="53" s="1"/>
  <c r="K57" i="58"/>
  <c r="N345" i="61"/>
  <c r="AG345" i="61"/>
  <c r="F19" i="56"/>
  <c r="O431" i="58"/>
  <c r="P371" i="56"/>
  <c r="P365" i="19"/>
  <c r="L721" i="55"/>
  <c r="O405" i="61"/>
  <c r="D8" i="53"/>
  <c r="C8" i="53" s="1"/>
  <c r="AA321" i="61"/>
  <c r="Q603" i="60"/>
  <c r="AD321" i="61" s="1"/>
  <c r="J37" i="61"/>
  <c r="T152" i="53"/>
  <c r="U152" i="53" s="1"/>
  <c r="U44" i="53"/>
  <c r="V47" i="53" s="1"/>
  <c r="I228" i="58"/>
  <c r="AA718" i="55"/>
  <c r="AA720" i="55" s="1"/>
  <c r="Y38" i="66" s="1"/>
  <c r="AG428" i="58"/>
  <c r="AG430" i="58" s="1"/>
  <c r="AB363" i="19"/>
  <c r="AC402" i="61"/>
  <c r="AC404" i="61" s="1"/>
  <c r="AD369" i="56"/>
  <c r="P62" i="1"/>
  <c r="AG326" i="61"/>
  <c r="N326" i="61"/>
  <c r="H31" i="56"/>
  <c r="I9" i="53"/>
  <c r="G201" i="56"/>
  <c r="G57" i="56"/>
  <c r="I211" i="58"/>
  <c r="J107" i="58"/>
  <c r="I163" i="53"/>
  <c r="T548" i="60"/>
  <c r="U548" i="60"/>
  <c r="O548" i="60"/>
  <c r="R548" i="60" s="1"/>
  <c r="K69" i="58"/>
  <c r="K72" i="58"/>
  <c r="AG347" i="61"/>
  <c r="N347" i="61"/>
  <c r="H80" i="56"/>
  <c r="K20" i="58"/>
  <c r="L303" i="58"/>
  <c r="L430" i="58"/>
  <c r="G37" i="19"/>
  <c r="E5" i="40"/>
  <c r="E26" i="40" s="1"/>
  <c r="F16" i="19"/>
  <c r="J249" i="58"/>
  <c r="I216" i="61"/>
  <c r="O348" i="61"/>
  <c r="I266" i="56"/>
  <c r="I380" i="56"/>
  <c r="F188" i="56"/>
  <c r="F613" i="55"/>
  <c r="F454" i="55" s="1"/>
  <c r="F333" i="55" s="1"/>
  <c r="F37" i="55" s="1"/>
  <c r="AE613" i="55"/>
  <c r="AF613" i="55" s="1"/>
  <c r="H363" i="19"/>
  <c r="W407" i="19"/>
  <c r="J224" i="61"/>
  <c r="Y412" i="61"/>
  <c r="AC438" i="58"/>
  <c r="Z378" i="56"/>
  <c r="V728" i="55"/>
  <c r="X372" i="19"/>
  <c r="N352" i="61"/>
  <c r="AG352" i="61"/>
  <c r="K115" i="58"/>
  <c r="K40" i="61"/>
  <c r="AC708" i="55"/>
  <c r="T730" i="55"/>
  <c r="AD728" i="55"/>
  <c r="H728" i="55" s="1"/>
  <c r="AE604" i="55"/>
  <c r="AF604" i="55" s="1"/>
  <c r="F604" i="55"/>
  <c r="F445" i="55" s="1"/>
  <c r="F327" i="55" s="1"/>
  <c r="F26" i="55" s="1"/>
  <c r="F150" i="55" s="1"/>
  <c r="G202" i="56"/>
  <c r="O333" i="61"/>
  <c r="I201" i="61"/>
  <c r="G48" i="19"/>
  <c r="AA350" i="61"/>
  <c r="M350" i="61" s="1"/>
  <c r="Q632" i="60"/>
  <c r="AD350" i="61" s="1"/>
  <c r="Q572" i="60"/>
  <c r="W572" i="60"/>
  <c r="Q544" i="60"/>
  <c r="W544" i="60"/>
  <c r="R157" i="53"/>
  <c r="F194" i="56"/>
  <c r="I249" i="58"/>
  <c r="J219" i="58"/>
  <c r="N46" i="19"/>
  <c r="I246" i="58"/>
  <c r="Z440" i="58"/>
  <c r="Z441" i="58"/>
  <c r="J438" i="58"/>
  <c r="W535" i="60"/>
  <c r="Q535" i="60"/>
  <c r="Y345" i="61"/>
  <c r="O627" i="60"/>
  <c r="U536" i="60"/>
  <c r="T536" i="60"/>
  <c r="O536" i="60"/>
  <c r="R536" i="60" s="1"/>
  <c r="I22" i="53"/>
  <c r="R161" i="53"/>
  <c r="AA333" i="61"/>
  <c r="Q615" i="60"/>
  <c r="AD333" i="61" s="1"/>
  <c r="D12" i="14"/>
  <c r="H93" i="19"/>
  <c r="N17" i="19"/>
  <c r="D21" i="15"/>
  <c r="D23" i="15" s="1"/>
  <c r="G9" i="13" s="1"/>
  <c r="AA363" i="61"/>
  <c r="Q645" i="60"/>
  <c r="AD363" i="61" s="1"/>
  <c r="AA359" i="61"/>
  <c r="Q641" i="60"/>
  <c r="AD359" i="61" s="1"/>
  <c r="W588" i="60"/>
  <c r="Q588" i="60"/>
  <c r="I217" i="61"/>
  <c r="O349" i="61"/>
  <c r="D7" i="53"/>
  <c r="C7" i="53" s="1"/>
  <c r="G32" i="56"/>
  <c r="U377" i="19"/>
  <c r="G372" i="19"/>
  <c r="U392" i="19"/>
  <c r="AG346" i="61"/>
  <c r="N346" i="61"/>
  <c r="T567" i="60"/>
  <c r="U567" i="60"/>
  <c r="O567" i="60"/>
  <c r="R567" i="60" s="1"/>
  <c r="Y360" i="61"/>
  <c r="O642" i="60"/>
  <c r="O540" i="60"/>
  <c r="R540" i="60" s="1"/>
  <c r="U540" i="60"/>
  <c r="T540" i="60"/>
  <c r="D18" i="34"/>
  <c r="G59" i="19"/>
  <c r="F69" i="56"/>
  <c r="F46" i="19"/>
  <c r="J239" i="58"/>
  <c r="H209" i="61"/>
  <c r="K49" i="61"/>
  <c r="Q209" i="61"/>
  <c r="D21" i="53"/>
  <c r="C21" i="53" s="1"/>
  <c r="K428" i="58"/>
  <c r="AB430" i="58"/>
  <c r="AB473" i="58"/>
  <c r="Q163" i="60"/>
  <c r="Q164" i="60" s="1"/>
  <c r="Q168" i="60" s="1"/>
  <c r="Q235" i="60"/>
  <c r="J381" i="56"/>
  <c r="J731" i="55"/>
  <c r="M415" i="61"/>
  <c r="M441" i="58"/>
  <c r="T53" i="1"/>
  <c r="G418" i="1" s="1"/>
  <c r="J375" i="19"/>
  <c r="I208" i="61"/>
  <c r="O340" i="61"/>
  <c r="H89" i="56"/>
  <c r="K59" i="61"/>
  <c r="W433" i="61"/>
  <c r="F32" i="56"/>
  <c r="H70" i="19"/>
  <c r="K49" i="58"/>
  <c r="J233" i="58"/>
  <c r="D20" i="53"/>
  <c r="C20" i="53" s="1"/>
  <c r="K28" i="61"/>
  <c r="P25" i="63"/>
  <c r="AA346" i="61"/>
  <c r="Q628" i="60"/>
  <c r="AD346" i="61" s="1"/>
  <c r="AA337" i="61"/>
  <c r="Q619" i="60"/>
  <c r="AD337" i="61" s="1"/>
  <c r="Q553" i="60"/>
  <c r="W553" i="60"/>
  <c r="K27" i="61"/>
  <c r="AD708" i="55"/>
  <c r="I217" i="58"/>
  <c r="J251" i="58"/>
  <c r="I230" i="58"/>
  <c r="H88" i="56"/>
  <c r="V135" i="53"/>
  <c r="W135" i="53" s="1"/>
  <c r="T542" i="60"/>
  <c r="U542" i="60"/>
  <c r="O542" i="60"/>
  <c r="R542" i="60" s="1"/>
  <c r="F46" i="56"/>
  <c r="G46" i="19"/>
  <c r="M165" i="60"/>
  <c r="V414" i="61"/>
  <c r="V415" i="61"/>
  <c r="J412" i="61"/>
  <c r="O551" i="60"/>
  <c r="R551" i="60" s="1"/>
  <c r="T551" i="60"/>
  <c r="U551" i="60"/>
  <c r="O619" i="60"/>
  <c r="Y337" i="61"/>
  <c r="U575" i="60"/>
  <c r="O575" i="60"/>
  <c r="R575" i="60" s="1"/>
  <c r="T575" i="60"/>
  <c r="K36" i="58"/>
  <c r="H678" i="55" l="1"/>
  <c r="H519" i="55" s="1"/>
  <c r="H397" i="55" s="1"/>
  <c r="H116" i="55" s="1"/>
  <c r="H148" i="55" s="1"/>
  <c r="H641" i="55"/>
  <c r="H482" i="55" s="1"/>
  <c r="H367" i="55" s="1"/>
  <c r="H76" i="55" s="1"/>
  <c r="AU641" i="55"/>
  <c r="AU674" i="55"/>
  <c r="AF655" i="55"/>
  <c r="H655" i="55"/>
  <c r="H496" i="55" s="1"/>
  <c r="H377" i="55" s="1"/>
  <c r="H91" i="55" s="1"/>
  <c r="Q519" i="55"/>
  <c r="S519" i="55" s="1"/>
  <c r="S397" i="55" s="1"/>
  <c r="F399" i="55"/>
  <c r="F118" i="55" s="1"/>
  <c r="F159" i="55" s="1"/>
  <c r="H680" i="55"/>
  <c r="H521" i="55" s="1"/>
  <c r="H399" i="55" s="1"/>
  <c r="H118" i="55" s="1"/>
  <c r="H159" i="55" s="1"/>
  <c r="AU680" i="55"/>
  <c r="AF661" i="55"/>
  <c r="AU661" i="55"/>
  <c r="H628" i="55"/>
  <c r="H469" i="55" s="1"/>
  <c r="Q469" i="55" s="1"/>
  <c r="H619" i="55"/>
  <c r="H460" i="55" s="1"/>
  <c r="H349" i="55" s="1"/>
  <c r="H53" i="55" s="1"/>
  <c r="AU628" i="55"/>
  <c r="AF619" i="55"/>
  <c r="G133" i="55"/>
  <c r="F132" i="55"/>
  <c r="AF639" i="55"/>
  <c r="H657" i="55"/>
  <c r="H498" i="55" s="1"/>
  <c r="Q498" i="55" s="1"/>
  <c r="AU657" i="55"/>
  <c r="H639" i="55"/>
  <c r="H480" i="55" s="1"/>
  <c r="Q480" i="55" s="1"/>
  <c r="Q472" i="55"/>
  <c r="H351" i="55"/>
  <c r="H55" i="55" s="1"/>
  <c r="H177" i="55" s="1"/>
  <c r="Q474" i="55"/>
  <c r="H353" i="55"/>
  <c r="H57" i="55" s="1"/>
  <c r="Q523" i="55"/>
  <c r="H392" i="55"/>
  <c r="H111" i="55" s="1"/>
  <c r="H173" i="55" s="1"/>
  <c r="H365" i="55"/>
  <c r="H74" i="55" s="1"/>
  <c r="H155" i="55" s="1"/>
  <c r="H348" i="55"/>
  <c r="H52" i="55" s="1"/>
  <c r="Q471" i="55"/>
  <c r="H350" i="55"/>
  <c r="H54" i="55" s="1"/>
  <c r="H176" i="55" s="1"/>
  <c r="Q524" i="55"/>
  <c r="H403" i="55"/>
  <c r="H122" i="55" s="1"/>
  <c r="H183" i="55" s="1"/>
  <c r="Q522" i="55"/>
  <c r="H391" i="55"/>
  <c r="H110" i="55" s="1"/>
  <c r="H166" i="55" s="1"/>
  <c r="Q507" i="55"/>
  <c r="H386" i="55"/>
  <c r="H100" i="55" s="1"/>
  <c r="H181" i="55" s="1"/>
  <c r="Q509" i="55"/>
  <c r="H388" i="55"/>
  <c r="H102" i="55" s="1"/>
  <c r="Q505" i="55"/>
  <c r="H374" i="55"/>
  <c r="H88" i="55" s="1"/>
  <c r="H165" i="55" s="1"/>
  <c r="Q467" i="55"/>
  <c r="H334" i="55"/>
  <c r="H38" i="55" s="1"/>
  <c r="H162" i="55" s="1"/>
  <c r="Q516" i="55"/>
  <c r="H401" i="55"/>
  <c r="H120" i="55" s="1"/>
  <c r="H380" i="55"/>
  <c r="H94" i="55" s="1"/>
  <c r="H146" i="55" s="1"/>
  <c r="Q489" i="55"/>
  <c r="H358" i="55"/>
  <c r="H67" i="55" s="1"/>
  <c r="H171" i="55" s="1"/>
  <c r="Q488" i="55"/>
  <c r="H357" i="55"/>
  <c r="H66" i="55" s="1"/>
  <c r="H164" i="55" s="1"/>
  <c r="Q506" i="55"/>
  <c r="H375" i="55"/>
  <c r="H89" i="55" s="1"/>
  <c r="H382" i="55"/>
  <c r="H96" i="55" s="1"/>
  <c r="H157" i="55" s="1"/>
  <c r="AF631" i="55"/>
  <c r="Q468" i="55"/>
  <c r="H335" i="55"/>
  <c r="H39" i="55" s="1"/>
  <c r="H343" i="55"/>
  <c r="H47" i="55" s="1"/>
  <c r="H142" i="55" s="1"/>
  <c r="Q470" i="55"/>
  <c r="H337" i="55"/>
  <c r="H41" i="55" s="1"/>
  <c r="H170" i="55" s="1"/>
  <c r="Q518" i="55"/>
  <c r="H396" i="55"/>
  <c r="H115" i="55" s="1"/>
  <c r="H147" i="55" s="1"/>
  <c r="Q492" i="55"/>
  <c r="H371" i="55"/>
  <c r="H80" i="55" s="1"/>
  <c r="H363" i="55"/>
  <c r="H72" i="55" s="1"/>
  <c r="H144" i="55" s="1"/>
  <c r="Q475" i="55"/>
  <c r="H354" i="55"/>
  <c r="H58" i="55" s="1"/>
  <c r="Q526" i="55"/>
  <c r="H405" i="55"/>
  <c r="H124" i="55" s="1"/>
  <c r="H339" i="55"/>
  <c r="H43" i="55" s="1"/>
  <c r="H133" i="55" s="1"/>
  <c r="AU631" i="55"/>
  <c r="Q490" i="55"/>
  <c r="H369" i="55"/>
  <c r="H78" i="55" s="1"/>
  <c r="H179" i="55" s="1"/>
  <c r="H346" i="55"/>
  <c r="H50" i="55" s="1"/>
  <c r="AU660" i="55"/>
  <c r="F365" i="55"/>
  <c r="F74" i="55" s="1"/>
  <c r="F155" i="55" s="1"/>
  <c r="AF637" i="55"/>
  <c r="Q486" i="55"/>
  <c r="H364" i="55"/>
  <c r="H73" i="55" s="1"/>
  <c r="H154" i="55" s="1"/>
  <c r="Q530" i="55"/>
  <c r="H409" i="55"/>
  <c r="Q520" i="55"/>
  <c r="H398" i="55"/>
  <c r="H117" i="55" s="1"/>
  <c r="H158" i="55" s="1"/>
  <c r="Q528" i="55"/>
  <c r="H407" i="55"/>
  <c r="Q512" i="55"/>
  <c r="H393" i="55"/>
  <c r="H112" i="55" s="1"/>
  <c r="Q503" i="55"/>
  <c r="H381" i="55"/>
  <c r="H95" i="55" s="1"/>
  <c r="H156" i="55" s="1"/>
  <c r="Q465" i="55"/>
  <c r="H345" i="55"/>
  <c r="H49" i="55" s="1"/>
  <c r="H152" i="55" s="1"/>
  <c r="Q529" i="55"/>
  <c r="H408" i="55"/>
  <c r="Q483" i="55"/>
  <c r="H368" i="55"/>
  <c r="H77" i="55" s="1"/>
  <c r="Q77" i="55" s="1"/>
  <c r="S77" i="55" s="1"/>
  <c r="Q481" i="55"/>
  <c r="H366" i="55"/>
  <c r="H75" i="55" s="1"/>
  <c r="Q75" i="55" s="1"/>
  <c r="S75" i="55" s="1"/>
  <c r="Q461" i="55"/>
  <c r="H341" i="55"/>
  <c r="H45" i="55" s="1"/>
  <c r="H140" i="55" s="1"/>
  <c r="Q464" i="55"/>
  <c r="H344" i="55"/>
  <c r="H48" i="55" s="1"/>
  <c r="H151" i="55" s="1"/>
  <c r="Q497" i="55"/>
  <c r="H378" i="55"/>
  <c r="H92" i="55" s="1"/>
  <c r="Q92" i="55" s="1"/>
  <c r="S92" i="55" s="1"/>
  <c r="Q495" i="55"/>
  <c r="H376" i="55"/>
  <c r="H90" i="55" s="1"/>
  <c r="Q462" i="55"/>
  <c r="H342" i="55"/>
  <c r="H46" i="55" s="1"/>
  <c r="Q515" i="55"/>
  <c r="H400" i="55"/>
  <c r="H119" i="55" s="1"/>
  <c r="Q517" i="55"/>
  <c r="H402" i="55"/>
  <c r="H121" i="55" s="1"/>
  <c r="Q458" i="55"/>
  <c r="H347" i="55"/>
  <c r="H51" i="55" s="1"/>
  <c r="Q484" i="55"/>
  <c r="H362" i="55"/>
  <c r="H71" i="55" s="1"/>
  <c r="H143" i="55" s="1"/>
  <c r="Q477" i="55"/>
  <c r="H356" i="55"/>
  <c r="H65" i="55" s="1"/>
  <c r="H637" i="55"/>
  <c r="H478" i="55" s="1"/>
  <c r="Q500" i="55"/>
  <c r="AF660" i="55"/>
  <c r="AU646" i="55"/>
  <c r="AF646" i="55"/>
  <c r="Q501" i="55"/>
  <c r="AF673" i="55"/>
  <c r="H670" i="55"/>
  <c r="H511" i="55" s="1"/>
  <c r="AU670" i="55"/>
  <c r="AF653" i="55"/>
  <c r="Q504" i="55"/>
  <c r="H673" i="55"/>
  <c r="H514" i="55" s="1"/>
  <c r="H690" i="55"/>
  <c r="H531" i="55" s="1"/>
  <c r="AF690" i="55"/>
  <c r="AF708" i="55" s="1"/>
  <c r="H27" i="53"/>
  <c r="Q494" i="55"/>
  <c r="AU653" i="55"/>
  <c r="Q487" i="55"/>
  <c r="Q502" i="55"/>
  <c r="Q463" i="55"/>
  <c r="Q459" i="55"/>
  <c r="Q466" i="55"/>
  <c r="Q485" i="55"/>
  <c r="Q456" i="55"/>
  <c r="Q513" i="55"/>
  <c r="Q499" i="55"/>
  <c r="Q496" i="55"/>
  <c r="Q482" i="55"/>
  <c r="Q479" i="55"/>
  <c r="H451" i="55"/>
  <c r="H448" i="55"/>
  <c r="H453" i="55"/>
  <c r="H449" i="55"/>
  <c r="H452" i="55"/>
  <c r="H447" i="55"/>
  <c r="H450" i="55"/>
  <c r="H446" i="55"/>
  <c r="AF616" i="55"/>
  <c r="H616" i="55"/>
  <c r="H457" i="55" s="1"/>
  <c r="Q55" i="55"/>
  <c r="AB133" i="63"/>
  <c r="G672" i="60"/>
  <c r="H672" i="60" s="1"/>
  <c r="I672" i="60" s="1"/>
  <c r="R630" i="60"/>
  <c r="AB352" i="61"/>
  <c r="R603" i="60"/>
  <c r="O518" i="60"/>
  <c r="R646" i="60"/>
  <c r="R622" i="60"/>
  <c r="R643" i="60"/>
  <c r="R615" i="60"/>
  <c r="AB330" i="61"/>
  <c r="R612" i="60"/>
  <c r="Y394" i="61"/>
  <c r="Y257" i="61" s="1"/>
  <c r="Y451" i="61"/>
  <c r="Y452" i="61" s="1"/>
  <c r="L320" i="61"/>
  <c r="O320" i="61" s="1"/>
  <c r="O394" i="61" s="1"/>
  <c r="AB349" i="61"/>
  <c r="M794" i="60"/>
  <c r="M799" i="60"/>
  <c r="AB322" i="61"/>
  <c r="AB328" i="61"/>
  <c r="G666" i="60"/>
  <c r="H666" i="60" s="1"/>
  <c r="G671" i="60"/>
  <c r="H671" i="60" s="1"/>
  <c r="G664" i="60"/>
  <c r="H664" i="60" s="1"/>
  <c r="O354" i="60"/>
  <c r="O358" i="60" s="1"/>
  <c r="G679" i="60"/>
  <c r="H679" i="60" s="1"/>
  <c r="L459" i="58"/>
  <c r="H674" i="60"/>
  <c r="I674" i="60" s="1"/>
  <c r="R626" i="60"/>
  <c r="R644" i="60"/>
  <c r="AB324" i="61"/>
  <c r="R617" i="60"/>
  <c r="AB336" i="61"/>
  <c r="L650" i="60"/>
  <c r="G663" i="60"/>
  <c r="H663" i="60" s="1"/>
  <c r="Z443" i="58"/>
  <c r="V417" i="61"/>
  <c r="R614" i="60"/>
  <c r="AB332" i="61"/>
  <c r="U144" i="63"/>
  <c r="F389" i="1" s="1"/>
  <c r="R538" i="55" s="1"/>
  <c r="R417" i="55" s="1"/>
  <c r="G660" i="60"/>
  <c r="H660" i="60" s="1"/>
  <c r="V433" i="61"/>
  <c r="I393" i="19"/>
  <c r="N38" i="19"/>
  <c r="L433" i="61"/>
  <c r="G659" i="60"/>
  <c r="H659" i="60" s="1"/>
  <c r="G662" i="60"/>
  <c r="H662" i="60" s="1"/>
  <c r="Z459" i="58"/>
  <c r="I399" i="56"/>
  <c r="K43" i="61"/>
  <c r="G669" i="60"/>
  <c r="H669" i="60" s="1"/>
  <c r="G665" i="60"/>
  <c r="H665" i="60" s="1"/>
  <c r="AB341" i="61"/>
  <c r="R623" i="60"/>
  <c r="L341" i="61"/>
  <c r="AF341" i="61"/>
  <c r="R609" i="60"/>
  <c r="AB327" i="61"/>
  <c r="L327" i="61"/>
  <c r="AF327" i="61"/>
  <c r="U145" i="63"/>
  <c r="F390" i="1" s="1"/>
  <c r="G670" i="60"/>
  <c r="H670" i="60" s="1"/>
  <c r="N595" i="60"/>
  <c r="U138" i="63"/>
  <c r="F383" i="1" s="1"/>
  <c r="R532" i="55" s="1"/>
  <c r="R411" i="55" s="1"/>
  <c r="U142" i="63"/>
  <c r="F387" i="1" s="1"/>
  <c r="X433" i="61"/>
  <c r="G668" i="60"/>
  <c r="H668" i="60" s="1"/>
  <c r="L268" i="60"/>
  <c r="L290" i="60" s="1"/>
  <c r="L292" i="60" s="1"/>
  <c r="K354" i="60" s="1"/>
  <c r="K357" i="60" s="1"/>
  <c r="M358" i="60" s="1"/>
  <c r="I36" i="58"/>
  <c r="N205" i="61"/>
  <c r="Q337" i="61"/>
  <c r="DN46" i="56"/>
  <c r="R66" i="66"/>
  <c r="M66" i="66" s="1"/>
  <c r="DN69" i="56"/>
  <c r="F87" i="56"/>
  <c r="O69" i="56"/>
  <c r="G266" i="19"/>
  <c r="G374" i="19"/>
  <c r="I60" i="61"/>
  <c r="F217" i="61"/>
  <c r="O217" i="61"/>
  <c r="R217" i="61" s="1"/>
  <c r="M333" i="61"/>
  <c r="AH333" i="61"/>
  <c r="H613" i="55"/>
  <c r="H454" i="55" s="1"/>
  <c r="AU613" i="55"/>
  <c r="I49" i="58"/>
  <c r="N193" i="61"/>
  <c r="Q325" i="61"/>
  <c r="I34" i="58"/>
  <c r="N188" i="61"/>
  <c r="N394" i="61"/>
  <c r="Q320" i="61"/>
  <c r="Q394" i="61" s="1"/>
  <c r="J363" i="19"/>
  <c r="Q363" i="19" s="1"/>
  <c r="Q364" i="19" s="1"/>
  <c r="X407" i="19"/>
  <c r="F93" i="19"/>
  <c r="B12" i="14"/>
  <c r="L17" i="19"/>
  <c r="B21" i="15"/>
  <c r="B23" i="15" s="1"/>
  <c r="E9" i="13" s="1"/>
  <c r="I93" i="61"/>
  <c r="F226" i="61"/>
  <c r="F93" i="61" s="1"/>
  <c r="O226" i="61"/>
  <c r="R226" i="61" s="1"/>
  <c r="L353" i="61"/>
  <c r="AF353" i="61"/>
  <c r="O594" i="60"/>
  <c r="R523" i="60"/>
  <c r="S523" i="60" s="1"/>
  <c r="O592" i="60"/>
  <c r="M792" i="60"/>
  <c r="F36" i="56"/>
  <c r="D9" i="53"/>
  <c r="G4" i="55" s="1"/>
  <c r="C5" i="53"/>
  <c r="C9" i="53" s="1"/>
  <c r="C13" i="53" s="1"/>
  <c r="P257" i="56"/>
  <c r="S257" i="56" s="1"/>
  <c r="S258" i="56" s="1"/>
  <c r="P370" i="56"/>
  <c r="G212" i="55"/>
  <c r="M355" i="61"/>
  <c r="AH355" i="61"/>
  <c r="I30" i="61"/>
  <c r="O198" i="61"/>
  <c r="R198" i="61" s="1"/>
  <c r="F198" i="61"/>
  <c r="O167" i="60"/>
  <c r="M265" i="61"/>
  <c r="P366" i="61"/>
  <c r="F96" i="19"/>
  <c r="L48" i="19"/>
  <c r="E50" i="36"/>
  <c r="J44" i="58"/>
  <c r="M344" i="61"/>
  <c r="AH344" i="61"/>
  <c r="F49" i="56"/>
  <c r="M343" i="61"/>
  <c r="AH343" i="61"/>
  <c r="Q39" i="66"/>
  <c r="K39" i="66" s="1"/>
  <c r="M353" i="61"/>
  <c r="AH353" i="61"/>
  <c r="L45" i="19"/>
  <c r="H720" i="55"/>
  <c r="R50" i="66" s="1"/>
  <c r="M50" i="66" s="1"/>
  <c r="H555" i="55"/>
  <c r="K54" i="61"/>
  <c r="K91" i="58"/>
  <c r="K72" i="61"/>
  <c r="K65" i="61"/>
  <c r="K303" i="58"/>
  <c r="K430" i="58"/>
  <c r="U37" i="19"/>
  <c r="G101" i="19"/>
  <c r="M361" i="61"/>
  <c r="AH361" i="61"/>
  <c r="F212" i="61"/>
  <c r="I51" i="61"/>
  <c r="O212" i="61"/>
  <c r="R212" i="61" s="1"/>
  <c r="G55" i="56"/>
  <c r="K286" i="61"/>
  <c r="K414" i="61"/>
  <c r="AC430" i="58"/>
  <c r="M428" i="58"/>
  <c r="P428" i="58" s="1"/>
  <c r="P430" i="58" s="1"/>
  <c r="AC473" i="58"/>
  <c r="V95" i="19"/>
  <c r="E28" i="40"/>
  <c r="E30" i="40" s="1"/>
  <c r="E20" i="40"/>
  <c r="N208" i="61"/>
  <c r="Q340" i="61"/>
  <c r="AB353" i="61"/>
  <c r="R635" i="60"/>
  <c r="G658" i="60"/>
  <c r="T592" i="60"/>
  <c r="G248" i="19"/>
  <c r="E99" i="38"/>
  <c r="M326" i="61"/>
  <c r="AH326" i="61"/>
  <c r="D24" i="66"/>
  <c r="J33" i="58"/>
  <c r="M356" i="61"/>
  <c r="AH356" i="61"/>
  <c r="K89" i="58"/>
  <c r="L334" i="61"/>
  <c r="AF334" i="61"/>
  <c r="N124" i="61"/>
  <c r="H124" i="61" s="1"/>
  <c r="Q265" i="61"/>
  <c r="Q124" i="61" s="1"/>
  <c r="H218" i="61"/>
  <c r="Q218" i="61"/>
  <c r="M345" i="61"/>
  <c r="AH345" i="61"/>
  <c r="I27" i="61"/>
  <c r="F193" i="61"/>
  <c r="O193" i="61"/>
  <c r="R193" i="61" s="1"/>
  <c r="K51" i="58"/>
  <c r="X39" i="66"/>
  <c r="H148" i="19"/>
  <c r="I258" i="19"/>
  <c r="F97" i="34" s="1"/>
  <c r="F88" i="34"/>
  <c r="Q39" i="61"/>
  <c r="Q72" i="61" s="1"/>
  <c r="H39" i="61"/>
  <c r="S39" i="61" s="1"/>
  <c r="V39" i="61" s="1"/>
  <c r="F59" i="56"/>
  <c r="H61" i="56"/>
  <c r="I56" i="58"/>
  <c r="I106" i="58"/>
  <c r="W594" i="60"/>
  <c r="W592" i="60"/>
  <c r="Z523" i="60"/>
  <c r="L337" i="61"/>
  <c r="AF337" i="61"/>
  <c r="R619" i="60"/>
  <c r="AB337" i="61"/>
  <c r="G87" i="56"/>
  <c r="AB347" i="61"/>
  <c r="R629" i="60"/>
  <c r="I70" i="58"/>
  <c r="O312" i="58"/>
  <c r="V312" i="58" s="1"/>
  <c r="V314" i="58" s="1"/>
  <c r="O440" i="58"/>
  <c r="J47" i="58"/>
  <c r="N204" i="61"/>
  <c r="Q336" i="61"/>
  <c r="R218" i="60"/>
  <c r="R220" i="60" s="1"/>
  <c r="R251" i="60"/>
  <c r="U33" i="19"/>
  <c r="G97" i="19"/>
  <c r="AB334" i="61"/>
  <c r="R616" i="60"/>
  <c r="G35" i="56"/>
  <c r="F31" i="56"/>
  <c r="J39" i="61"/>
  <c r="K82" i="58"/>
  <c r="O70" i="56"/>
  <c r="DN70" i="56"/>
  <c r="F94" i="56"/>
  <c r="F38" i="56"/>
  <c r="J37" i="58"/>
  <c r="H92" i="56"/>
  <c r="K74" i="61"/>
  <c r="H93" i="56"/>
  <c r="J23" i="58"/>
  <c r="DN23" i="56"/>
  <c r="F89" i="56"/>
  <c r="O23" i="56"/>
  <c r="I251" i="61"/>
  <c r="M360" i="61"/>
  <c r="AH360" i="61"/>
  <c r="J312" i="58"/>
  <c r="J440" i="58"/>
  <c r="F24" i="56"/>
  <c r="G37" i="56"/>
  <c r="H603" i="55"/>
  <c r="H444" i="55" s="1"/>
  <c r="AU603" i="55"/>
  <c r="AH351" i="61"/>
  <c r="M351" i="61"/>
  <c r="L351" i="61"/>
  <c r="AF351" i="61"/>
  <c r="G18" i="56"/>
  <c r="Y455" i="61"/>
  <c r="AC481" i="58"/>
  <c r="X415" i="19"/>
  <c r="V771" i="55"/>
  <c r="K78" i="1"/>
  <c r="K16" i="66" s="1"/>
  <c r="N27" i="66" s="1"/>
  <c r="Z421" i="56"/>
  <c r="Z424" i="56" s="1"/>
  <c r="W426" i="56" s="1"/>
  <c r="K13" i="66"/>
  <c r="N24" i="66" s="1"/>
  <c r="H24" i="66" s="1"/>
  <c r="K39" i="58"/>
  <c r="J277" i="58"/>
  <c r="E22" i="15"/>
  <c r="H18" i="61"/>
  <c r="Q18" i="61"/>
  <c r="K71" i="61"/>
  <c r="M334" i="61"/>
  <c r="AH334" i="61"/>
  <c r="J46" i="58"/>
  <c r="G70" i="19"/>
  <c r="F18" i="56"/>
  <c r="L323" i="61"/>
  <c r="AF323" i="61"/>
  <c r="J21" i="58"/>
  <c r="M336" i="61"/>
  <c r="AH336" i="61"/>
  <c r="AB351" i="61"/>
  <c r="R633" i="60"/>
  <c r="J69" i="58"/>
  <c r="J369" i="56"/>
  <c r="Q369" i="56" s="1"/>
  <c r="Q370" i="56" s="1"/>
  <c r="Z413" i="56"/>
  <c r="I22" i="58"/>
  <c r="L347" i="61"/>
  <c r="AF347" i="61"/>
  <c r="L595" i="60"/>
  <c r="F80" i="56"/>
  <c r="DN57" i="56"/>
  <c r="H91" i="56"/>
  <c r="X37" i="56"/>
  <c r="I37" i="58"/>
  <c r="M347" i="61"/>
  <c r="AH347" i="61"/>
  <c r="AH323" i="61"/>
  <c r="M323" i="61"/>
  <c r="I60" i="58"/>
  <c r="P354" i="60"/>
  <c r="AC433" i="61"/>
  <c r="N206" i="61"/>
  <c r="Q338" i="61"/>
  <c r="H78" i="56"/>
  <c r="I45" i="58"/>
  <c r="J20" i="58"/>
  <c r="Q331" i="61"/>
  <c r="N199" i="61"/>
  <c r="AL718" i="55"/>
  <c r="V763" i="55"/>
  <c r="AH718" i="55"/>
  <c r="V720" i="55"/>
  <c r="T38" i="66" s="1"/>
  <c r="N38" i="66" s="1"/>
  <c r="H38" i="66" s="1"/>
  <c r="K81" i="58"/>
  <c r="AF438" i="58"/>
  <c r="AF440" i="58" s="1"/>
  <c r="AB412" i="61"/>
  <c r="AB414" i="61" s="1"/>
  <c r="Y728" i="55"/>
  <c r="Y730" i="55" s="1"/>
  <c r="AC378" i="56"/>
  <c r="AA372" i="19"/>
  <c r="AB366" i="61"/>
  <c r="R648" i="60"/>
  <c r="U594" i="60"/>
  <c r="U592" i="60"/>
  <c r="X523" i="60"/>
  <c r="H16" i="66"/>
  <c r="K27" i="66" s="1"/>
  <c r="F78" i="1"/>
  <c r="F16" i="66" s="1"/>
  <c r="G34" i="56"/>
  <c r="K97" i="61"/>
  <c r="Q93" i="61"/>
  <c r="L356" i="61"/>
  <c r="AF356" i="61"/>
  <c r="O16" i="66"/>
  <c r="R27" i="66" s="1"/>
  <c r="N222" i="61"/>
  <c r="Q354" i="61"/>
  <c r="F37" i="56"/>
  <c r="J71" i="58"/>
  <c r="N212" i="61"/>
  <c r="Q344" i="61"/>
  <c r="X253" i="61"/>
  <c r="X256" i="61" s="1"/>
  <c r="X258" i="61" s="1"/>
  <c r="N211" i="61"/>
  <c r="Q343" i="61"/>
  <c r="AB350" i="61"/>
  <c r="R632" i="60"/>
  <c r="O277" i="61"/>
  <c r="R277" i="61" s="1"/>
  <c r="R278" i="61" s="1"/>
  <c r="O404" i="61"/>
  <c r="AH428" i="58"/>
  <c r="AH430" i="58" s="1"/>
  <c r="Z718" i="55"/>
  <c r="Z720" i="55" s="1"/>
  <c r="X38" i="66" s="1"/>
  <c r="Q62" i="1"/>
  <c r="AE369" i="56"/>
  <c r="AC363" i="19"/>
  <c r="AD402" i="61"/>
  <c r="AD404" i="61" s="1"/>
  <c r="M364" i="61"/>
  <c r="AH364" i="61"/>
  <c r="I73" i="58"/>
  <c r="G380" i="56"/>
  <c r="G266" i="56"/>
  <c r="G82" i="56"/>
  <c r="J59" i="61"/>
  <c r="I38" i="61"/>
  <c r="F201" i="61"/>
  <c r="O201" i="61"/>
  <c r="R201" i="61" s="1"/>
  <c r="I27" i="53"/>
  <c r="F8" i="36"/>
  <c r="F43" i="36" s="1"/>
  <c r="J72" i="58"/>
  <c r="J372" i="19"/>
  <c r="Q372" i="19" s="1"/>
  <c r="Q374" i="19" s="1"/>
  <c r="H134" i="56"/>
  <c r="I268" i="56"/>
  <c r="N54" i="19"/>
  <c r="F66" i="56"/>
  <c r="N192" i="61"/>
  <c r="Q324" i="61"/>
  <c r="L359" i="61"/>
  <c r="AF359" i="61"/>
  <c r="K63" i="58"/>
  <c r="D54" i="37"/>
  <c r="F439" i="55"/>
  <c r="F318" i="55" s="1"/>
  <c r="F17" i="55" s="1"/>
  <c r="F131" i="55" s="1"/>
  <c r="Q65" i="66"/>
  <c r="K65" i="66" s="1"/>
  <c r="L265" i="61"/>
  <c r="O366" i="61"/>
  <c r="N75" i="1"/>
  <c r="J132" i="65"/>
  <c r="J14" i="65" s="1"/>
  <c r="Q210" i="61"/>
  <c r="H210" i="61"/>
  <c r="R638" i="60"/>
  <c r="AB356" i="61"/>
  <c r="I47" i="58"/>
  <c r="H601" i="55"/>
  <c r="H442" i="55" s="1"/>
  <c r="AU601" i="55"/>
  <c r="R163" i="53"/>
  <c r="S163" i="53" s="1"/>
  <c r="DN45" i="56"/>
  <c r="O45" i="56"/>
  <c r="L218" i="61"/>
  <c r="O350" i="61"/>
  <c r="J61" i="58"/>
  <c r="L62" i="19"/>
  <c r="D18" i="37"/>
  <c r="H602" i="55"/>
  <c r="H443" i="55" s="1"/>
  <c r="AU602" i="55"/>
  <c r="H599" i="55"/>
  <c r="H440" i="55" s="1"/>
  <c r="AU599" i="55"/>
  <c r="L346" i="61"/>
  <c r="AF346" i="61"/>
  <c r="L355" i="19"/>
  <c r="F70" i="19"/>
  <c r="H598" i="55"/>
  <c r="AE707" i="55"/>
  <c r="AU598" i="55"/>
  <c r="AB363" i="61"/>
  <c r="R645" i="60"/>
  <c r="R59" i="1"/>
  <c r="R53" i="1"/>
  <c r="Q329" i="61"/>
  <c r="N197" i="61"/>
  <c r="G79" i="56"/>
  <c r="N207" i="61"/>
  <c r="Q339" i="61"/>
  <c r="AB279" i="58"/>
  <c r="AB282" i="58" s="1"/>
  <c r="AB284" i="58" s="1"/>
  <c r="O286" i="61"/>
  <c r="R286" i="61" s="1"/>
  <c r="R288" i="61" s="1"/>
  <c r="O414" i="61"/>
  <c r="F85" i="56"/>
  <c r="DN47" i="56"/>
  <c r="O47" i="56"/>
  <c r="G66" i="56"/>
  <c r="L329" i="61"/>
  <c r="AF329" i="61"/>
  <c r="O220" i="61"/>
  <c r="R220" i="61" s="1"/>
  <c r="I62" i="61"/>
  <c r="F220" i="61"/>
  <c r="AF599" i="55"/>
  <c r="I19" i="58"/>
  <c r="AB346" i="61"/>
  <c r="R628" i="60"/>
  <c r="F99" i="37"/>
  <c r="F106" i="37" s="1"/>
  <c r="F108" i="37" s="1"/>
  <c r="E8" i="36"/>
  <c r="E43" i="36" s="1"/>
  <c r="P358" i="61"/>
  <c r="M259" i="61"/>
  <c r="F248" i="19"/>
  <c r="D99" i="38"/>
  <c r="G85" i="56"/>
  <c r="I20" i="58"/>
  <c r="J378" i="56"/>
  <c r="Q378" i="56" s="1"/>
  <c r="Q380" i="56" s="1"/>
  <c r="J56" i="58"/>
  <c r="J68" i="58"/>
  <c r="K372" i="19"/>
  <c r="R372" i="19" s="1"/>
  <c r="R374" i="19" s="1"/>
  <c r="J26" i="61"/>
  <c r="G192" i="61"/>
  <c r="P192" i="61"/>
  <c r="U143" i="63"/>
  <c r="F388" i="1" s="1"/>
  <c r="R537" i="55" s="1"/>
  <c r="R416" i="55" s="1"/>
  <c r="AB355" i="61"/>
  <c r="R637" i="60"/>
  <c r="I85" i="61"/>
  <c r="F225" i="61"/>
  <c r="F85" i="61" s="1"/>
  <c r="O225" i="61"/>
  <c r="R225" i="61" s="1"/>
  <c r="K312" i="58"/>
  <c r="K440" i="58"/>
  <c r="L363" i="61"/>
  <c r="AF363" i="61"/>
  <c r="N257" i="61"/>
  <c r="Q356" i="61"/>
  <c r="DQ116" i="58"/>
  <c r="R116" i="58"/>
  <c r="AE48" i="19"/>
  <c r="N96" i="19"/>
  <c r="F54" i="19"/>
  <c r="E33" i="36"/>
  <c r="U146" i="63"/>
  <c r="F391" i="1" s="1"/>
  <c r="R540" i="55" s="1"/>
  <c r="R419" i="55" s="1"/>
  <c r="U139" i="63"/>
  <c r="F384" i="1" s="1"/>
  <c r="R533" i="55" s="1"/>
  <c r="R412" i="55" s="1"/>
  <c r="U140" i="63"/>
  <c r="F385" i="1" s="1"/>
  <c r="R534" i="55" s="1"/>
  <c r="R413" i="55" s="1"/>
  <c r="J430" i="58"/>
  <c r="J303" i="58"/>
  <c r="C18" i="53"/>
  <c r="C22" i="53" s="1"/>
  <c r="C26" i="53" s="1"/>
  <c r="D22" i="53"/>
  <c r="G5" i="55" s="1"/>
  <c r="Z433" i="61"/>
  <c r="W435" i="61" s="1"/>
  <c r="J18" i="61"/>
  <c r="J60" i="61"/>
  <c r="P217" i="61"/>
  <c r="G217" i="61"/>
  <c r="L30" i="19"/>
  <c r="F94" i="19"/>
  <c r="X49" i="56"/>
  <c r="AB329" i="61"/>
  <c r="R611" i="60"/>
  <c r="AB331" i="61"/>
  <c r="R613" i="60"/>
  <c r="E54" i="37"/>
  <c r="J58" i="58"/>
  <c r="R402" i="61"/>
  <c r="R404" i="61" s="1"/>
  <c r="G667" i="60"/>
  <c r="H667" i="60" s="1"/>
  <c r="G111" i="56"/>
  <c r="G94" i="56"/>
  <c r="DN67" i="56"/>
  <c r="O67" i="56"/>
  <c r="J45" i="58"/>
  <c r="F189" i="61"/>
  <c r="I18" i="61"/>
  <c r="O189" i="61"/>
  <c r="R189" i="61" s="1"/>
  <c r="W730" i="55"/>
  <c r="AI728" i="55"/>
  <c r="K728" i="55" s="1"/>
  <c r="N728" i="55" s="1"/>
  <c r="N730" i="55" s="1"/>
  <c r="X51" i="66" s="1"/>
  <c r="G718" i="55"/>
  <c r="AE718" i="55"/>
  <c r="I718" i="55" s="1"/>
  <c r="F82" i="56"/>
  <c r="DN21" i="56"/>
  <c r="O21" i="56"/>
  <c r="L355" i="61"/>
  <c r="AF355" i="61"/>
  <c r="AB459" i="58"/>
  <c r="I35" i="58"/>
  <c r="AD320" i="61"/>
  <c r="AD394" i="61" s="1"/>
  <c r="AC257" i="61" s="1"/>
  <c r="Q649" i="60"/>
  <c r="J29" i="61"/>
  <c r="J48" i="58"/>
  <c r="X71" i="56"/>
  <c r="G661" i="60"/>
  <c r="H661" i="60" s="1"/>
  <c r="G27" i="53"/>
  <c r="P266" i="56"/>
  <c r="P380" i="56"/>
  <c r="M348" i="61"/>
  <c r="AH348" i="61"/>
  <c r="I26" i="61"/>
  <c r="F192" i="61"/>
  <c r="O192" i="61"/>
  <c r="R192" i="61" s="1"/>
  <c r="J30" i="61"/>
  <c r="G198" i="61"/>
  <c r="P198" i="61"/>
  <c r="AF331" i="61"/>
  <c r="L331" i="61"/>
  <c r="K143" i="61"/>
  <c r="L278" i="61"/>
  <c r="K88" i="58"/>
  <c r="K97" i="58"/>
  <c r="I33" i="58"/>
  <c r="Q357" i="61"/>
  <c r="N258" i="61"/>
  <c r="I48" i="61"/>
  <c r="F208" i="61"/>
  <c r="O208" i="61"/>
  <c r="R208" i="61" s="1"/>
  <c r="M363" i="61"/>
  <c r="AH363" i="61"/>
  <c r="AL728" i="55"/>
  <c r="V730" i="55"/>
  <c r="AH728" i="55"/>
  <c r="F55" i="56"/>
  <c r="K95" i="58"/>
  <c r="I71" i="58"/>
  <c r="M331" i="61"/>
  <c r="AH331" i="61"/>
  <c r="AA414" i="61"/>
  <c r="N412" i="61"/>
  <c r="E38" i="66"/>
  <c r="E50" i="66" s="1"/>
  <c r="AF357" i="61"/>
  <c r="L357" i="61"/>
  <c r="J35" i="58"/>
  <c r="N650" i="60"/>
  <c r="K32" i="61"/>
  <c r="V48" i="19"/>
  <c r="M227" i="61"/>
  <c r="P365" i="61"/>
  <c r="J49" i="61"/>
  <c r="P209" i="61"/>
  <c r="G209" i="61"/>
  <c r="J28" i="61"/>
  <c r="P195" i="61"/>
  <c r="G195" i="61"/>
  <c r="M29" i="19"/>
  <c r="L259" i="61"/>
  <c r="O358" i="61"/>
  <c r="T23" i="54"/>
  <c r="G23" i="54" s="1"/>
  <c r="F111" i="56"/>
  <c r="AE481" i="58"/>
  <c r="Z415" i="19"/>
  <c r="AA455" i="61"/>
  <c r="X771" i="55"/>
  <c r="M78" i="1"/>
  <c r="M16" i="66" s="1"/>
  <c r="P27" i="66" s="1"/>
  <c r="M13" i="66"/>
  <c r="P24" i="66" s="1"/>
  <c r="J24" i="66" s="1"/>
  <c r="AB421" i="56"/>
  <c r="AB424" i="56" s="1"/>
  <c r="Y426" i="56" s="1"/>
  <c r="G48" i="56"/>
  <c r="I40" i="61"/>
  <c r="F204" i="61"/>
  <c r="O204" i="61"/>
  <c r="R204" i="61" s="1"/>
  <c r="R624" i="60"/>
  <c r="AB342" i="61"/>
  <c r="AU616" i="55"/>
  <c r="I58" i="58"/>
  <c r="K165" i="58"/>
  <c r="L304" i="58"/>
  <c r="G36" i="56"/>
  <c r="AB323" i="61"/>
  <c r="R605" i="60"/>
  <c r="H90" i="56"/>
  <c r="J286" i="61"/>
  <c r="J414" i="61"/>
  <c r="N216" i="61"/>
  <c r="Q348" i="61"/>
  <c r="K277" i="61"/>
  <c r="K404" i="61"/>
  <c r="AC440" i="58"/>
  <c r="M438" i="58"/>
  <c r="W63" i="53"/>
  <c r="V152" i="53"/>
  <c r="N93" i="19"/>
  <c r="N102" i="19" s="1"/>
  <c r="N22" i="19"/>
  <c r="M46" i="19"/>
  <c r="I46" i="58"/>
  <c r="Q49" i="61"/>
  <c r="H49" i="61"/>
  <c r="S49" i="61" s="1"/>
  <c r="V49" i="61" s="1"/>
  <c r="N191" i="61"/>
  <c r="Q323" i="61"/>
  <c r="G88" i="56"/>
  <c r="X38" i="56"/>
  <c r="I277" i="58"/>
  <c r="K378" i="56"/>
  <c r="AB357" i="61"/>
  <c r="R639" i="60"/>
  <c r="M338" i="61"/>
  <c r="AH338" i="61"/>
  <c r="G71" i="56"/>
  <c r="AA451" i="61"/>
  <c r="AA452" i="61" s="1"/>
  <c r="AA394" i="61"/>
  <c r="Z257" i="61" s="1"/>
  <c r="M320" i="61"/>
  <c r="AH320" i="61"/>
  <c r="H95" i="56"/>
  <c r="E18" i="37"/>
  <c r="M62" i="19"/>
  <c r="P364" i="19"/>
  <c r="P257" i="19"/>
  <c r="S257" i="19" s="1"/>
  <c r="S258" i="19" s="1"/>
  <c r="I32" i="58"/>
  <c r="AA363" i="19"/>
  <c r="Y718" i="55"/>
  <c r="Y720" i="55" s="1"/>
  <c r="W38" i="66" s="1"/>
  <c r="AB402" i="61"/>
  <c r="AB404" i="61" s="1"/>
  <c r="AF428" i="58"/>
  <c r="AF430" i="58" s="1"/>
  <c r="AC369" i="56"/>
  <c r="O62" i="1"/>
  <c r="J73" i="58"/>
  <c r="G49" i="56"/>
  <c r="I39" i="61"/>
  <c r="O203" i="61"/>
  <c r="R203" i="61" s="1"/>
  <c r="F203" i="61"/>
  <c r="G54" i="19"/>
  <c r="F33" i="36"/>
  <c r="F58" i="56"/>
  <c r="J251" i="61"/>
  <c r="N94" i="19"/>
  <c r="AE94" i="19" s="1"/>
  <c r="K75" i="58"/>
  <c r="R640" i="60"/>
  <c r="AB358" i="61"/>
  <c r="N196" i="61"/>
  <c r="Q328" i="61"/>
  <c r="N402" i="61"/>
  <c r="AA404" i="61"/>
  <c r="AA447" i="61"/>
  <c r="I49" i="61"/>
  <c r="L210" i="61"/>
  <c r="O342" i="61"/>
  <c r="M335" i="61"/>
  <c r="AH335" i="61"/>
  <c r="K157" i="58"/>
  <c r="L314" i="58"/>
  <c r="T37" i="19"/>
  <c r="F101" i="19"/>
  <c r="G59" i="56"/>
  <c r="AB360" i="61"/>
  <c r="R642" i="60"/>
  <c r="L360" i="61"/>
  <c r="AF360" i="61"/>
  <c r="R39" i="66"/>
  <c r="M39" i="66" s="1"/>
  <c r="F216" i="61"/>
  <c r="I59" i="61"/>
  <c r="O216" i="61"/>
  <c r="R216" i="61" s="1"/>
  <c r="M190" i="61"/>
  <c r="P322" i="61"/>
  <c r="H266" i="19"/>
  <c r="H374" i="19"/>
  <c r="J30" i="58"/>
  <c r="P350" i="61"/>
  <c r="M218" i="61"/>
  <c r="M346" i="61"/>
  <c r="AH346" i="61"/>
  <c r="AE708" i="55"/>
  <c r="J84" i="61"/>
  <c r="J106" i="58"/>
  <c r="N215" i="61"/>
  <c r="Q347" i="61"/>
  <c r="I28" i="61"/>
  <c r="I30" i="58"/>
  <c r="J34" i="58"/>
  <c r="F28" i="40"/>
  <c r="F30" i="40" s="1"/>
  <c r="F20" i="40"/>
  <c r="M210" i="61"/>
  <c r="P342" i="61"/>
  <c r="AE440" i="58"/>
  <c r="N438" i="58"/>
  <c r="L338" i="61"/>
  <c r="AF338" i="61"/>
  <c r="J93" i="61"/>
  <c r="M352" i="61"/>
  <c r="AH352" i="61"/>
  <c r="AB354" i="61"/>
  <c r="R636" i="60"/>
  <c r="N224" i="61"/>
  <c r="Q361" i="61"/>
  <c r="G31" i="56"/>
  <c r="G103" i="56"/>
  <c r="F19" i="61"/>
  <c r="DM19" i="61"/>
  <c r="O19" i="61"/>
  <c r="T19" i="61"/>
  <c r="V19" i="61" s="1"/>
  <c r="J36" i="58"/>
  <c r="P374" i="19"/>
  <c r="P266" i="19"/>
  <c r="S266" i="19" s="1"/>
  <c r="S268" i="19" s="1"/>
  <c r="J18" i="58"/>
  <c r="AI718" i="55"/>
  <c r="K718" i="55" s="1"/>
  <c r="W720" i="55"/>
  <c r="U38" i="66" s="1"/>
  <c r="P38" i="66" s="1"/>
  <c r="J38" i="66" s="1"/>
  <c r="W763" i="55"/>
  <c r="N201" i="61"/>
  <c r="Q333" i="61"/>
  <c r="G38" i="56"/>
  <c r="F248" i="56"/>
  <c r="H266" i="56"/>
  <c r="H380" i="56"/>
  <c r="L343" i="61"/>
  <c r="AF343" i="61"/>
  <c r="AB359" i="61"/>
  <c r="R641" i="60"/>
  <c r="F34" i="56"/>
  <c r="H604" i="55"/>
  <c r="H445" i="55" s="1"/>
  <c r="AU604" i="55"/>
  <c r="F79" i="56"/>
  <c r="DN19" i="56"/>
  <c r="F103" i="56"/>
  <c r="J418" i="1"/>
  <c r="H418" i="1"/>
  <c r="I418" i="1" s="1"/>
  <c r="Y414" i="61"/>
  <c r="M412" i="61"/>
  <c r="P412" i="61" s="1"/>
  <c r="P414" i="61" s="1"/>
  <c r="I18" i="58"/>
  <c r="N194" i="61"/>
  <c r="Q326" i="61"/>
  <c r="Q345" i="61"/>
  <c r="N213" i="61"/>
  <c r="K93" i="58"/>
  <c r="J115" i="58"/>
  <c r="G96" i="19"/>
  <c r="M48" i="19"/>
  <c r="U48" i="19" s="1"/>
  <c r="F50" i="36"/>
  <c r="I21" i="58"/>
  <c r="G58" i="56"/>
  <c r="AB338" i="61"/>
  <c r="R620" i="60"/>
  <c r="J27" i="61"/>
  <c r="P193" i="61"/>
  <c r="G193" i="61"/>
  <c r="J277" i="61"/>
  <c r="J404" i="61"/>
  <c r="L354" i="61"/>
  <c r="AF354" i="61"/>
  <c r="H72" i="56"/>
  <c r="N198" i="61"/>
  <c r="Q330" i="61"/>
  <c r="L132" i="65"/>
  <c r="L14" i="65" s="1"/>
  <c r="G24" i="56"/>
  <c r="R58" i="1"/>
  <c r="R45" i="1"/>
  <c r="R46" i="1" s="1"/>
  <c r="I29" i="61"/>
  <c r="F196" i="61"/>
  <c r="O196" i="61"/>
  <c r="R196" i="61" s="1"/>
  <c r="J62" i="61"/>
  <c r="H142" i="56"/>
  <c r="I258" i="56"/>
  <c r="R412" i="61"/>
  <c r="R414" i="61" s="1"/>
  <c r="G38" i="19"/>
  <c r="F15" i="36"/>
  <c r="K86" i="58"/>
  <c r="N217" i="61"/>
  <c r="Q349" i="61"/>
  <c r="AB326" i="61"/>
  <c r="R608" i="60"/>
  <c r="P225" i="61"/>
  <c r="J85" i="61"/>
  <c r="P85" i="61" s="1"/>
  <c r="G225" i="61"/>
  <c r="G85" i="61" s="1"/>
  <c r="K363" i="19"/>
  <c r="R363" i="19" s="1"/>
  <c r="R364" i="19" s="1"/>
  <c r="Z407" i="19"/>
  <c r="H600" i="55"/>
  <c r="H441" i="55" s="1"/>
  <c r="AU600" i="55"/>
  <c r="I84" i="61"/>
  <c r="F224" i="61"/>
  <c r="F84" i="61" s="1"/>
  <c r="O224" i="61"/>
  <c r="R224" i="61" s="1"/>
  <c r="G92" i="19"/>
  <c r="L361" i="56"/>
  <c r="N261" i="61"/>
  <c r="Q360" i="61"/>
  <c r="N225" i="61"/>
  <c r="Q362" i="61"/>
  <c r="R625" i="60"/>
  <c r="AB343" i="61"/>
  <c r="V438" i="58"/>
  <c r="V440" i="58" s="1"/>
  <c r="I61" i="58"/>
  <c r="K96" i="58"/>
  <c r="N195" i="61"/>
  <c r="Q327" i="61"/>
  <c r="N220" i="61"/>
  <c r="Q352" i="61"/>
  <c r="I72" i="58"/>
  <c r="N223" i="61"/>
  <c r="Q355" i="61"/>
  <c r="DN32" i="56"/>
  <c r="N214" i="61"/>
  <c r="Q346" i="61"/>
  <c r="AB345" i="61"/>
  <c r="R627" i="60"/>
  <c r="Q66" i="66"/>
  <c r="K66" i="66" s="1"/>
  <c r="H257" i="19"/>
  <c r="H364" i="19"/>
  <c r="F92" i="19"/>
  <c r="C12" i="14"/>
  <c r="G93" i="19"/>
  <c r="M17" i="19"/>
  <c r="C21" i="15"/>
  <c r="C23" i="15" s="1"/>
  <c r="F9" i="13" s="1"/>
  <c r="M329" i="61"/>
  <c r="AH329" i="61"/>
  <c r="N260" i="61"/>
  <c r="Q359" i="61"/>
  <c r="K85" i="58"/>
  <c r="Q594" i="60"/>
  <c r="Q592" i="60"/>
  <c r="Q519" i="60" s="1"/>
  <c r="O792" i="60"/>
  <c r="H84" i="56"/>
  <c r="J371" i="56"/>
  <c r="J365" i="19"/>
  <c r="J721" i="55"/>
  <c r="T46" i="1"/>
  <c r="G419" i="1" s="1"/>
  <c r="M431" i="58"/>
  <c r="M405" i="61"/>
  <c r="G257" i="19"/>
  <c r="G364" i="19"/>
  <c r="N219" i="61"/>
  <c r="Q351" i="61"/>
  <c r="G213" i="55"/>
  <c r="S369" i="56"/>
  <c r="S370" i="56" s="1"/>
  <c r="K135" i="61"/>
  <c r="L288" i="61"/>
  <c r="E20" i="34"/>
  <c r="I68" i="58"/>
  <c r="L326" i="61"/>
  <c r="AF326" i="61"/>
  <c r="M45" i="19"/>
  <c r="H83" i="56"/>
  <c r="J22" i="58"/>
  <c r="J38" i="61"/>
  <c r="N202" i="61"/>
  <c r="Q334" i="61"/>
  <c r="K369" i="56"/>
  <c r="R369" i="56" s="1"/>
  <c r="R370" i="56" s="1"/>
  <c r="AB413" i="56"/>
  <c r="F95" i="19"/>
  <c r="E24" i="36"/>
  <c r="R647" i="60"/>
  <c r="AB365" i="61"/>
  <c r="M339" i="61"/>
  <c r="AH339" i="61"/>
  <c r="K94" i="58"/>
  <c r="AA37" i="58"/>
  <c r="Q353" i="61"/>
  <c r="N221" i="61"/>
  <c r="G248" i="56"/>
  <c r="M30" i="19"/>
  <c r="G94" i="19"/>
  <c r="M402" i="61"/>
  <c r="Y404" i="61"/>
  <c r="Y447" i="61"/>
  <c r="M359" i="61"/>
  <c r="AH359" i="61"/>
  <c r="AH438" i="58"/>
  <c r="AH440" i="58" s="1"/>
  <c r="AD412" i="61"/>
  <c r="AD414" i="61" s="1"/>
  <c r="AA728" i="55"/>
  <c r="AA730" i="55" s="1"/>
  <c r="J49" i="58"/>
  <c r="I44" i="58"/>
  <c r="DN33" i="56"/>
  <c r="K87" i="58"/>
  <c r="H730" i="55"/>
  <c r="R51" i="66" s="1"/>
  <c r="M51" i="66" s="1"/>
  <c r="H564" i="55"/>
  <c r="K84" i="58"/>
  <c r="M337" i="61"/>
  <c r="AH337" i="61"/>
  <c r="J60" i="58"/>
  <c r="I23" i="58"/>
  <c r="Q167" i="60"/>
  <c r="Q169" i="60" s="1"/>
  <c r="Q268" i="60" s="1"/>
  <c r="Q290" i="60" s="1"/>
  <c r="Q292" i="60" s="1"/>
  <c r="Q165" i="60"/>
  <c r="L46" i="19"/>
  <c r="L345" i="61"/>
  <c r="AF345" i="61"/>
  <c r="U141" i="63"/>
  <c r="F386" i="1" s="1"/>
  <c r="R535" i="55" s="1"/>
  <c r="R414" i="55" s="1"/>
  <c r="K90" i="58"/>
  <c r="G80" i="56"/>
  <c r="M321" i="61"/>
  <c r="AH321" i="61"/>
  <c r="F38" i="19"/>
  <c r="E15" i="36"/>
  <c r="L29" i="19"/>
  <c r="G95" i="19"/>
  <c r="F24" i="36"/>
  <c r="T33" i="19"/>
  <c r="F97" i="19"/>
  <c r="DM94" i="61"/>
  <c r="DN22" i="56"/>
  <c r="F88" i="56"/>
  <c r="O22" i="56"/>
  <c r="P78" i="1"/>
  <c r="P13" i="66"/>
  <c r="S24" i="66" s="1"/>
  <c r="K83" i="58"/>
  <c r="J40" i="61"/>
  <c r="Q363" i="61"/>
  <c r="N264" i="61"/>
  <c r="F48" i="56"/>
  <c r="M200" i="61"/>
  <c r="P332" i="61"/>
  <c r="M328" i="61"/>
  <c r="AH328" i="61"/>
  <c r="I57" i="58"/>
  <c r="K132" i="65"/>
  <c r="K14" i="65" s="1"/>
  <c r="F71" i="56"/>
  <c r="G204" i="55"/>
  <c r="H140" i="19"/>
  <c r="I268" i="19"/>
  <c r="F35" i="56"/>
  <c r="DQ107" i="58"/>
  <c r="R107" i="58"/>
  <c r="H614" i="55"/>
  <c r="H455" i="55" s="1"/>
  <c r="AU614" i="55"/>
  <c r="L339" i="61"/>
  <c r="AF339" i="61"/>
  <c r="J31" i="58"/>
  <c r="M357" i="61"/>
  <c r="AH357" i="61"/>
  <c r="O164" i="60"/>
  <c r="O168" i="60" s="1"/>
  <c r="N19" i="61"/>
  <c r="H190" i="61"/>
  <c r="Q190" i="61"/>
  <c r="AE430" i="58"/>
  <c r="AE473" i="58"/>
  <c r="N428" i="58"/>
  <c r="Q428" i="58" s="1"/>
  <c r="Q430" i="58" s="1"/>
  <c r="DM37" i="61"/>
  <c r="T37" i="61"/>
  <c r="O37" i="61"/>
  <c r="O43" i="61" s="1"/>
  <c r="R43" i="61" s="1"/>
  <c r="F37" i="61"/>
  <c r="F43" i="61" s="1"/>
  <c r="R65" i="66"/>
  <c r="M65" i="66" s="1"/>
  <c r="G439" i="55"/>
  <c r="G318" i="55" s="1"/>
  <c r="G17" i="55" s="1"/>
  <c r="G131" i="55" s="1"/>
  <c r="L227" i="61"/>
  <c r="O365" i="61"/>
  <c r="F357" i="60"/>
  <c r="J358" i="60"/>
  <c r="G208" i="61"/>
  <c r="J48" i="61"/>
  <c r="P208" i="61"/>
  <c r="G89" i="56"/>
  <c r="K92" i="58"/>
  <c r="I48" i="58"/>
  <c r="M354" i="61"/>
  <c r="AH354" i="61"/>
  <c r="J19" i="58"/>
  <c r="K73" i="61"/>
  <c r="H257" i="56"/>
  <c r="H370" i="56"/>
  <c r="G370" i="56"/>
  <c r="G257" i="56"/>
  <c r="J57" i="58"/>
  <c r="N37" i="61"/>
  <c r="Q200" i="61"/>
  <c r="H200" i="61"/>
  <c r="J70" i="58"/>
  <c r="R621" i="60"/>
  <c r="AB339" i="61"/>
  <c r="I31" i="58"/>
  <c r="H86" i="56"/>
  <c r="R163" i="60"/>
  <c r="R164" i="60" s="1"/>
  <c r="R168" i="60" s="1"/>
  <c r="R235" i="60"/>
  <c r="O303" i="58"/>
  <c r="O430" i="58"/>
  <c r="I69" i="58"/>
  <c r="N118" i="61"/>
  <c r="H118" i="61" s="1"/>
  <c r="Q259" i="61"/>
  <c r="Q118" i="61" s="1"/>
  <c r="I115" i="58"/>
  <c r="J32" i="58"/>
  <c r="AE728" i="55"/>
  <c r="I728" i="55" s="1"/>
  <c r="G728" i="55"/>
  <c r="J51" i="61"/>
  <c r="Q57" i="55" l="1"/>
  <c r="H187" i="55"/>
  <c r="Q102" i="55"/>
  <c r="H192" i="55"/>
  <c r="Q124" i="55"/>
  <c r="H194" i="55"/>
  <c r="Q58" i="55"/>
  <c r="H188" i="55"/>
  <c r="Q80" i="55"/>
  <c r="H190" i="55"/>
  <c r="Q111" i="55"/>
  <c r="Q397" i="55"/>
  <c r="H136" i="55"/>
  <c r="Q460" i="55"/>
  <c r="S460" i="55" s="1"/>
  <c r="S349" i="55" s="1"/>
  <c r="H336" i="55"/>
  <c r="H40" i="55" s="1"/>
  <c r="H169" i="55" s="1"/>
  <c r="Q89" i="55"/>
  <c r="H172" i="55"/>
  <c r="Q521" i="55"/>
  <c r="Q39" i="55"/>
  <c r="H163" i="55"/>
  <c r="H153" i="55"/>
  <c r="Q46" i="55"/>
  <c r="S46" i="55" s="1"/>
  <c r="H141" i="55"/>
  <c r="H137" i="55"/>
  <c r="H361" i="55"/>
  <c r="H70" i="55" s="1"/>
  <c r="Q70" i="55" s="1"/>
  <c r="S70" i="55" s="1"/>
  <c r="Q121" i="55"/>
  <c r="S121" i="55" s="1"/>
  <c r="Q73" i="55"/>
  <c r="S73" i="55" s="1"/>
  <c r="Q117" i="55"/>
  <c r="S117" i="55" s="1"/>
  <c r="Q119" i="55"/>
  <c r="S119" i="55" s="1"/>
  <c r="H383" i="55"/>
  <c r="H97" i="55" s="1"/>
  <c r="Q54" i="55"/>
  <c r="Q95" i="55"/>
  <c r="Q49" i="55"/>
  <c r="S499" i="55"/>
  <c r="S384" i="55" s="1"/>
  <c r="Q384" i="55"/>
  <c r="S466" i="55"/>
  <c r="S346" i="55" s="1"/>
  <c r="Q346" i="55"/>
  <c r="S518" i="55"/>
  <c r="S396" i="55" s="1"/>
  <c r="Q396" i="55"/>
  <c r="S488" i="55"/>
  <c r="S357" i="55" s="1"/>
  <c r="Q357" i="55"/>
  <c r="S522" i="55"/>
  <c r="S391" i="55" s="1"/>
  <c r="Q391" i="55"/>
  <c r="Q446" i="55"/>
  <c r="H319" i="55"/>
  <c r="H18" i="55" s="1"/>
  <c r="H160" i="55" s="1"/>
  <c r="S459" i="55"/>
  <c r="S348" i="55" s="1"/>
  <c r="Q348" i="55"/>
  <c r="S490" i="55"/>
  <c r="S369" i="55" s="1"/>
  <c r="Q369" i="55"/>
  <c r="Q450" i="55"/>
  <c r="H329" i="55"/>
  <c r="H28" i="55" s="1"/>
  <c r="H174" i="55" s="1"/>
  <c r="S513" i="55"/>
  <c r="S394" i="55" s="1"/>
  <c r="Q394" i="55"/>
  <c r="S470" i="55"/>
  <c r="S337" i="55" s="1"/>
  <c r="Q337" i="55"/>
  <c r="S489" i="55"/>
  <c r="S358" i="55" s="1"/>
  <c r="Q358" i="55"/>
  <c r="S524" i="55"/>
  <c r="S403" i="55" s="1"/>
  <c r="Q403" i="55"/>
  <c r="Q447" i="55"/>
  <c r="H320" i="55"/>
  <c r="H19" i="55" s="1"/>
  <c r="H161" i="55" s="1"/>
  <c r="Q452" i="55"/>
  <c r="H331" i="55"/>
  <c r="H30" i="55" s="1"/>
  <c r="H185" i="55" s="1"/>
  <c r="S471" i="55"/>
  <c r="S350" i="55" s="1"/>
  <c r="Q350" i="55"/>
  <c r="Q449" i="55"/>
  <c r="H322" i="55"/>
  <c r="H21" i="55" s="1"/>
  <c r="H168" i="55" s="1"/>
  <c r="Q453" i="55"/>
  <c r="H332" i="55"/>
  <c r="H31" i="55" s="1"/>
  <c r="H186" i="55" s="1"/>
  <c r="S456" i="55"/>
  <c r="S339" i="55" s="1"/>
  <c r="Q339" i="55"/>
  <c r="S463" i="55"/>
  <c r="S343" i="55" s="1"/>
  <c r="Q343" i="55"/>
  <c r="S516" i="55"/>
  <c r="S401" i="55" s="1"/>
  <c r="Q401" i="55"/>
  <c r="Q448" i="55"/>
  <c r="H321" i="55"/>
  <c r="H20" i="55" s="1"/>
  <c r="H167" i="55" s="1"/>
  <c r="S502" i="55"/>
  <c r="S380" i="55" s="1"/>
  <c r="Q380" i="55"/>
  <c r="S526" i="55"/>
  <c r="S405" i="55" s="1"/>
  <c r="Q405" i="55"/>
  <c r="S468" i="55"/>
  <c r="S335" i="55" s="1"/>
  <c r="Q335" i="55"/>
  <c r="Q451" i="55"/>
  <c r="H330" i="55"/>
  <c r="H29" i="55" s="1"/>
  <c r="H175" i="55" s="1"/>
  <c r="S487" i="55"/>
  <c r="S365" i="55" s="1"/>
  <c r="Q365" i="55"/>
  <c r="S467" i="55"/>
  <c r="S334" i="55" s="1"/>
  <c r="Q334" i="55"/>
  <c r="S475" i="55"/>
  <c r="S354" i="55" s="1"/>
  <c r="Q354" i="55"/>
  <c r="S469" i="55"/>
  <c r="S336" i="55" s="1"/>
  <c r="Q336" i="55"/>
  <c r="S479" i="55"/>
  <c r="S360" i="55" s="1"/>
  <c r="Q360" i="55"/>
  <c r="S505" i="55"/>
  <c r="S374" i="55" s="1"/>
  <c r="Q374" i="55"/>
  <c r="S523" i="55"/>
  <c r="S392" i="55" s="1"/>
  <c r="Q392" i="55"/>
  <c r="S482" i="55"/>
  <c r="S367" i="55" s="1"/>
  <c r="Q367" i="55"/>
  <c r="S509" i="55"/>
  <c r="S388" i="55" s="1"/>
  <c r="Q388" i="55"/>
  <c r="S474" i="55"/>
  <c r="S353" i="55" s="1"/>
  <c r="Q353" i="55"/>
  <c r="S485" i="55"/>
  <c r="S363" i="55" s="1"/>
  <c r="Q363" i="55"/>
  <c r="S504" i="55"/>
  <c r="S382" i="55" s="1"/>
  <c r="Q382" i="55"/>
  <c r="S496" i="55"/>
  <c r="S377" i="55" s="1"/>
  <c r="Q377" i="55"/>
  <c r="S492" i="55"/>
  <c r="S371" i="55" s="1"/>
  <c r="Q371" i="55"/>
  <c r="S506" i="55"/>
  <c r="S375" i="55" s="1"/>
  <c r="Q375" i="55"/>
  <c r="S507" i="55"/>
  <c r="S386" i="55" s="1"/>
  <c r="Q386" i="55"/>
  <c r="S472" i="55"/>
  <c r="S351" i="55" s="1"/>
  <c r="Q351" i="55"/>
  <c r="S497" i="55"/>
  <c r="S378" i="55" s="1"/>
  <c r="Q378" i="55"/>
  <c r="S503" i="55"/>
  <c r="S381" i="55" s="1"/>
  <c r="Q381" i="55"/>
  <c r="S477" i="55"/>
  <c r="S356" i="55" s="1"/>
  <c r="Q356" i="55"/>
  <c r="S464" i="55"/>
  <c r="S344" i="55" s="1"/>
  <c r="Q344" i="55"/>
  <c r="S512" i="55"/>
  <c r="S393" i="55" s="1"/>
  <c r="Q393" i="55"/>
  <c r="S484" i="55"/>
  <c r="S362" i="55" s="1"/>
  <c r="Q362" i="55"/>
  <c r="S461" i="55"/>
  <c r="S341" i="55" s="1"/>
  <c r="Q341" i="55"/>
  <c r="S528" i="55"/>
  <c r="S407" i="55" s="1"/>
  <c r="Q407" i="55"/>
  <c r="S458" i="55"/>
  <c r="S347" i="55" s="1"/>
  <c r="Q347" i="55"/>
  <c r="S481" i="55"/>
  <c r="S366" i="55" s="1"/>
  <c r="Q366" i="55"/>
  <c r="S520" i="55"/>
  <c r="S398" i="55" s="1"/>
  <c r="Q398" i="55"/>
  <c r="S494" i="55"/>
  <c r="S373" i="55" s="1"/>
  <c r="Q373" i="55"/>
  <c r="S517" i="55"/>
  <c r="S402" i="55" s="1"/>
  <c r="Q402" i="55"/>
  <c r="S483" i="55"/>
  <c r="S368" i="55" s="1"/>
  <c r="Q368" i="55"/>
  <c r="S515" i="55"/>
  <c r="S400" i="55" s="1"/>
  <c r="Q400" i="55"/>
  <c r="S529" i="55"/>
  <c r="S408" i="55" s="1"/>
  <c r="Q408" i="55"/>
  <c r="S530" i="55"/>
  <c r="S409" i="55" s="1"/>
  <c r="Q409" i="55"/>
  <c r="S501" i="55"/>
  <c r="S379" i="55" s="1"/>
  <c r="Q379" i="55"/>
  <c r="S462" i="55"/>
  <c r="S342" i="55" s="1"/>
  <c r="Q342" i="55"/>
  <c r="S465" i="55"/>
  <c r="S345" i="55" s="1"/>
  <c r="Q345" i="55"/>
  <c r="S486" i="55"/>
  <c r="S364" i="55" s="1"/>
  <c r="Q364" i="55"/>
  <c r="S500" i="55"/>
  <c r="S385" i="55" s="1"/>
  <c r="Q385" i="55"/>
  <c r="S495" i="55"/>
  <c r="S376" i="55" s="1"/>
  <c r="Q376" i="55"/>
  <c r="S498" i="55"/>
  <c r="S383" i="55" s="1"/>
  <c r="Q383" i="55"/>
  <c r="S480" i="55"/>
  <c r="S361" i="55" s="1"/>
  <c r="Q361" i="55"/>
  <c r="Q444" i="55"/>
  <c r="H326" i="55"/>
  <c r="H25" i="55" s="1"/>
  <c r="H149" i="55" s="1"/>
  <c r="Q454" i="55"/>
  <c r="H333" i="55"/>
  <c r="H37" i="55" s="1"/>
  <c r="Q514" i="55"/>
  <c r="H395" i="55"/>
  <c r="H114" i="55" s="1"/>
  <c r="Q478" i="55"/>
  <c r="H359" i="55"/>
  <c r="H68" i="55" s="1"/>
  <c r="Q457" i="55"/>
  <c r="H340" i="55"/>
  <c r="H44" i="55" s="1"/>
  <c r="Q455" i="55"/>
  <c r="H338" i="55"/>
  <c r="H42" i="55" s="1"/>
  <c r="Q441" i="55"/>
  <c r="H328" i="55"/>
  <c r="H27" i="55" s="1"/>
  <c r="Q511" i="55"/>
  <c r="H390" i="55"/>
  <c r="H109" i="55" s="1"/>
  <c r="Q440" i="55"/>
  <c r="H323" i="55"/>
  <c r="H22" i="55" s="1"/>
  <c r="Q443" i="55"/>
  <c r="H325" i="55"/>
  <c r="H24" i="55" s="1"/>
  <c r="H139" i="55" s="1"/>
  <c r="Q442" i="55"/>
  <c r="H324" i="55"/>
  <c r="H23" i="55" s="1"/>
  <c r="H138" i="55" s="1"/>
  <c r="Q531" i="55"/>
  <c r="H410" i="55"/>
  <c r="Q445" i="55"/>
  <c r="H327" i="55"/>
  <c r="H26" i="55" s="1"/>
  <c r="H150" i="55" s="1"/>
  <c r="Q52" i="55"/>
  <c r="S52" i="55" s="1"/>
  <c r="Q50" i="55"/>
  <c r="S50" i="55" s="1"/>
  <c r="Q51" i="55"/>
  <c r="S51" i="55" s="1"/>
  <c r="Q99" i="55"/>
  <c r="S99" i="55" s="1"/>
  <c r="Q98" i="55"/>
  <c r="S98" i="55" s="1"/>
  <c r="Q76" i="55"/>
  <c r="S76" i="55" s="1"/>
  <c r="Q120" i="55"/>
  <c r="S120" i="55" s="1"/>
  <c r="Q78" i="55"/>
  <c r="Q53" i="55"/>
  <c r="Q56" i="55"/>
  <c r="Q100" i="55"/>
  <c r="Q122" i="55"/>
  <c r="P75" i="55"/>
  <c r="P39" i="55"/>
  <c r="Q67" i="55"/>
  <c r="P111" i="55"/>
  <c r="P92" i="55"/>
  <c r="P89" i="55"/>
  <c r="I387" i="1"/>
  <c r="R536" i="55"/>
  <c r="R415" i="55" s="1"/>
  <c r="I390" i="1"/>
  <c r="R539" i="55"/>
  <c r="R418" i="55" s="1"/>
  <c r="J672" i="60"/>
  <c r="G126" i="55"/>
  <c r="S52" i="54" s="1"/>
  <c r="P122" i="55"/>
  <c r="G104" i="55"/>
  <c r="S51" i="54" s="1"/>
  <c r="P100" i="55"/>
  <c r="G82" i="55"/>
  <c r="S50" i="54" s="1"/>
  <c r="P77" i="55"/>
  <c r="P78" i="55"/>
  <c r="G60" i="55"/>
  <c r="S49" i="54" s="1"/>
  <c r="P56" i="55"/>
  <c r="P55" i="55"/>
  <c r="S55" i="55"/>
  <c r="P54" i="55"/>
  <c r="S54" i="55"/>
  <c r="P28" i="55"/>
  <c r="P30" i="55"/>
  <c r="P31" i="55"/>
  <c r="P29" i="55"/>
  <c r="L188" i="61"/>
  <c r="O188" i="61" s="1"/>
  <c r="O251" i="61" s="1"/>
  <c r="L394" i="61"/>
  <c r="O357" i="60"/>
  <c r="J593" i="60" s="1"/>
  <c r="J597" i="60" s="1"/>
  <c r="R358" i="60"/>
  <c r="K433" i="61"/>
  <c r="C28" i="53"/>
  <c r="N354" i="60"/>
  <c r="N357" i="60" s="1"/>
  <c r="I593" i="60" s="1"/>
  <c r="O595" i="60" s="1"/>
  <c r="I286" i="19"/>
  <c r="AG691" i="55"/>
  <c r="F397" i="1"/>
  <c r="O10" i="1" s="1"/>
  <c r="G393" i="19"/>
  <c r="K383" i="1"/>
  <c r="T691" i="55" s="1"/>
  <c r="I383" i="1"/>
  <c r="J383" i="1"/>
  <c r="U691" i="55" s="1"/>
  <c r="W437" i="61"/>
  <c r="Y763" i="55"/>
  <c r="AA407" i="19"/>
  <c r="AF473" i="58"/>
  <c r="AF478" i="58" s="1"/>
  <c r="AH478" i="58" s="1"/>
  <c r="I286" i="56"/>
  <c r="AC413" i="56"/>
  <c r="AC418" i="56" s="1"/>
  <c r="AE418" i="56" s="1"/>
  <c r="AG697" i="55"/>
  <c r="D31" i="53"/>
  <c r="I232" i="53" s="1"/>
  <c r="I233" i="53" s="1"/>
  <c r="I389" i="1"/>
  <c r="K389" i="1"/>
  <c r="T697" i="55" s="1"/>
  <c r="J389" i="1"/>
  <c r="U697" i="55" s="1"/>
  <c r="F88" i="61"/>
  <c r="H13" i="62" s="1"/>
  <c r="O56" i="62" s="1"/>
  <c r="S56" i="62" s="1"/>
  <c r="G399" i="56"/>
  <c r="O46" i="19"/>
  <c r="AD433" i="61"/>
  <c r="K459" i="58"/>
  <c r="AB447" i="61"/>
  <c r="AB452" i="61" s="1"/>
  <c r="AD452" i="61" s="1"/>
  <c r="D99" i="37"/>
  <c r="D106" i="37" s="1"/>
  <c r="D108" i="37" s="1"/>
  <c r="H399" i="56"/>
  <c r="J387" i="1"/>
  <c r="U695" i="55" s="1"/>
  <c r="K387" i="1"/>
  <c r="J459" i="58"/>
  <c r="AF728" i="55"/>
  <c r="M54" i="19"/>
  <c r="L332" i="58"/>
  <c r="L195" i="61"/>
  <c r="O327" i="61"/>
  <c r="Y433" i="61"/>
  <c r="V435" i="61" s="1"/>
  <c r="Y435" i="61" s="1"/>
  <c r="Z436" i="61" s="1"/>
  <c r="AG695" i="55"/>
  <c r="H393" i="19"/>
  <c r="L209" i="61"/>
  <c r="O341" i="61"/>
  <c r="J433" i="61"/>
  <c r="I43" i="61"/>
  <c r="DM43" i="61" s="1"/>
  <c r="M38" i="19"/>
  <c r="L306" i="61"/>
  <c r="R62" i="1"/>
  <c r="AG698" i="55"/>
  <c r="K390" i="1"/>
  <c r="T698" i="55" s="1"/>
  <c r="AF718" i="55"/>
  <c r="J390" i="1"/>
  <c r="U698" i="55" s="1"/>
  <c r="Q650" i="60"/>
  <c r="F392" i="1"/>
  <c r="E99" i="37"/>
  <c r="E106" i="37" s="1"/>
  <c r="E108" i="37" s="1"/>
  <c r="T21" i="54"/>
  <c r="G21" i="54" s="1"/>
  <c r="I88" i="61"/>
  <c r="L88" i="61" s="1"/>
  <c r="O84" i="61"/>
  <c r="R84" i="61" s="1"/>
  <c r="DM84" i="61"/>
  <c r="O79" i="56"/>
  <c r="N53" i="61"/>
  <c r="Q215" i="61"/>
  <c r="H215" i="61"/>
  <c r="G564" i="55"/>
  <c r="G730" i="55"/>
  <c r="Q51" i="66" s="1"/>
  <c r="K51" i="66" s="1"/>
  <c r="J82" i="58"/>
  <c r="H19" i="61"/>
  <c r="Q19" i="61"/>
  <c r="M37" i="61"/>
  <c r="P200" i="61"/>
  <c r="G200" i="61"/>
  <c r="Y39" i="66"/>
  <c r="L194" i="61"/>
  <c r="O326" i="61"/>
  <c r="X84" i="56"/>
  <c r="Q194" i="61"/>
  <c r="H194" i="61"/>
  <c r="J86" i="58"/>
  <c r="J39" i="58"/>
  <c r="L261" i="61"/>
  <c r="O360" i="61"/>
  <c r="AE102" i="19"/>
  <c r="K380" i="56"/>
  <c r="K266" i="56"/>
  <c r="R266" i="56" s="1"/>
  <c r="R268" i="56" s="1"/>
  <c r="DQ46" i="58"/>
  <c r="R46" i="58"/>
  <c r="J728" i="55"/>
  <c r="I555" i="55"/>
  <c r="I720" i="55"/>
  <c r="S50" i="66" s="1"/>
  <c r="L50" i="66" s="1"/>
  <c r="J71" i="61"/>
  <c r="F134" i="56"/>
  <c r="G268" i="56"/>
  <c r="DP23" i="56"/>
  <c r="DM23" i="56"/>
  <c r="O94" i="56"/>
  <c r="N157" i="58"/>
  <c r="Q157" i="58" s="1"/>
  <c r="O314" i="58"/>
  <c r="DM27" i="61"/>
  <c r="O27" i="61"/>
  <c r="T27" i="61"/>
  <c r="F27" i="61"/>
  <c r="O169" i="60"/>
  <c r="O268" i="60" s="1"/>
  <c r="O290" i="60" s="1"/>
  <c r="O292" i="60" s="1"/>
  <c r="DN36" i="56"/>
  <c r="O36" i="56"/>
  <c r="F90" i="56"/>
  <c r="E12" i="14"/>
  <c r="I95" i="58"/>
  <c r="R49" i="58"/>
  <c r="DQ49" i="58"/>
  <c r="DM60" i="61"/>
  <c r="O60" i="61"/>
  <c r="T60" i="61"/>
  <c r="F60" i="61"/>
  <c r="G92" i="56"/>
  <c r="O85" i="61"/>
  <c r="R85" i="61" s="1"/>
  <c r="DM85" i="61"/>
  <c r="J63" i="58"/>
  <c r="F78" i="56"/>
  <c r="DN18" i="56"/>
  <c r="O18" i="56"/>
  <c r="G78" i="56"/>
  <c r="I157" i="58"/>
  <c r="J314" i="58"/>
  <c r="J92" i="58"/>
  <c r="DP70" i="56"/>
  <c r="DM70" i="56"/>
  <c r="F93" i="56"/>
  <c r="DN59" i="56"/>
  <c r="O59" i="56"/>
  <c r="G61" i="56"/>
  <c r="M211" i="61"/>
  <c r="P343" i="61"/>
  <c r="O165" i="60"/>
  <c r="N43" i="61"/>
  <c r="H37" i="61"/>
  <c r="Q37" i="61"/>
  <c r="Q43" i="61" s="1"/>
  <c r="I730" i="55"/>
  <c r="S51" i="66" s="1"/>
  <c r="L51" i="66" s="1"/>
  <c r="I564" i="55"/>
  <c r="L94" i="61"/>
  <c r="O94" i="61" s="1"/>
  <c r="R94" i="61" s="1"/>
  <c r="O227" i="61"/>
  <c r="R227" i="61" s="1"/>
  <c r="F227" i="61"/>
  <c r="F94" i="61" s="1"/>
  <c r="F97" i="61" s="1"/>
  <c r="H14" i="62" s="1"/>
  <c r="O57" i="62" s="1"/>
  <c r="S57" i="62" s="1"/>
  <c r="F92" i="56"/>
  <c r="O48" i="56"/>
  <c r="DN48" i="56"/>
  <c r="O88" i="56"/>
  <c r="T95" i="19"/>
  <c r="DQ68" i="58"/>
  <c r="R68" i="58"/>
  <c r="I75" i="58"/>
  <c r="DQ75" i="58" s="1"/>
  <c r="AA86" i="58"/>
  <c r="G27" i="61"/>
  <c r="P27" i="61"/>
  <c r="I81" i="58"/>
  <c r="DQ18" i="58"/>
  <c r="R18" i="58"/>
  <c r="G134" i="56"/>
  <c r="H268" i="56"/>
  <c r="K166" i="58"/>
  <c r="N286" i="61"/>
  <c r="Q286" i="61" s="1"/>
  <c r="Q288" i="61" s="1"/>
  <c r="N414" i="61"/>
  <c r="T39" i="66"/>
  <c r="N39" i="66" s="1"/>
  <c r="H39" i="66" s="1"/>
  <c r="DQ33" i="58"/>
  <c r="R33" i="58"/>
  <c r="M222" i="61"/>
  <c r="P354" i="61"/>
  <c r="G32" i="55"/>
  <c r="DP22" i="56"/>
  <c r="DM22" i="56"/>
  <c r="Q221" i="61"/>
  <c r="H221" i="61"/>
  <c r="N64" i="61"/>
  <c r="H223" i="61"/>
  <c r="Q223" i="61"/>
  <c r="G95" i="56"/>
  <c r="AD48" i="19"/>
  <c r="M96" i="19"/>
  <c r="R378" i="56"/>
  <c r="R380" i="56" s="1"/>
  <c r="M220" i="61"/>
  <c r="P352" i="61"/>
  <c r="DQ30" i="58"/>
  <c r="R30" i="58"/>
  <c r="I39" i="58"/>
  <c r="DQ39" i="58" s="1"/>
  <c r="W253" i="61"/>
  <c r="W256" i="61" s="1"/>
  <c r="W258" i="61" s="1"/>
  <c r="M188" i="61"/>
  <c r="M394" i="61"/>
  <c r="P320" i="61"/>
  <c r="P394" i="61" s="1"/>
  <c r="Z279" i="58"/>
  <c r="Z282" i="58" s="1"/>
  <c r="Z284" i="58" s="1"/>
  <c r="AA433" i="61"/>
  <c r="X435" i="61" s="1"/>
  <c r="AJ728" i="55"/>
  <c r="L728" i="55" s="1"/>
  <c r="O728" i="55" s="1"/>
  <c r="O730" i="55" s="1"/>
  <c r="Y51" i="66" s="1"/>
  <c r="G30" i="61"/>
  <c r="J74" i="61"/>
  <c r="X72" i="56"/>
  <c r="K564" i="55"/>
  <c r="K730" i="55"/>
  <c r="U51" i="66" s="1"/>
  <c r="P51" i="66" s="1"/>
  <c r="J51" i="66" s="1"/>
  <c r="AE54" i="19"/>
  <c r="G72" i="56"/>
  <c r="N51" i="61"/>
  <c r="Q212" i="61"/>
  <c r="H212" i="61"/>
  <c r="W39" i="66"/>
  <c r="J84" i="58"/>
  <c r="DQ70" i="58"/>
  <c r="R70" i="58"/>
  <c r="M213" i="61"/>
  <c r="P345" i="61"/>
  <c r="DN49" i="56"/>
  <c r="T49" i="56"/>
  <c r="O49" i="56"/>
  <c r="M260" i="61"/>
  <c r="P359" i="61"/>
  <c r="W152" i="53"/>
  <c r="N59" i="61"/>
  <c r="H216" i="61"/>
  <c r="Q216" i="61"/>
  <c r="G555" i="55"/>
  <c r="G720" i="55"/>
  <c r="Q50" i="66" s="1"/>
  <c r="K50" i="66" s="1"/>
  <c r="T11" i="54"/>
  <c r="G11" i="54" s="1"/>
  <c r="DQ48" i="58"/>
  <c r="I88" i="58"/>
  <c r="R48" i="58"/>
  <c r="P357" i="61"/>
  <c r="M258" i="61"/>
  <c r="M189" i="61"/>
  <c r="P321" i="61"/>
  <c r="K257" i="56"/>
  <c r="R257" i="56" s="1"/>
  <c r="R258" i="56" s="1"/>
  <c r="K370" i="56"/>
  <c r="G148" i="19"/>
  <c r="H258" i="19"/>
  <c r="E97" i="34" s="1"/>
  <c r="E88" i="34"/>
  <c r="I90" i="58"/>
  <c r="DQ72" i="58"/>
  <c r="R72" i="58"/>
  <c r="K257" i="19"/>
  <c r="R257" i="19" s="1"/>
  <c r="R258" i="19" s="1"/>
  <c r="K364" i="19"/>
  <c r="M286" i="61"/>
  <c r="P286" i="61" s="1"/>
  <c r="P288" i="61" s="1"/>
  <c r="M414" i="61"/>
  <c r="K555" i="55"/>
  <c r="N555" i="55" s="1"/>
  <c r="N556" i="55" s="1"/>
  <c r="K720" i="55"/>
  <c r="U50" i="66" s="1"/>
  <c r="P50" i="66" s="1"/>
  <c r="J50" i="66" s="1"/>
  <c r="M203" i="61"/>
  <c r="P335" i="61"/>
  <c r="I135" i="61"/>
  <c r="J288" i="61"/>
  <c r="DQ58" i="58"/>
  <c r="R58" i="58"/>
  <c r="DQ35" i="58"/>
  <c r="I87" i="58"/>
  <c r="R35" i="58"/>
  <c r="U39" i="66"/>
  <c r="P39" i="66" s="1"/>
  <c r="J39" i="66" s="1"/>
  <c r="X50" i="56"/>
  <c r="L248" i="19"/>
  <c r="N248" i="19" s="1"/>
  <c r="C20" i="34"/>
  <c r="F42" i="66"/>
  <c r="DQ73" i="58"/>
  <c r="I97" i="58"/>
  <c r="R73" i="58"/>
  <c r="AB433" i="61"/>
  <c r="DQ45" i="58"/>
  <c r="R45" i="58"/>
  <c r="L219" i="61"/>
  <c r="O351" i="61"/>
  <c r="N48" i="61"/>
  <c r="H208" i="61"/>
  <c r="Q208" i="61"/>
  <c r="O519" i="60"/>
  <c r="O650" i="60"/>
  <c r="F140" i="19"/>
  <c r="G268" i="19"/>
  <c r="DQ115" i="58"/>
  <c r="R115" i="58"/>
  <c r="F142" i="56"/>
  <c r="G258" i="56"/>
  <c r="M264" i="61"/>
  <c r="P363" i="61"/>
  <c r="J380" i="56"/>
  <c r="J266" i="56"/>
  <c r="DM62" i="61"/>
  <c r="T62" i="61"/>
  <c r="O62" i="61"/>
  <c r="F62" i="61"/>
  <c r="S65" i="66"/>
  <c r="L65" i="66" s="1"/>
  <c r="F65" i="66" s="1"/>
  <c r="C65" i="66" s="1"/>
  <c r="H439" i="55"/>
  <c r="M215" i="61"/>
  <c r="P347" i="61"/>
  <c r="M219" i="61"/>
  <c r="P351" i="61"/>
  <c r="F30" i="61"/>
  <c r="I74" i="61"/>
  <c r="T30" i="61"/>
  <c r="R592" i="60"/>
  <c r="AA523" i="60"/>
  <c r="AB523" i="60" s="1"/>
  <c r="F83" i="56"/>
  <c r="DN34" i="56"/>
  <c r="O34" i="56"/>
  <c r="BR34" i="56"/>
  <c r="L248" i="56"/>
  <c r="N248" i="56" s="1"/>
  <c r="M199" i="61"/>
  <c r="P331" i="61"/>
  <c r="N85" i="61"/>
  <c r="Q85" i="61" s="1"/>
  <c r="H225" i="61"/>
  <c r="H85" i="61" s="1"/>
  <c r="Q225" i="61"/>
  <c r="G86" i="56"/>
  <c r="F210" i="61"/>
  <c r="O210" i="61"/>
  <c r="R210" i="61" s="1"/>
  <c r="O58" i="56"/>
  <c r="F86" i="56"/>
  <c r="DN58" i="56"/>
  <c r="I83" i="58"/>
  <c r="DQ71" i="58"/>
  <c r="R71" i="58"/>
  <c r="DM26" i="61"/>
  <c r="O26" i="61"/>
  <c r="O32" i="61" s="1"/>
  <c r="R32" i="61" s="1"/>
  <c r="V204" i="61" s="1"/>
  <c r="F26" i="61"/>
  <c r="F32" i="61" s="1"/>
  <c r="T26" i="61"/>
  <c r="I32" i="61"/>
  <c r="DM32" i="61" s="1"/>
  <c r="J88" i="58"/>
  <c r="I165" i="58"/>
  <c r="J304" i="58"/>
  <c r="N78" i="1"/>
  <c r="Q75" i="1"/>
  <c r="N13" i="66"/>
  <c r="Q24" i="66" s="1"/>
  <c r="L260" i="61"/>
  <c r="O359" i="61"/>
  <c r="O278" i="61"/>
  <c r="N143" i="61"/>
  <c r="N144" i="61" s="1"/>
  <c r="G83" i="56"/>
  <c r="DM51" i="61"/>
  <c r="F51" i="61"/>
  <c r="T51" i="61"/>
  <c r="O51" i="61"/>
  <c r="M212" i="61"/>
  <c r="P344" i="61"/>
  <c r="J257" i="19"/>
  <c r="Q257" i="19" s="1"/>
  <c r="Q258" i="19" s="1"/>
  <c r="J364" i="19"/>
  <c r="F212" i="55"/>
  <c r="J87" i="58"/>
  <c r="O304" i="58"/>
  <c r="N165" i="58"/>
  <c r="N166" i="58" s="1"/>
  <c r="R167" i="60"/>
  <c r="R169" i="60" s="1"/>
  <c r="R268" i="60" s="1"/>
  <c r="R290" i="60" s="1"/>
  <c r="R292" i="60" s="1"/>
  <c r="R165" i="60"/>
  <c r="I92" i="58"/>
  <c r="DQ23" i="58"/>
  <c r="R23" i="58"/>
  <c r="G265" i="55"/>
  <c r="H566" i="55"/>
  <c r="J81" i="58"/>
  <c r="N277" i="61"/>
  <c r="Q277" i="61" s="1"/>
  <c r="Q278" i="61" s="1"/>
  <c r="N404" i="61"/>
  <c r="G28" i="61"/>
  <c r="J72" i="61"/>
  <c r="DO94" i="61"/>
  <c r="DL94" i="61"/>
  <c r="AA39" i="58"/>
  <c r="Q202" i="61"/>
  <c r="H202" i="61"/>
  <c r="F203" i="55"/>
  <c r="I85" i="58"/>
  <c r="DQ21" i="58"/>
  <c r="R21" i="58"/>
  <c r="P268" i="19"/>
  <c r="K140" i="19"/>
  <c r="H142" i="19" s="1"/>
  <c r="G140" i="19"/>
  <c r="H268" i="19"/>
  <c r="T25" i="54"/>
  <c r="DS116" i="58"/>
  <c r="DP116" i="58"/>
  <c r="F417" i="1"/>
  <c r="J388" i="1"/>
  <c r="K388" i="1"/>
  <c r="I388" i="1"/>
  <c r="AG696" i="55"/>
  <c r="M118" i="61"/>
  <c r="G118" i="61" s="1"/>
  <c r="P259" i="61"/>
  <c r="P118" i="61" s="1"/>
  <c r="O62" i="19"/>
  <c r="DQ47" i="58"/>
  <c r="R47" i="58"/>
  <c r="D33" i="66"/>
  <c r="J83" i="58"/>
  <c r="F213" i="55"/>
  <c r="O87" i="56"/>
  <c r="AF707" i="55"/>
  <c r="Q219" i="61"/>
  <c r="H219" i="61"/>
  <c r="N61" i="61"/>
  <c r="H61" i="61" s="1"/>
  <c r="S61" i="61" s="1"/>
  <c r="V61" i="61" s="1"/>
  <c r="G42" i="66"/>
  <c r="Q264" i="61"/>
  <c r="N123" i="61"/>
  <c r="H123" i="61" s="1"/>
  <c r="AA255" i="61"/>
  <c r="DQ31" i="58"/>
  <c r="R31" i="58"/>
  <c r="L207" i="61"/>
  <c r="O339" i="61"/>
  <c r="DN71" i="56"/>
  <c r="T71" i="56"/>
  <c r="O71" i="56"/>
  <c r="AA87" i="58"/>
  <c r="F148" i="19"/>
  <c r="D88" i="34"/>
  <c r="G258" i="19"/>
  <c r="D97" i="34" s="1"/>
  <c r="Q260" i="61"/>
  <c r="Q119" i="61" s="1"/>
  <c r="N119" i="61"/>
  <c r="H119" i="61" s="1"/>
  <c r="N62" i="61"/>
  <c r="Q220" i="61"/>
  <c r="H220" i="61"/>
  <c r="Q261" i="61"/>
  <c r="Q120" i="61" s="1"/>
  <c r="N120" i="61"/>
  <c r="H120" i="61" s="1"/>
  <c r="H143" i="56"/>
  <c r="N30" i="61"/>
  <c r="H198" i="61"/>
  <c r="Q198" i="61"/>
  <c r="L206" i="61"/>
  <c r="O338" i="61"/>
  <c r="I72" i="61"/>
  <c r="T28" i="61"/>
  <c r="S66" i="66"/>
  <c r="L66" i="66" s="1"/>
  <c r="F66" i="66" s="1"/>
  <c r="C66" i="66" s="1"/>
  <c r="G93" i="56"/>
  <c r="W71" i="56"/>
  <c r="P49" i="61"/>
  <c r="G49" i="61"/>
  <c r="DM48" i="61"/>
  <c r="I54" i="61"/>
  <c r="DM54" i="61" s="1"/>
  <c r="T48" i="61"/>
  <c r="F48" i="61"/>
  <c r="F54" i="61" s="1"/>
  <c r="O48" i="61"/>
  <c r="O54" i="61" s="1"/>
  <c r="R54" i="61" s="1"/>
  <c r="K385" i="1"/>
  <c r="J385" i="1"/>
  <c r="I385" i="1"/>
  <c r="AG693" i="55"/>
  <c r="T15" i="54"/>
  <c r="DP47" i="56"/>
  <c r="DM47" i="56"/>
  <c r="L124" i="61"/>
  <c r="F124" i="61" s="1"/>
  <c r="O265" i="61"/>
  <c r="O124" i="61" s="1"/>
  <c r="N26" i="61"/>
  <c r="H192" i="61"/>
  <c r="Q192" i="61"/>
  <c r="T37" i="56"/>
  <c r="F91" i="56"/>
  <c r="DN37" i="56"/>
  <c r="O37" i="56"/>
  <c r="DQ37" i="58"/>
  <c r="W37" i="58"/>
  <c r="I94" i="58"/>
  <c r="R37" i="58"/>
  <c r="L215" i="61"/>
  <c r="O347" i="61"/>
  <c r="M204" i="61"/>
  <c r="P336" i="61"/>
  <c r="N718" i="55"/>
  <c r="N720" i="55" s="1"/>
  <c r="X50" i="66" s="1"/>
  <c r="J51" i="58"/>
  <c r="L221" i="61"/>
  <c r="O353" i="61"/>
  <c r="O433" i="61"/>
  <c r="DP69" i="56"/>
  <c r="DM69" i="56"/>
  <c r="J384" i="1"/>
  <c r="K384" i="1"/>
  <c r="I384" i="1"/>
  <c r="AG692" i="55"/>
  <c r="O85" i="56"/>
  <c r="J96" i="58"/>
  <c r="DM38" i="61"/>
  <c r="T38" i="61"/>
  <c r="F38" i="61"/>
  <c r="O38" i="61"/>
  <c r="M226" i="61"/>
  <c r="P364" i="61"/>
  <c r="N41" i="61"/>
  <c r="H41" i="61" s="1"/>
  <c r="S41" i="61" s="1"/>
  <c r="V41" i="61" s="1"/>
  <c r="H206" i="61"/>
  <c r="Q206" i="61"/>
  <c r="DQ22" i="58"/>
  <c r="I91" i="58"/>
  <c r="R22" i="58"/>
  <c r="M261" i="61"/>
  <c r="P360" i="61"/>
  <c r="DQ106" i="58"/>
  <c r="R106" i="58"/>
  <c r="H149" i="19"/>
  <c r="M194" i="61"/>
  <c r="P326" i="61"/>
  <c r="T9" i="54"/>
  <c r="G273" i="55"/>
  <c r="H556" i="55"/>
  <c r="N17" i="61"/>
  <c r="N251" i="61"/>
  <c r="Q188" i="61"/>
  <c r="Q251" i="61" s="1"/>
  <c r="H188" i="61"/>
  <c r="K391" i="1"/>
  <c r="J391" i="1"/>
  <c r="I391" i="1"/>
  <c r="AG699" i="55"/>
  <c r="N116" i="61"/>
  <c r="Q257" i="61"/>
  <c r="N270" i="61"/>
  <c r="AA254" i="61"/>
  <c r="P26" i="61"/>
  <c r="P32" i="61" s="1"/>
  <c r="J32" i="61"/>
  <c r="G26" i="61"/>
  <c r="G32" i="61" s="1"/>
  <c r="O66" i="56"/>
  <c r="F72" i="56"/>
  <c r="DN72" i="56" s="1"/>
  <c r="DN66" i="56"/>
  <c r="J65" i="61"/>
  <c r="J718" i="55"/>
  <c r="M718" i="55" s="1"/>
  <c r="M720" i="55" s="1"/>
  <c r="W50" i="66" s="1"/>
  <c r="X39" i="56"/>
  <c r="M202" i="61"/>
  <c r="P334" i="61"/>
  <c r="DN31" i="56"/>
  <c r="O31" i="56"/>
  <c r="DQ56" i="58"/>
  <c r="I63" i="58"/>
  <c r="DQ63" i="58" s="1"/>
  <c r="R56" i="58"/>
  <c r="M303" i="58"/>
  <c r="M430" i="58"/>
  <c r="J165" i="58"/>
  <c r="K304" i="58"/>
  <c r="M223" i="61"/>
  <c r="P355" i="61"/>
  <c r="G203" i="55"/>
  <c r="G142" i="56"/>
  <c r="H258" i="56"/>
  <c r="F18" i="61"/>
  <c r="DM18" i="61"/>
  <c r="I71" i="61"/>
  <c r="O18" i="61"/>
  <c r="T18" i="61"/>
  <c r="M207" i="61"/>
  <c r="P339" i="61"/>
  <c r="J93" i="58"/>
  <c r="M19" i="61"/>
  <c r="G190" i="61"/>
  <c r="P190" i="61"/>
  <c r="M312" i="58"/>
  <c r="M440" i="58"/>
  <c r="T5" i="54"/>
  <c r="G5" i="54" s="1"/>
  <c r="K148" i="19"/>
  <c r="K149" i="19" s="1"/>
  <c r="P258" i="19"/>
  <c r="M216" i="61"/>
  <c r="P348" i="61"/>
  <c r="L94" i="19"/>
  <c r="O30" i="19"/>
  <c r="O288" i="61"/>
  <c r="N135" i="61"/>
  <c r="Q135" i="61" s="1"/>
  <c r="Q197" i="61"/>
  <c r="H197" i="61"/>
  <c r="O218" i="61"/>
  <c r="R218" i="61" s="1"/>
  <c r="F218" i="61"/>
  <c r="F416" i="1"/>
  <c r="N63" i="61"/>
  <c r="H63" i="61" s="1"/>
  <c r="S63" i="61" s="1"/>
  <c r="V63" i="61" s="1"/>
  <c r="H222" i="61"/>
  <c r="Q222" i="61"/>
  <c r="P357" i="60"/>
  <c r="K593" i="60" s="1"/>
  <c r="Q595" i="60" s="1"/>
  <c r="P358" i="60"/>
  <c r="V253" i="61"/>
  <c r="V256" i="61" s="1"/>
  <c r="V258" i="61" s="1"/>
  <c r="L202" i="61"/>
  <c r="O334" i="61"/>
  <c r="D20" i="34"/>
  <c r="M224" i="61"/>
  <c r="P361" i="61"/>
  <c r="AC48" i="19"/>
  <c r="L96" i="19"/>
  <c r="O48" i="19"/>
  <c r="DQ34" i="58"/>
  <c r="I86" i="58"/>
  <c r="BU34" i="58"/>
  <c r="R34" i="58"/>
  <c r="DM49" i="61"/>
  <c r="T49" i="61"/>
  <c r="O355" i="61"/>
  <c r="L223" i="61"/>
  <c r="J386" i="1"/>
  <c r="K386" i="1"/>
  <c r="I386" i="1"/>
  <c r="AG694" i="55"/>
  <c r="N29" i="61"/>
  <c r="Q196" i="61"/>
  <c r="H196" i="61"/>
  <c r="R69" i="58"/>
  <c r="DQ69" i="58"/>
  <c r="DM40" i="61"/>
  <c r="O40" i="61"/>
  <c r="F40" i="61"/>
  <c r="T40" i="61"/>
  <c r="N303" i="58"/>
  <c r="Q303" i="58" s="1"/>
  <c r="Q304" i="58" s="1"/>
  <c r="N430" i="58"/>
  <c r="DS107" i="58"/>
  <c r="DP107" i="58"/>
  <c r="R57" i="58"/>
  <c r="DQ57" i="58"/>
  <c r="U95" i="19"/>
  <c r="L213" i="61"/>
  <c r="O345" i="61"/>
  <c r="M404" i="61"/>
  <c r="M277" i="61"/>
  <c r="P277" i="61" s="1"/>
  <c r="P278" i="61" s="1"/>
  <c r="L222" i="61"/>
  <c r="O354" i="61"/>
  <c r="DN103" i="56"/>
  <c r="O103" i="56"/>
  <c r="I73" i="61"/>
  <c r="M214" i="61"/>
  <c r="P346" i="61"/>
  <c r="DM59" i="61"/>
  <c r="F59" i="61"/>
  <c r="F65" i="61" s="1"/>
  <c r="I65" i="61"/>
  <c r="DM65" i="61" s="1"/>
  <c r="T59" i="61"/>
  <c r="O59" i="61"/>
  <c r="O65" i="61" s="1"/>
  <c r="R65" i="61" s="1"/>
  <c r="F204" i="55"/>
  <c r="K144" i="61"/>
  <c r="L264" i="61"/>
  <c r="O363" i="61"/>
  <c r="K266" i="19"/>
  <c r="R266" i="19" s="1"/>
  <c r="R268" i="19" s="1"/>
  <c r="K374" i="19"/>
  <c r="O329" i="61"/>
  <c r="L197" i="61"/>
  <c r="AJ718" i="55"/>
  <c r="L718" i="55" s="1"/>
  <c r="DQ60" i="58"/>
  <c r="I89" i="58"/>
  <c r="R60" i="58"/>
  <c r="L54" i="19"/>
  <c r="O45" i="19"/>
  <c r="T32" i="54"/>
  <c r="G32" i="54" s="1"/>
  <c r="DP46" i="56"/>
  <c r="DM46" i="56"/>
  <c r="X83" i="56"/>
  <c r="J43" i="61"/>
  <c r="O39" i="61"/>
  <c r="O72" i="61" s="1"/>
  <c r="T39" i="61"/>
  <c r="DM39" i="61"/>
  <c r="F39" i="61"/>
  <c r="P268" i="56"/>
  <c r="K134" i="56"/>
  <c r="R134" i="56" s="1"/>
  <c r="DM45" i="56"/>
  <c r="DP45" i="56"/>
  <c r="Q199" i="61"/>
  <c r="H199" i="61"/>
  <c r="N31" i="61"/>
  <c r="DP57" i="56"/>
  <c r="DM57" i="56"/>
  <c r="J85" i="58"/>
  <c r="S18" i="61"/>
  <c r="T16" i="54"/>
  <c r="G16" i="54" s="1"/>
  <c r="G91" i="56"/>
  <c r="W37" i="56"/>
  <c r="J94" i="58"/>
  <c r="Z37" i="58"/>
  <c r="N40" i="61"/>
  <c r="H204" i="61"/>
  <c r="Q204" i="61"/>
  <c r="T48" i="19"/>
  <c r="DM93" i="61"/>
  <c r="O93" i="61"/>
  <c r="R93" i="61" s="1"/>
  <c r="DP33" i="56"/>
  <c r="DM33" i="56"/>
  <c r="DQ32" i="58"/>
  <c r="R32" i="58"/>
  <c r="P329" i="61"/>
  <c r="M197" i="61"/>
  <c r="T10" i="54"/>
  <c r="G10" i="54" s="1"/>
  <c r="W38" i="56"/>
  <c r="N440" i="58"/>
  <c r="N312" i="58"/>
  <c r="Q312" i="58" s="1"/>
  <c r="Q314" i="58" s="1"/>
  <c r="DN111" i="56"/>
  <c r="O111" i="56"/>
  <c r="G48" i="61"/>
  <c r="G54" i="61" s="1"/>
  <c r="P48" i="61"/>
  <c r="P54" i="61" s="1"/>
  <c r="J54" i="61"/>
  <c r="J89" i="58"/>
  <c r="M93" i="19"/>
  <c r="M102" i="19" s="1"/>
  <c r="M22" i="19"/>
  <c r="T26" i="54"/>
  <c r="G26" i="54" s="1"/>
  <c r="F84" i="56"/>
  <c r="DN35" i="56"/>
  <c r="O35" i="56"/>
  <c r="O29" i="19"/>
  <c r="L38" i="19"/>
  <c r="N52" i="61"/>
  <c r="H52" i="61" s="1"/>
  <c r="S52" i="61" s="1"/>
  <c r="V52" i="61" s="1"/>
  <c r="H214" i="61"/>
  <c r="Q214" i="61"/>
  <c r="I96" i="58"/>
  <c r="DQ61" i="58"/>
  <c r="R61" i="58"/>
  <c r="P402" i="61"/>
  <c r="P404" i="61" s="1"/>
  <c r="Q213" i="61"/>
  <c r="H213" i="61"/>
  <c r="L211" i="61"/>
  <c r="O343" i="61"/>
  <c r="N38" i="61"/>
  <c r="Q201" i="61"/>
  <c r="H201" i="61"/>
  <c r="DO19" i="61"/>
  <c r="DL19" i="61"/>
  <c r="P218" i="61"/>
  <c r="G218" i="61"/>
  <c r="W49" i="56"/>
  <c r="N20" i="61"/>
  <c r="H191" i="61"/>
  <c r="Q191" i="61"/>
  <c r="Q402" i="61"/>
  <c r="Q404" i="61" s="1"/>
  <c r="L258" i="61"/>
  <c r="O357" i="61"/>
  <c r="N117" i="61"/>
  <c r="H117" i="61" s="1"/>
  <c r="Q258" i="61"/>
  <c r="Q117" i="61" s="1"/>
  <c r="V94" i="19"/>
  <c r="DM21" i="56"/>
  <c r="DP21" i="56"/>
  <c r="G60" i="61"/>
  <c r="P60" i="61"/>
  <c r="Q438" i="58"/>
  <c r="Q440" i="58" s="1"/>
  <c r="I84" i="58"/>
  <c r="DQ20" i="58"/>
  <c r="R20" i="58"/>
  <c r="T20" i="54"/>
  <c r="S266" i="56"/>
  <c r="S268" i="56" s="1"/>
  <c r="M191" i="61"/>
  <c r="P323" i="61"/>
  <c r="J370" i="56"/>
  <c r="J257" i="56"/>
  <c r="Q257" i="56" s="1"/>
  <c r="Q258" i="56" s="1"/>
  <c r="F95" i="56"/>
  <c r="DN24" i="56"/>
  <c r="O24" i="56"/>
  <c r="T38" i="56"/>
  <c r="DN38" i="56"/>
  <c r="O38" i="56"/>
  <c r="G84" i="56"/>
  <c r="M221" i="61"/>
  <c r="P353" i="61"/>
  <c r="P258" i="56"/>
  <c r="K142" i="56"/>
  <c r="K143" i="56" s="1"/>
  <c r="E21" i="15"/>
  <c r="E23" i="15" s="1"/>
  <c r="M201" i="61"/>
  <c r="P333" i="61"/>
  <c r="M206" i="61"/>
  <c r="P338" i="61"/>
  <c r="DO37" i="61"/>
  <c r="DL37" i="61"/>
  <c r="R44" i="58"/>
  <c r="DQ44" i="58"/>
  <c r="I51" i="58"/>
  <c r="DQ51" i="58" s="1"/>
  <c r="J91" i="58"/>
  <c r="H419" i="1"/>
  <c r="I419" i="1" s="1"/>
  <c r="J419" i="1"/>
  <c r="N28" i="61"/>
  <c r="Q195" i="61"/>
  <c r="H195" i="61"/>
  <c r="N84" i="61"/>
  <c r="H224" i="61"/>
  <c r="H84" i="61" s="1"/>
  <c r="Q224" i="61"/>
  <c r="P210" i="61"/>
  <c r="G210" i="61"/>
  <c r="M196" i="61"/>
  <c r="P328" i="61"/>
  <c r="P16" i="66"/>
  <c r="S27" i="66" s="1"/>
  <c r="P337" i="61"/>
  <c r="M205" i="61"/>
  <c r="J95" i="58"/>
  <c r="M94" i="19"/>
  <c r="AD94" i="19" s="1"/>
  <c r="T17" i="54"/>
  <c r="G17" i="54" s="1"/>
  <c r="DM32" i="56"/>
  <c r="DP32" i="56"/>
  <c r="N60" i="61"/>
  <c r="H217" i="61"/>
  <c r="Q217" i="61"/>
  <c r="T29" i="61"/>
  <c r="DM29" i="61"/>
  <c r="F29" i="61"/>
  <c r="O29" i="61"/>
  <c r="I143" i="61"/>
  <c r="J278" i="61"/>
  <c r="DM19" i="56"/>
  <c r="DP19" i="56"/>
  <c r="T6" i="54"/>
  <c r="G6" i="54" s="1"/>
  <c r="G90" i="56"/>
  <c r="DN55" i="56"/>
  <c r="F61" i="56"/>
  <c r="DN61" i="56" s="1"/>
  <c r="O55" i="56"/>
  <c r="L199" i="61"/>
  <c r="O331" i="61"/>
  <c r="O82" i="56"/>
  <c r="DM67" i="56"/>
  <c r="DP67" i="56"/>
  <c r="J157" i="58"/>
  <c r="K314" i="58"/>
  <c r="N42" i="61"/>
  <c r="H207" i="61"/>
  <c r="Q207" i="61"/>
  <c r="L214" i="61"/>
  <c r="O346" i="61"/>
  <c r="N50" i="61"/>
  <c r="H50" i="61" s="1"/>
  <c r="S50" i="61" s="1"/>
  <c r="V50" i="61" s="1"/>
  <c r="H211" i="61"/>
  <c r="Q211" i="61"/>
  <c r="AA463" i="58"/>
  <c r="L191" i="61"/>
  <c r="O323" i="61"/>
  <c r="H9" i="13"/>
  <c r="Q412" i="61"/>
  <c r="Q414" i="61" s="1"/>
  <c r="E39" i="66"/>
  <c r="E51" i="66" s="1"/>
  <c r="M124" i="61"/>
  <c r="G124" i="61" s="1"/>
  <c r="P265" i="61"/>
  <c r="P124" i="61" s="1"/>
  <c r="Q205" i="61"/>
  <c r="H205" i="61"/>
  <c r="J97" i="58"/>
  <c r="J143" i="61"/>
  <c r="K278" i="61"/>
  <c r="V303" i="58"/>
  <c r="V304" i="58" s="1"/>
  <c r="L118" i="61"/>
  <c r="F118" i="61" s="1"/>
  <c r="O259" i="61"/>
  <c r="O118" i="61" s="1"/>
  <c r="M94" i="61"/>
  <c r="P94" i="61" s="1"/>
  <c r="P227" i="61"/>
  <c r="G227" i="61"/>
  <c r="G94" i="61" s="1"/>
  <c r="J75" i="58"/>
  <c r="I82" i="58"/>
  <c r="DQ19" i="58"/>
  <c r="J73" i="61"/>
  <c r="J266" i="19"/>
  <c r="J374" i="19"/>
  <c r="J90" i="58"/>
  <c r="L257" i="61"/>
  <c r="O356" i="61"/>
  <c r="AA279" i="58"/>
  <c r="AA282" i="58" s="1"/>
  <c r="AA284" i="58" s="1"/>
  <c r="P438" i="58"/>
  <c r="P440" i="58" s="1"/>
  <c r="O89" i="56"/>
  <c r="L205" i="61"/>
  <c r="O337" i="61"/>
  <c r="M257" i="61"/>
  <c r="P356" i="61"/>
  <c r="H658" i="60"/>
  <c r="G687" i="60"/>
  <c r="G685" i="60"/>
  <c r="J135" i="61"/>
  <c r="K288" i="61"/>
  <c r="L93" i="19"/>
  <c r="O17" i="19"/>
  <c r="O22" i="19" s="1"/>
  <c r="L22" i="19"/>
  <c r="N27" i="61"/>
  <c r="H193" i="61"/>
  <c r="Q193" i="61"/>
  <c r="I93" i="58"/>
  <c r="DQ36" i="58"/>
  <c r="R36" i="58"/>
  <c r="P120" i="55" l="1"/>
  <c r="Q349" i="55"/>
  <c r="P50" i="55"/>
  <c r="P98" i="55"/>
  <c r="P52" i="55"/>
  <c r="P46" i="55"/>
  <c r="S521" i="55"/>
  <c r="S399" i="55" s="1"/>
  <c r="Q399" i="55"/>
  <c r="P76" i="55"/>
  <c r="P121" i="55"/>
  <c r="P73" i="55"/>
  <c r="H135" i="55"/>
  <c r="H132" i="55"/>
  <c r="Q114" i="55"/>
  <c r="S114" i="55" s="1"/>
  <c r="H134" i="55"/>
  <c r="P99" i="55"/>
  <c r="P95" i="55"/>
  <c r="S95" i="55"/>
  <c r="P53" i="55"/>
  <c r="S53" i="55"/>
  <c r="P51" i="55"/>
  <c r="P49" i="55"/>
  <c r="S49" i="55"/>
  <c r="P119" i="55"/>
  <c r="P117" i="55"/>
  <c r="Q97" i="55"/>
  <c r="S97" i="55" s="1"/>
  <c r="Q42" i="55"/>
  <c r="S42" i="55" s="1"/>
  <c r="S452" i="55"/>
  <c r="S331" i="55" s="1"/>
  <c r="Q331" i="55"/>
  <c r="S448" i="55"/>
  <c r="S321" i="55" s="1"/>
  <c r="Q321" i="55"/>
  <c r="S447" i="55"/>
  <c r="S320" i="55" s="1"/>
  <c r="Q320" i="55"/>
  <c r="S446" i="55"/>
  <c r="S319" i="55" s="1"/>
  <c r="Q319" i="55"/>
  <c r="S451" i="55"/>
  <c r="S330" i="55" s="1"/>
  <c r="Q330" i="55"/>
  <c r="S453" i="55"/>
  <c r="S332" i="55" s="1"/>
  <c r="Q332" i="55"/>
  <c r="S449" i="55"/>
  <c r="S322" i="55" s="1"/>
  <c r="Q322" i="55"/>
  <c r="S450" i="55"/>
  <c r="S329" i="55" s="1"/>
  <c r="Q329" i="55"/>
  <c r="S455" i="55"/>
  <c r="S338" i="55" s="1"/>
  <c r="Q338" i="55"/>
  <c r="S445" i="55"/>
  <c r="S327" i="55" s="1"/>
  <c r="Q327" i="55"/>
  <c r="S457" i="55"/>
  <c r="S340" i="55" s="1"/>
  <c r="Q340" i="55"/>
  <c r="S531" i="55"/>
  <c r="S410" i="55" s="1"/>
  <c r="Q410" i="55"/>
  <c r="S478" i="55"/>
  <c r="S359" i="55" s="1"/>
  <c r="Q359" i="55"/>
  <c r="S442" i="55"/>
  <c r="S324" i="55" s="1"/>
  <c r="Q324" i="55"/>
  <c r="S514" i="55"/>
  <c r="S395" i="55" s="1"/>
  <c r="Q395" i="55"/>
  <c r="S443" i="55"/>
  <c r="S325" i="55" s="1"/>
  <c r="Q325" i="55"/>
  <c r="S454" i="55"/>
  <c r="S333" i="55" s="1"/>
  <c r="Q333" i="55"/>
  <c r="S440" i="55"/>
  <c r="S323" i="55" s="1"/>
  <c r="Q323" i="55"/>
  <c r="S444" i="55"/>
  <c r="S326" i="55" s="1"/>
  <c r="Q326" i="55"/>
  <c r="S511" i="55"/>
  <c r="S390" i="55" s="1"/>
  <c r="Q390" i="55"/>
  <c r="S441" i="55"/>
  <c r="S328" i="55" s="1"/>
  <c r="Q328" i="55"/>
  <c r="Q439" i="55"/>
  <c r="H318" i="55"/>
  <c r="H17" i="55" s="1"/>
  <c r="H131" i="55" s="1"/>
  <c r="X384" i="1"/>
  <c r="X388" i="1"/>
  <c r="S695" i="55"/>
  <c r="X387" i="1"/>
  <c r="S691" i="55"/>
  <c r="AO691" i="55" s="1"/>
  <c r="AP691" i="55" s="1"/>
  <c r="X383" i="1"/>
  <c r="X385" i="1"/>
  <c r="S697" i="55"/>
  <c r="AO697" i="55" s="1"/>
  <c r="AP697" i="55" s="1"/>
  <c r="X389" i="1"/>
  <c r="X386" i="1"/>
  <c r="S698" i="55"/>
  <c r="AO698" i="55" s="1"/>
  <c r="AP698" i="55" s="1"/>
  <c r="X390" i="1"/>
  <c r="P70" i="55"/>
  <c r="P67" i="55"/>
  <c r="Q29" i="55"/>
  <c r="Q28" i="55"/>
  <c r="Q24" i="55"/>
  <c r="S24" i="55" s="1"/>
  <c r="Q26" i="55"/>
  <c r="S26" i="55" s="1"/>
  <c r="Q31" i="55"/>
  <c r="Q27" i="55"/>
  <c r="S27" i="55" s="1"/>
  <c r="Q30" i="55"/>
  <c r="Q25" i="55"/>
  <c r="S25" i="55" s="1"/>
  <c r="F126" i="55"/>
  <c r="F104" i="55"/>
  <c r="F82" i="55"/>
  <c r="F60" i="55"/>
  <c r="F32" i="55"/>
  <c r="R48" i="54" s="1"/>
  <c r="N358" i="60"/>
  <c r="Y593" i="60"/>
  <c r="Q354" i="60"/>
  <c r="Q357" i="60" s="1"/>
  <c r="L17" i="61"/>
  <c r="L70" i="61" s="1"/>
  <c r="L76" i="61" s="1"/>
  <c r="L109" i="61" s="1"/>
  <c r="L251" i="61"/>
  <c r="Y253" i="61" s="1"/>
  <c r="Y256" i="61" s="1"/>
  <c r="Y258" i="61" s="1"/>
  <c r="F188" i="61"/>
  <c r="R188" i="61"/>
  <c r="P596" i="60"/>
  <c r="P597" i="60" s="1"/>
  <c r="P595" i="60"/>
  <c r="H286" i="56"/>
  <c r="J306" i="61"/>
  <c r="H286" i="19"/>
  <c r="G286" i="56"/>
  <c r="M433" i="61"/>
  <c r="P433" i="61" s="1"/>
  <c r="J332" i="58"/>
  <c r="I97" i="61"/>
  <c r="L97" i="61" s="1"/>
  <c r="F73" i="61"/>
  <c r="H7" i="62" s="1"/>
  <c r="T695" i="55"/>
  <c r="H88" i="61"/>
  <c r="J13" i="62" s="1"/>
  <c r="Q56" i="62" s="1"/>
  <c r="K332" i="58"/>
  <c r="E109" i="34"/>
  <c r="E116" i="34" s="1"/>
  <c r="E118" i="34" s="1"/>
  <c r="H143" i="61"/>
  <c r="H144" i="61" s="1"/>
  <c r="J16" i="62" s="1"/>
  <c r="Q59" i="62" s="1"/>
  <c r="Q143" i="61"/>
  <c r="Q144" i="61" s="1"/>
  <c r="K146" i="61"/>
  <c r="K137" i="61"/>
  <c r="AG709" i="55"/>
  <c r="M33" i="66"/>
  <c r="O73" i="61"/>
  <c r="K392" i="1"/>
  <c r="K394" i="1" s="1"/>
  <c r="H135" i="61"/>
  <c r="J15" i="62" s="1"/>
  <c r="Q58" i="62" s="1"/>
  <c r="L49" i="61"/>
  <c r="O209" i="61"/>
  <c r="R209" i="61" s="1"/>
  <c r="F209" i="61"/>
  <c r="Y437" i="61"/>
  <c r="AA437" i="61" s="1"/>
  <c r="L28" i="61"/>
  <c r="F28" i="61" s="1"/>
  <c r="F195" i="61"/>
  <c r="O195" i="61"/>
  <c r="R195" i="61" s="1"/>
  <c r="AG706" i="55"/>
  <c r="R584" i="55"/>
  <c r="L33" i="66"/>
  <c r="AA393" i="1"/>
  <c r="AB393" i="1" s="1"/>
  <c r="K393" i="1"/>
  <c r="Z393" i="1" s="1"/>
  <c r="N73" i="61"/>
  <c r="K306" i="61"/>
  <c r="H47" i="39"/>
  <c r="H51" i="39" s="1"/>
  <c r="H157" i="58"/>
  <c r="AC94" i="19"/>
  <c r="O94" i="19"/>
  <c r="R31" i="54"/>
  <c r="L20" i="61"/>
  <c r="O191" i="61"/>
  <c r="R191" i="61" s="1"/>
  <c r="F191" i="61"/>
  <c r="L157" i="58"/>
  <c r="I159" i="58" s="1"/>
  <c r="M314" i="58"/>
  <c r="W72" i="56"/>
  <c r="R142" i="56"/>
  <c r="R143" i="56" s="1"/>
  <c r="DS23" i="58"/>
  <c r="DP23" i="58"/>
  <c r="I148" i="19"/>
  <c r="I149" i="19" s="1"/>
  <c r="J258" i="19"/>
  <c r="DM34" i="56"/>
  <c r="DP34" i="56"/>
  <c r="DL62" i="61"/>
  <c r="DO62" i="61"/>
  <c r="DS72" i="58"/>
  <c r="DP72" i="58"/>
  <c r="R88" i="58"/>
  <c r="X87" i="53"/>
  <c r="D33" i="53" s="1"/>
  <c r="X111" i="53"/>
  <c r="D34" i="53" s="1"/>
  <c r="X135" i="53"/>
  <c r="D35" i="53" s="1"/>
  <c r="DS30" i="58"/>
  <c r="DP30" i="58"/>
  <c r="DP18" i="58"/>
  <c r="DS18" i="58"/>
  <c r="S37" i="61"/>
  <c r="V37" i="61" s="1"/>
  <c r="H43" i="61"/>
  <c r="O93" i="56"/>
  <c r="DP18" i="56"/>
  <c r="DM18" i="56"/>
  <c r="DO85" i="61"/>
  <c r="DL85" i="61"/>
  <c r="M43" i="61"/>
  <c r="P37" i="61"/>
  <c r="P43" i="61" s="1"/>
  <c r="G37" i="61"/>
  <c r="G43" i="61" s="1"/>
  <c r="Q37" i="55"/>
  <c r="K88" i="61"/>
  <c r="Q84" i="61"/>
  <c r="J144" i="61"/>
  <c r="Q42" i="61"/>
  <c r="H42" i="61"/>
  <c r="S42" i="61" s="1"/>
  <c r="V42" i="61" s="1"/>
  <c r="DL29" i="61"/>
  <c r="DO29" i="61"/>
  <c r="H687" i="60"/>
  <c r="H685" i="60"/>
  <c r="W84" i="56"/>
  <c r="K159" i="58"/>
  <c r="J392" i="1"/>
  <c r="L50" i="61"/>
  <c r="O211" i="61"/>
  <c r="R211" i="61" s="1"/>
  <c r="F211" i="61"/>
  <c r="DM35" i="56"/>
  <c r="DP35" i="56"/>
  <c r="Q45" i="55"/>
  <c r="S45" i="55" s="1"/>
  <c r="U94" i="19"/>
  <c r="O213" i="61"/>
  <c r="R213" i="61" s="1"/>
  <c r="F213" i="61"/>
  <c r="F423" i="1"/>
  <c r="S699" i="55"/>
  <c r="X391" i="1"/>
  <c r="H204" i="55"/>
  <c r="Q204" i="55" s="1"/>
  <c r="R148" i="19"/>
  <c r="R149" i="19" s="1"/>
  <c r="H145" i="56"/>
  <c r="Q123" i="61"/>
  <c r="AD255" i="61"/>
  <c r="DS47" i="58"/>
  <c r="DP47" i="58"/>
  <c r="R92" i="58"/>
  <c r="O596" i="60"/>
  <c r="O597" i="60" s="1"/>
  <c r="I166" i="58"/>
  <c r="T83" i="56"/>
  <c r="O83" i="56"/>
  <c r="P219" i="61"/>
  <c r="G219" i="61"/>
  <c r="M61" i="61"/>
  <c r="G61" i="61" s="1"/>
  <c r="J268" i="56"/>
  <c r="I134" i="56"/>
  <c r="P134" i="56" s="1"/>
  <c r="R5" i="54"/>
  <c r="R90" i="58"/>
  <c r="X63" i="53"/>
  <c r="D32" i="53" s="1"/>
  <c r="L564" i="55"/>
  <c r="O564" i="55" s="1"/>
  <c r="O566" i="55" s="1"/>
  <c r="L730" i="55"/>
  <c r="V51" i="66" s="1"/>
  <c r="O51" i="66" s="1"/>
  <c r="I51" i="66" s="1"/>
  <c r="I58" i="66" s="1"/>
  <c r="R81" i="58"/>
  <c r="DP36" i="56"/>
  <c r="DM36" i="56"/>
  <c r="I556" i="55"/>
  <c r="H273" i="55"/>
  <c r="L120" i="61"/>
  <c r="F120" i="61" s="1"/>
  <c r="O261" i="61"/>
  <c r="O120" i="61" s="1"/>
  <c r="W39" i="56"/>
  <c r="S696" i="55"/>
  <c r="F149" i="19"/>
  <c r="Q118" i="55"/>
  <c r="S118" i="55" s="1"/>
  <c r="L30" i="42"/>
  <c r="O30" i="42" s="1"/>
  <c r="K30" i="42"/>
  <c r="N30" i="42" s="1"/>
  <c r="J30" i="42"/>
  <c r="M30" i="42" s="1"/>
  <c r="M116" i="61"/>
  <c r="P257" i="61"/>
  <c r="M270" i="61"/>
  <c r="Z254" i="61"/>
  <c r="DS19" i="58"/>
  <c r="DP19" i="58"/>
  <c r="Q60" i="61"/>
  <c r="H60" i="61"/>
  <c r="S60" i="61" s="1"/>
  <c r="V60" i="61" s="1"/>
  <c r="M29" i="61"/>
  <c r="P196" i="61"/>
  <c r="G196" i="61"/>
  <c r="DM38" i="56"/>
  <c r="DP38" i="56"/>
  <c r="T84" i="56"/>
  <c r="O84" i="56"/>
  <c r="N314" i="58"/>
  <c r="M157" i="58"/>
  <c r="P157" i="58" s="1"/>
  <c r="R89" i="58"/>
  <c r="W86" i="58"/>
  <c r="R86" i="58"/>
  <c r="J166" i="58"/>
  <c r="P202" i="61"/>
  <c r="G202" i="61"/>
  <c r="R4" i="54"/>
  <c r="U699" i="55"/>
  <c r="H151" i="19"/>
  <c r="H57" i="39" s="1"/>
  <c r="H61" i="39" s="1"/>
  <c r="M93" i="61"/>
  <c r="G226" i="61"/>
  <c r="G93" i="61" s="1"/>
  <c r="G97" i="61" s="1"/>
  <c r="I14" i="62" s="1"/>
  <c r="P57" i="62" s="1"/>
  <c r="P226" i="61"/>
  <c r="M143" i="61"/>
  <c r="M144" i="61" s="1"/>
  <c r="N278" i="61"/>
  <c r="DS48" i="58"/>
  <c r="DP48" i="58"/>
  <c r="M135" i="61"/>
  <c r="J137" i="61" s="1"/>
  <c r="N288" i="61"/>
  <c r="DM48" i="56"/>
  <c r="DP48" i="56"/>
  <c r="S19" i="61"/>
  <c r="Q69" i="55"/>
  <c r="S69" i="55" s="1"/>
  <c r="R10" i="54"/>
  <c r="M31" i="61"/>
  <c r="P199" i="61"/>
  <c r="G199" i="61"/>
  <c r="F214" i="61"/>
  <c r="O214" i="61"/>
  <c r="R214" i="61" s="1"/>
  <c r="L52" i="61"/>
  <c r="F52" i="61" s="1"/>
  <c r="I144" i="61"/>
  <c r="V102" i="19"/>
  <c r="DS32" i="58"/>
  <c r="DP32" i="58"/>
  <c r="DP34" i="58"/>
  <c r="DS34" i="58"/>
  <c r="AD253" i="61"/>
  <c r="AD256" i="61" s="1"/>
  <c r="AD258" i="61" s="1"/>
  <c r="Q68" i="55"/>
  <c r="S68" i="55" s="1"/>
  <c r="DP37" i="56"/>
  <c r="DM37" i="56"/>
  <c r="S693" i="55"/>
  <c r="T72" i="56"/>
  <c r="R11" i="54"/>
  <c r="K29" i="42"/>
  <c r="L29" i="42"/>
  <c r="J29" i="42"/>
  <c r="M53" i="61"/>
  <c r="G215" i="61"/>
  <c r="P215" i="61"/>
  <c r="R21" i="54"/>
  <c r="N54" i="61"/>
  <c r="H48" i="61"/>
  <c r="Q48" i="61"/>
  <c r="Q54" i="61" s="1"/>
  <c r="P260" i="61"/>
  <c r="P119" i="61" s="1"/>
  <c r="M119" i="61"/>
  <c r="G119" i="61" s="1"/>
  <c r="M62" i="61"/>
  <c r="G220" i="61"/>
  <c r="P220" i="61"/>
  <c r="Q165" i="58"/>
  <c r="R20" i="54"/>
  <c r="DL39" i="61"/>
  <c r="DO39" i="61"/>
  <c r="DS36" i="58"/>
  <c r="DP36" i="58"/>
  <c r="R82" i="58"/>
  <c r="Q43" i="55"/>
  <c r="S43" i="55" s="1"/>
  <c r="G19" i="61"/>
  <c r="P19" i="61"/>
  <c r="G143" i="56"/>
  <c r="T699" i="55"/>
  <c r="R93" i="58"/>
  <c r="Q93" i="55"/>
  <c r="S93" i="55" s="1"/>
  <c r="L720" i="55"/>
  <c r="V50" i="66" s="1"/>
  <c r="O50" i="66" s="1"/>
  <c r="I50" i="66" s="1"/>
  <c r="L555" i="55"/>
  <c r="O555" i="55" s="1"/>
  <c r="O556" i="55" s="1"/>
  <c r="S694" i="55"/>
  <c r="Q113" i="55"/>
  <c r="S113" i="55" s="1"/>
  <c r="M304" i="58"/>
  <c r="L165" i="58"/>
  <c r="L166" i="58" s="1"/>
  <c r="O306" i="61"/>
  <c r="L308" i="61" s="1"/>
  <c r="AA253" i="61"/>
  <c r="AA256" i="61" s="1"/>
  <c r="AA258" i="61" s="1"/>
  <c r="S692" i="55"/>
  <c r="O91" i="56"/>
  <c r="U693" i="55"/>
  <c r="H203" i="55"/>
  <c r="DP71" i="56"/>
  <c r="DM71" i="56"/>
  <c r="M51" i="61"/>
  <c r="P212" i="61"/>
  <c r="G212" i="61"/>
  <c r="J58" i="66"/>
  <c r="P264" i="61"/>
  <c r="M123" i="61"/>
  <c r="G123" i="61" s="1"/>
  <c r="Z255" i="61"/>
  <c r="M39" i="61"/>
  <c r="G203" i="61"/>
  <c r="P203" i="61"/>
  <c r="G149" i="19"/>
  <c r="K168" i="58"/>
  <c r="O92" i="56"/>
  <c r="H212" i="55"/>
  <c r="Q212" i="55" s="1"/>
  <c r="Q266" i="56"/>
  <c r="Q268" i="56" s="1"/>
  <c r="DS69" i="58"/>
  <c r="DP69" i="58"/>
  <c r="L53" i="61"/>
  <c r="O215" i="61"/>
  <c r="R215" i="61" s="1"/>
  <c r="F215" i="61"/>
  <c r="O264" i="61"/>
  <c r="Y255" i="61"/>
  <c r="L123" i="61"/>
  <c r="F123" i="61" s="1"/>
  <c r="R15" i="54"/>
  <c r="Q87" i="55"/>
  <c r="R91" i="58"/>
  <c r="O257" i="61"/>
  <c r="L270" i="61"/>
  <c r="L116" i="61"/>
  <c r="Y254" i="61"/>
  <c r="DS60" i="58"/>
  <c r="DP60" i="58"/>
  <c r="M41" i="61"/>
  <c r="P206" i="61"/>
  <c r="G206" i="61"/>
  <c r="H31" i="61"/>
  <c r="S31" i="61" s="1"/>
  <c r="V31" i="61" s="1"/>
  <c r="Q31" i="61"/>
  <c r="Q110" i="55"/>
  <c r="N70" i="61"/>
  <c r="N76" i="61" s="1"/>
  <c r="N109" i="61" s="1"/>
  <c r="N21" i="61"/>
  <c r="DP106" i="58"/>
  <c r="DS106" i="58"/>
  <c r="T692" i="55"/>
  <c r="T39" i="56"/>
  <c r="T693" i="55"/>
  <c r="DM58" i="56"/>
  <c r="DP58" i="56"/>
  <c r="R97" i="58"/>
  <c r="F50" i="66"/>
  <c r="AA99" i="58"/>
  <c r="R140" i="19"/>
  <c r="Q112" i="55"/>
  <c r="S112" i="55" s="1"/>
  <c r="AK728" i="55"/>
  <c r="Z86" i="58"/>
  <c r="Q40" i="61"/>
  <c r="H40" i="61"/>
  <c r="S40" i="61" s="1"/>
  <c r="V40" i="61" s="1"/>
  <c r="F197" i="61"/>
  <c r="O197" i="61"/>
  <c r="R197" i="61" s="1"/>
  <c r="DS57" i="58"/>
  <c r="DP57" i="58"/>
  <c r="T694" i="55"/>
  <c r="AC54" i="19"/>
  <c r="AK718" i="55"/>
  <c r="DL38" i="61"/>
  <c r="DO38" i="61"/>
  <c r="U692" i="55"/>
  <c r="H62" i="61"/>
  <c r="S62" i="61" s="1"/>
  <c r="V62" i="61" s="1"/>
  <c r="Q62" i="61"/>
  <c r="R9" i="54"/>
  <c r="O260" i="61"/>
  <c r="O119" i="61" s="1"/>
  <c r="L119" i="61"/>
  <c r="F119" i="61" s="1"/>
  <c r="O86" i="56"/>
  <c r="DS73" i="58"/>
  <c r="DP73" i="58"/>
  <c r="T50" i="56"/>
  <c r="S48" i="54"/>
  <c r="G196" i="55"/>
  <c r="T4" i="54"/>
  <c r="Q19" i="55"/>
  <c r="J564" i="55"/>
  <c r="M564" i="55" s="1"/>
  <c r="M566" i="55" s="1"/>
  <c r="J730" i="55"/>
  <c r="T51" i="66" s="1"/>
  <c r="N51" i="66" s="1"/>
  <c r="H51" i="66" s="1"/>
  <c r="H58" i="66" s="1"/>
  <c r="DL84" i="61"/>
  <c r="DO84" i="61"/>
  <c r="R251" i="61"/>
  <c r="AB253" i="61"/>
  <c r="AB256" i="61" s="1"/>
  <c r="AB258" i="61" s="1"/>
  <c r="N71" i="61"/>
  <c r="H27" i="61"/>
  <c r="Q27" i="61"/>
  <c r="M38" i="61"/>
  <c r="G201" i="61"/>
  <c r="P201" i="61"/>
  <c r="DP24" i="56"/>
  <c r="DM24" i="56"/>
  <c r="DS61" i="58"/>
  <c r="DP61" i="58"/>
  <c r="DM103" i="56"/>
  <c r="DP103" i="56"/>
  <c r="U694" i="55"/>
  <c r="Z593" i="60"/>
  <c r="K597" i="60"/>
  <c r="T31" i="54"/>
  <c r="G31" i="54" s="1"/>
  <c r="DP56" i="58"/>
  <c r="DS56" i="58"/>
  <c r="J720" i="55"/>
  <c r="T50" i="66" s="1"/>
  <c r="N50" i="66" s="1"/>
  <c r="H50" i="66" s="1"/>
  <c r="J555" i="55"/>
  <c r="M555" i="55" s="1"/>
  <c r="M556" i="55" s="1"/>
  <c r="L42" i="61"/>
  <c r="O207" i="61"/>
  <c r="R207" i="61" s="1"/>
  <c r="F207" i="61"/>
  <c r="R650" i="60"/>
  <c r="R519" i="60"/>
  <c r="Q596" i="60"/>
  <c r="Q597" i="60" s="1"/>
  <c r="F273" i="55"/>
  <c r="Q555" i="55"/>
  <c r="S555" i="55" s="1"/>
  <c r="G556" i="55"/>
  <c r="DP49" i="56"/>
  <c r="DM49" i="56"/>
  <c r="P211" i="61"/>
  <c r="M50" i="61"/>
  <c r="G50" i="61" s="1"/>
  <c r="G211" i="61"/>
  <c r="DL60" i="61"/>
  <c r="DO60" i="61"/>
  <c r="F51" i="66"/>
  <c r="L64" i="61"/>
  <c r="F223" i="61"/>
  <c r="O223" i="61"/>
  <c r="R223" i="61" s="1"/>
  <c r="M84" i="61"/>
  <c r="P224" i="61"/>
  <c r="G224" i="61"/>
  <c r="G84" i="61" s="1"/>
  <c r="G88" i="61" s="1"/>
  <c r="I13" i="62" s="1"/>
  <c r="P56" i="62" s="1"/>
  <c r="G274" i="55"/>
  <c r="M120" i="61"/>
  <c r="G120" i="61" s="1"/>
  <c r="P261" i="61"/>
  <c r="P120" i="61" s="1"/>
  <c r="M40" i="61"/>
  <c r="P204" i="61"/>
  <c r="G204" i="61"/>
  <c r="T29" i="54"/>
  <c r="G25" i="54"/>
  <c r="DP21" i="58"/>
  <c r="DS21" i="58"/>
  <c r="R17" i="54"/>
  <c r="Z87" i="58"/>
  <c r="Q78" i="1"/>
  <c r="Q16" i="66" s="1"/>
  <c r="T27" i="66" s="1"/>
  <c r="Q13" i="66"/>
  <c r="T24" i="66" s="1"/>
  <c r="DL26" i="61"/>
  <c r="DO26" i="61"/>
  <c r="L61" i="61"/>
  <c r="F61" i="61" s="1"/>
  <c r="F219" i="61"/>
  <c r="O219" i="61"/>
  <c r="R219" i="61" s="1"/>
  <c r="J273" i="55"/>
  <c r="K556" i="55"/>
  <c r="N433" i="61"/>
  <c r="AD54" i="19"/>
  <c r="DO27" i="61"/>
  <c r="DL27" i="61"/>
  <c r="M728" i="55"/>
  <c r="M730" i="55" s="1"/>
  <c r="W51" i="66" s="1"/>
  <c r="F205" i="61"/>
  <c r="O205" i="61"/>
  <c r="R205" i="61" s="1"/>
  <c r="L31" i="61"/>
  <c r="O199" i="61"/>
  <c r="R199" i="61" s="1"/>
  <c r="F199" i="61"/>
  <c r="T24" i="54"/>
  <c r="G20" i="54"/>
  <c r="I140" i="19"/>
  <c r="F142" i="19" s="1"/>
  <c r="J268" i="19"/>
  <c r="N72" i="61"/>
  <c r="H28" i="61"/>
  <c r="O258" i="61"/>
  <c r="O117" i="61" s="1"/>
  <c r="L117" i="61"/>
  <c r="F117" i="61" s="1"/>
  <c r="R96" i="58"/>
  <c r="Q115" i="55"/>
  <c r="S115" i="55" s="1"/>
  <c r="Z39" i="58"/>
  <c r="I392" i="1"/>
  <c r="H213" i="55"/>
  <c r="AD102" i="19"/>
  <c r="J140" i="19"/>
  <c r="Q140" i="19" s="1"/>
  <c r="K268" i="19"/>
  <c r="D109" i="34"/>
  <c r="D116" i="34" s="1"/>
  <c r="D118" i="34" s="1"/>
  <c r="M42" i="61"/>
  <c r="P207" i="61"/>
  <c r="G207" i="61"/>
  <c r="T14" i="54"/>
  <c r="G9" i="54"/>
  <c r="L435" i="61"/>
  <c r="R433" i="61"/>
  <c r="N32" i="61"/>
  <c r="Q26" i="61"/>
  <c r="Q32" i="61" s="1"/>
  <c r="H26" i="61"/>
  <c r="R85" i="58"/>
  <c r="I393" i="1"/>
  <c r="N16" i="66"/>
  <c r="Q27" i="66" s="1"/>
  <c r="Q90" i="55"/>
  <c r="S90" i="55" s="1"/>
  <c r="Q266" i="19"/>
  <c r="Q268" i="19" s="1"/>
  <c r="Q109" i="55"/>
  <c r="K258" i="56"/>
  <c r="J142" i="56"/>
  <c r="J143" i="56" s="1"/>
  <c r="Q51" i="61"/>
  <c r="H51" i="61"/>
  <c r="S51" i="61" s="1"/>
  <c r="V51" i="61" s="1"/>
  <c r="M17" i="61"/>
  <c r="M251" i="61"/>
  <c r="P188" i="61"/>
  <c r="P251" i="61" s="1"/>
  <c r="G188" i="61"/>
  <c r="DP49" i="58"/>
  <c r="DS49" i="58"/>
  <c r="DP46" i="58"/>
  <c r="DS46" i="58"/>
  <c r="F265" i="55"/>
  <c r="Q564" i="55"/>
  <c r="S564" i="55" s="1"/>
  <c r="G566" i="55"/>
  <c r="W87" i="58"/>
  <c r="R87" i="58"/>
  <c r="L135" i="61"/>
  <c r="O135" i="61" s="1"/>
  <c r="M288" i="61"/>
  <c r="N65" i="61"/>
  <c r="H59" i="61"/>
  <c r="Q59" i="61"/>
  <c r="Q65" i="61" s="1"/>
  <c r="J265" i="55"/>
  <c r="X34" i="54" s="1"/>
  <c r="K34" i="54" s="1"/>
  <c r="K566" i="55"/>
  <c r="P222" i="61"/>
  <c r="G222" i="61"/>
  <c r="M63" i="61"/>
  <c r="G63" i="61" s="1"/>
  <c r="K33" i="66"/>
  <c r="F221" i="61"/>
  <c r="O221" i="61"/>
  <c r="R221" i="61" s="1"/>
  <c r="L41" i="61"/>
  <c r="O206" i="61"/>
  <c r="R206" i="61" s="1"/>
  <c r="F206" i="61"/>
  <c r="DS31" i="58"/>
  <c r="DP31" i="58"/>
  <c r="T696" i="55"/>
  <c r="DO51" i="61"/>
  <c r="DL51" i="61"/>
  <c r="DP71" i="58"/>
  <c r="DS71" i="58"/>
  <c r="F143" i="56"/>
  <c r="DS35" i="58"/>
  <c r="DP35" i="58"/>
  <c r="M18" i="61"/>
  <c r="G189" i="61"/>
  <c r="P189" i="61"/>
  <c r="G213" i="61"/>
  <c r="P213" i="61"/>
  <c r="DP68" i="58"/>
  <c r="DS68" i="58"/>
  <c r="P312" i="58"/>
  <c r="P314" i="58" s="1"/>
  <c r="R95" i="58"/>
  <c r="J134" i="56"/>
  <c r="Q134" i="56" s="1"/>
  <c r="K268" i="56"/>
  <c r="O194" i="61"/>
  <c r="R194" i="61" s="1"/>
  <c r="F194" i="61"/>
  <c r="DM55" i="56"/>
  <c r="DP55" i="56"/>
  <c r="L63" i="61"/>
  <c r="F63" i="61" s="1"/>
  <c r="F222" i="61"/>
  <c r="O222" i="61"/>
  <c r="R222" i="61" s="1"/>
  <c r="P205" i="61"/>
  <c r="G205" i="61"/>
  <c r="DS20" i="58"/>
  <c r="DP20" i="58"/>
  <c r="Q47" i="55"/>
  <c r="S47" i="55" s="1"/>
  <c r="DO59" i="61"/>
  <c r="DL59" i="61"/>
  <c r="O202" i="61"/>
  <c r="R202" i="61" s="1"/>
  <c r="F202" i="61"/>
  <c r="DO48" i="61"/>
  <c r="DL48" i="61"/>
  <c r="I597" i="60"/>
  <c r="X593" i="60"/>
  <c r="N564" i="55"/>
  <c r="N566" i="55" s="1"/>
  <c r="P258" i="61"/>
  <c r="P117" i="61" s="1"/>
  <c r="M117" i="61"/>
  <c r="G117" i="61" s="1"/>
  <c r="R26" i="54"/>
  <c r="Q53" i="61"/>
  <c r="H53" i="61"/>
  <c r="S53" i="61" s="1"/>
  <c r="V53" i="61" s="1"/>
  <c r="N304" i="58"/>
  <c r="M165" i="58"/>
  <c r="M166" i="58" s="1"/>
  <c r="U696" i="55"/>
  <c r="P221" i="61"/>
  <c r="G221" i="61"/>
  <c r="M20" i="61"/>
  <c r="P191" i="61"/>
  <c r="G191" i="61"/>
  <c r="R84" i="58"/>
  <c r="H20" i="61"/>
  <c r="Q20" i="61"/>
  <c r="N75" i="61"/>
  <c r="Q74" i="55"/>
  <c r="S74" i="55" s="1"/>
  <c r="Q38" i="55"/>
  <c r="DL49" i="61"/>
  <c r="DO49" i="61"/>
  <c r="Q96" i="55"/>
  <c r="S96" i="55" s="1"/>
  <c r="DP66" i="56"/>
  <c r="DM66" i="56"/>
  <c r="Q116" i="61"/>
  <c r="Q270" i="61"/>
  <c r="R306" i="61" s="1"/>
  <c r="AD254" i="61"/>
  <c r="P194" i="61"/>
  <c r="G194" i="61"/>
  <c r="DP22" i="58"/>
  <c r="DS22" i="58"/>
  <c r="R94" i="58"/>
  <c r="T34" i="54"/>
  <c r="G34" i="54" s="1"/>
  <c r="R32" i="54"/>
  <c r="DS58" i="58"/>
  <c r="DP58" i="58"/>
  <c r="K258" i="19"/>
  <c r="J148" i="19"/>
  <c r="J149" i="19" s="1"/>
  <c r="DP70" i="58"/>
  <c r="DS70" i="58"/>
  <c r="H64" i="61"/>
  <c r="S64" i="61" s="1"/>
  <c r="V64" i="61" s="1"/>
  <c r="Q64" i="61"/>
  <c r="DS33" i="58"/>
  <c r="DP33" i="58"/>
  <c r="H265" i="55"/>
  <c r="I566" i="55"/>
  <c r="Q18" i="55"/>
  <c r="J393" i="1"/>
  <c r="T94" i="19"/>
  <c r="H136" i="56"/>
  <c r="M52" i="61"/>
  <c r="G52" i="61" s="1"/>
  <c r="G214" i="61"/>
  <c r="P214" i="61"/>
  <c r="L143" i="61"/>
  <c r="L144" i="61" s="1"/>
  <c r="M278" i="61"/>
  <c r="H29" i="61"/>
  <c r="S29" i="61" s="1"/>
  <c r="V29" i="61" s="1"/>
  <c r="Q29" i="61"/>
  <c r="M64" i="61"/>
  <c r="G223" i="61"/>
  <c r="P223" i="61"/>
  <c r="H116" i="61"/>
  <c r="N129" i="61"/>
  <c r="H129" i="61" s="1"/>
  <c r="J11" i="62" s="1"/>
  <c r="Q54" i="62" s="1"/>
  <c r="W39" i="58"/>
  <c r="T19" i="54"/>
  <c r="G15" i="54"/>
  <c r="R16" i="54"/>
  <c r="Q71" i="55"/>
  <c r="S71" i="55" s="1"/>
  <c r="DS45" i="58"/>
  <c r="DP45" i="58"/>
  <c r="G286" i="19"/>
  <c r="R6" i="54"/>
  <c r="L102" i="19"/>
  <c r="O93" i="19"/>
  <c r="J258" i="56"/>
  <c r="I142" i="56"/>
  <c r="I143" i="56" s="1"/>
  <c r="P197" i="61"/>
  <c r="G197" i="61"/>
  <c r="DP31" i="56"/>
  <c r="DM31" i="56"/>
  <c r="DS44" i="58"/>
  <c r="DP44" i="58"/>
  <c r="W50" i="56"/>
  <c r="Q38" i="61"/>
  <c r="H38" i="61"/>
  <c r="S38" i="61" s="1"/>
  <c r="V38" i="61" s="1"/>
  <c r="DP111" i="56"/>
  <c r="DM111" i="56"/>
  <c r="DL93" i="61"/>
  <c r="DO93" i="61"/>
  <c r="X96" i="56"/>
  <c r="DL40" i="61"/>
  <c r="DO40" i="61"/>
  <c r="M59" i="61"/>
  <c r="P216" i="61"/>
  <c r="G216" i="61"/>
  <c r="J57" i="66"/>
  <c r="DS37" i="58"/>
  <c r="DP37" i="58"/>
  <c r="N74" i="61"/>
  <c r="H30" i="61"/>
  <c r="R25" i="54"/>
  <c r="W83" i="56"/>
  <c r="P303" i="58"/>
  <c r="P304" i="58" s="1"/>
  <c r="DP115" i="58"/>
  <c r="DS115" i="58"/>
  <c r="DM59" i="56"/>
  <c r="DP59" i="56"/>
  <c r="O90" i="56"/>
  <c r="O718" i="55"/>
  <c r="O720" i="55" s="1"/>
  <c r="Y50" i="66" s="1"/>
  <c r="P114" i="55" l="1"/>
  <c r="P97" i="55"/>
  <c r="P42" i="55"/>
  <c r="P24" i="55"/>
  <c r="P25" i="55"/>
  <c r="P27" i="55"/>
  <c r="P26" i="55"/>
  <c r="S439" i="55"/>
  <c r="S318" i="55" s="1"/>
  <c r="Q318" i="55"/>
  <c r="AO695" i="55"/>
  <c r="AP695" i="55" s="1"/>
  <c r="H126" i="55"/>
  <c r="H127" i="55" s="1"/>
  <c r="Q94" i="55"/>
  <c r="H104" i="55"/>
  <c r="H105" i="55" s="1"/>
  <c r="Q72" i="55"/>
  <c r="S72" i="55" s="1"/>
  <c r="H82" i="55"/>
  <c r="H83" i="55" s="1"/>
  <c r="Q44" i="55"/>
  <c r="S44" i="55" s="1"/>
  <c r="H60" i="55"/>
  <c r="T49" i="54" s="1"/>
  <c r="R49" i="54"/>
  <c r="H32" i="55"/>
  <c r="H33" i="55" s="1"/>
  <c r="F196" i="55"/>
  <c r="L21" i="61"/>
  <c r="Q358" i="60"/>
  <c r="X457" i="61"/>
  <c r="X458" i="61" s="1"/>
  <c r="M435" i="61"/>
  <c r="J435" i="61"/>
  <c r="J438" i="61" s="1"/>
  <c r="P148" i="19"/>
  <c r="P149" i="19" s="1"/>
  <c r="G135" i="61"/>
  <c r="I15" i="62" s="1"/>
  <c r="P58" i="62" s="1"/>
  <c r="V44" i="55"/>
  <c r="X44" i="55" s="1"/>
  <c r="Q129" i="61"/>
  <c r="O157" i="58"/>
  <c r="F157" i="58" s="1"/>
  <c r="AB483" i="58"/>
  <c r="AB484" i="58" s="1"/>
  <c r="K395" i="1"/>
  <c r="W417" i="19"/>
  <c r="W418" i="19" s="1"/>
  <c r="U773" i="55"/>
  <c r="U774" i="55" s="1"/>
  <c r="P135" i="61"/>
  <c r="R135" i="61" s="1"/>
  <c r="F136" i="56"/>
  <c r="V47" i="55"/>
  <c r="X47" i="55" s="1"/>
  <c r="Z47" i="55" s="1"/>
  <c r="AC47" i="55" s="1"/>
  <c r="M306" i="61"/>
  <c r="J308" i="61" s="1"/>
  <c r="J312" i="61" s="1"/>
  <c r="G142" i="19"/>
  <c r="G47" i="39" s="1"/>
  <c r="G51" i="39" s="1"/>
  <c r="Q73" i="61"/>
  <c r="T706" i="55"/>
  <c r="T749" i="55" s="1"/>
  <c r="P142" i="56"/>
  <c r="P143" i="56" s="1"/>
  <c r="S767" i="55"/>
  <c r="S768" i="55" s="1"/>
  <c r="F151" i="19"/>
  <c r="F57" i="39" s="1"/>
  <c r="F61" i="39" s="1"/>
  <c r="K397" i="1"/>
  <c r="N10" i="1" s="1"/>
  <c r="R42" i="66"/>
  <c r="M42" i="66" s="1"/>
  <c r="L71" i="61"/>
  <c r="F49" i="61"/>
  <c r="F71" i="61" s="1"/>
  <c r="H6" i="62" s="1"/>
  <c r="O49" i="61"/>
  <c r="O71" i="61" s="1"/>
  <c r="Q148" i="19"/>
  <c r="Q149" i="19" s="1"/>
  <c r="G151" i="19"/>
  <c r="G57" i="39" s="1"/>
  <c r="G61" i="39" s="1"/>
  <c r="Q75" i="61"/>
  <c r="S709" i="55"/>
  <c r="V45" i="55"/>
  <c r="X45" i="55" s="1"/>
  <c r="Z45" i="55" s="1"/>
  <c r="AC45" i="55" s="1"/>
  <c r="O165" i="58"/>
  <c r="F165" i="58" s="1"/>
  <c r="F145" i="56"/>
  <c r="S42" i="66"/>
  <c r="L42" i="66" s="1"/>
  <c r="S392" i="1"/>
  <c r="P113" i="55"/>
  <c r="P68" i="55"/>
  <c r="P38" i="55"/>
  <c r="I57" i="66"/>
  <c r="P18" i="55"/>
  <c r="P74" i="55"/>
  <c r="H57" i="66"/>
  <c r="S87" i="55"/>
  <c r="P87" i="55"/>
  <c r="P71" i="55"/>
  <c r="F47" i="39"/>
  <c r="F51" i="39" s="1"/>
  <c r="G157" i="58"/>
  <c r="X152" i="53"/>
  <c r="J5" i="46"/>
  <c r="C32" i="53"/>
  <c r="T96" i="56"/>
  <c r="G143" i="61"/>
  <c r="G144" i="61" s="1"/>
  <c r="I16" i="62" s="1"/>
  <c r="P59" i="62" s="1"/>
  <c r="M265" i="55"/>
  <c r="P96" i="55"/>
  <c r="G267" i="55"/>
  <c r="R24" i="54"/>
  <c r="E20" i="54"/>
  <c r="AO693" i="55"/>
  <c r="AP693" i="55" s="1"/>
  <c r="F50" i="61"/>
  <c r="F72" i="61" s="1"/>
  <c r="H8" i="62" s="1"/>
  <c r="L72" i="61"/>
  <c r="J146" i="61"/>
  <c r="H72" i="61"/>
  <c r="J8" i="62" s="1"/>
  <c r="S28" i="61"/>
  <c r="V28" i="61" s="1"/>
  <c r="P112" i="55"/>
  <c r="S25" i="54"/>
  <c r="U25" i="54" s="1"/>
  <c r="I394" i="1"/>
  <c r="I395" i="1" s="1"/>
  <c r="Z483" i="58"/>
  <c r="Z484" i="58" s="1"/>
  <c r="U417" i="19"/>
  <c r="U418" i="19" s="1"/>
  <c r="V457" i="61"/>
  <c r="V458" i="61" s="1"/>
  <c r="S773" i="55"/>
  <c r="S774" i="55" s="1"/>
  <c r="X392" i="1"/>
  <c r="S15" i="54"/>
  <c r="P115" i="55"/>
  <c r="O64" i="61"/>
  <c r="F64" i="61"/>
  <c r="I273" i="55"/>
  <c r="J556" i="55"/>
  <c r="R51" i="54"/>
  <c r="G53" i="61"/>
  <c r="P53" i="61"/>
  <c r="S17" i="54"/>
  <c r="F17" i="54" s="1"/>
  <c r="I168" i="58"/>
  <c r="J394" i="1"/>
  <c r="J395" i="1" s="1"/>
  <c r="T773" i="55"/>
  <c r="T774" i="55" s="1"/>
  <c r="V417" i="19"/>
  <c r="V418" i="19" s="1"/>
  <c r="W457" i="61"/>
  <c r="W458" i="61" s="1"/>
  <c r="AA483" i="58"/>
  <c r="AA484" i="58" s="1"/>
  <c r="O436" i="61"/>
  <c r="L438" i="61"/>
  <c r="L439" i="61"/>
  <c r="G40" i="61"/>
  <c r="P40" i="61"/>
  <c r="F274" i="55"/>
  <c r="P118" i="55"/>
  <c r="N169" i="61"/>
  <c r="AB255" i="61"/>
  <c r="O123" i="61"/>
  <c r="Q142" i="56"/>
  <c r="Q143" i="56" s="1"/>
  <c r="J41" i="42"/>
  <c r="M29" i="42"/>
  <c r="H274" i="55"/>
  <c r="I137" i="61"/>
  <c r="L137" i="61" s="1"/>
  <c r="E33" i="66"/>
  <c r="S11" i="54"/>
  <c r="F11" i="54" s="1"/>
  <c r="S31" i="54"/>
  <c r="F31" i="54" s="1"/>
  <c r="G145" i="56"/>
  <c r="H165" i="58"/>
  <c r="H168" i="58" s="1"/>
  <c r="Q166" i="58"/>
  <c r="Q191" i="58" s="1"/>
  <c r="L41" i="42"/>
  <c r="O29" i="42"/>
  <c r="H73" i="61"/>
  <c r="J7" i="62" s="1"/>
  <c r="P45" i="55"/>
  <c r="J168" i="58"/>
  <c r="F135" i="61"/>
  <c r="H15" i="62" s="1"/>
  <c r="O58" i="62" s="1"/>
  <c r="F425" i="1"/>
  <c r="J159" i="58"/>
  <c r="L159" i="58" s="1"/>
  <c r="G14" i="54"/>
  <c r="T55" i="54"/>
  <c r="T61" i="54" s="1"/>
  <c r="T767" i="55"/>
  <c r="T768" i="55" s="1"/>
  <c r="K41" i="42"/>
  <c r="N29" i="42"/>
  <c r="F143" i="61"/>
  <c r="F144" i="61" s="1"/>
  <c r="H16" i="62" s="1"/>
  <c r="O59" i="62" s="1"/>
  <c r="P165" i="58"/>
  <c r="F20" i="61"/>
  <c r="O20" i="61"/>
  <c r="L75" i="61"/>
  <c r="R34" i="54"/>
  <c r="Y393" i="1"/>
  <c r="J397" i="1"/>
  <c r="M10" i="1" s="1"/>
  <c r="M71" i="61"/>
  <c r="P18" i="61"/>
  <c r="G18" i="61"/>
  <c r="W96" i="56"/>
  <c r="P19" i="55"/>
  <c r="E16" i="54"/>
  <c r="P110" i="55"/>
  <c r="P140" i="19"/>
  <c r="S140" i="19" s="1"/>
  <c r="G136" i="56"/>
  <c r="S204" i="55"/>
  <c r="P204" i="55"/>
  <c r="T709" i="55"/>
  <c r="L129" i="61"/>
  <c r="F129" i="61" s="1"/>
  <c r="H11" i="62" s="1"/>
  <c r="O54" i="62" s="1"/>
  <c r="S54" i="62" s="1"/>
  <c r="T54" i="62" s="1"/>
  <c r="F116" i="61"/>
  <c r="I146" i="61"/>
  <c r="S9" i="54"/>
  <c r="U9" i="54" s="1"/>
  <c r="T102" i="19"/>
  <c r="S16" i="54"/>
  <c r="F16" i="54" s="1"/>
  <c r="P90" i="55"/>
  <c r="Q66" i="55"/>
  <c r="E6" i="54"/>
  <c r="E26" i="54"/>
  <c r="S26" i="54"/>
  <c r="F26" i="54" s="1"/>
  <c r="M72" i="61"/>
  <c r="P39" i="61"/>
  <c r="P72" i="61" s="1"/>
  <c r="G39" i="61"/>
  <c r="G72" i="61" s="1"/>
  <c r="I8" i="62" s="1"/>
  <c r="AO694" i="55"/>
  <c r="AP694" i="55" s="1"/>
  <c r="M73" i="61"/>
  <c r="S706" i="55"/>
  <c r="G62" i="61"/>
  <c r="P62" i="61"/>
  <c r="O143" i="61"/>
  <c r="O144" i="61" s="1"/>
  <c r="P29" i="61"/>
  <c r="G29" i="61"/>
  <c r="E5" i="54"/>
  <c r="H74" i="61"/>
  <c r="J9" i="62" s="1"/>
  <c r="S30" i="61"/>
  <c r="V30" i="61" s="1"/>
  <c r="G64" i="61"/>
  <c r="P64" i="61"/>
  <c r="P42" i="61"/>
  <c r="G42" i="61"/>
  <c r="N435" i="61"/>
  <c r="K435" i="61"/>
  <c r="Q433" i="61"/>
  <c r="P69" i="55"/>
  <c r="J566" i="55"/>
  <c r="I265" i="55"/>
  <c r="V34" i="54" s="1"/>
  <c r="O270" i="61"/>
  <c r="P306" i="61" s="1"/>
  <c r="O116" i="61"/>
  <c r="AB254" i="61"/>
  <c r="S21" i="54"/>
  <c r="F21" i="54" s="1"/>
  <c r="J97" i="61"/>
  <c r="P93" i="61"/>
  <c r="W99" i="58"/>
  <c r="Q203" i="55"/>
  <c r="P20" i="61"/>
  <c r="G20" i="61"/>
  <c r="M75" i="61"/>
  <c r="S5" i="54"/>
  <c r="F5" i="54" s="1"/>
  <c r="S10" i="54"/>
  <c r="F10" i="54" s="1"/>
  <c r="AC253" i="61"/>
  <c r="AC256" i="61" s="1"/>
  <c r="AC258" i="61" s="1"/>
  <c r="I397" i="1"/>
  <c r="X393" i="1"/>
  <c r="Q116" i="55"/>
  <c r="S116" i="55" s="1"/>
  <c r="T57" i="54"/>
  <c r="T63" i="54" s="1"/>
  <c r="G24" i="54"/>
  <c r="E17" i="54"/>
  <c r="P38" i="61"/>
  <c r="G38" i="61"/>
  <c r="F53" i="61"/>
  <c r="O53" i="61"/>
  <c r="Q91" i="55"/>
  <c r="S91" i="55" s="1"/>
  <c r="AO696" i="55"/>
  <c r="AP696" i="55" s="1"/>
  <c r="J8" i="46"/>
  <c r="C35" i="53"/>
  <c r="E31" i="54"/>
  <c r="J274" i="55"/>
  <c r="G276" i="55" s="1"/>
  <c r="X33" i="54"/>
  <c r="K33" i="54" s="1"/>
  <c r="R52" i="54"/>
  <c r="R29" i="54"/>
  <c r="E25" i="54"/>
  <c r="M65" i="61"/>
  <c r="P59" i="61"/>
  <c r="P65" i="61" s="1"/>
  <c r="G59" i="61"/>
  <c r="G65" i="61" s="1"/>
  <c r="P93" i="55"/>
  <c r="Q22" i="55"/>
  <c r="S22" i="55" s="1"/>
  <c r="N306" i="61"/>
  <c r="K308" i="61" s="1"/>
  <c r="Z253" i="61"/>
  <c r="Z256" i="61" s="1"/>
  <c r="Z258" i="61" s="1"/>
  <c r="Q40" i="55"/>
  <c r="O42" i="61"/>
  <c r="F42" i="61"/>
  <c r="Q71" i="61"/>
  <c r="S6" i="54"/>
  <c r="F6" i="54" s="1"/>
  <c r="S4" i="54"/>
  <c r="U4" i="54" s="1"/>
  <c r="K273" i="55"/>
  <c r="L556" i="55"/>
  <c r="Q41" i="55"/>
  <c r="V48" i="55"/>
  <c r="X48" i="55" s="1"/>
  <c r="U102" i="19"/>
  <c r="C34" i="53"/>
  <c r="J7" i="46"/>
  <c r="P47" i="55"/>
  <c r="P109" i="55"/>
  <c r="S109" i="55"/>
  <c r="P212" i="55"/>
  <c r="S212" i="55"/>
  <c r="F41" i="61"/>
  <c r="F74" i="61" s="1"/>
  <c r="H9" i="62" s="1"/>
  <c r="L74" i="61"/>
  <c r="M70" i="61"/>
  <c r="M76" i="61" s="1"/>
  <c r="M109" i="61" s="1"/>
  <c r="M21" i="61"/>
  <c r="T33" i="54"/>
  <c r="G33" i="54" s="1"/>
  <c r="P43" i="55"/>
  <c r="S27" i="61"/>
  <c r="V27" i="61" s="1"/>
  <c r="H71" i="61"/>
  <c r="J6" i="62" s="1"/>
  <c r="S20" i="54"/>
  <c r="P123" i="61"/>
  <c r="AC255" i="61"/>
  <c r="AO692" i="55"/>
  <c r="AP692" i="55" s="1"/>
  <c r="H54" i="61"/>
  <c r="S48" i="61"/>
  <c r="V48" i="61" s="1"/>
  <c r="E11" i="54"/>
  <c r="Q48" i="55"/>
  <c r="S48" i="55" s="1"/>
  <c r="J6" i="46"/>
  <c r="C33" i="53"/>
  <c r="T56" i="54"/>
  <c r="T62" i="54" s="1"/>
  <c r="G19" i="54"/>
  <c r="Q213" i="55"/>
  <c r="S34" i="54"/>
  <c r="F34" i="54" s="1"/>
  <c r="E32" i="54"/>
  <c r="F31" i="61"/>
  <c r="O31" i="61"/>
  <c r="M273" i="55"/>
  <c r="M274" i="55" s="1"/>
  <c r="T8" i="54"/>
  <c r="G4" i="54"/>
  <c r="Z99" i="58"/>
  <c r="Q42" i="66"/>
  <c r="K42" i="66" s="1"/>
  <c r="L566" i="55"/>
  <c r="K265" i="55"/>
  <c r="W34" i="54" s="1"/>
  <c r="J34" i="54" s="1"/>
  <c r="R19" i="54"/>
  <c r="E15" i="54"/>
  <c r="G31" i="61"/>
  <c r="P31" i="61"/>
  <c r="Q17" i="55"/>
  <c r="U767" i="55"/>
  <c r="U768" i="55" s="1"/>
  <c r="H62" i="39"/>
  <c r="R14" i="54"/>
  <c r="E9" i="54"/>
  <c r="Q65" i="55"/>
  <c r="S32" i="54"/>
  <c r="F32" i="54" s="1"/>
  <c r="S134" i="56"/>
  <c r="Q88" i="55"/>
  <c r="S88" i="55" s="1"/>
  <c r="U706" i="55"/>
  <c r="P116" i="61"/>
  <c r="P270" i="61"/>
  <c r="Q306" i="61" s="1"/>
  <c r="AC254" i="61"/>
  <c r="Q21" i="55"/>
  <c r="AC102" i="19"/>
  <c r="E53" i="46"/>
  <c r="T58" i="54"/>
  <c r="T64" i="54" s="1"/>
  <c r="G29" i="54"/>
  <c r="S20" i="61"/>
  <c r="H75" i="61"/>
  <c r="J10" i="62" s="1"/>
  <c r="Q20" i="55"/>
  <c r="Q23" i="55"/>
  <c r="S23" i="55" s="1"/>
  <c r="S59" i="61"/>
  <c r="H65" i="61"/>
  <c r="S26" i="61"/>
  <c r="V26" i="61" s="1"/>
  <c r="H32" i="61"/>
  <c r="J88" i="61"/>
  <c r="P84" i="61"/>
  <c r="P37" i="55"/>
  <c r="S37" i="55"/>
  <c r="G41" i="61"/>
  <c r="G74" i="61" s="1"/>
  <c r="I9" i="62" s="1"/>
  <c r="M74" i="61"/>
  <c r="R50" i="54"/>
  <c r="P51" i="61"/>
  <c r="G51" i="61"/>
  <c r="O308" i="61"/>
  <c r="L311" i="61"/>
  <c r="L312" i="61"/>
  <c r="K17" i="61" s="1"/>
  <c r="E21" i="54"/>
  <c r="E10" i="54"/>
  <c r="R8" i="54"/>
  <c r="E4" i="54"/>
  <c r="U709" i="55"/>
  <c r="M129" i="61"/>
  <c r="G129" i="61" s="1"/>
  <c r="I11" i="62" s="1"/>
  <c r="P54" i="62" s="1"/>
  <c r="G116" i="61"/>
  <c r="P143" i="61"/>
  <c r="P144" i="61" s="1"/>
  <c r="N132" i="69" l="1"/>
  <c r="Q132" i="69" s="1"/>
  <c r="N127" i="69"/>
  <c r="Q127" i="69" s="1"/>
  <c r="N148" i="69"/>
  <c r="Q148" i="69" s="1"/>
  <c r="N156" i="69"/>
  <c r="Q156" i="69" s="1"/>
  <c r="N116" i="69"/>
  <c r="Q116" i="69" s="1"/>
  <c r="N140" i="69"/>
  <c r="Q140" i="69" s="1"/>
  <c r="N117" i="69"/>
  <c r="Q117" i="69" s="1"/>
  <c r="N118" i="69"/>
  <c r="Q118" i="69" s="1"/>
  <c r="N126" i="69"/>
  <c r="Q126" i="69" s="1"/>
  <c r="N115" i="69"/>
  <c r="Q115" i="69" s="1"/>
  <c r="N131" i="69"/>
  <c r="Q131" i="69" s="1"/>
  <c r="N139" i="69"/>
  <c r="Q139" i="69" s="1"/>
  <c r="N147" i="69"/>
  <c r="Q147" i="69" s="1"/>
  <c r="N155" i="69"/>
  <c r="Q155" i="69" s="1"/>
  <c r="N112" i="69"/>
  <c r="Q112" i="69" s="1"/>
  <c r="N128" i="69"/>
  <c r="Q128" i="69" s="1"/>
  <c r="N125" i="69"/>
  <c r="Q125" i="69" s="1"/>
  <c r="N145" i="69"/>
  <c r="Q145" i="69" s="1"/>
  <c r="N111" i="69"/>
  <c r="Q111" i="69" s="1"/>
  <c r="N138" i="69"/>
  <c r="Q138" i="69" s="1"/>
  <c r="N146" i="69"/>
  <c r="Q146" i="69" s="1"/>
  <c r="N153" i="69"/>
  <c r="Q153" i="69" s="1"/>
  <c r="N130" i="69"/>
  <c r="Q130" i="69" s="1"/>
  <c r="N113" i="69"/>
  <c r="Q113" i="69" s="1"/>
  <c r="N154" i="69"/>
  <c r="Q154" i="69" s="1"/>
  <c r="N129" i="69"/>
  <c r="Q129" i="69" s="1"/>
  <c r="N114" i="69"/>
  <c r="Q114" i="69" s="1"/>
  <c r="N137" i="69"/>
  <c r="Q137" i="69" s="1"/>
  <c r="N109" i="69"/>
  <c r="Q109" i="69" s="1"/>
  <c r="N135" i="69"/>
  <c r="Q135" i="69" s="1"/>
  <c r="N142" i="69"/>
  <c r="Q142" i="69" s="1"/>
  <c r="N124" i="69"/>
  <c r="Q124" i="69" s="1"/>
  <c r="N133" i="69"/>
  <c r="Q133" i="69" s="1"/>
  <c r="N151" i="69"/>
  <c r="Q151" i="69" s="1"/>
  <c r="N108" i="69"/>
  <c r="Q108" i="69" s="1"/>
  <c r="N134" i="69"/>
  <c r="Q134" i="69" s="1"/>
  <c r="N152" i="69"/>
  <c r="Q152" i="69" s="1"/>
  <c r="N136" i="69"/>
  <c r="Q136" i="69" s="1"/>
  <c r="N122" i="69"/>
  <c r="Q122" i="69" s="1"/>
  <c r="N119" i="69"/>
  <c r="Q119" i="69" s="1"/>
  <c r="N123" i="69"/>
  <c r="Q123" i="69" s="1"/>
  <c r="N110" i="69"/>
  <c r="Q110" i="69" s="1"/>
  <c r="N149" i="69"/>
  <c r="Q149" i="69" s="1"/>
  <c r="N143" i="69"/>
  <c r="Q143" i="69" s="1"/>
  <c r="N120" i="69"/>
  <c r="Q120" i="69" s="1"/>
  <c r="N141" i="69"/>
  <c r="Q141" i="69" s="1"/>
  <c r="N121" i="69"/>
  <c r="Q121" i="69" s="1"/>
  <c r="N144" i="69"/>
  <c r="Q144" i="69" s="1"/>
  <c r="N150" i="69"/>
  <c r="Q150" i="69" s="1"/>
  <c r="M140" i="69"/>
  <c r="P140" i="69" s="1"/>
  <c r="M156" i="69"/>
  <c r="P156" i="69" s="1"/>
  <c r="M116" i="69"/>
  <c r="P116" i="69" s="1"/>
  <c r="M132" i="69"/>
  <c r="P132" i="69" s="1"/>
  <c r="M148" i="69"/>
  <c r="P148" i="69" s="1"/>
  <c r="M113" i="69"/>
  <c r="P113" i="69" s="1"/>
  <c r="M129" i="69"/>
  <c r="P129" i="69" s="1"/>
  <c r="M137" i="69"/>
  <c r="P137" i="69" s="1"/>
  <c r="M145" i="69"/>
  <c r="P145" i="69" s="1"/>
  <c r="M153" i="69"/>
  <c r="P153" i="69" s="1"/>
  <c r="M115" i="69"/>
  <c r="P115" i="69" s="1"/>
  <c r="M131" i="69"/>
  <c r="P131" i="69" s="1"/>
  <c r="M139" i="69"/>
  <c r="P139" i="69" s="1"/>
  <c r="M147" i="69"/>
  <c r="P147" i="69" s="1"/>
  <c r="M155" i="69"/>
  <c r="P155" i="69" s="1"/>
  <c r="M112" i="69"/>
  <c r="P112" i="69" s="1"/>
  <c r="M128" i="69"/>
  <c r="P128" i="69" s="1"/>
  <c r="M117" i="69"/>
  <c r="P117" i="69" s="1"/>
  <c r="M125" i="69"/>
  <c r="P125" i="69" s="1"/>
  <c r="M126" i="69"/>
  <c r="P126" i="69" s="1"/>
  <c r="M127" i="69"/>
  <c r="P127" i="69" s="1"/>
  <c r="M111" i="69"/>
  <c r="P111" i="69" s="1"/>
  <c r="M146" i="69"/>
  <c r="P146" i="69" s="1"/>
  <c r="M118" i="69"/>
  <c r="P118" i="69" s="1"/>
  <c r="M114" i="69"/>
  <c r="P114" i="69" s="1"/>
  <c r="M138" i="69"/>
  <c r="P138" i="69" s="1"/>
  <c r="M130" i="69"/>
  <c r="P130" i="69" s="1"/>
  <c r="M154" i="69"/>
  <c r="P154" i="69" s="1"/>
  <c r="M134" i="69"/>
  <c r="P134" i="69" s="1"/>
  <c r="M124" i="69"/>
  <c r="P124" i="69" s="1"/>
  <c r="M109" i="69"/>
  <c r="P109" i="69" s="1"/>
  <c r="M133" i="69"/>
  <c r="P133" i="69" s="1"/>
  <c r="M119" i="69"/>
  <c r="P119" i="69" s="1"/>
  <c r="M110" i="69"/>
  <c r="P110" i="69" s="1"/>
  <c r="M142" i="69"/>
  <c r="P142" i="69" s="1"/>
  <c r="M141" i="69"/>
  <c r="P141" i="69" s="1"/>
  <c r="M152" i="69"/>
  <c r="P152" i="69" s="1"/>
  <c r="M108" i="69"/>
  <c r="P108" i="69" s="1"/>
  <c r="M135" i="69"/>
  <c r="P135" i="69" s="1"/>
  <c r="M122" i="69"/>
  <c r="P122" i="69" s="1"/>
  <c r="M144" i="69"/>
  <c r="P144" i="69" s="1"/>
  <c r="M136" i="69"/>
  <c r="P136" i="69" s="1"/>
  <c r="M121" i="69"/>
  <c r="P121" i="69" s="1"/>
  <c r="M151" i="69"/>
  <c r="P151" i="69" s="1"/>
  <c r="M120" i="69"/>
  <c r="P120" i="69" s="1"/>
  <c r="M143" i="69"/>
  <c r="P143" i="69" s="1"/>
  <c r="M150" i="69"/>
  <c r="P150" i="69" s="1"/>
  <c r="M123" i="69"/>
  <c r="P123" i="69" s="1"/>
  <c r="M149" i="69"/>
  <c r="P149" i="69" s="1"/>
  <c r="L114" i="69"/>
  <c r="O114" i="69" s="1"/>
  <c r="L137" i="69"/>
  <c r="O137" i="69" s="1"/>
  <c r="L138" i="69"/>
  <c r="O138" i="69" s="1"/>
  <c r="L116" i="69"/>
  <c r="O116" i="69" s="1"/>
  <c r="R116" i="69" s="1"/>
  <c r="L132" i="69"/>
  <c r="O132" i="69" s="1"/>
  <c r="R132" i="69" s="1"/>
  <c r="L140" i="69"/>
  <c r="O140" i="69" s="1"/>
  <c r="R140" i="69" s="1"/>
  <c r="L148" i="69"/>
  <c r="O148" i="69" s="1"/>
  <c r="L156" i="69"/>
  <c r="O156" i="69" s="1"/>
  <c r="R156" i="69" s="1"/>
  <c r="L153" i="69"/>
  <c r="O153" i="69" s="1"/>
  <c r="L113" i="69"/>
  <c r="O113" i="69" s="1"/>
  <c r="R113" i="69" s="1"/>
  <c r="L129" i="69"/>
  <c r="O129" i="69" s="1"/>
  <c r="L145" i="69"/>
  <c r="O145" i="69" s="1"/>
  <c r="L154" i="69"/>
  <c r="O154" i="69" s="1"/>
  <c r="L115" i="69"/>
  <c r="O115" i="69" s="1"/>
  <c r="L131" i="69"/>
  <c r="O131" i="69" s="1"/>
  <c r="L139" i="69"/>
  <c r="O139" i="69" s="1"/>
  <c r="L147" i="69"/>
  <c r="O147" i="69" s="1"/>
  <c r="L155" i="69"/>
  <c r="O155" i="69" s="1"/>
  <c r="L112" i="69"/>
  <c r="O112" i="69" s="1"/>
  <c r="L128" i="69"/>
  <c r="O128" i="69" s="1"/>
  <c r="L117" i="69"/>
  <c r="O117" i="69" s="1"/>
  <c r="L125" i="69"/>
  <c r="O125" i="69" s="1"/>
  <c r="L130" i="69"/>
  <c r="O130" i="69" s="1"/>
  <c r="L146" i="69"/>
  <c r="O146" i="69" s="1"/>
  <c r="R146" i="69" s="1"/>
  <c r="L127" i="69"/>
  <c r="O127" i="69" s="1"/>
  <c r="R127" i="69" s="1"/>
  <c r="L111" i="69"/>
  <c r="O111" i="69" s="1"/>
  <c r="R111" i="69" s="1"/>
  <c r="L118" i="69"/>
  <c r="O118" i="69" s="1"/>
  <c r="L126" i="69"/>
  <c r="O126" i="69" s="1"/>
  <c r="R126" i="69" s="1"/>
  <c r="L121" i="69"/>
  <c r="O121" i="69" s="1"/>
  <c r="L134" i="69"/>
  <c r="O134" i="69" s="1"/>
  <c r="L143" i="69"/>
  <c r="O143" i="69" s="1"/>
  <c r="L133" i="69"/>
  <c r="O133" i="69" s="1"/>
  <c r="L144" i="69"/>
  <c r="O144" i="69" s="1"/>
  <c r="L120" i="69"/>
  <c r="O120" i="69" s="1"/>
  <c r="L124" i="69"/>
  <c r="O124" i="69" s="1"/>
  <c r="L152" i="69"/>
  <c r="O152" i="69" s="1"/>
  <c r="R152" i="69" s="1"/>
  <c r="L119" i="69"/>
  <c r="O119" i="69" s="1"/>
  <c r="R119" i="69" s="1"/>
  <c r="L109" i="69"/>
  <c r="O109" i="69" s="1"/>
  <c r="L110" i="69"/>
  <c r="O110" i="69" s="1"/>
  <c r="L150" i="69"/>
  <c r="O150" i="69" s="1"/>
  <c r="L149" i="69"/>
  <c r="O149" i="69" s="1"/>
  <c r="R149" i="69" s="1"/>
  <c r="L136" i="69"/>
  <c r="O136" i="69" s="1"/>
  <c r="L108" i="69"/>
  <c r="O108" i="69" s="1"/>
  <c r="R108" i="69" s="1"/>
  <c r="L151" i="69"/>
  <c r="O151" i="69" s="1"/>
  <c r="L123" i="69"/>
  <c r="O123" i="69" s="1"/>
  <c r="L122" i="69"/>
  <c r="O122" i="69" s="1"/>
  <c r="R122" i="69" s="1"/>
  <c r="L135" i="69"/>
  <c r="O135" i="69" s="1"/>
  <c r="L142" i="69"/>
  <c r="O142" i="69" s="1"/>
  <c r="L141" i="69"/>
  <c r="O141" i="69" s="1"/>
  <c r="N378" i="1"/>
  <c r="W686" i="55" s="1"/>
  <c r="M378" i="1"/>
  <c r="X686" i="55" s="1"/>
  <c r="L378" i="1"/>
  <c r="O378" i="1" s="1"/>
  <c r="P94" i="55"/>
  <c r="S94" i="55"/>
  <c r="P44" i="55"/>
  <c r="P72" i="55"/>
  <c r="T52" i="54"/>
  <c r="M372" i="1"/>
  <c r="V372" i="1" s="1"/>
  <c r="M376" i="1"/>
  <c r="L372" i="1"/>
  <c r="O372" i="1" s="1"/>
  <c r="L376" i="1"/>
  <c r="N372" i="1"/>
  <c r="W680" i="55" s="1"/>
  <c r="AI680" i="55" s="1"/>
  <c r="J680" i="55" s="1"/>
  <c r="N376" i="1"/>
  <c r="M361" i="1"/>
  <c r="X669" i="55" s="1"/>
  <c r="M370" i="1"/>
  <c r="L361" i="1"/>
  <c r="L370" i="1"/>
  <c r="N361" i="1"/>
  <c r="Q361" i="1" s="1"/>
  <c r="Z669" i="55" s="1"/>
  <c r="N370" i="1"/>
  <c r="M344" i="1"/>
  <c r="X652" i="55" s="1"/>
  <c r="M359" i="1"/>
  <c r="L344" i="1"/>
  <c r="O344" i="1" s="1"/>
  <c r="L359" i="1"/>
  <c r="N344" i="1"/>
  <c r="Q344" i="1" s="1"/>
  <c r="Z652" i="55" s="1"/>
  <c r="N359" i="1"/>
  <c r="M327" i="1"/>
  <c r="X635" i="55" s="1"/>
  <c r="M342" i="1"/>
  <c r="L327" i="1"/>
  <c r="O327" i="1" s="1"/>
  <c r="L342" i="1"/>
  <c r="N327" i="1"/>
  <c r="Q327" i="1" s="1"/>
  <c r="Z635" i="55" s="1"/>
  <c r="N342" i="1"/>
  <c r="M280" i="1"/>
  <c r="P280" i="1" s="1"/>
  <c r="M324" i="1"/>
  <c r="L280" i="1"/>
  <c r="O280" i="1" s="1"/>
  <c r="L324" i="1"/>
  <c r="N280" i="1"/>
  <c r="Q280" i="1" s="1"/>
  <c r="N324" i="1"/>
  <c r="M261" i="1"/>
  <c r="P261" i="1" s="1"/>
  <c r="M278" i="1"/>
  <c r="P278" i="1" s="1"/>
  <c r="L261" i="1"/>
  <c r="O261" i="1" s="1"/>
  <c r="L278" i="1"/>
  <c r="O278" i="1" s="1"/>
  <c r="N261" i="1"/>
  <c r="Q261" i="1" s="1"/>
  <c r="N278" i="1"/>
  <c r="Q278" i="1" s="1"/>
  <c r="M242" i="1"/>
  <c r="P242" i="1" s="1"/>
  <c r="M259" i="1"/>
  <c r="P259" i="1" s="1"/>
  <c r="L242" i="1"/>
  <c r="O242" i="1" s="1"/>
  <c r="L259" i="1"/>
  <c r="O259" i="1" s="1"/>
  <c r="N242" i="1"/>
  <c r="Q242" i="1" s="1"/>
  <c r="N259" i="1"/>
  <c r="Q259" i="1" s="1"/>
  <c r="M224" i="1"/>
  <c r="P224" i="1" s="1"/>
  <c r="M240" i="1"/>
  <c r="P240" i="1" s="1"/>
  <c r="L224" i="1"/>
  <c r="O224" i="1" s="1"/>
  <c r="L240" i="1"/>
  <c r="O240" i="1" s="1"/>
  <c r="N224" i="1"/>
  <c r="Q224" i="1" s="1"/>
  <c r="N240" i="1"/>
  <c r="Q240" i="1" s="1"/>
  <c r="L367" i="1"/>
  <c r="O367" i="1" s="1"/>
  <c r="Y675" i="55" s="1"/>
  <c r="L220" i="1"/>
  <c r="O220" i="1" s="1"/>
  <c r="M367" i="1"/>
  <c r="V367" i="1" s="1"/>
  <c r="M220" i="1"/>
  <c r="P220" i="1" s="1"/>
  <c r="N367" i="1"/>
  <c r="W367" i="1" s="1"/>
  <c r="N220" i="1"/>
  <c r="Q220" i="1" s="1"/>
  <c r="T51" i="54"/>
  <c r="M355" i="1"/>
  <c r="V355" i="1" s="1"/>
  <c r="M364" i="1"/>
  <c r="V364" i="1" s="1"/>
  <c r="L355" i="1"/>
  <c r="L364" i="1"/>
  <c r="N355" i="1"/>
  <c r="W355" i="1" s="1"/>
  <c r="N364" i="1"/>
  <c r="W364" i="1" s="1"/>
  <c r="M350" i="1"/>
  <c r="V350" i="1" s="1"/>
  <c r="M353" i="1"/>
  <c r="V353" i="1" s="1"/>
  <c r="L350" i="1"/>
  <c r="L353" i="1"/>
  <c r="N350" i="1"/>
  <c r="W350" i="1" s="1"/>
  <c r="N353" i="1"/>
  <c r="W353" i="1" s="1"/>
  <c r="M338" i="1"/>
  <c r="V338" i="1" s="1"/>
  <c r="M347" i="1"/>
  <c r="V347" i="1" s="1"/>
  <c r="L338" i="1"/>
  <c r="L347" i="1"/>
  <c r="N338" i="1"/>
  <c r="W338" i="1" s="1"/>
  <c r="N347" i="1"/>
  <c r="W347" i="1" s="1"/>
  <c r="M333" i="1"/>
  <c r="V333" i="1" s="1"/>
  <c r="M336" i="1"/>
  <c r="V336" i="1" s="1"/>
  <c r="L333" i="1"/>
  <c r="L336" i="1"/>
  <c r="N333" i="1"/>
  <c r="W333" i="1" s="1"/>
  <c r="N336" i="1"/>
  <c r="W336" i="1" s="1"/>
  <c r="M317" i="1"/>
  <c r="V317" i="1" s="1"/>
  <c r="M330" i="1"/>
  <c r="V330" i="1" s="1"/>
  <c r="L317" i="1"/>
  <c r="L330" i="1"/>
  <c r="N317" i="1"/>
  <c r="W317" i="1" s="1"/>
  <c r="N330" i="1"/>
  <c r="W330" i="1" s="1"/>
  <c r="M310" i="1"/>
  <c r="V310" i="1" s="1"/>
  <c r="M314" i="1"/>
  <c r="V314" i="1" s="1"/>
  <c r="L310" i="1"/>
  <c r="L314" i="1"/>
  <c r="N310" i="1"/>
  <c r="W310" i="1" s="1"/>
  <c r="N314" i="1"/>
  <c r="W314" i="1" s="1"/>
  <c r="M274" i="1"/>
  <c r="P274" i="1" s="1"/>
  <c r="M307" i="1"/>
  <c r="V307" i="1" s="1"/>
  <c r="L274" i="1"/>
  <c r="O274" i="1" s="1"/>
  <c r="L307" i="1"/>
  <c r="N274" i="1"/>
  <c r="Q274" i="1" s="1"/>
  <c r="N307" i="1"/>
  <c r="W307" i="1" s="1"/>
  <c r="U49" i="54"/>
  <c r="T50" i="54"/>
  <c r="U50" i="54" s="1"/>
  <c r="M270" i="1"/>
  <c r="P270" i="1" s="1"/>
  <c r="M272" i="1"/>
  <c r="P272" i="1" s="1"/>
  <c r="L270" i="1"/>
  <c r="O270" i="1" s="1"/>
  <c r="L272" i="1"/>
  <c r="O272" i="1" s="1"/>
  <c r="N270" i="1"/>
  <c r="Q270" i="1" s="1"/>
  <c r="N272" i="1"/>
  <c r="Q272" i="1" s="1"/>
  <c r="M266" i="1"/>
  <c r="P266" i="1" s="1"/>
  <c r="M268" i="1"/>
  <c r="P268" i="1" s="1"/>
  <c r="L266" i="1"/>
  <c r="O266" i="1" s="1"/>
  <c r="L268" i="1"/>
  <c r="O268" i="1" s="1"/>
  <c r="N266" i="1"/>
  <c r="Q266" i="1" s="1"/>
  <c r="N268" i="1"/>
  <c r="Q268" i="1" s="1"/>
  <c r="M255" i="1"/>
  <c r="P255" i="1" s="1"/>
  <c r="M264" i="1"/>
  <c r="P264" i="1" s="1"/>
  <c r="L255" i="1"/>
  <c r="O255" i="1" s="1"/>
  <c r="L264" i="1"/>
  <c r="O264" i="1" s="1"/>
  <c r="N255" i="1"/>
  <c r="Q255" i="1" s="1"/>
  <c r="N264" i="1"/>
  <c r="Q264" i="1" s="1"/>
  <c r="M251" i="1"/>
  <c r="P251" i="1" s="1"/>
  <c r="M253" i="1"/>
  <c r="P253" i="1" s="1"/>
  <c r="L251" i="1"/>
  <c r="O251" i="1" s="1"/>
  <c r="L253" i="1"/>
  <c r="O253" i="1" s="1"/>
  <c r="N251" i="1"/>
  <c r="Q251" i="1" s="1"/>
  <c r="N253" i="1"/>
  <c r="Q253" i="1" s="1"/>
  <c r="M247" i="1"/>
  <c r="P247" i="1" s="1"/>
  <c r="M249" i="1"/>
  <c r="P249" i="1" s="1"/>
  <c r="L247" i="1"/>
  <c r="O247" i="1" s="1"/>
  <c r="L249" i="1"/>
  <c r="O249" i="1" s="1"/>
  <c r="N247" i="1"/>
  <c r="Q247" i="1" s="1"/>
  <c r="N249" i="1"/>
  <c r="Q249" i="1" s="1"/>
  <c r="M236" i="1"/>
  <c r="P236" i="1" s="1"/>
  <c r="M245" i="1"/>
  <c r="P245" i="1" s="1"/>
  <c r="L236" i="1"/>
  <c r="O236" i="1" s="1"/>
  <c r="L245" i="1"/>
  <c r="O245" i="1" s="1"/>
  <c r="N236" i="1"/>
  <c r="Q236" i="1" s="1"/>
  <c r="N245" i="1"/>
  <c r="Q245" i="1" s="1"/>
  <c r="L232" i="1"/>
  <c r="O232" i="1" s="1"/>
  <c r="L234" i="1"/>
  <c r="O234" i="1" s="1"/>
  <c r="N232" i="1"/>
  <c r="Q232" i="1" s="1"/>
  <c r="N234" i="1"/>
  <c r="Q234" i="1" s="1"/>
  <c r="M232" i="1"/>
  <c r="P232" i="1" s="1"/>
  <c r="M234" i="1"/>
  <c r="P234" i="1" s="1"/>
  <c r="M227" i="1"/>
  <c r="P227" i="1" s="1"/>
  <c r="M230" i="1"/>
  <c r="P230" i="1" s="1"/>
  <c r="L227" i="1"/>
  <c r="O227" i="1" s="1"/>
  <c r="L230" i="1"/>
  <c r="O230" i="1" s="1"/>
  <c r="N227" i="1"/>
  <c r="Q227" i="1" s="1"/>
  <c r="N230" i="1"/>
  <c r="Q230" i="1" s="1"/>
  <c r="M206" i="1"/>
  <c r="P206" i="1" s="1"/>
  <c r="M210" i="1"/>
  <c r="P210" i="1" s="1"/>
  <c r="L206" i="1"/>
  <c r="O206" i="1" s="1"/>
  <c r="L210" i="1"/>
  <c r="O210" i="1" s="1"/>
  <c r="N206" i="1"/>
  <c r="Q206" i="1" s="1"/>
  <c r="N210" i="1"/>
  <c r="Q210" i="1" s="1"/>
  <c r="M198" i="1"/>
  <c r="P198" i="1" s="1"/>
  <c r="M201" i="1"/>
  <c r="P201" i="1" s="1"/>
  <c r="L198" i="1"/>
  <c r="O198" i="1" s="1"/>
  <c r="L201" i="1"/>
  <c r="O201" i="1" s="1"/>
  <c r="N198" i="1"/>
  <c r="Q198" i="1" s="1"/>
  <c r="N201" i="1"/>
  <c r="Q201" i="1" s="1"/>
  <c r="S149" i="19"/>
  <c r="MO195" i="69"/>
  <c r="MO211" i="69"/>
  <c r="MO227" i="69"/>
  <c r="MO243" i="69"/>
  <c r="MO259" i="69"/>
  <c r="MO275" i="69"/>
  <c r="MO291" i="69"/>
  <c r="MO236" i="69"/>
  <c r="MO202" i="69"/>
  <c r="MO218" i="69"/>
  <c r="MO234" i="69"/>
  <c r="MO250" i="69"/>
  <c r="MO266" i="69"/>
  <c r="MO282" i="69"/>
  <c r="MO193" i="69"/>
  <c r="MO209" i="69"/>
  <c r="MO225" i="69"/>
  <c r="MO241" i="69"/>
  <c r="MO257" i="69"/>
  <c r="MO273" i="69"/>
  <c r="MO289" i="69"/>
  <c r="MO200" i="69"/>
  <c r="MO216" i="69"/>
  <c r="MO232" i="69"/>
  <c r="MO248" i="69"/>
  <c r="MO264" i="69"/>
  <c r="MO280" i="69"/>
  <c r="MO191" i="69"/>
  <c r="MO207" i="69"/>
  <c r="MO223" i="69"/>
  <c r="MO239" i="69"/>
  <c r="MO255" i="69"/>
  <c r="MO271" i="69"/>
  <c r="MO287" i="69"/>
  <c r="MO198" i="69"/>
  <c r="MO214" i="69"/>
  <c r="MO230" i="69"/>
  <c r="MO246" i="69"/>
  <c r="MO262" i="69"/>
  <c r="MO278" i="69"/>
  <c r="MO220" i="69"/>
  <c r="MO189" i="69"/>
  <c r="MO205" i="69"/>
  <c r="MO221" i="69"/>
  <c r="MO237" i="69"/>
  <c r="MO253" i="69"/>
  <c r="MO269" i="69"/>
  <c r="MO285" i="69"/>
  <c r="MO252" i="69"/>
  <c r="MO196" i="69"/>
  <c r="MO212" i="69"/>
  <c r="MO228" i="69"/>
  <c r="MO244" i="69"/>
  <c r="MO260" i="69"/>
  <c r="MO276" i="69"/>
  <c r="MO292" i="69"/>
  <c r="MO203" i="69"/>
  <c r="MO219" i="69"/>
  <c r="MO235" i="69"/>
  <c r="MO251" i="69"/>
  <c r="MO267" i="69"/>
  <c r="MO283" i="69"/>
  <c r="MO268" i="69"/>
  <c r="MO194" i="69"/>
  <c r="MO210" i="69"/>
  <c r="MO226" i="69"/>
  <c r="MO242" i="69"/>
  <c r="MO258" i="69"/>
  <c r="MO274" i="69"/>
  <c r="MO290" i="69"/>
  <c r="MO204" i="69"/>
  <c r="MO201" i="69"/>
  <c r="MO217" i="69"/>
  <c r="MO233" i="69"/>
  <c r="MO249" i="69"/>
  <c r="MO265" i="69"/>
  <c r="MO281" i="69"/>
  <c r="MO192" i="69"/>
  <c r="MO208" i="69"/>
  <c r="MO224" i="69"/>
  <c r="MO240" i="69"/>
  <c r="MO256" i="69"/>
  <c r="MO272" i="69"/>
  <c r="MO288" i="69"/>
  <c r="MO199" i="69"/>
  <c r="MO215" i="69"/>
  <c r="MO231" i="69"/>
  <c r="MO247" i="69"/>
  <c r="MO263" i="69"/>
  <c r="MO279" i="69"/>
  <c r="MO190" i="69"/>
  <c r="MO206" i="69"/>
  <c r="MO222" i="69"/>
  <c r="MO238" i="69"/>
  <c r="MO254" i="69"/>
  <c r="MO270" i="69"/>
  <c r="MO286" i="69"/>
  <c r="MO284" i="69"/>
  <c r="MO197" i="69"/>
  <c r="MO213" i="69"/>
  <c r="MO229" i="69"/>
  <c r="MO245" i="69"/>
  <c r="MO261" i="69"/>
  <c r="MO277" i="69"/>
  <c r="MO186" i="69"/>
  <c r="MO187" i="69"/>
  <c r="MO188" i="69"/>
  <c r="MN202" i="69"/>
  <c r="MN218" i="69"/>
  <c r="MN234" i="69"/>
  <c r="MN250" i="69"/>
  <c r="MN266" i="69"/>
  <c r="MN282" i="69"/>
  <c r="MN211" i="69"/>
  <c r="MN193" i="69"/>
  <c r="MN209" i="69"/>
  <c r="MN225" i="69"/>
  <c r="MN241" i="69"/>
  <c r="MN257" i="69"/>
  <c r="MN273" i="69"/>
  <c r="MN289" i="69"/>
  <c r="MN275" i="69"/>
  <c r="MN291" i="69"/>
  <c r="MN200" i="69"/>
  <c r="MN216" i="69"/>
  <c r="MN232" i="69"/>
  <c r="MN248" i="69"/>
  <c r="MN264" i="69"/>
  <c r="MN280" i="69"/>
  <c r="MN191" i="69"/>
  <c r="MN207" i="69"/>
  <c r="MN223" i="69"/>
  <c r="MN239" i="69"/>
  <c r="MN255" i="69"/>
  <c r="MN271" i="69"/>
  <c r="MN287" i="69"/>
  <c r="MN198" i="69"/>
  <c r="MN214" i="69"/>
  <c r="MN230" i="69"/>
  <c r="MN246" i="69"/>
  <c r="MN262" i="69"/>
  <c r="MN278" i="69"/>
  <c r="MN189" i="69"/>
  <c r="MN205" i="69"/>
  <c r="MN221" i="69"/>
  <c r="MN237" i="69"/>
  <c r="MN253" i="69"/>
  <c r="MN269" i="69"/>
  <c r="MN285" i="69"/>
  <c r="MN196" i="69"/>
  <c r="MN212" i="69"/>
  <c r="MN228" i="69"/>
  <c r="MN244" i="69"/>
  <c r="MN260" i="69"/>
  <c r="MN276" i="69"/>
  <c r="MN292" i="69"/>
  <c r="MN203" i="69"/>
  <c r="MN219" i="69"/>
  <c r="MN235" i="69"/>
  <c r="MN251" i="69"/>
  <c r="MN267" i="69"/>
  <c r="MN283" i="69"/>
  <c r="MN194" i="69"/>
  <c r="MN210" i="69"/>
  <c r="MN226" i="69"/>
  <c r="MN242" i="69"/>
  <c r="MN258" i="69"/>
  <c r="MN274" i="69"/>
  <c r="MN290" i="69"/>
  <c r="MN201" i="69"/>
  <c r="MN217" i="69"/>
  <c r="MN233" i="69"/>
  <c r="MN249" i="69"/>
  <c r="MN265" i="69"/>
  <c r="MN281" i="69"/>
  <c r="MN192" i="69"/>
  <c r="MN208" i="69"/>
  <c r="MN224" i="69"/>
  <c r="MN240" i="69"/>
  <c r="MN256" i="69"/>
  <c r="MN272" i="69"/>
  <c r="MN288" i="69"/>
  <c r="MN243" i="69"/>
  <c r="MN199" i="69"/>
  <c r="MN215" i="69"/>
  <c r="MN231" i="69"/>
  <c r="MN247" i="69"/>
  <c r="MN263" i="69"/>
  <c r="MN279" i="69"/>
  <c r="MN195" i="69"/>
  <c r="MN190" i="69"/>
  <c r="MN206" i="69"/>
  <c r="MN222" i="69"/>
  <c r="MN238" i="69"/>
  <c r="MN254" i="69"/>
  <c r="MN270" i="69"/>
  <c r="MN286" i="69"/>
  <c r="MN197" i="69"/>
  <c r="MN213" i="69"/>
  <c r="MN229" i="69"/>
  <c r="MN245" i="69"/>
  <c r="MN261" i="69"/>
  <c r="MN277" i="69"/>
  <c r="MN259" i="69"/>
  <c r="MN204" i="69"/>
  <c r="MN220" i="69"/>
  <c r="MN236" i="69"/>
  <c r="MN252" i="69"/>
  <c r="MN268" i="69"/>
  <c r="MN284" i="69"/>
  <c r="MN227" i="69"/>
  <c r="MN186" i="69"/>
  <c r="MN187" i="69"/>
  <c r="MN188" i="69"/>
  <c r="MP204" i="69"/>
  <c r="MP220" i="69"/>
  <c r="MP236" i="69"/>
  <c r="MP252" i="69"/>
  <c r="MP268" i="69"/>
  <c r="MP284" i="69"/>
  <c r="MP195" i="69"/>
  <c r="MP211" i="69"/>
  <c r="MP227" i="69"/>
  <c r="MP243" i="69"/>
  <c r="MP259" i="69"/>
  <c r="MP275" i="69"/>
  <c r="MP291" i="69"/>
  <c r="MP261" i="69"/>
  <c r="MP202" i="69"/>
  <c r="MP218" i="69"/>
  <c r="MP234" i="69"/>
  <c r="MP250" i="69"/>
  <c r="MP266" i="69"/>
  <c r="MP282" i="69"/>
  <c r="MP193" i="69"/>
  <c r="MP209" i="69"/>
  <c r="MP225" i="69"/>
  <c r="MP241" i="69"/>
  <c r="MP257" i="69"/>
  <c r="MP273" i="69"/>
  <c r="MP289" i="69"/>
  <c r="MP200" i="69"/>
  <c r="MP216" i="69"/>
  <c r="MP232" i="69"/>
  <c r="MP248" i="69"/>
  <c r="MP264" i="69"/>
  <c r="MP280" i="69"/>
  <c r="MP213" i="69"/>
  <c r="MP191" i="69"/>
  <c r="MP207" i="69"/>
  <c r="MP223" i="69"/>
  <c r="MP239" i="69"/>
  <c r="MP255" i="69"/>
  <c r="MP271" i="69"/>
  <c r="MP287" i="69"/>
  <c r="MP198" i="69"/>
  <c r="MP214" i="69"/>
  <c r="MP230" i="69"/>
  <c r="MP246" i="69"/>
  <c r="MP262" i="69"/>
  <c r="MP278" i="69"/>
  <c r="MP229" i="69"/>
  <c r="MP189" i="69"/>
  <c r="MP205" i="69"/>
  <c r="MP221" i="69"/>
  <c r="MP237" i="69"/>
  <c r="MP253" i="69"/>
  <c r="MP269" i="69"/>
  <c r="MP285" i="69"/>
  <c r="MP197" i="69"/>
  <c r="MP196" i="69"/>
  <c r="MP212" i="69"/>
  <c r="MP228" i="69"/>
  <c r="MP244" i="69"/>
  <c r="MP260" i="69"/>
  <c r="MP276" i="69"/>
  <c r="MP292" i="69"/>
  <c r="MP245" i="69"/>
  <c r="MP203" i="69"/>
  <c r="MP219" i="69"/>
  <c r="MP235" i="69"/>
  <c r="MP251" i="69"/>
  <c r="MP267" i="69"/>
  <c r="MP283" i="69"/>
  <c r="MP194" i="69"/>
  <c r="MP210" i="69"/>
  <c r="MP226" i="69"/>
  <c r="MP242" i="69"/>
  <c r="MP258" i="69"/>
  <c r="MP274" i="69"/>
  <c r="MP290" i="69"/>
  <c r="MP201" i="69"/>
  <c r="MP217" i="69"/>
  <c r="MP233" i="69"/>
  <c r="MP249" i="69"/>
  <c r="MP265" i="69"/>
  <c r="MP281" i="69"/>
  <c r="MP192" i="69"/>
  <c r="MP208" i="69"/>
  <c r="MP224" i="69"/>
  <c r="MP240" i="69"/>
  <c r="MP256" i="69"/>
  <c r="MP272" i="69"/>
  <c r="MP288" i="69"/>
  <c r="MP199" i="69"/>
  <c r="MP215" i="69"/>
  <c r="MP231" i="69"/>
  <c r="MP247" i="69"/>
  <c r="MP263" i="69"/>
  <c r="MP279" i="69"/>
  <c r="MP190" i="69"/>
  <c r="MP206" i="69"/>
  <c r="MP222" i="69"/>
  <c r="MP238" i="69"/>
  <c r="MP254" i="69"/>
  <c r="MP270" i="69"/>
  <c r="MP286" i="69"/>
  <c r="MP277" i="69"/>
  <c r="MP186" i="69"/>
  <c r="MP187" i="69"/>
  <c r="MP188" i="69"/>
  <c r="T48" i="54"/>
  <c r="U48" i="54" s="1"/>
  <c r="M185" i="69"/>
  <c r="MO185" i="69"/>
  <c r="K44" i="53" s="1"/>
  <c r="L185" i="69"/>
  <c r="MN185" i="69"/>
  <c r="J44" i="53" s="1"/>
  <c r="N185" i="69"/>
  <c r="MP185" i="69"/>
  <c r="L44" i="53" s="1"/>
  <c r="H61" i="55"/>
  <c r="N280" i="69"/>
  <c r="N288" i="69"/>
  <c r="N277" i="69"/>
  <c r="N285" i="69"/>
  <c r="N286" i="69"/>
  <c r="N279" i="69"/>
  <c r="N287" i="69"/>
  <c r="N284" i="69"/>
  <c r="N292" i="69"/>
  <c r="N278" i="69"/>
  <c r="N289" i="69"/>
  <c r="N281" i="69"/>
  <c r="N283" i="69"/>
  <c r="N291" i="69"/>
  <c r="N282" i="69"/>
  <c r="N290" i="69"/>
  <c r="M277" i="69"/>
  <c r="M285" i="69"/>
  <c r="M284" i="69"/>
  <c r="M292" i="69"/>
  <c r="M281" i="69"/>
  <c r="M289" i="69"/>
  <c r="M287" i="69"/>
  <c r="M291" i="69"/>
  <c r="M278" i="69"/>
  <c r="M283" i="69"/>
  <c r="M286" i="69"/>
  <c r="M279" i="69"/>
  <c r="M280" i="69"/>
  <c r="M288" i="69"/>
  <c r="M290" i="69"/>
  <c r="M282" i="69"/>
  <c r="L277" i="69"/>
  <c r="L285" i="69"/>
  <c r="L291" i="69"/>
  <c r="L282" i="69"/>
  <c r="L290" i="69"/>
  <c r="L283" i="69"/>
  <c r="L284" i="69"/>
  <c r="L292" i="69"/>
  <c r="L281" i="69"/>
  <c r="L289" i="69"/>
  <c r="L279" i="69"/>
  <c r="L286" i="69"/>
  <c r="L287" i="69"/>
  <c r="L278" i="69"/>
  <c r="L288" i="69"/>
  <c r="L280" i="69"/>
  <c r="N256" i="69"/>
  <c r="N264" i="69"/>
  <c r="N262" i="69"/>
  <c r="N255" i="69"/>
  <c r="N263" i="69"/>
  <c r="N260" i="69"/>
  <c r="N268" i="69"/>
  <c r="N254" i="69"/>
  <c r="N265" i="69"/>
  <c r="N257" i="69"/>
  <c r="N267" i="69"/>
  <c r="N259" i="69"/>
  <c r="N261" i="69"/>
  <c r="N266" i="69"/>
  <c r="N258" i="69"/>
  <c r="N253" i="69"/>
  <c r="M253" i="69"/>
  <c r="M261" i="69"/>
  <c r="M260" i="69"/>
  <c r="M268" i="69"/>
  <c r="M257" i="69"/>
  <c r="M265" i="69"/>
  <c r="M262" i="69"/>
  <c r="M263" i="69"/>
  <c r="M254" i="69"/>
  <c r="M267" i="69"/>
  <c r="M255" i="69"/>
  <c r="M259" i="69"/>
  <c r="M258" i="69"/>
  <c r="M264" i="69"/>
  <c r="M256" i="69"/>
  <c r="M266" i="69"/>
  <c r="L267" i="69"/>
  <c r="L253" i="69"/>
  <c r="L261" i="69"/>
  <c r="L260" i="69"/>
  <c r="L268" i="69"/>
  <c r="L257" i="69"/>
  <c r="L265" i="69"/>
  <c r="L259" i="69"/>
  <c r="L258" i="69"/>
  <c r="L263" i="69"/>
  <c r="L255" i="69"/>
  <c r="L262" i="69"/>
  <c r="L254" i="69"/>
  <c r="L264" i="69"/>
  <c r="L256" i="69"/>
  <c r="L266" i="69"/>
  <c r="N232" i="69"/>
  <c r="N240" i="69"/>
  <c r="N237" i="69"/>
  <c r="N238" i="69"/>
  <c r="N231" i="69"/>
  <c r="N239" i="69"/>
  <c r="N236" i="69"/>
  <c r="N244" i="69"/>
  <c r="N233" i="69"/>
  <c r="N241" i="69"/>
  <c r="N230" i="69"/>
  <c r="N243" i="69"/>
  <c r="N235" i="69"/>
  <c r="N242" i="69"/>
  <c r="N234" i="69"/>
  <c r="N229" i="69"/>
  <c r="M229" i="69"/>
  <c r="M237" i="69"/>
  <c r="M236" i="69"/>
  <c r="M244" i="69"/>
  <c r="M233" i="69"/>
  <c r="M241" i="69"/>
  <c r="M230" i="69"/>
  <c r="M238" i="69"/>
  <c r="M239" i="69"/>
  <c r="M243" i="69"/>
  <c r="M235" i="69"/>
  <c r="M240" i="69"/>
  <c r="M242" i="69"/>
  <c r="M232" i="69"/>
  <c r="M234" i="69"/>
  <c r="M231" i="69"/>
  <c r="L229" i="69"/>
  <c r="L237" i="69"/>
  <c r="L234" i="69"/>
  <c r="L242" i="69"/>
  <c r="L243" i="69"/>
  <c r="L236" i="69"/>
  <c r="L244" i="69"/>
  <c r="L233" i="69"/>
  <c r="L241" i="69"/>
  <c r="L235" i="69"/>
  <c r="L230" i="69"/>
  <c r="L238" i="69"/>
  <c r="L239" i="69"/>
  <c r="L231" i="69"/>
  <c r="L240" i="69"/>
  <c r="L232" i="69"/>
  <c r="N208" i="69"/>
  <c r="N216" i="69"/>
  <c r="N213" i="69"/>
  <c r="N214" i="69"/>
  <c r="N207" i="69"/>
  <c r="N215" i="69"/>
  <c r="N212" i="69"/>
  <c r="N220" i="69"/>
  <c r="N206" i="69"/>
  <c r="N209" i="69"/>
  <c r="N217" i="69"/>
  <c r="N219" i="69"/>
  <c r="N205" i="69"/>
  <c r="N210" i="69"/>
  <c r="N211" i="69"/>
  <c r="N218" i="69"/>
  <c r="M205" i="69"/>
  <c r="M213" i="69"/>
  <c r="M207" i="69"/>
  <c r="M215" i="69"/>
  <c r="M212" i="69"/>
  <c r="M220" i="69"/>
  <c r="M209" i="69"/>
  <c r="M217" i="69"/>
  <c r="M206" i="69"/>
  <c r="M214" i="69"/>
  <c r="M211" i="69"/>
  <c r="M216" i="69"/>
  <c r="M219" i="69"/>
  <c r="M208" i="69"/>
  <c r="M210" i="69"/>
  <c r="M218" i="69"/>
  <c r="L205" i="69"/>
  <c r="L213" i="69"/>
  <c r="L210" i="69"/>
  <c r="L218" i="69"/>
  <c r="L219" i="69"/>
  <c r="L212" i="69"/>
  <c r="L220" i="69"/>
  <c r="L211" i="69"/>
  <c r="L209" i="69"/>
  <c r="L217" i="69"/>
  <c r="L206" i="69"/>
  <c r="L214" i="69"/>
  <c r="L215" i="69"/>
  <c r="L216" i="69"/>
  <c r="L208" i="69"/>
  <c r="L207" i="69"/>
  <c r="N192" i="69"/>
  <c r="N194" i="69"/>
  <c r="N191" i="69"/>
  <c r="N190" i="69"/>
  <c r="N195" i="69"/>
  <c r="N193" i="69"/>
  <c r="N196" i="69"/>
  <c r="N189" i="69"/>
  <c r="M191" i="69"/>
  <c r="M196" i="69"/>
  <c r="M193" i="69"/>
  <c r="M190" i="69"/>
  <c r="M192" i="69"/>
  <c r="M195" i="69"/>
  <c r="M189" i="69"/>
  <c r="M194" i="69"/>
  <c r="L189" i="69"/>
  <c r="L191" i="69"/>
  <c r="L196" i="69"/>
  <c r="L195" i="69"/>
  <c r="L194" i="69"/>
  <c r="L190" i="69"/>
  <c r="L192" i="69"/>
  <c r="L193" i="69"/>
  <c r="H196" i="55"/>
  <c r="N377" i="1"/>
  <c r="N374" i="1"/>
  <c r="N375" i="1"/>
  <c r="N373" i="1"/>
  <c r="M374" i="1"/>
  <c r="M377" i="1"/>
  <c r="M375" i="1"/>
  <c r="M373" i="1"/>
  <c r="L374" i="1"/>
  <c r="L377" i="1"/>
  <c r="L375" i="1"/>
  <c r="L373" i="1"/>
  <c r="N360" i="1"/>
  <c r="N358" i="1"/>
  <c r="N357" i="1"/>
  <c r="N356" i="1"/>
  <c r="M356" i="1"/>
  <c r="M358" i="1"/>
  <c r="M360" i="1"/>
  <c r="M357" i="1"/>
  <c r="L356" i="1"/>
  <c r="L360" i="1"/>
  <c r="L358" i="1"/>
  <c r="L357" i="1"/>
  <c r="N343" i="1"/>
  <c r="N341" i="1"/>
  <c r="N340" i="1"/>
  <c r="N339" i="1"/>
  <c r="M339" i="1"/>
  <c r="M341" i="1"/>
  <c r="M340" i="1"/>
  <c r="M343" i="1"/>
  <c r="L340" i="1"/>
  <c r="L343" i="1"/>
  <c r="L341" i="1"/>
  <c r="L339" i="1"/>
  <c r="N325" i="1"/>
  <c r="N321" i="1"/>
  <c r="N318" i="1"/>
  <c r="N320" i="1"/>
  <c r="N326" i="1"/>
  <c r="N322" i="1"/>
  <c r="N319" i="1"/>
  <c r="N323" i="1"/>
  <c r="M318" i="1"/>
  <c r="M326" i="1"/>
  <c r="M322" i="1"/>
  <c r="M319" i="1"/>
  <c r="M321" i="1"/>
  <c r="M320" i="1"/>
  <c r="M325" i="1"/>
  <c r="M323" i="1"/>
  <c r="L321" i="1"/>
  <c r="L318" i="1"/>
  <c r="L323" i="1"/>
  <c r="L326" i="1"/>
  <c r="L322" i="1"/>
  <c r="L325" i="1"/>
  <c r="L319" i="1"/>
  <c r="L320" i="1"/>
  <c r="N300" i="1"/>
  <c r="W300" i="1" s="1"/>
  <c r="N297" i="1"/>
  <c r="W297" i="1" s="1"/>
  <c r="N299" i="1"/>
  <c r="W299" i="1" s="1"/>
  <c r="N304" i="1"/>
  <c r="W304" i="1" s="1"/>
  <c r="N301" i="1"/>
  <c r="W301" i="1" s="1"/>
  <c r="N298" i="1"/>
  <c r="W298" i="1" s="1"/>
  <c r="N302" i="1"/>
  <c r="W302" i="1" s="1"/>
  <c r="N303" i="1"/>
  <c r="W303" i="1" s="1"/>
  <c r="M297" i="1"/>
  <c r="V297" i="1" s="1"/>
  <c r="M304" i="1"/>
  <c r="V304" i="1" s="1"/>
  <c r="M301" i="1"/>
  <c r="V301" i="1" s="1"/>
  <c r="M298" i="1"/>
  <c r="V298" i="1" s="1"/>
  <c r="M299" i="1"/>
  <c r="V299" i="1" s="1"/>
  <c r="M303" i="1"/>
  <c r="V303" i="1" s="1"/>
  <c r="M300" i="1"/>
  <c r="V300" i="1" s="1"/>
  <c r="M302" i="1"/>
  <c r="V302" i="1" s="1"/>
  <c r="L297" i="1"/>
  <c r="L302" i="1"/>
  <c r="L304" i="1"/>
  <c r="L303" i="1"/>
  <c r="L301" i="1"/>
  <c r="L298" i="1"/>
  <c r="L300" i="1"/>
  <c r="L299" i="1"/>
  <c r="N279" i="1"/>
  <c r="Q279" i="1" s="1"/>
  <c r="N277" i="1"/>
  <c r="Q277" i="1" s="1"/>
  <c r="N276" i="1"/>
  <c r="Q276" i="1" s="1"/>
  <c r="N275" i="1"/>
  <c r="Q275" i="1" s="1"/>
  <c r="M275" i="1"/>
  <c r="P275" i="1" s="1"/>
  <c r="M279" i="1"/>
  <c r="P279" i="1" s="1"/>
  <c r="M276" i="1"/>
  <c r="P276" i="1" s="1"/>
  <c r="M277" i="1"/>
  <c r="P277" i="1" s="1"/>
  <c r="L279" i="1"/>
  <c r="O279" i="1" s="1"/>
  <c r="L275" i="1"/>
  <c r="O275" i="1" s="1"/>
  <c r="L277" i="1"/>
  <c r="O277" i="1" s="1"/>
  <c r="L276" i="1"/>
  <c r="O276" i="1" s="1"/>
  <c r="N260" i="1"/>
  <c r="Q260" i="1" s="1"/>
  <c r="N256" i="1"/>
  <c r="Q256" i="1" s="1"/>
  <c r="N258" i="1"/>
  <c r="Q258" i="1" s="1"/>
  <c r="N257" i="1"/>
  <c r="Q257" i="1" s="1"/>
  <c r="M256" i="1"/>
  <c r="P256" i="1" s="1"/>
  <c r="M257" i="1"/>
  <c r="P257" i="1" s="1"/>
  <c r="M258" i="1"/>
  <c r="P258" i="1" s="1"/>
  <c r="M260" i="1"/>
  <c r="P260" i="1" s="1"/>
  <c r="L256" i="1"/>
  <c r="O256" i="1" s="1"/>
  <c r="L257" i="1"/>
  <c r="O257" i="1" s="1"/>
  <c r="L260" i="1"/>
  <c r="O260" i="1" s="1"/>
  <c r="L258" i="1"/>
  <c r="O258" i="1" s="1"/>
  <c r="N241" i="1"/>
  <c r="Q241" i="1" s="1"/>
  <c r="N237" i="1"/>
  <c r="Q237" i="1" s="1"/>
  <c r="N239" i="1"/>
  <c r="Q239" i="1" s="1"/>
  <c r="N238" i="1"/>
  <c r="Q238" i="1" s="1"/>
  <c r="M237" i="1"/>
  <c r="P237" i="1" s="1"/>
  <c r="M238" i="1"/>
  <c r="P238" i="1" s="1"/>
  <c r="M241" i="1"/>
  <c r="P241" i="1" s="1"/>
  <c r="M239" i="1"/>
  <c r="P239" i="1" s="1"/>
  <c r="L237" i="1"/>
  <c r="O237" i="1" s="1"/>
  <c r="L238" i="1"/>
  <c r="O238" i="1" s="1"/>
  <c r="L241" i="1"/>
  <c r="O241" i="1" s="1"/>
  <c r="L239" i="1"/>
  <c r="O239" i="1" s="1"/>
  <c r="N214" i="1"/>
  <c r="Q214" i="1" s="1"/>
  <c r="N223" i="1"/>
  <c r="Q223" i="1" s="1"/>
  <c r="N221" i="1"/>
  <c r="Q221" i="1" s="1"/>
  <c r="N212" i="1"/>
  <c r="Q212" i="1" s="1"/>
  <c r="N213" i="1"/>
  <c r="Q213" i="1" s="1"/>
  <c r="N222" i="1"/>
  <c r="Q222" i="1" s="1"/>
  <c r="N218" i="1"/>
  <c r="Q218" i="1" s="1"/>
  <c r="N215" i="1"/>
  <c r="Q215" i="1" s="1"/>
  <c r="N217" i="1"/>
  <c r="Q217" i="1" s="1"/>
  <c r="N211" i="1"/>
  <c r="Q211" i="1" s="1"/>
  <c r="N216" i="1"/>
  <c r="Q216" i="1" s="1"/>
  <c r="N219" i="1"/>
  <c r="Q219" i="1" s="1"/>
  <c r="M211" i="1"/>
  <c r="P211" i="1" s="1"/>
  <c r="M219" i="1"/>
  <c r="P219" i="1" s="1"/>
  <c r="M212" i="1"/>
  <c r="P212" i="1" s="1"/>
  <c r="M221" i="1"/>
  <c r="P221" i="1" s="1"/>
  <c r="M218" i="1"/>
  <c r="P218" i="1" s="1"/>
  <c r="M215" i="1"/>
  <c r="P215" i="1" s="1"/>
  <c r="M222" i="1"/>
  <c r="P222" i="1" s="1"/>
  <c r="M217" i="1"/>
  <c r="P217" i="1" s="1"/>
  <c r="M213" i="1"/>
  <c r="P213" i="1" s="1"/>
  <c r="M214" i="1"/>
  <c r="P214" i="1" s="1"/>
  <c r="M216" i="1"/>
  <c r="P216" i="1" s="1"/>
  <c r="M223" i="1"/>
  <c r="P223" i="1" s="1"/>
  <c r="L217" i="1"/>
  <c r="O217" i="1" s="1"/>
  <c r="L211" i="1"/>
  <c r="O211" i="1" s="1"/>
  <c r="L219" i="1"/>
  <c r="O219" i="1" s="1"/>
  <c r="L218" i="1"/>
  <c r="O218" i="1" s="1"/>
  <c r="L215" i="1"/>
  <c r="O215" i="1" s="1"/>
  <c r="L212" i="1"/>
  <c r="O212" i="1" s="1"/>
  <c r="L221" i="1"/>
  <c r="O221" i="1" s="1"/>
  <c r="L222" i="1"/>
  <c r="O222" i="1" s="1"/>
  <c r="L223" i="1"/>
  <c r="O223" i="1" s="1"/>
  <c r="L216" i="1"/>
  <c r="O216" i="1" s="1"/>
  <c r="L214" i="1"/>
  <c r="O214" i="1" s="1"/>
  <c r="L213" i="1"/>
  <c r="O213" i="1" s="1"/>
  <c r="N385" i="1"/>
  <c r="N191" i="1"/>
  <c r="Q191" i="1" s="1"/>
  <c r="N192" i="1"/>
  <c r="Q192" i="1" s="1"/>
  <c r="N190" i="1"/>
  <c r="Q190" i="1" s="1"/>
  <c r="N195" i="1"/>
  <c r="Q195" i="1" s="1"/>
  <c r="N189" i="1"/>
  <c r="Q189" i="1" s="1"/>
  <c r="N194" i="1"/>
  <c r="Q194" i="1" s="1"/>
  <c r="N193" i="1"/>
  <c r="Q193" i="1" s="1"/>
  <c r="N188" i="1"/>
  <c r="Q188" i="1" s="1"/>
  <c r="M188" i="1"/>
  <c r="P188" i="1" s="1"/>
  <c r="M190" i="1"/>
  <c r="P190" i="1" s="1"/>
  <c r="M195" i="1"/>
  <c r="P195" i="1" s="1"/>
  <c r="M189" i="1"/>
  <c r="P189" i="1" s="1"/>
  <c r="M192" i="1"/>
  <c r="P192" i="1" s="1"/>
  <c r="M191" i="1"/>
  <c r="P191" i="1" s="1"/>
  <c r="M194" i="1"/>
  <c r="P194" i="1" s="1"/>
  <c r="M193" i="1"/>
  <c r="P193" i="1" s="1"/>
  <c r="L188" i="1"/>
  <c r="O188" i="1" s="1"/>
  <c r="L195" i="1"/>
  <c r="O195" i="1" s="1"/>
  <c r="L192" i="1"/>
  <c r="O192" i="1" s="1"/>
  <c r="L189" i="1"/>
  <c r="O189" i="1" s="1"/>
  <c r="L194" i="1"/>
  <c r="O194" i="1" s="1"/>
  <c r="L193" i="1"/>
  <c r="O193" i="1" s="1"/>
  <c r="L190" i="1"/>
  <c r="O190" i="1" s="1"/>
  <c r="L191" i="1"/>
  <c r="O191" i="1" s="1"/>
  <c r="J439" i="61"/>
  <c r="M439" i="61" s="1"/>
  <c r="S58" i="62"/>
  <c r="N269" i="1"/>
  <c r="AE386" i="58" s="1"/>
  <c r="N271" i="69"/>
  <c r="N292" i="1"/>
  <c r="N248" i="1"/>
  <c r="AB327" i="56" s="1"/>
  <c r="N263" i="1"/>
  <c r="AB333" i="56" s="1"/>
  <c r="N228" i="1"/>
  <c r="Q228" i="1" s="1"/>
  <c r="N363" i="1"/>
  <c r="W363" i="1" s="1"/>
  <c r="N208" i="1"/>
  <c r="AB316" i="56" s="1"/>
  <c r="N382" i="1"/>
  <c r="W382" i="1" s="1"/>
  <c r="N185" i="1"/>
  <c r="AE352" i="58" s="1"/>
  <c r="N243" i="1"/>
  <c r="AE374" i="58" s="1"/>
  <c r="N346" i="1"/>
  <c r="W346" i="1" s="1"/>
  <c r="N267" i="1"/>
  <c r="AE385" i="58" s="1"/>
  <c r="N246" i="69"/>
  <c r="W246" i="69" s="1"/>
  <c r="N275" i="69"/>
  <c r="W275" i="69" s="1"/>
  <c r="N296" i="1"/>
  <c r="N245" i="69"/>
  <c r="N262" i="1"/>
  <c r="Q262" i="1" s="1"/>
  <c r="N328" i="1"/>
  <c r="W328" i="1" s="1"/>
  <c r="N188" i="69"/>
  <c r="Q188" i="69" s="1"/>
  <c r="N272" i="69"/>
  <c r="Q272" i="69" s="1"/>
  <c r="N273" i="69"/>
  <c r="N182" i="1"/>
  <c r="Q182" i="1" s="1"/>
  <c r="N369" i="1"/>
  <c r="W369" i="1" s="1"/>
  <c r="N204" i="69"/>
  <c r="W204" i="69" s="1"/>
  <c r="N334" i="1"/>
  <c r="W334" i="1" s="1"/>
  <c r="N390" i="1"/>
  <c r="N366" i="1"/>
  <c r="W366" i="1" s="1"/>
  <c r="N221" i="69"/>
  <c r="N227" i="69"/>
  <c r="W227" i="69" s="1"/>
  <c r="N284" i="1"/>
  <c r="AE394" i="58" s="1"/>
  <c r="M394" i="58" s="1"/>
  <c r="N226" i="69"/>
  <c r="N270" i="69"/>
  <c r="W270" i="69" s="1"/>
  <c r="N183" i="1"/>
  <c r="AE349" i="58" s="1"/>
  <c r="N281" i="1"/>
  <c r="Q281" i="1" s="1"/>
  <c r="AH390" i="58" s="1"/>
  <c r="R21" i="63"/>
  <c r="N233" i="1"/>
  <c r="Q233" i="1" s="1"/>
  <c r="N271" i="1"/>
  <c r="AB336" i="56" s="1"/>
  <c r="N200" i="1"/>
  <c r="AE359" i="58" s="1"/>
  <c r="N345" i="1"/>
  <c r="W345" i="1" s="1"/>
  <c r="N203" i="69"/>
  <c r="N282" i="1"/>
  <c r="AE391" i="58" s="1"/>
  <c r="M391" i="58" s="1"/>
  <c r="N269" i="69"/>
  <c r="N235" i="1"/>
  <c r="AB323" i="56" s="1"/>
  <c r="N207" i="1"/>
  <c r="AB315" i="56" s="1"/>
  <c r="N225" i="69"/>
  <c r="W225" i="69" s="1"/>
  <c r="N199" i="69"/>
  <c r="Q199" i="69" s="1"/>
  <c r="N329" i="1"/>
  <c r="W329" i="1" s="1"/>
  <c r="N315" i="1"/>
  <c r="W315" i="1" s="1"/>
  <c r="N202" i="69"/>
  <c r="W202" i="69" s="1"/>
  <c r="N201" i="69"/>
  <c r="Q201" i="69" s="1"/>
  <c r="N283" i="1"/>
  <c r="AE393" i="58" s="1"/>
  <c r="N186" i="69"/>
  <c r="Q186" i="69" s="1"/>
  <c r="N337" i="1"/>
  <c r="W337" i="1" s="1"/>
  <c r="N276" i="69"/>
  <c r="W276" i="69" s="1"/>
  <c r="N309" i="1"/>
  <c r="W309" i="1" s="1"/>
  <c r="N226" i="1"/>
  <c r="AB319" i="56" s="1"/>
  <c r="N197" i="1"/>
  <c r="AB310" i="56" s="1"/>
  <c r="N312" i="1"/>
  <c r="W312" i="1" s="1"/>
  <c r="N198" i="69"/>
  <c r="W198" i="69" s="1"/>
  <c r="N380" i="1"/>
  <c r="W380" i="1" s="1"/>
  <c r="N365" i="1"/>
  <c r="W365" i="1" s="1"/>
  <c r="N290" i="1"/>
  <c r="Q290" i="1" s="1"/>
  <c r="N295" i="1"/>
  <c r="N251" i="69"/>
  <c r="Q251" i="69" s="1"/>
  <c r="N107" i="69"/>
  <c r="N252" i="69"/>
  <c r="W252" i="69" s="1"/>
  <c r="N250" i="1"/>
  <c r="Q250" i="1" s="1"/>
  <c r="N381" i="1"/>
  <c r="W381" i="1" s="1"/>
  <c r="N229" i="1"/>
  <c r="AE369" i="58" s="1"/>
  <c r="N247" i="69"/>
  <c r="W247" i="69" s="1"/>
  <c r="N184" i="1"/>
  <c r="AE351" i="58" s="1"/>
  <c r="N202" i="1"/>
  <c r="AB312" i="56" s="1"/>
  <c r="N386" i="1"/>
  <c r="N305" i="1"/>
  <c r="N222" i="69"/>
  <c r="N311" i="1"/>
  <c r="W311" i="1" s="1"/>
  <c r="N316" i="1"/>
  <c r="W316" i="1" s="1"/>
  <c r="N205" i="1"/>
  <c r="Q205" i="1" s="1"/>
  <c r="N224" i="69"/>
  <c r="Q224" i="69" s="1"/>
  <c r="N379" i="1"/>
  <c r="W379" i="1" s="1"/>
  <c r="N199" i="1"/>
  <c r="Q199" i="1" s="1"/>
  <c r="N246" i="1"/>
  <c r="Q246" i="1" s="1"/>
  <c r="N187" i="1"/>
  <c r="Q187" i="1" s="1"/>
  <c r="N368" i="1"/>
  <c r="W368" i="1" s="1"/>
  <c r="N231" i="1"/>
  <c r="AB321" i="56" s="1"/>
  <c r="N352" i="1"/>
  <c r="W352" i="1" s="1"/>
  <c r="N294" i="1"/>
  <c r="N250" i="69"/>
  <c r="N387" i="1"/>
  <c r="N335" i="1"/>
  <c r="W335" i="1" s="1"/>
  <c r="N187" i="69"/>
  <c r="W187" i="69" s="1"/>
  <c r="Z187" i="69" s="1"/>
  <c r="N204" i="1"/>
  <c r="AE362" i="58" s="1"/>
  <c r="N332" i="1"/>
  <c r="W332" i="1" s="1"/>
  <c r="N274" i="69"/>
  <c r="W274" i="69" s="1"/>
  <c r="N265" i="1"/>
  <c r="Q265" i="1" s="1"/>
  <c r="N181" i="1"/>
  <c r="AB300" i="56" s="1"/>
  <c r="N383" i="1"/>
  <c r="N196" i="1"/>
  <c r="AE356" i="58" s="1"/>
  <c r="N248" i="69"/>
  <c r="N313" i="1"/>
  <c r="N293" i="1"/>
  <c r="W293" i="1" s="1"/>
  <c r="N244" i="1"/>
  <c r="AE375" i="58" s="1"/>
  <c r="N273" i="1"/>
  <c r="AE388" i="58" s="1"/>
  <c r="N351" i="1"/>
  <c r="W351" i="1" s="1"/>
  <c r="N389" i="1"/>
  <c r="W389" i="1" s="1"/>
  <c r="N331" i="1"/>
  <c r="W331" i="1" s="1"/>
  <c r="N254" i="1"/>
  <c r="AE380" i="58" s="1"/>
  <c r="N223" i="69"/>
  <c r="N308" i="1"/>
  <c r="W308" i="1" s="1"/>
  <c r="N209" i="1"/>
  <c r="Q209" i="1" s="1"/>
  <c r="N362" i="1"/>
  <c r="W362" i="1" s="1"/>
  <c r="N186" i="1"/>
  <c r="AE353" i="58" s="1"/>
  <c r="N252" i="1"/>
  <c r="AE379" i="58" s="1"/>
  <c r="N249" i="69"/>
  <c r="W249" i="69" s="1"/>
  <c r="N291" i="1"/>
  <c r="N306" i="1"/>
  <c r="N349" i="1"/>
  <c r="W349" i="1" s="1"/>
  <c r="N371" i="1"/>
  <c r="W371" i="1" s="1"/>
  <c r="N200" i="69"/>
  <c r="N197" i="69"/>
  <c r="N228" i="69"/>
  <c r="W228" i="69" s="1"/>
  <c r="N348" i="1"/>
  <c r="W348" i="1" s="1"/>
  <c r="N225" i="1"/>
  <c r="AE366" i="58" s="1"/>
  <c r="N203" i="1"/>
  <c r="AE361" i="58" s="1"/>
  <c r="N354" i="1"/>
  <c r="W354" i="1" s="1"/>
  <c r="L39" i="69"/>
  <c r="O39" i="69" s="1"/>
  <c r="L38" i="69"/>
  <c r="O38" i="69" s="1"/>
  <c r="N39" i="69"/>
  <c r="Q39" i="69" s="1"/>
  <c r="N38" i="69"/>
  <c r="Q38" i="69" s="1"/>
  <c r="M39" i="69"/>
  <c r="P39" i="69" s="1"/>
  <c r="M38" i="69"/>
  <c r="P38" i="69" s="1"/>
  <c r="L31" i="69"/>
  <c r="L37" i="69"/>
  <c r="O37" i="69" s="1"/>
  <c r="L36" i="69"/>
  <c r="O36" i="69" s="1"/>
  <c r="L35" i="69"/>
  <c r="O35" i="69" s="1"/>
  <c r="L32" i="69"/>
  <c r="O32" i="69" s="1"/>
  <c r="L33" i="69"/>
  <c r="O33" i="69" s="1"/>
  <c r="L34" i="69"/>
  <c r="O34" i="69" s="1"/>
  <c r="N37" i="69"/>
  <c r="Q37" i="69" s="1"/>
  <c r="N33" i="69"/>
  <c r="Q33" i="69" s="1"/>
  <c r="N35" i="69"/>
  <c r="Q35" i="69" s="1"/>
  <c r="N36" i="69"/>
  <c r="Q36" i="69" s="1"/>
  <c r="N34" i="69"/>
  <c r="Q34" i="69" s="1"/>
  <c r="N32" i="69"/>
  <c r="Q32" i="69" s="1"/>
  <c r="M31" i="69"/>
  <c r="M34" i="69"/>
  <c r="P34" i="69" s="1"/>
  <c r="M32" i="69"/>
  <c r="P32" i="69" s="1"/>
  <c r="M35" i="69"/>
  <c r="P35" i="69" s="1"/>
  <c r="M37" i="69"/>
  <c r="P37" i="69" s="1"/>
  <c r="M33" i="69"/>
  <c r="P33" i="69" s="1"/>
  <c r="M36" i="69"/>
  <c r="P36" i="69" s="1"/>
  <c r="N384" i="1"/>
  <c r="W384" i="1" s="1"/>
  <c r="N31" i="69"/>
  <c r="V157" i="58"/>
  <c r="N388" i="1"/>
  <c r="N391" i="1"/>
  <c r="N308" i="61"/>
  <c r="J61" i="39"/>
  <c r="L61" i="39" s="1"/>
  <c r="M61" i="39" s="1"/>
  <c r="J311" i="61"/>
  <c r="Q126" i="55"/>
  <c r="P126" i="55" s="1"/>
  <c r="S143" i="56"/>
  <c r="U31" i="54"/>
  <c r="H31" i="54" s="1"/>
  <c r="E35" i="46"/>
  <c r="E35" i="49" s="1"/>
  <c r="L146" i="61"/>
  <c r="S59" i="62"/>
  <c r="G62" i="39"/>
  <c r="U21" i="54"/>
  <c r="H21" i="54" s="1"/>
  <c r="U11" i="54"/>
  <c r="H11" i="54" s="1"/>
  <c r="E71" i="46"/>
  <c r="E71" i="49" s="1"/>
  <c r="U17" i="54"/>
  <c r="H17" i="54" s="1"/>
  <c r="F168" i="58"/>
  <c r="O166" i="58"/>
  <c r="O191" i="58" s="1"/>
  <c r="V191" i="58" s="1"/>
  <c r="Q82" i="55"/>
  <c r="P82" i="55" s="1"/>
  <c r="O129" i="61"/>
  <c r="L169" i="61"/>
  <c r="U32" i="54"/>
  <c r="H32" i="54" s="1"/>
  <c r="P73" i="61"/>
  <c r="P129" i="61"/>
  <c r="G73" i="61"/>
  <c r="I7" i="62" s="1"/>
  <c r="M15" i="62"/>
  <c r="I58" i="62"/>
  <c r="M58" i="62" s="1"/>
  <c r="U34" i="54"/>
  <c r="H34" i="54" s="1"/>
  <c r="E34" i="54"/>
  <c r="S17" i="55"/>
  <c r="P17" i="55"/>
  <c r="P41" i="55"/>
  <c r="F267" i="55"/>
  <c r="Z48" i="55"/>
  <c r="AC48" i="55" s="1"/>
  <c r="S19" i="54"/>
  <c r="F15" i="54"/>
  <c r="S24" i="54"/>
  <c r="F20" i="54"/>
  <c r="K311" i="61"/>
  <c r="K312" i="61"/>
  <c r="J17" i="61" s="1"/>
  <c r="P23" i="55"/>
  <c r="P88" i="55"/>
  <c r="W33" i="54"/>
  <c r="J33" i="54" s="1"/>
  <c r="K274" i="55"/>
  <c r="H276" i="55" s="1"/>
  <c r="V60" i="55"/>
  <c r="O75" i="61"/>
  <c r="R33" i="54"/>
  <c r="G8" i="54"/>
  <c r="T43" i="54"/>
  <c r="T37" i="54"/>
  <c r="T54" i="54"/>
  <c r="T60" i="54" s="1"/>
  <c r="F4" i="54"/>
  <c r="S8" i="54"/>
  <c r="P22" i="55"/>
  <c r="R144" i="61"/>
  <c r="Z44" i="55"/>
  <c r="AC44" i="55" s="1"/>
  <c r="F75" i="61"/>
  <c r="H10" i="62" s="1"/>
  <c r="G75" i="61"/>
  <c r="I10" i="62" s="1"/>
  <c r="G71" i="61"/>
  <c r="I6" i="62" s="1"/>
  <c r="G165" i="58"/>
  <c r="G168" i="58" s="1"/>
  <c r="P166" i="58"/>
  <c r="P191" i="58" s="1"/>
  <c r="N273" i="55"/>
  <c r="N274" i="55" s="1"/>
  <c r="Q104" i="55"/>
  <c r="P104" i="55" s="1"/>
  <c r="M312" i="61"/>
  <c r="I17" i="61"/>
  <c r="P20" i="55"/>
  <c r="R56" i="54"/>
  <c r="R62" i="54" s="1"/>
  <c r="E19" i="54"/>
  <c r="P75" i="61"/>
  <c r="U26" i="54"/>
  <c r="H26" i="54" s="1"/>
  <c r="S14" i="54"/>
  <c r="F9" i="54"/>
  <c r="P71" i="61"/>
  <c r="S33" i="54"/>
  <c r="F33" i="54" s="1"/>
  <c r="U51" i="54"/>
  <c r="F62" i="39"/>
  <c r="J51" i="39"/>
  <c r="L51" i="39" s="1"/>
  <c r="M51" i="39" s="1"/>
  <c r="U749" i="55"/>
  <c r="P213" i="55"/>
  <c r="S213" i="55"/>
  <c r="U52" i="54"/>
  <c r="U15" i="54"/>
  <c r="S203" i="55"/>
  <c r="P203" i="55"/>
  <c r="AO706" i="55"/>
  <c r="AP706" i="55" s="1"/>
  <c r="S749" i="55"/>
  <c r="U6" i="54"/>
  <c r="H6" i="54" s="1"/>
  <c r="F426" i="1"/>
  <c r="Q17" i="61"/>
  <c r="K70" i="61"/>
  <c r="K76" i="61" s="1"/>
  <c r="H17" i="61"/>
  <c r="K21" i="61"/>
  <c r="T42" i="54"/>
  <c r="R43" i="54"/>
  <c r="E8" i="54"/>
  <c r="R54" i="54"/>
  <c r="R60" i="54" s="1"/>
  <c r="S53" i="50"/>
  <c r="E53" i="49"/>
  <c r="P65" i="55"/>
  <c r="S65" i="55"/>
  <c r="P116" i="55"/>
  <c r="P41" i="42"/>
  <c r="Q21" i="63"/>
  <c r="L246" i="1"/>
  <c r="O246" i="1" s="1"/>
  <c r="L265" i="1"/>
  <c r="O265" i="1" s="1"/>
  <c r="L354" i="1"/>
  <c r="L262" i="1"/>
  <c r="L252" i="69"/>
  <c r="L208" i="1"/>
  <c r="L315" i="1"/>
  <c r="L188" i="69"/>
  <c r="L200" i="69"/>
  <c r="L271" i="1"/>
  <c r="L248" i="69"/>
  <c r="L182" i="1"/>
  <c r="L381" i="1"/>
  <c r="L245" i="69"/>
  <c r="L221" i="69"/>
  <c r="L270" i="69"/>
  <c r="L291" i="1"/>
  <c r="L187" i="69"/>
  <c r="L281" i="1"/>
  <c r="L196" i="1"/>
  <c r="L252" i="1"/>
  <c r="L306" i="1"/>
  <c r="L369" i="1"/>
  <c r="L335" i="1"/>
  <c r="L267" i="1"/>
  <c r="L186" i="69"/>
  <c r="L290" i="1"/>
  <c r="L332" i="1"/>
  <c r="L254" i="1"/>
  <c r="L329" i="1"/>
  <c r="L345" i="1"/>
  <c r="L352" i="1"/>
  <c r="L284" i="1"/>
  <c r="L197" i="69"/>
  <c r="L204" i="69"/>
  <c r="L207" i="1"/>
  <c r="L366" i="1"/>
  <c r="L227" i="69"/>
  <c r="L305" i="1"/>
  <c r="L371" i="1"/>
  <c r="L334" i="1"/>
  <c r="L308" i="1"/>
  <c r="L379" i="1"/>
  <c r="L184" i="1"/>
  <c r="L244" i="1"/>
  <c r="L224" i="69"/>
  <c r="L226" i="69"/>
  <c r="L181" i="1"/>
  <c r="L349" i="1"/>
  <c r="L271" i="69"/>
  <c r="L204" i="1"/>
  <c r="L222" i="69"/>
  <c r="L382" i="1"/>
  <c r="L368" i="1"/>
  <c r="L296" i="1"/>
  <c r="L246" i="69"/>
  <c r="L263" i="1"/>
  <c r="L225" i="69"/>
  <c r="L197" i="1"/>
  <c r="L311" i="1"/>
  <c r="L185" i="1"/>
  <c r="L274" i="69"/>
  <c r="L273" i="69"/>
  <c r="L294" i="1"/>
  <c r="L328" i="1"/>
  <c r="L380" i="1"/>
  <c r="L205" i="1"/>
  <c r="O205" i="1" s="1"/>
  <c r="L337" i="1"/>
  <c r="L203" i="69"/>
  <c r="L363" i="1"/>
  <c r="L282" i="1"/>
  <c r="L248" i="1"/>
  <c r="L186" i="1"/>
  <c r="L203" i="1"/>
  <c r="L365" i="1"/>
  <c r="L243" i="1"/>
  <c r="L202" i="69"/>
  <c r="L187" i="1"/>
  <c r="L362" i="1"/>
  <c r="L275" i="69"/>
  <c r="L200" i="1"/>
  <c r="L199" i="69"/>
  <c r="L247" i="69"/>
  <c r="L292" i="1"/>
  <c r="L229" i="1"/>
  <c r="L228" i="1"/>
  <c r="O228" i="1" s="1"/>
  <c r="L312" i="1"/>
  <c r="L107" i="69"/>
  <c r="L309" i="1"/>
  <c r="L199" i="1"/>
  <c r="O199" i="1" s="1"/>
  <c r="L250" i="1"/>
  <c r="O250" i="1" s="1"/>
  <c r="L293" i="1"/>
  <c r="L269" i="1"/>
  <c r="L269" i="69"/>
  <c r="L233" i="1"/>
  <c r="L250" i="69"/>
  <c r="L209" i="1"/>
  <c r="O209" i="1" s="1"/>
  <c r="L272" i="69"/>
  <c r="L231" i="1"/>
  <c r="L249" i="69"/>
  <c r="L273" i="1"/>
  <c r="L202" i="1"/>
  <c r="L198" i="69"/>
  <c r="L223" i="69"/>
  <c r="L351" i="1"/>
  <c r="L251" i="69"/>
  <c r="L226" i="1"/>
  <c r="L228" i="69"/>
  <c r="L276" i="69"/>
  <c r="L235" i="1"/>
  <c r="L346" i="1"/>
  <c r="L348" i="1"/>
  <c r="L183" i="1"/>
  <c r="L331" i="1"/>
  <c r="L295" i="1"/>
  <c r="L316" i="1"/>
  <c r="L201" i="69"/>
  <c r="L313" i="1"/>
  <c r="L283" i="1"/>
  <c r="L225" i="1"/>
  <c r="L383" i="1"/>
  <c r="L389" i="1"/>
  <c r="L387" i="1"/>
  <c r="L390" i="1"/>
  <c r="L384" i="1"/>
  <c r="L388" i="1"/>
  <c r="L386" i="1"/>
  <c r="L385" i="1"/>
  <c r="L391" i="1"/>
  <c r="R57" i="54"/>
  <c r="R63" i="54" s="1"/>
  <c r="E24" i="54"/>
  <c r="P48" i="55"/>
  <c r="Y34" i="54"/>
  <c r="L34" i="54" s="1"/>
  <c r="I34" i="54"/>
  <c r="I274" i="55"/>
  <c r="F276" i="55" s="1"/>
  <c r="V33" i="54"/>
  <c r="S29" i="54"/>
  <c r="F25" i="54"/>
  <c r="U20" i="54"/>
  <c r="C36" i="53"/>
  <c r="H9" i="54"/>
  <c r="L10" i="1"/>
  <c r="H2" i="47"/>
  <c r="R55" i="54"/>
  <c r="R61" i="54" s="1"/>
  <c r="E14" i="54"/>
  <c r="H25" i="54"/>
  <c r="P66" i="55"/>
  <c r="U10" i="54"/>
  <c r="H10" i="54" s="1"/>
  <c r="N265" i="55"/>
  <c r="R58" i="54"/>
  <c r="R64" i="54" s="1"/>
  <c r="E29" i="54"/>
  <c r="P91" i="55"/>
  <c r="S21" i="63"/>
  <c r="M233" i="1"/>
  <c r="M202" i="69"/>
  <c r="M379" i="1"/>
  <c r="M248" i="1"/>
  <c r="M281" i="1"/>
  <c r="M207" i="1"/>
  <c r="M185" i="1"/>
  <c r="M328" i="1"/>
  <c r="M381" i="1"/>
  <c r="M331" i="1"/>
  <c r="M365" i="1"/>
  <c r="M316" i="1"/>
  <c r="M351" i="1"/>
  <c r="M337" i="1"/>
  <c r="M263" i="1"/>
  <c r="M272" i="69"/>
  <c r="M203" i="69"/>
  <c r="M183" i="1"/>
  <c r="M223" i="69"/>
  <c r="M221" i="69"/>
  <c r="M204" i="69"/>
  <c r="M345" i="1"/>
  <c r="M354" i="1"/>
  <c r="M292" i="1"/>
  <c r="V292" i="1" s="1"/>
  <c r="M382" i="1"/>
  <c r="M222" i="69"/>
  <c r="M265" i="1"/>
  <c r="P265" i="1" s="1"/>
  <c r="M276" i="69"/>
  <c r="M349" i="1"/>
  <c r="M187" i="1"/>
  <c r="M186" i="1"/>
  <c r="M309" i="1"/>
  <c r="M197" i="69"/>
  <c r="M363" i="1"/>
  <c r="M225" i="69"/>
  <c r="M269" i="1"/>
  <c r="M369" i="1"/>
  <c r="M229" i="1"/>
  <c r="M184" i="1"/>
  <c r="M198" i="69"/>
  <c r="M200" i="1"/>
  <c r="M332" i="1"/>
  <c r="M294" i="1"/>
  <c r="V294" i="1" s="1"/>
  <c r="M271" i="69"/>
  <c r="M380" i="1"/>
  <c r="M244" i="1"/>
  <c r="M293" i="1"/>
  <c r="V293" i="1" s="1"/>
  <c r="M107" i="69"/>
  <c r="M306" i="1"/>
  <c r="V306" i="1" s="1"/>
  <c r="M283" i="1"/>
  <c r="M368" i="1"/>
  <c r="M227" i="69"/>
  <c r="M362" i="1"/>
  <c r="M273" i="1"/>
  <c r="M225" i="1"/>
  <c r="M245" i="69"/>
  <c r="M346" i="1"/>
  <c r="M335" i="1"/>
  <c r="M231" i="1"/>
  <c r="M187" i="69"/>
  <c r="M252" i="1"/>
  <c r="M348" i="1"/>
  <c r="M305" i="1"/>
  <c r="V305" i="1" s="1"/>
  <c r="M209" i="1"/>
  <c r="P209" i="1" s="1"/>
  <c r="M204" i="1"/>
  <c r="M246" i="69"/>
  <c r="M181" i="1"/>
  <c r="M205" i="1"/>
  <c r="P205" i="1" s="1"/>
  <c r="M295" i="1"/>
  <c r="V295" i="1" s="1"/>
  <c r="M250" i="69"/>
  <c r="M270" i="69"/>
  <c r="M366" i="1"/>
  <c r="M203" i="1"/>
  <c r="M282" i="1"/>
  <c r="M243" i="1"/>
  <c r="M352" i="1"/>
  <c r="M228" i="69"/>
  <c r="M254" i="1"/>
  <c r="M312" i="1"/>
  <c r="M199" i="69"/>
  <c r="M334" i="1"/>
  <c r="M273" i="69"/>
  <c r="M226" i="1"/>
  <c r="M202" i="1"/>
  <c r="M200" i="69"/>
  <c r="M291" i="1"/>
  <c r="V291" i="1" s="1"/>
  <c r="M228" i="1"/>
  <c r="P228" i="1" s="1"/>
  <c r="M315" i="1"/>
  <c r="M224" i="69"/>
  <c r="M371" i="1"/>
  <c r="M290" i="1"/>
  <c r="M249" i="69"/>
  <c r="M262" i="1"/>
  <c r="M275" i="69"/>
  <c r="M188" i="69"/>
  <c r="M247" i="69"/>
  <c r="M269" i="69"/>
  <c r="M250" i="1"/>
  <c r="P250" i="1" s="1"/>
  <c r="M252" i="69"/>
  <c r="M186" i="69"/>
  <c r="M197" i="1"/>
  <c r="M308" i="1"/>
  <c r="V308" i="1" s="1"/>
  <c r="M284" i="1"/>
  <c r="M274" i="69"/>
  <c r="M311" i="1"/>
  <c r="M196" i="1"/>
  <c r="M248" i="69"/>
  <c r="M329" i="1"/>
  <c r="M271" i="1"/>
  <c r="M201" i="69"/>
  <c r="M182" i="1"/>
  <c r="M267" i="1"/>
  <c r="M199" i="1"/>
  <c r="P199" i="1" s="1"/>
  <c r="M313" i="1"/>
  <c r="M296" i="1"/>
  <c r="V296" i="1" s="1"/>
  <c r="M246" i="1"/>
  <c r="P246" i="1" s="1"/>
  <c r="M226" i="69"/>
  <c r="M208" i="1"/>
  <c r="M235" i="1"/>
  <c r="M251" i="69"/>
  <c r="M389" i="1"/>
  <c r="V389" i="1" s="1"/>
  <c r="M387" i="1"/>
  <c r="V387" i="1" s="1"/>
  <c r="M390" i="1"/>
  <c r="V390" i="1" s="1"/>
  <c r="M383" i="1"/>
  <c r="V383" i="1" s="1"/>
  <c r="M386" i="1"/>
  <c r="V386" i="1" s="1"/>
  <c r="M391" i="1"/>
  <c r="V391" i="1" s="1"/>
  <c r="M388" i="1"/>
  <c r="V388" i="1" s="1"/>
  <c r="M385" i="1"/>
  <c r="V385" i="1" s="1"/>
  <c r="M384" i="1"/>
  <c r="V384" i="1" s="1"/>
  <c r="R42" i="54"/>
  <c r="M16" i="62"/>
  <c r="I59" i="62"/>
  <c r="M59" i="62" s="1"/>
  <c r="P21" i="55"/>
  <c r="H267" i="55"/>
  <c r="U16" i="54"/>
  <c r="H16" i="54" s="1"/>
  <c r="H4" i="54"/>
  <c r="E42" i="66"/>
  <c r="E67" i="66" s="1"/>
  <c r="M169" i="61"/>
  <c r="U5" i="54"/>
  <c r="H5" i="54" s="1"/>
  <c r="L168" i="58"/>
  <c r="S65" i="61"/>
  <c r="V59" i="61"/>
  <c r="V65" i="61" s="1"/>
  <c r="P40" i="55"/>
  <c r="K439" i="61"/>
  <c r="K438" i="61"/>
  <c r="L265" i="55"/>
  <c r="L273" i="55"/>
  <c r="L274" i="55" s="1"/>
  <c r="R148" i="69" l="1"/>
  <c r="R117" i="69"/>
  <c r="R145" i="69"/>
  <c r="R129" i="69"/>
  <c r="R125" i="69"/>
  <c r="R133" i="69"/>
  <c r="R115" i="69"/>
  <c r="R153" i="69"/>
  <c r="R136" i="69"/>
  <c r="R123" i="69"/>
  <c r="R118" i="69"/>
  <c r="R121" i="69"/>
  <c r="R110" i="69"/>
  <c r="R151" i="69"/>
  <c r="L157" i="69"/>
  <c r="M157" i="69"/>
  <c r="R130" i="69"/>
  <c r="Q107" i="69"/>
  <c r="Q157" i="69" s="1"/>
  <c r="N157" i="69"/>
  <c r="R134" i="69"/>
  <c r="R154" i="69"/>
  <c r="R137" i="69"/>
  <c r="R150" i="69"/>
  <c r="R109" i="69"/>
  <c r="R128" i="69"/>
  <c r="R124" i="69"/>
  <c r="R112" i="69"/>
  <c r="R138" i="69"/>
  <c r="R120" i="69"/>
  <c r="R155" i="69"/>
  <c r="R141" i="69"/>
  <c r="R144" i="69"/>
  <c r="R147" i="69"/>
  <c r="R114" i="69"/>
  <c r="R142" i="69"/>
  <c r="R139" i="69"/>
  <c r="R135" i="69"/>
  <c r="R143" i="69"/>
  <c r="R131" i="69"/>
  <c r="V378" i="1"/>
  <c r="P378" i="1"/>
  <c r="AA686" i="55" s="1"/>
  <c r="Q378" i="1"/>
  <c r="Z686" i="55" s="1"/>
  <c r="W378" i="1"/>
  <c r="Y378" i="1"/>
  <c r="V686" i="55"/>
  <c r="AL686" i="55" s="1"/>
  <c r="U378" i="1"/>
  <c r="T378" i="1"/>
  <c r="Q372" i="1"/>
  <c r="Z680" i="55" s="1"/>
  <c r="W372" i="1"/>
  <c r="V680" i="55"/>
  <c r="AH680" i="55" s="1"/>
  <c r="AI686" i="55"/>
  <c r="J686" i="55" s="1"/>
  <c r="Y372" i="1"/>
  <c r="U372" i="1"/>
  <c r="T372" i="1"/>
  <c r="X680" i="55"/>
  <c r="Y686" i="55"/>
  <c r="P372" i="1"/>
  <c r="AA680" i="55" s="1"/>
  <c r="W684" i="55"/>
  <c r="AI684" i="55" s="1"/>
  <c r="J684" i="55" s="1"/>
  <c r="W376" i="1"/>
  <c r="Q376" i="1"/>
  <c r="Z684" i="55" s="1"/>
  <c r="Y361" i="1"/>
  <c r="O376" i="1"/>
  <c r="Y376" i="1"/>
  <c r="T376" i="1"/>
  <c r="U376" i="1"/>
  <c r="V684" i="55"/>
  <c r="V376" i="1"/>
  <c r="P376" i="1"/>
  <c r="AA684" i="55" s="1"/>
  <c r="X684" i="55"/>
  <c r="W361" i="1"/>
  <c r="J521" i="55"/>
  <c r="J399" i="55" s="1"/>
  <c r="J118" i="55" s="1"/>
  <c r="J159" i="55" s="1"/>
  <c r="M680" i="55"/>
  <c r="W669" i="55"/>
  <c r="AI669" i="55" s="1"/>
  <c r="J669" i="55" s="1"/>
  <c r="U361" i="1"/>
  <c r="T361" i="1"/>
  <c r="O361" i="1"/>
  <c r="Y669" i="55" s="1"/>
  <c r="V669" i="55"/>
  <c r="AH669" i="55" s="1"/>
  <c r="I669" i="55" s="1"/>
  <c r="P361" i="1"/>
  <c r="AA669" i="55" s="1"/>
  <c r="Y680" i="55"/>
  <c r="V361" i="1"/>
  <c r="W370" i="1"/>
  <c r="Q370" i="1"/>
  <c r="Z678" i="55" s="1"/>
  <c r="W678" i="55"/>
  <c r="AI678" i="55" s="1"/>
  <c r="J678" i="55" s="1"/>
  <c r="Y370" i="1"/>
  <c r="O370" i="1"/>
  <c r="T370" i="1"/>
  <c r="U370" i="1"/>
  <c r="V678" i="55"/>
  <c r="V370" i="1"/>
  <c r="P370" i="1"/>
  <c r="AA678" i="55" s="1"/>
  <c r="X678" i="55"/>
  <c r="W652" i="55"/>
  <c r="AI652" i="55" s="1"/>
  <c r="J652" i="55" s="1"/>
  <c r="R261" i="1"/>
  <c r="W344" i="1"/>
  <c r="U344" i="1"/>
  <c r="T344" i="1"/>
  <c r="Y344" i="1"/>
  <c r="V652" i="55"/>
  <c r="AH652" i="55" s="1"/>
  <c r="I652" i="55" s="1"/>
  <c r="P344" i="1"/>
  <c r="AA652" i="55" s="1"/>
  <c r="V344" i="1"/>
  <c r="W359" i="1"/>
  <c r="W667" i="55"/>
  <c r="AI667" i="55" s="1"/>
  <c r="J667" i="55" s="1"/>
  <c r="Q359" i="1"/>
  <c r="Z667" i="55" s="1"/>
  <c r="O359" i="1"/>
  <c r="V667" i="55"/>
  <c r="T359" i="1"/>
  <c r="U359" i="1"/>
  <c r="Y359" i="1"/>
  <c r="V359" i="1"/>
  <c r="P359" i="1"/>
  <c r="AA667" i="55" s="1"/>
  <c r="X667" i="55"/>
  <c r="W327" i="1"/>
  <c r="W635" i="55"/>
  <c r="AI635" i="55" s="1"/>
  <c r="J635" i="55" s="1"/>
  <c r="T327" i="1"/>
  <c r="U327" i="1"/>
  <c r="Y327" i="1"/>
  <c r="V635" i="55"/>
  <c r="AH635" i="55" s="1"/>
  <c r="I635" i="55" s="1"/>
  <c r="P327" i="1"/>
  <c r="AA635" i="55" s="1"/>
  <c r="Y652" i="55"/>
  <c r="V327" i="1"/>
  <c r="W650" i="55"/>
  <c r="AI650" i="55" s="1"/>
  <c r="J650" i="55" s="1"/>
  <c r="W342" i="1"/>
  <c r="Q342" i="1"/>
  <c r="Z650" i="55" s="1"/>
  <c r="R280" i="1"/>
  <c r="V650" i="55"/>
  <c r="O342" i="1"/>
  <c r="Y342" i="1"/>
  <c r="T342" i="1"/>
  <c r="U342" i="1"/>
  <c r="X650" i="55"/>
  <c r="V342" i="1"/>
  <c r="P342" i="1"/>
  <c r="AA650" i="55" s="1"/>
  <c r="R242" i="1"/>
  <c r="Y635" i="55"/>
  <c r="W632" i="55"/>
  <c r="AI632" i="55" s="1"/>
  <c r="J632" i="55" s="1"/>
  <c r="W324" i="1"/>
  <c r="Q324" i="1"/>
  <c r="Z632" i="55" s="1"/>
  <c r="O324" i="1"/>
  <c r="T324" i="1"/>
  <c r="V632" i="55"/>
  <c r="Y324" i="1"/>
  <c r="U324" i="1"/>
  <c r="V324" i="1"/>
  <c r="X632" i="55"/>
  <c r="P324" i="1"/>
  <c r="AA632" i="55" s="1"/>
  <c r="R278" i="1"/>
  <c r="R224" i="1"/>
  <c r="U367" i="1"/>
  <c r="R259" i="1"/>
  <c r="Y367" i="1"/>
  <c r="T367" i="1"/>
  <c r="W675" i="55"/>
  <c r="AI675" i="55" s="1"/>
  <c r="J675" i="55" s="1"/>
  <c r="M675" i="55" s="1"/>
  <c r="Q367" i="1"/>
  <c r="Z675" i="55" s="1"/>
  <c r="V675" i="55"/>
  <c r="AH675" i="55" s="1"/>
  <c r="I675" i="55" s="1"/>
  <c r="R240" i="1"/>
  <c r="X675" i="55"/>
  <c r="P367" i="1"/>
  <c r="AA675" i="55" s="1"/>
  <c r="R220" i="1"/>
  <c r="Y336" i="1"/>
  <c r="Y333" i="1"/>
  <c r="Y374" i="1"/>
  <c r="Y338" i="1"/>
  <c r="Y383" i="1"/>
  <c r="Y298" i="1"/>
  <c r="Y369" i="1"/>
  <c r="Y300" i="1"/>
  <c r="Y351" i="1"/>
  <c r="Y309" i="1"/>
  <c r="Y381" i="1"/>
  <c r="Y325" i="1"/>
  <c r="Y377" i="1"/>
  <c r="Y357" i="1"/>
  <c r="Y301" i="1"/>
  <c r="Y297" i="1"/>
  <c r="Y319" i="1"/>
  <c r="Y326" i="1"/>
  <c r="Y384" i="1"/>
  <c r="Y380" i="1"/>
  <c r="Y382" i="1"/>
  <c r="Y371" i="1"/>
  <c r="Y347" i="1"/>
  <c r="Y331" i="1"/>
  <c r="Y348" i="1"/>
  <c r="Y296" i="1"/>
  <c r="Y379" i="1"/>
  <c r="Y332" i="1"/>
  <c r="Y322" i="1"/>
  <c r="Y385" i="1"/>
  <c r="Y386" i="1"/>
  <c r="Y346" i="1"/>
  <c r="Y337" i="1"/>
  <c r="Y368" i="1"/>
  <c r="Y308" i="1"/>
  <c r="Y290" i="1"/>
  <c r="Y364" i="1"/>
  <c r="Y388" i="1"/>
  <c r="Y362" i="1"/>
  <c r="Y334" i="1"/>
  <c r="Y323" i="1"/>
  <c r="Y358" i="1"/>
  <c r="Y355" i="1"/>
  <c r="Y318" i="1"/>
  <c r="Y360" i="1"/>
  <c r="Y314" i="1"/>
  <c r="Y390" i="1"/>
  <c r="Y293" i="1"/>
  <c r="Y328" i="1"/>
  <c r="Y305" i="1"/>
  <c r="Y335" i="1"/>
  <c r="Y321" i="1"/>
  <c r="Y356" i="1"/>
  <c r="Y310" i="1"/>
  <c r="Y299" i="1"/>
  <c r="Y339" i="1"/>
  <c r="Y387" i="1"/>
  <c r="Y294" i="1"/>
  <c r="Y389" i="1"/>
  <c r="Y365" i="1"/>
  <c r="Y366" i="1"/>
  <c r="Y306" i="1"/>
  <c r="Y315" i="1"/>
  <c r="Y341" i="1"/>
  <c r="Y343" i="1"/>
  <c r="Y349" i="1"/>
  <c r="Y340" i="1"/>
  <c r="Y303" i="1"/>
  <c r="Y330" i="1"/>
  <c r="Y312" i="1"/>
  <c r="Y311" i="1"/>
  <c r="Y313" i="1"/>
  <c r="Y354" i="1"/>
  <c r="Y304" i="1"/>
  <c r="Y317" i="1"/>
  <c r="Y291" i="1"/>
  <c r="Y302" i="1"/>
  <c r="Y353" i="1"/>
  <c r="Y316" i="1"/>
  <c r="Y292" i="1"/>
  <c r="Y345" i="1"/>
  <c r="Y350" i="1"/>
  <c r="Y352" i="1"/>
  <c r="Y295" i="1"/>
  <c r="Y363" i="1"/>
  <c r="Y329" i="1"/>
  <c r="Y320" i="1"/>
  <c r="Y373" i="1"/>
  <c r="Y307" i="1"/>
  <c r="Y375" i="1"/>
  <c r="V627" i="55"/>
  <c r="AH627" i="55" s="1"/>
  <c r="I627" i="55" s="1"/>
  <c r="T319" i="1"/>
  <c r="U319" i="1"/>
  <c r="W627" i="55"/>
  <c r="AI627" i="55" s="1"/>
  <c r="J627" i="55" s="1"/>
  <c r="M627" i="55" s="1"/>
  <c r="W319" i="1"/>
  <c r="W648" i="55"/>
  <c r="AI648" i="55" s="1"/>
  <c r="J648" i="55" s="1"/>
  <c r="J489" i="55" s="1"/>
  <c r="W340" i="1"/>
  <c r="V683" i="55"/>
  <c r="AH683" i="55" s="1"/>
  <c r="I683" i="55" s="1"/>
  <c r="T375" i="1"/>
  <c r="U375" i="1"/>
  <c r="V639" i="55"/>
  <c r="AH639" i="55" s="1"/>
  <c r="I639" i="55" s="1"/>
  <c r="T331" i="1"/>
  <c r="U331" i="1"/>
  <c r="T391" i="1"/>
  <c r="U391" i="1"/>
  <c r="V689" i="55"/>
  <c r="AH689" i="55" s="1"/>
  <c r="I689" i="55" s="1"/>
  <c r="T381" i="1"/>
  <c r="U381" i="1"/>
  <c r="W695" i="55"/>
  <c r="W387" i="1"/>
  <c r="Z303" i="19"/>
  <c r="J303" i="19" s="1"/>
  <c r="J196" i="19" s="1"/>
  <c r="J18" i="19" s="1"/>
  <c r="Q18" i="19" s="1"/>
  <c r="W296" i="1"/>
  <c r="Z296" i="1" s="1"/>
  <c r="W600" i="55"/>
  <c r="AI600" i="55" s="1"/>
  <c r="J600" i="55" s="1"/>
  <c r="J441" i="55" s="1"/>
  <c r="W292" i="1"/>
  <c r="V633" i="55"/>
  <c r="AH633" i="55" s="1"/>
  <c r="I633" i="55" s="1"/>
  <c r="T325" i="1"/>
  <c r="U325" i="1"/>
  <c r="W630" i="55"/>
  <c r="AI630" i="55" s="1"/>
  <c r="J630" i="55" s="1"/>
  <c r="M630" i="55" s="1"/>
  <c r="W322" i="1"/>
  <c r="W649" i="55"/>
  <c r="AI649" i="55" s="1"/>
  <c r="J649" i="55" s="1"/>
  <c r="J490" i="55" s="1"/>
  <c r="W341" i="1"/>
  <c r="V685" i="55"/>
  <c r="AH685" i="55" s="1"/>
  <c r="I685" i="55" s="1"/>
  <c r="U377" i="1"/>
  <c r="T377" i="1"/>
  <c r="T336" i="1"/>
  <c r="U336" i="1"/>
  <c r="T385" i="1"/>
  <c r="U385" i="1"/>
  <c r="V656" i="55"/>
  <c r="AH656" i="55" s="1"/>
  <c r="I656" i="55" s="1"/>
  <c r="T348" i="1"/>
  <c r="U348" i="1"/>
  <c r="T296" i="1"/>
  <c r="U296" i="1"/>
  <c r="V687" i="55"/>
  <c r="AH687" i="55" s="1"/>
  <c r="I687" i="55" s="1"/>
  <c r="T379" i="1"/>
  <c r="U379" i="1"/>
  <c r="V640" i="55"/>
  <c r="AH640" i="55" s="1"/>
  <c r="I640" i="55" s="1"/>
  <c r="U332" i="1"/>
  <c r="T332" i="1"/>
  <c r="W613" i="55"/>
  <c r="AI613" i="55" s="1"/>
  <c r="J613" i="55" s="1"/>
  <c r="J454" i="55" s="1"/>
  <c r="W305" i="1"/>
  <c r="Z305" i="1" s="1"/>
  <c r="V630" i="55"/>
  <c r="AH630" i="55" s="1"/>
  <c r="I630" i="55" s="1"/>
  <c r="U322" i="1"/>
  <c r="T322" i="1"/>
  <c r="W634" i="55"/>
  <c r="AI634" i="55" s="1"/>
  <c r="J634" i="55" s="1"/>
  <c r="M634" i="55" s="1"/>
  <c r="W326" i="1"/>
  <c r="W651" i="55"/>
  <c r="AI651" i="55" s="1"/>
  <c r="J651" i="55" s="1"/>
  <c r="M651" i="55" s="1"/>
  <c r="W343" i="1"/>
  <c r="V682" i="55"/>
  <c r="AH682" i="55" s="1"/>
  <c r="I682" i="55" s="1"/>
  <c r="T374" i="1"/>
  <c r="U374" i="1"/>
  <c r="T333" i="1"/>
  <c r="U333" i="1"/>
  <c r="U386" i="1"/>
  <c r="T386" i="1"/>
  <c r="V654" i="55"/>
  <c r="AH654" i="55" s="1"/>
  <c r="I654" i="55" s="1"/>
  <c r="U346" i="1"/>
  <c r="T346" i="1"/>
  <c r="V645" i="55"/>
  <c r="AH645" i="55" s="1"/>
  <c r="I645" i="55" s="1"/>
  <c r="T337" i="1"/>
  <c r="U337" i="1"/>
  <c r="V676" i="55"/>
  <c r="AH676" i="55" s="1"/>
  <c r="I676" i="55" s="1"/>
  <c r="T368" i="1"/>
  <c r="U368" i="1"/>
  <c r="T308" i="1"/>
  <c r="U308" i="1"/>
  <c r="Q294" i="1"/>
  <c r="Z602" i="55" s="1"/>
  <c r="W294" i="1"/>
  <c r="W694" i="55"/>
  <c r="W386" i="1"/>
  <c r="V634" i="55"/>
  <c r="AH634" i="55" s="1"/>
  <c r="I634" i="55" s="1"/>
  <c r="T326" i="1"/>
  <c r="U326" i="1"/>
  <c r="W628" i="55"/>
  <c r="AI628" i="55" s="1"/>
  <c r="J628" i="55" s="1"/>
  <c r="M628" i="55" s="1"/>
  <c r="W320" i="1"/>
  <c r="V665" i="55"/>
  <c r="AH665" i="55" s="1"/>
  <c r="I665" i="55" s="1"/>
  <c r="T357" i="1"/>
  <c r="U357" i="1"/>
  <c r="X681" i="55"/>
  <c r="V373" i="1"/>
  <c r="U364" i="1"/>
  <c r="T364" i="1"/>
  <c r="X671" i="55"/>
  <c r="V363" i="1"/>
  <c r="X679" i="55"/>
  <c r="V371" i="1"/>
  <c r="X687" i="55"/>
  <c r="V379" i="1"/>
  <c r="T388" i="1"/>
  <c r="U388" i="1"/>
  <c r="V670" i="55"/>
  <c r="AH670" i="55" s="1"/>
  <c r="I670" i="55" s="1"/>
  <c r="T362" i="1"/>
  <c r="U362" i="1"/>
  <c r="V642" i="55"/>
  <c r="AH642" i="55" s="1"/>
  <c r="I642" i="55" s="1"/>
  <c r="T334" i="1"/>
  <c r="U334" i="1"/>
  <c r="Z307" i="19"/>
  <c r="J307" i="19" s="1"/>
  <c r="J200" i="19" s="1"/>
  <c r="W306" i="1"/>
  <c r="W621" i="55"/>
  <c r="AI621" i="55" s="1"/>
  <c r="J621" i="55" s="1"/>
  <c r="M621" i="55" s="1"/>
  <c r="W313" i="1"/>
  <c r="V631" i="55"/>
  <c r="AH631" i="55" s="1"/>
  <c r="I631" i="55" s="1"/>
  <c r="T323" i="1"/>
  <c r="U323" i="1"/>
  <c r="W626" i="55"/>
  <c r="AI626" i="55" s="1"/>
  <c r="J626" i="55" s="1"/>
  <c r="M626" i="55" s="1"/>
  <c r="W318" i="1"/>
  <c r="V666" i="55"/>
  <c r="AH666" i="55" s="1"/>
  <c r="I666" i="55" s="1"/>
  <c r="U358" i="1"/>
  <c r="T358" i="1"/>
  <c r="X683" i="55"/>
  <c r="V375" i="1"/>
  <c r="T355" i="1"/>
  <c r="U355" i="1"/>
  <c r="X617" i="55"/>
  <c r="V309" i="1"/>
  <c r="X660" i="55"/>
  <c r="V352" i="1"/>
  <c r="X656" i="55"/>
  <c r="V348" i="1"/>
  <c r="T384" i="1"/>
  <c r="U384" i="1"/>
  <c r="V688" i="55"/>
  <c r="AH688" i="55" s="1"/>
  <c r="I688" i="55" s="1"/>
  <c r="T380" i="1"/>
  <c r="U380" i="1"/>
  <c r="V690" i="55"/>
  <c r="AH690" i="55" s="1"/>
  <c r="I690" i="55" s="1"/>
  <c r="T382" i="1"/>
  <c r="U382" i="1"/>
  <c r="V679" i="55"/>
  <c r="AH679" i="55" s="1"/>
  <c r="I679" i="55" s="1"/>
  <c r="T371" i="1"/>
  <c r="U371" i="1"/>
  <c r="W599" i="55"/>
  <c r="AI599" i="55" s="1"/>
  <c r="J599" i="55" s="1"/>
  <c r="J440" i="55" s="1"/>
  <c r="W291" i="1"/>
  <c r="Z291" i="1" s="1"/>
  <c r="W698" i="55"/>
  <c r="W390" i="1"/>
  <c r="V626" i="55"/>
  <c r="AH626" i="55" s="1"/>
  <c r="I626" i="55" s="1"/>
  <c r="U318" i="1"/>
  <c r="T318" i="1"/>
  <c r="W629" i="55"/>
  <c r="AI629" i="55" s="1"/>
  <c r="J629" i="55" s="1"/>
  <c r="M629" i="55" s="1"/>
  <c r="W321" i="1"/>
  <c r="V668" i="55"/>
  <c r="AH668" i="55" s="1"/>
  <c r="I668" i="55" s="1"/>
  <c r="T360" i="1"/>
  <c r="U360" i="1"/>
  <c r="X685" i="55"/>
  <c r="V377" i="1"/>
  <c r="U314" i="1"/>
  <c r="T314" i="1"/>
  <c r="V636" i="55"/>
  <c r="AH636" i="55" s="1"/>
  <c r="I636" i="55" s="1"/>
  <c r="U328" i="1"/>
  <c r="T328" i="1"/>
  <c r="T305" i="1"/>
  <c r="U305" i="1"/>
  <c r="V643" i="55"/>
  <c r="AH643" i="55" s="1"/>
  <c r="I643" i="55" s="1"/>
  <c r="T335" i="1"/>
  <c r="U335" i="1"/>
  <c r="V629" i="55"/>
  <c r="AH629" i="55" s="1"/>
  <c r="I629" i="55" s="1"/>
  <c r="T321" i="1"/>
  <c r="U321" i="1"/>
  <c r="W633" i="55"/>
  <c r="AI633" i="55" s="1"/>
  <c r="J633" i="55" s="1"/>
  <c r="M633" i="55" s="1"/>
  <c r="W325" i="1"/>
  <c r="V664" i="55"/>
  <c r="AH664" i="55" s="1"/>
  <c r="I664" i="55" s="1"/>
  <c r="U356" i="1"/>
  <c r="T356" i="1"/>
  <c r="X682" i="55"/>
  <c r="V374" i="1"/>
  <c r="T310" i="1"/>
  <c r="U310" i="1"/>
  <c r="T299" i="1"/>
  <c r="U299" i="1"/>
  <c r="X631" i="55"/>
  <c r="V323" i="1"/>
  <c r="V647" i="55"/>
  <c r="AH647" i="55" s="1"/>
  <c r="I647" i="55" s="1"/>
  <c r="T339" i="1"/>
  <c r="U339" i="1"/>
  <c r="X665" i="55"/>
  <c r="V357" i="1"/>
  <c r="W681" i="55"/>
  <c r="AI681" i="55" s="1"/>
  <c r="J681" i="55" s="1"/>
  <c r="J522" i="55" s="1"/>
  <c r="W373" i="1"/>
  <c r="T347" i="1"/>
  <c r="U347" i="1"/>
  <c r="X623" i="55"/>
  <c r="V315" i="1"/>
  <c r="X688" i="55"/>
  <c r="V380" i="1"/>
  <c r="T387" i="1"/>
  <c r="U387" i="1"/>
  <c r="V677" i="55"/>
  <c r="AH677" i="55" s="1"/>
  <c r="I677" i="55" s="1"/>
  <c r="T369" i="1"/>
  <c r="U369" i="1"/>
  <c r="V673" i="55"/>
  <c r="AH673" i="55" s="1"/>
  <c r="I673" i="55" s="1"/>
  <c r="T365" i="1"/>
  <c r="U365" i="1"/>
  <c r="V674" i="55"/>
  <c r="AH674" i="55" s="1"/>
  <c r="I674" i="55" s="1"/>
  <c r="T366" i="1"/>
  <c r="U366" i="1"/>
  <c r="T306" i="1"/>
  <c r="U306" i="1"/>
  <c r="V623" i="55"/>
  <c r="AH623" i="55" s="1"/>
  <c r="I623" i="55" s="1"/>
  <c r="T315" i="1"/>
  <c r="U315" i="1"/>
  <c r="W691" i="55"/>
  <c r="W383" i="1"/>
  <c r="U300" i="1"/>
  <c r="T300" i="1"/>
  <c r="X633" i="55"/>
  <c r="V325" i="1"/>
  <c r="V649" i="55"/>
  <c r="T341" i="1"/>
  <c r="U341" i="1"/>
  <c r="X668" i="55"/>
  <c r="V360" i="1"/>
  <c r="W683" i="55"/>
  <c r="AI683" i="55" s="1"/>
  <c r="J683" i="55" s="1"/>
  <c r="M683" i="55" s="1"/>
  <c r="W375" i="1"/>
  <c r="T338" i="1"/>
  <c r="U338" i="1"/>
  <c r="T390" i="1"/>
  <c r="U390" i="1"/>
  <c r="X657" i="55"/>
  <c r="V349" i="1"/>
  <c r="T389" i="1"/>
  <c r="U389" i="1"/>
  <c r="X621" i="55"/>
  <c r="V313" i="1"/>
  <c r="X674" i="55"/>
  <c r="V366" i="1"/>
  <c r="X643" i="55"/>
  <c r="V335" i="1"/>
  <c r="X645" i="55"/>
  <c r="V337" i="1"/>
  <c r="T383" i="1"/>
  <c r="U383" i="1"/>
  <c r="V659" i="55"/>
  <c r="AH659" i="55" s="1"/>
  <c r="I659" i="55" s="1"/>
  <c r="T351" i="1"/>
  <c r="U351" i="1"/>
  <c r="V617" i="55"/>
  <c r="AH617" i="55" s="1"/>
  <c r="I617" i="55" s="1"/>
  <c r="T309" i="1"/>
  <c r="U309" i="1"/>
  <c r="U298" i="1"/>
  <c r="T298" i="1"/>
  <c r="X628" i="55"/>
  <c r="V320" i="1"/>
  <c r="V651" i="55"/>
  <c r="AH651" i="55" s="1"/>
  <c r="I651" i="55" s="1"/>
  <c r="T343" i="1"/>
  <c r="U343" i="1"/>
  <c r="X666" i="55"/>
  <c r="V358" i="1"/>
  <c r="W682" i="55"/>
  <c r="AI682" i="55" s="1"/>
  <c r="J682" i="55" s="1"/>
  <c r="M682" i="55" s="1"/>
  <c r="W374" i="1"/>
  <c r="X676" i="55"/>
  <c r="V368" i="1"/>
  <c r="T293" i="1"/>
  <c r="U293" i="1"/>
  <c r="X654" i="55"/>
  <c r="V346" i="1"/>
  <c r="X640" i="55"/>
  <c r="V332" i="1"/>
  <c r="X659" i="55"/>
  <c r="V351" i="1"/>
  <c r="V657" i="55"/>
  <c r="AH657" i="55" s="1"/>
  <c r="I657" i="55" s="1"/>
  <c r="T349" i="1"/>
  <c r="U349" i="1"/>
  <c r="Q391" i="1"/>
  <c r="Z699" i="55" s="1"/>
  <c r="W391" i="1"/>
  <c r="T301" i="1"/>
  <c r="U301" i="1"/>
  <c r="X629" i="55"/>
  <c r="V321" i="1"/>
  <c r="V648" i="55"/>
  <c r="U340" i="1"/>
  <c r="T340" i="1"/>
  <c r="X664" i="55"/>
  <c r="V356" i="1"/>
  <c r="W685" i="55"/>
  <c r="AI685" i="55" s="1"/>
  <c r="J685" i="55" s="1"/>
  <c r="M685" i="55" s="1"/>
  <c r="W377" i="1"/>
  <c r="X619" i="55"/>
  <c r="V311" i="1"/>
  <c r="T294" i="1"/>
  <c r="U294" i="1"/>
  <c r="X624" i="55"/>
  <c r="V316" i="1"/>
  <c r="V620" i="55"/>
  <c r="AH620" i="55" s="1"/>
  <c r="I620" i="55" s="1"/>
  <c r="T312" i="1"/>
  <c r="U312" i="1"/>
  <c r="V619" i="55"/>
  <c r="AH619" i="55" s="1"/>
  <c r="I619" i="55" s="1"/>
  <c r="T311" i="1"/>
  <c r="U311" i="1"/>
  <c r="Q388" i="1"/>
  <c r="Z696" i="55" s="1"/>
  <c r="W388" i="1"/>
  <c r="T303" i="1"/>
  <c r="U303" i="1"/>
  <c r="X627" i="55"/>
  <c r="V319" i="1"/>
  <c r="X651" i="55"/>
  <c r="V343" i="1"/>
  <c r="W664" i="55"/>
  <c r="AI664" i="55" s="1"/>
  <c r="J664" i="55" s="1"/>
  <c r="M664" i="55" s="1"/>
  <c r="W356" i="1"/>
  <c r="T330" i="1"/>
  <c r="U330" i="1"/>
  <c r="X690" i="55"/>
  <c r="V382" i="1"/>
  <c r="X673" i="55"/>
  <c r="V365" i="1"/>
  <c r="V621" i="55"/>
  <c r="AH621" i="55" s="1"/>
  <c r="I621" i="55" s="1"/>
  <c r="T313" i="1"/>
  <c r="U313" i="1"/>
  <c r="V662" i="55"/>
  <c r="AH662" i="55" s="1"/>
  <c r="I662" i="55" s="1"/>
  <c r="T354" i="1"/>
  <c r="U354" i="1"/>
  <c r="U304" i="1"/>
  <c r="T304" i="1"/>
  <c r="X630" i="55"/>
  <c r="V322" i="1"/>
  <c r="X648" i="55"/>
  <c r="V340" i="1"/>
  <c r="W665" i="55"/>
  <c r="AI665" i="55" s="1"/>
  <c r="J665" i="55" s="1"/>
  <c r="M665" i="55" s="1"/>
  <c r="W357" i="1"/>
  <c r="T317" i="1"/>
  <c r="U317" i="1"/>
  <c r="V660" i="55"/>
  <c r="U352" i="1"/>
  <c r="T352" i="1"/>
  <c r="T291" i="1"/>
  <c r="U291" i="1"/>
  <c r="Z302" i="19"/>
  <c r="J302" i="19" s="1"/>
  <c r="J195" i="19" s="1"/>
  <c r="W295" i="1"/>
  <c r="Z295" i="1" s="1"/>
  <c r="U302" i="1"/>
  <c r="T302" i="1"/>
  <c r="X634" i="55"/>
  <c r="V326" i="1"/>
  <c r="X649" i="55"/>
  <c r="V341" i="1"/>
  <c r="W666" i="55"/>
  <c r="AI666" i="55" s="1"/>
  <c r="J666" i="55" s="1"/>
  <c r="J507" i="55" s="1"/>
  <c r="W358" i="1"/>
  <c r="T353" i="1"/>
  <c r="U353" i="1"/>
  <c r="X639" i="55"/>
  <c r="V331" i="1"/>
  <c r="X670" i="55"/>
  <c r="V362" i="1"/>
  <c r="X662" i="55"/>
  <c r="V354" i="1"/>
  <c r="X689" i="55"/>
  <c r="V381" i="1"/>
  <c r="U292" i="1"/>
  <c r="T292" i="1"/>
  <c r="V653" i="55"/>
  <c r="AH653" i="55" s="1"/>
  <c r="I653" i="55" s="1"/>
  <c r="T345" i="1"/>
  <c r="U345" i="1"/>
  <c r="W693" i="55"/>
  <c r="W385" i="1"/>
  <c r="T297" i="1"/>
  <c r="U297" i="1"/>
  <c r="X626" i="55"/>
  <c r="V318" i="1"/>
  <c r="X647" i="55"/>
  <c r="V339" i="1"/>
  <c r="W668" i="55"/>
  <c r="AI668" i="55" s="1"/>
  <c r="J668" i="55" s="1"/>
  <c r="J509" i="55" s="1"/>
  <c r="W360" i="1"/>
  <c r="T350" i="1"/>
  <c r="U350" i="1"/>
  <c r="X620" i="55"/>
  <c r="V312" i="1"/>
  <c r="V624" i="55"/>
  <c r="AH624" i="55" s="1"/>
  <c r="I624" i="55" s="1"/>
  <c r="T316" i="1"/>
  <c r="U316" i="1"/>
  <c r="X637" i="55"/>
  <c r="V329" i="1"/>
  <c r="X642" i="55"/>
  <c r="V334" i="1"/>
  <c r="X677" i="55"/>
  <c r="V369" i="1"/>
  <c r="X653" i="55"/>
  <c r="V345" i="1"/>
  <c r="X636" i="55"/>
  <c r="V328" i="1"/>
  <c r="T295" i="1"/>
  <c r="U295" i="1"/>
  <c r="V671" i="55"/>
  <c r="AH671" i="55" s="1"/>
  <c r="I671" i="55" s="1"/>
  <c r="T363" i="1"/>
  <c r="U363" i="1"/>
  <c r="V637" i="55"/>
  <c r="AH637" i="55" s="1"/>
  <c r="I637" i="55" s="1"/>
  <c r="T329" i="1"/>
  <c r="U329" i="1"/>
  <c r="V628" i="55"/>
  <c r="T320" i="1"/>
  <c r="U320" i="1"/>
  <c r="W631" i="55"/>
  <c r="AI631" i="55" s="1"/>
  <c r="J631" i="55" s="1"/>
  <c r="M631" i="55" s="1"/>
  <c r="W323" i="1"/>
  <c r="W647" i="55"/>
  <c r="AI647" i="55" s="1"/>
  <c r="J647" i="55" s="1"/>
  <c r="M647" i="55" s="1"/>
  <c r="W339" i="1"/>
  <c r="V681" i="55"/>
  <c r="AH681" i="55" s="1"/>
  <c r="I681" i="55" s="1"/>
  <c r="T373" i="1"/>
  <c r="U373" i="1"/>
  <c r="T307" i="1"/>
  <c r="U307" i="1"/>
  <c r="Q331" i="1"/>
  <c r="Z639" i="55" s="1"/>
  <c r="W639" i="55"/>
  <c r="AI639" i="55" s="1"/>
  <c r="J639" i="55" s="1"/>
  <c r="W624" i="55"/>
  <c r="AI624" i="55" s="1"/>
  <c r="J624" i="55" s="1"/>
  <c r="W637" i="55"/>
  <c r="AI637" i="55" s="1"/>
  <c r="J637" i="55" s="1"/>
  <c r="W636" i="55"/>
  <c r="AI636" i="55" s="1"/>
  <c r="J636" i="55" s="1"/>
  <c r="P317" i="1"/>
  <c r="AA625" i="55" s="1"/>
  <c r="X625" i="55"/>
  <c r="O350" i="1"/>
  <c r="Y658" i="55" s="1"/>
  <c r="V658" i="55"/>
  <c r="Z321" i="19"/>
  <c r="J321" i="19" s="1"/>
  <c r="J214" i="19" s="1"/>
  <c r="W643" i="55"/>
  <c r="AI643" i="55" s="1"/>
  <c r="W619" i="55"/>
  <c r="AI619" i="55" s="1"/>
  <c r="J619" i="55" s="1"/>
  <c r="W673" i="55"/>
  <c r="AI673" i="55" s="1"/>
  <c r="J673" i="55" s="1"/>
  <c r="Q336" i="1"/>
  <c r="Z644" i="55" s="1"/>
  <c r="W644" i="55"/>
  <c r="AI644" i="55" s="1"/>
  <c r="J644" i="55" s="1"/>
  <c r="P353" i="1"/>
  <c r="AA661" i="55" s="1"/>
  <c r="X661" i="55"/>
  <c r="W659" i="55"/>
  <c r="AI659" i="55" s="1"/>
  <c r="J659" i="55" s="1"/>
  <c r="Q380" i="1"/>
  <c r="Z688" i="55" s="1"/>
  <c r="W688" i="55"/>
  <c r="AI688" i="55" s="1"/>
  <c r="J688" i="55" s="1"/>
  <c r="Q333" i="1"/>
  <c r="Z641" i="55" s="1"/>
  <c r="W641" i="55"/>
  <c r="AI641" i="55" s="1"/>
  <c r="J641" i="55" s="1"/>
  <c r="P350" i="1"/>
  <c r="AA658" i="55" s="1"/>
  <c r="X658" i="55"/>
  <c r="O336" i="1"/>
  <c r="Y644" i="55" s="1"/>
  <c r="V644" i="55"/>
  <c r="Q364" i="1"/>
  <c r="Z672" i="55" s="1"/>
  <c r="W672" i="55"/>
  <c r="AI672" i="55" s="1"/>
  <c r="J672" i="55" s="1"/>
  <c r="W679" i="55"/>
  <c r="AI679" i="55" s="1"/>
  <c r="J679" i="55" s="1"/>
  <c r="Q312" i="1"/>
  <c r="Z620" i="55" s="1"/>
  <c r="W620" i="55"/>
  <c r="AI620" i="55" s="1"/>
  <c r="J620" i="55" s="1"/>
  <c r="O333" i="1"/>
  <c r="Y641" i="55" s="1"/>
  <c r="V641" i="55"/>
  <c r="Q355" i="1"/>
  <c r="W663" i="55"/>
  <c r="AI663" i="55" s="1"/>
  <c r="J663" i="55" s="1"/>
  <c r="W657" i="55"/>
  <c r="AI657" i="55" s="1"/>
  <c r="J657" i="55" s="1"/>
  <c r="Q314" i="1"/>
  <c r="Z622" i="55" s="1"/>
  <c r="W622" i="55"/>
  <c r="AI622" i="55" s="1"/>
  <c r="J622" i="55" s="1"/>
  <c r="P336" i="1"/>
  <c r="AA644" i="55" s="1"/>
  <c r="X644" i="55"/>
  <c r="O364" i="1"/>
  <c r="Y672" i="55" s="1"/>
  <c r="V672" i="55"/>
  <c r="Q352" i="1"/>
  <c r="Z660" i="55" s="1"/>
  <c r="W660" i="55"/>
  <c r="AI660" i="55" s="1"/>
  <c r="J660" i="55" s="1"/>
  <c r="W674" i="55"/>
  <c r="AI674" i="55" s="1"/>
  <c r="J674" i="55" s="1"/>
  <c r="Q310" i="1"/>
  <c r="Z618" i="55" s="1"/>
  <c r="W618" i="55"/>
  <c r="AI618" i="55" s="1"/>
  <c r="J618" i="55" s="1"/>
  <c r="P333" i="1"/>
  <c r="AA641" i="55" s="1"/>
  <c r="X641" i="55"/>
  <c r="O355" i="1"/>
  <c r="Y663" i="55" s="1"/>
  <c r="V663" i="55"/>
  <c r="O314" i="1"/>
  <c r="Y622" i="55" s="1"/>
  <c r="V622" i="55"/>
  <c r="Q347" i="1"/>
  <c r="Z655" i="55" s="1"/>
  <c r="W655" i="55"/>
  <c r="AI655" i="55" s="1"/>
  <c r="J655" i="55" s="1"/>
  <c r="P364" i="1"/>
  <c r="AA672" i="55" s="1"/>
  <c r="X672" i="55"/>
  <c r="W676" i="55"/>
  <c r="AI676" i="55" s="1"/>
  <c r="J676" i="55" s="1"/>
  <c r="W617" i="55"/>
  <c r="AI617" i="55" s="1"/>
  <c r="J617" i="55" s="1"/>
  <c r="W642" i="55"/>
  <c r="AI642" i="55" s="1"/>
  <c r="J642" i="55" s="1"/>
  <c r="O310" i="1"/>
  <c r="Y618" i="55" s="1"/>
  <c r="V618" i="55"/>
  <c r="Q338" i="1"/>
  <c r="Z646" i="55" s="1"/>
  <c r="W646" i="55"/>
  <c r="AI646" i="55" s="1"/>
  <c r="J646" i="55" s="1"/>
  <c r="P355" i="1"/>
  <c r="AA663" i="55" s="1"/>
  <c r="X663" i="55"/>
  <c r="W653" i="55"/>
  <c r="AI653" i="55" s="1"/>
  <c r="J653" i="55" s="1"/>
  <c r="W654" i="55"/>
  <c r="AI654" i="55" s="1"/>
  <c r="J654" i="55" s="1"/>
  <c r="P314" i="1"/>
  <c r="AA622" i="55" s="1"/>
  <c r="X622" i="55"/>
  <c r="O347" i="1"/>
  <c r="Y655" i="55" s="1"/>
  <c r="V655" i="55"/>
  <c r="Z381" i="1"/>
  <c r="W689" i="55"/>
  <c r="AI689" i="55" s="1"/>
  <c r="J689" i="55" s="1"/>
  <c r="W645" i="55"/>
  <c r="AI645" i="55" s="1"/>
  <c r="J645" i="55" s="1"/>
  <c r="Q369" i="1"/>
  <c r="Z677" i="55" s="1"/>
  <c r="W677" i="55"/>
  <c r="AI677" i="55" s="1"/>
  <c r="J677" i="55" s="1"/>
  <c r="P310" i="1"/>
  <c r="AA618" i="55" s="1"/>
  <c r="X618" i="55"/>
  <c r="O338" i="1"/>
  <c r="Y646" i="55" s="1"/>
  <c r="V646" i="55"/>
  <c r="W662" i="55"/>
  <c r="AI662" i="55" s="1"/>
  <c r="J662" i="55" s="1"/>
  <c r="W670" i="55"/>
  <c r="AI670" i="55" s="1"/>
  <c r="J670" i="55" s="1"/>
  <c r="Q330" i="1"/>
  <c r="Z638" i="55" s="1"/>
  <c r="W638" i="55"/>
  <c r="AI638" i="55" s="1"/>
  <c r="J638" i="55" s="1"/>
  <c r="P347" i="1"/>
  <c r="AA655" i="55" s="1"/>
  <c r="X655" i="55"/>
  <c r="Z351" i="19"/>
  <c r="Z409" i="19" s="1"/>
  <c r="W687" i="55"/>
  <c r="AI687" i="55" s="1"/>
  <c r="J687" i="55" s="1"/>
  <c r="W690" i="55"/>
  <c r="AI690" i="55" s="1"/>
  <c r="J690" i="55" s="1"/>
  <c r="Q317" i="1"/>
  <c r="Z625" i="55" s="1"/>
  <c r="W625" i="55"/>
  <c r="AI625" i="55" s="1"/>
  <c r="J625" i="55" s="1"/>
  <c r="P338" i="1"/>
  <c r="AA646" i="55" s="1"/>
  <c r="X646" i="55"/>
  <c r="O330" i="1"/>
  <c r="Y638" i="55" s="1"/>
  <c r="V638" i="55"/>
  <c r="Q353" i="1"/>
  <c r="Z661" i="55" s="1"/>
  <c r="W661" i="55"/>
  <c r="AI661" i="55" s="1"/>
  <c r="J661" i="55" s="1"/>
  <c r="W640" i="55"/>
  <c r="AI640" i="55" s="1"/>
  <c r="J640" i="55" s="1"/>
  <c r="O317" i="1"/>
  <c r="Y625" i="55" s="1"/>
  <c r="V625" i="55"/>
  <c r="Q350" i="1"/>
  <c r="W658" i="55"/>
  <c r="AI658" i="55" s="1"/>
  <c r="J658" i="55" s="1"/>
  <c r="Z329" i="19"/>
  <c r="J329" i="19" s="1"/>
  <c r="Q329" i="19" s="1"/>
  <c r="W656" i="55"/>
  <c r="AI656" i="55" s="1"/>
  <c r="J656" i="55" s="1"/>
  <c r="Z313" i="19"/>
  <c r="J313" i="19" s="1"/>
  <c r="J206" i="19" s="1"/>
  <c r="W623" i="55"/>
  <c r="AI623" i="55" s="1"/>
  <c r="W671" i="55"/>
  <c r="AI671" i="55" s="1"/>
  <c r="J671" i="55" s="1"/>
  <c r="P330" i="1"/>
  <c r="AA638" i="55" s="1"/>
  <c r="X638" i="55"/>
  <c r="O353" i="1"/>
  <c r="Y661" i="55" s="1"/>
  <c r="V661" i="55"/>
  <c r="Q307" i="1"/>
  <c r="Z615" i="55" s="1"/>
  <c r="W615" i="55"/>
  <c r="AI615" i="55" s="1"/>
  <c r="J615" i="55" s="1"/>
  <c r="O307" i="1"/>
  <c r="Y615" i="55" s="1"/>
  <c r="V615" i="55"/>
  <c r="P307" i="1"/>
  <c r="AA615" i="55" s="1"/>
  <c r="X615" i="55"/>
  <c r="R270" i="1"/>
  <c r="R274" i="1"/>
  <c r="R251" i="1"/>
  <c r="R272" i="1"/>
  <c r="R247" i="1"/>
  <c r="R268" i="1"/>
  <c r="R266" i="1"/>
  <c r="R264" i="1"/>
  <c r="R255" i="1"/>
  <c r="R253" i="1"/>
  <c r="R249" i="1"/>
  <c r="R232" i="1"/>
  <c r="R227" i="1"/>
  <c r="R206" i="1"/>
  <c r="R245" i="1"/>
  <c r="R236" i="1"/>
  <c r="R198" i="1"/>
  <c r="R234" i="1"/>
  <c r="R230" i="1"/>
  <c r="R210" i="1"/>
  <c r="R201" i="1"/>
  <c r="MS187" i="69"/>
  <c r="O46" i="53" s="1"/>
  <c r="L46" i="53"/>
  <c r="MS288" i="69"/>
  <c r="O147" i="53" s="1"/>
  <c r="L147" i="53"/>
  <c r="MS242" i="69"/>
  <c r="O101" i="53" s="1"/>
  <c r="L101" i="53"/>
  <c r="MS212" i="69"/>
  <c r="O71" i="53" s="1"/>
  <c r="L71" i="53"/>
  <c r="MS198" i="69"/>
  <c r="O57" i="53" s="1"/>
  <c r="L57" i="53"/>
  <c r="MS273" i="69"/>
  <c r="O132" i="53" s="1"/>
  <c r="L132" i="53"/>
  <c r="MS243" i="69"/>
  <c r="O102" i="53" s="1"/>
  <c r="L102" i="53"/>
  <c r="MQ252" i="69"/>
  <c r="M111" i="53" s="1"/>
  <c r="J111" i="53"/>
  <c r="MQ206" i="69"/>
  <c r="M65" i="53" s="1"/>
  <c r="J65" i="53"/>
  <c r="MQ192" i="69"/>
  <c r="M51" i="53" s="1"/>
  <c r="J51" i="53"/>
  <c r="MQ251" i="69"/>
  <c r="M110" i="53" s="1"/>
  <c r="J110" i="53"/>
  <c r="MQ205" i="69"/>
  <c r="M64" i="53" s="1"/>
  <c r="J64" i="53"/>
  <c r="MQ264" i="69"/>
  <c r="M123" i="53" s="1"/>
  <c r="J123" i="53"/>
  <c r="MQ266" i="69"/>
  <c r="M125" i="53" s="1"/>
  <c r="J125" i="53"/>
  <c r="MR270" i="69"/>
  <c r="N129" i="53" s="1"/>
  <c r="K129" i="53"/>
  <c r="MR224" i="69"/>
  <c r="N83" i="53" s="1"/>
  <c r="K83" i="53"/>
  <c r="MR194" i="69"/>
  <c r="N53" i="53" s="1"/>
  <c r="K53" i="53"/>
  <c r="MR285" i="69"/>
  <c r="N144" i="53" s="1"/>
  <c r="K144" i="53"/>
  <c r="MR255" i="69"/>
  <c r="N114" i="53" s="1"/>
  <c r="K114" i="53"/>
  <c r="MR209" i="69"/>
  <c r="N68" i="53" s="1"/>
  <c r="K68" i="53"/>
  <c r="MS186" i="69"/>
  <c r="O45" i="53" s="1"/>
  <c r="L45" i="53"/>
  <c r="MS272" i="69"/>
  <c r="O131" i="53" s="1"/>
  <c r="L131" i="53"/>
  <c r="MS226" i="69"/>
  <c r="O85" i="53" s="1"/>
  <c r="L85" i="53"/>
  <c r="MS196" i="69"/>
  <c r="O55" i="53" s="1"/>
  <c r="L55" i="53"/>
  <c r="MS287" i="69"/>
  <c r="O146" i="53" s="1"/>
  <c r="L146" i="53"/>
  <c r="MS257" i="69"/>
  <c r="O116" i="53" s="1"/>
  <c r="L116" i="53"/>
  <c r="MS227" i="69"/>
  <c r="O86" i="53" s="1"/>
  <c r="L86" i="53"/>
  <c r="MQ236" i="69"/>
  <c r="M95" i="53" s="1"/>
  <c r="J95" i="53"/>
  <c r="MQ190" i="69"/>
  <c r="M49" i="53" s="1"/>
  <c r="J49" i="53"/>
  <c r="MQ281" i="69"/>
  <c r="M140" i="53" s="1"/>
  <c r="J140" i="53"/>
  <c r="MQ235" i="69"/>
  <c r="M94" i="53" s="1"/>
  <c r="J94" i="53"/>
  <c r="MQ189" i="69"/>
  <c r="M48" i="53" s="1"/>
  <c r="J48" i="53"/>
  <c r="MQ248" i="69"/>
  <c r="M107" i="53" s="1"/>
  <c r="J107" i="53"/>
  <c r="MQ250" i="69"/>
  <c r="M109" i="53" s="1"/>
  <c r="J109" i="53"/>
  <c r="MR254" i="69"/>
  <c r="N113" i="53" s="1"/>
  <c r="K113" i="53"/>
  <c r="MR208" i="69"/>
  <c r="N67" i="53" s="1"/>
  <c r="K67" i="53"/>
  <c r="MR268" i="69"/>
  <c r="N127" i="53" s="1"/>
  <c r="K127" i="53"/>
  <c r="MR269" i="69"/>
  <c r="N128" i="53" s="1"/>
  <c r="K128" i="53"/>
  <c r="MR239" i="69"/>
  <c r="N98" i="53" s="1"/>
  <c r="K98" i="53"/>
  <c r="MR193" i="69"/>
  <c r="N52" i="53" s="1"/>
  <c r="K52" i="53"/>
  <c r="MS277" i="69"/>
  <c r="O136" i="53" s="1"/>
  <c r="L136" i="53"/>
  <c r="MS256" i="69"/>
  <c r="O115" i="53" s="1"/>
  <c r="L115" i="53"/>
  <c r="MS210" i="69"/>
  <c r="O69" i="53" s="1"/>
  <c r="L69" i="53"/>
  <c r="MS197" i="69"/>
  <c r="O56" i="53" s="1"/>
  <c r="L56" i="53"/>
  <c r="AT56" i="53" s="1"/>
  <c r="MS271" i="69"/>
  <c r="O130" i="53" s="1"/>
  <c r="L130" i="53"/>
  <c r="MS241" i="69"/>
  <c r="O100" i="53" s="1"/>
  <c r="L100" i="53"/>
  <c r="MS211" i="69"/>
  <c r="O70" i="53" s="1"/>
  <c r="L70" i="53"/>
  <c r="MQ220" i="69"/>
  <c r="M79" i="53" s="1"/>
  <c r="J79" i="53"/>
  <c r="MQ195" i="69"/>
  <c r="M54" i="53" s="1"/>
  <c r="J54" i="53"/>
  <c r="MQ265" i="69"/>
  <c r="M124" i="53" s="1"/>
  <c r="J124" i="53"/>
  <c r="MQ219" i="69"/>
  <c r="M78" i="53" s="1"/>
  <c r="J78" i="53"/>
  <c r="MQ278" i="69"/>
  <c r="M137" i="53" s="1"/>
  <c r="J137" i="53"/>
  <c r="MQ232" i="69"/>
  <c r="M91" i="53" s="1"/>
  <c r="J91" i="53"/>
  <c r="MQ234" i="69"/>
  <c r="M93" i="53" s="1"/>
  <c r="J93" i="53"/>
  <c r="MR238" i="69"/>
  <c r="N97" i="53" s="1"/>
  <c r="K97" i="53"/>
  <c r="MR192" i="69"/>
  <c r="N51" i="53" s="1"/>
  <c r="K51" i="53"/>
  <c r="MR283" i="69"/>
  <c r="N142" i="53" s="1"/>
  <c r="K142" i="53"/>
  <c r="MR253" i="69"/>
  <c r="N112" i="53" s="1"/>
  <c r="K112" i="53"/>
  <c r="MR223" i="69"/>
  <c r="N82" i="53" s="1"/>
  <c r="K82" i="53"/>
  <c r="MR282" i="69"/>
  <c r="N141" i="53" s="1"/>
  <c r="K141" i="53"/>
  <c r="MS286" i="69"/>
  <c r="O145" i="53" s="1"/>
  <c r="L145" i="53"/>
  <c r="MS240" i="69"/>
  <c r="O99" i="53" s="1"/>
  <c r="L99" i="53"/>
  <c r="MS194" i="69"/>
  <c r="O53" i="53" s="1"/>
  <c r="L53" i="53"/>
  <c r="MS285" i="69"/>
  <c r="O144" i="53" s="1"/>
  <c r="L144" i="53"/>
  <c r="MS255" i="69"/>
  <c r="O114" i="53" s="1"/>
  <c r="L114" i="53"/>
  <c r="MS225" i="69"/>
  <c r="O84" i="53" s="1"/>
  <c r="L84" i="53"/>
  <c r="MS195" i="69"/>
  <c r="O54" i="53" s="1"/>
  <c r="L54" i="53"/>
  <c r="MQ204" i="69"/>
  <c r="M63" i="53" s="1"/>
  <c r="J63" i="53"/>
  <c r="MQ279" i="69"/>
  <c r="M138" i="53" s="1"/>
  <c r="J138" i="53"/>
  <c r="MQ249" i="69"/>
  <c r="M108" i="53" s="1"/>
  <c r="J108" i="53"/>
  <c r="MQ203" i="69"/>
  <c r="M62" i="53" s="1"/>
  <c r="J62" i="53"/>
  <c r="MQ262" i="69"/>
  <c r="M121" i="53" s="1"/>
  <c r="J121" i="53"/>
  <c r="MQ216" i="69"/>
  <c r="M75" i="53" s="1"/>
  <c r="J75" i="53"/>
  <c r="MQ218" i="69"/>
  <c r="M77" i="53" s="1"/>
  <c r="J77" i="53"/>
  <c r="MR222" i="69"/>
  <c r="N81" i="53" s="1"/>
  <c r="K81" i="53"/>
  <c r="MR281" i="69"/>
  <c r="N140" i="53" s="1"/>
  <c r="K140" i="53"/>
  <c r="MR267" i="69"/>
  <c r="N126" i="53" s="1"/>
  <c r="K126" i="53"/>
  <c r="MR237" i="69"/>
  <c r="N96" i="53" s="1"/>
  <c r="K96" i="53"/>
  <c r="MR207" i="69"/>
  <c r="N66" i="53" s="1"/>
  <c r="K66" i="53"/>
  <c r="MR266" i="69"/>
  <c r="N125" i="53" s="1"/>
  <c r="K125" i="53"/>
  <c r="MS270" i="69"/>
  <c r="O129" i="53" s="1"/>
  <c r="L129" i="53"/>
  <c r="MS224" i="69"/>
  <c r="O83" i="53" s="1"/>
  <c r="L83" i="53"/>
  <c r="MS283" i="69"/>
  <c r="O142" i="53" s="1"/>
  <c r="L142" i="53"/>
  <c r="MS269" i="69"/>
  <c r="O128" i="53" s="1"/>
  <c r="L128" i="53"/>
  <c r="MS239" i="69"/>
  <c r="O98" i="53" s="1"/>
  <c r="L98" i="53"/>
  <c r="MS209" i="69"/>
  <c r="O68" i="53" s="1"/>
  <c r="L68" i="53"/>
  <c r="MS284" i="69"/>
  <c r="O143" i="53" s="1"/>
  <c r="L143" i="53"/>
  <c r="MQ259" i="69"/>
  <c r="M118" i="53" s="1"/>
  <c r="J118" i="53"/>
  <c r="MQ263" i="69"/>
  <c r="M122" i="53" s="1"/>
  <c r="J122" i="53"/>
  <c r="MQ233" i="69"/>
  <c r="M92" i="53" s="1"/>
  <c r="J92" i="53"/>
  <c r="MQ292" i="69"/>
  <c r="M151" i="53" s="1"/>
  <c r="J151" i="53"/>
  <c r="MQ246" i="69"/>
  <c r="M105" i="53" s="1"/>
  <c r="J105" i="53"/>
  <c r="MQ200" i="69"/>
  <c r="M59" i="53" s="1"/>
  <c r="J59" i="53"/>
  <c r="MQ202" i="69"/>
  <c r="M61" i="53" s="1"/>
  <c r="J61" i="53"/>
  <c r="MR206" i="69"/>
  <c r="N65" i="53" s="1"/>
  <c r="K65" i="53"/>
  <c r="MR265" i="69"/>
  <c r="N124" i="53" s="1"/>
  <c r="K124" i="53"/>
  <c r="MR251" i="69"/>
  <c r="N110" i="53" s="1"/>
  <c r="K110" i="53"/>
  <c r="MR221" i="69"/>
  <c r="N80" i="53" s="1"/>
  <c r="K80" i="53"/>
  <c r="MR191" i="69"/>
  <c r="N50" i="53" s="1"/>
  <c r="K50" i="53"/>
  <c r="MR250" i="69"/>
  <c r="N109" i="53" s="1"/>
  <c r="K109" i="53"/>
  <c r="MS254" i="69"/>
  <c r="O113" i="53" s="1"/>
  <c r="L113" i="53"/>
  <c r="MS208" i="69"/>
  <c r="O67" i="53" s="1"/>
  <c r="L67" i="53"/>
  <c r="MS267" i="69"/>
  <c r="O126" i="53" s="1"/>
  <c r="L126" i="53"/>
  <c r="MS253" i="69"/>
  <c r="O112" i="53" s="1"/>
  <c r="L112" i="53"/>
  <c r="MS223" i="69"/>
  <c r="O82" i="53" s="1"/>
  <c r="L82" i="53"/>
  <c r="MS193" i="69"/>
  <c r="O52" i="53" s="1"/>
  <c r="L52" i="53"/>
  <c r="MS268" i="69"/>
  <c r="O127" i="53" s="1"/>
  <c r="L127" i="53"/>
  <c r="MQ277" i="69"/>
  <c r="M136" i="53" s="1"/>
  <c r="J136" i="53"/>
  <c r="MQ247" i="69"/>
  <c r="M106" i="53" s="1"/>
  <c r="J106" i="53"/>
  <c r="MQ217" i="69"/>
  <c r="M76" i="53" s="1"/>
  <c r="J76" i="53"/>
  <c r="MQ276" i="69"/>
  <c r="M135" i="53" s="1"/>
  <c r="J135" i="53"/>
  <c r="MQ230" i="69"/>
  <c r="M89" i="53" s="1"/>
  <c r="J89" i="53"/>
  <c r="MQ291" i="69"/>
  <c r="M150" i="53" s="1"/>
  <c r="J150" i="53"/>
  <c r="MR188" i="69"/>
  <c r="N47" i="53" s="1"/>
  <c r="K47" i="53"/>
  <c r="MR190" i="69"/>
  <c r="N49" i="53" s="1"/>
  <c r="K49" i="53"/>
  <c r="MR249" i="69"/>
  <c r="N108" i="53" s="1"/>
  <c r="K108" i="53"/>
  <c r="MR235" i="69"/>
  <c r="N94" i="53" s="1"/>
  <c r="K94" i="53"/>
  <c r="MR205" i="69"/>
  <c r="N64" i="53" s="1"/>
  <c r="K64" i="53"/>
  <c r="MR280" i="69"/>
  <c r="N139" i="53" s="1"/>
  <c r="K139" i="53"/>
  <c r="MR234" i="69"/>
  <c r="N93" i="53" s="1"/>
  <c r="K93" i="53"/>
  <c r="MS238" i="69"/>
  <c r="O97" i="53" s="1"/>
  <c r="L97" i="53"/>
  <c r="MS192" i="69"/>
  <c r="O51" i="53" s="1"/>
  <c r="L51" i="53"/>
  <c r="MS251" i="69"/>
  <c r="O110" i="53" s="1"/>
  <c r="L110" i="53"/>
  <c r="MS237" i="69"/>
  <c r="O96" i="53" s="1"/>
  <c r="L96" i="53"/>
  <c r="MS207" i="69"/>
  <c r="O66" i="53" s="1"/>
  <c r="L66" i="53"/>
  <c r="MS282" i="69"/>
  <c r="O141" i="53" s="1"/>
  <c r="L141" i="53"/>
  <c r="MS252" i="69"/>
  <c r="O111" i="53" s="1"/>
  <c r="L111" i="53"/>
  <c r="MQ261" i="69"/>
  <c r="M120" i="53" s="1"/>
  <c r="J120" i="53"/>
  <c r="MQ231" i="69"/>
  <c r="M90" i="53" s="1"/>
  <c r="J90" i="53"/>
  <c r="MQ201" i="69"/>
  <c r="M60" i="53" s="1"/>
  <c r="J60" i="53"/>
  <c r="MQ260" i="69"/>
  <c r="M119" i="53" s="1"/>
  <c r="J119" i="53"/>
  <c r="MQ214" i="69"/>
  <c r="M73" i="53" s="1"/>
  <c r="J73" i="53"/>
  <c r="MQ275" i="69"/>
  <c r="M134" i="53" s="1"/>
  <c r="J134" i="53"/>
  <c r="MR187" i="69"/>
  <c r="N46" i="53" s="1"/>
  <c r="K46" i="53"/>
  <c r="MR279" i="69"/>
  <c r="N138" i="53" s="1"/>
  <c r="K138" i="53"/>
  <c r="MR233" i="69"/>
  <c r="N92" i="53" s="1"/>
  <c r="K92" i="53"/>
  <c r="MR219" i="69"/>
  <c r="N78" i="53" s="1"/>
  <c r="K78" i="53"/>
  <c r="MR189" i="69"/>
  <c r="N48" i="53" s="1"/>
  <c r="K48" i="53"/>
  <c r="MR264" i="69"/>
  <c r="N123" i="53" s="1"/>
  <c r="K123" i="53"/>
  <c r="MR218" i="69"/>
  <c r="N77" i="53" s="1"/>
  <c r="K77" i="53"/>
  <c r="MS222" i="69"/>
  <c r="O81" i="53" s="1"/>
  <c r="L81" i="53"/>
  <c r="MS281" i="69"/>
  <c r="O140" i="53" s="1"/>
  <c r="L140" i="53"/>
  <c r="MS235" i="69"/>
  <c r="O94" i="53" s="1"/>
  <c r="L94" i="53"/>
  <c r="MS221" i="69"/>
  <c r="O80" i="53" s="1"/>
  <c r="L80" i="53"/>
  <c r="MS191" i="69"/>
  <c r="O50" i="53" s="1"/>
  <c r="L50" i="53"/>
  <c r="MS266" i="69"/>
  <c r="O125" i="53" s="1"/>
  <c r="L125" i="53"/>
  <c r="MS236" i="69"/>
  <c r="O95" i="53" s="1"/>
  <c r="L95" i="53"/>
  <c r="MQ245" i="69"/>
  <c r="M104" i="53" s="1"/>
  <c r="J104" i="53"/>
  <c r="MQ215" i="69"/>
  <c r="M74" i="53" s="1"/>
  <c r="J74" i="53"/>
  <c r="MQ290" i="69"/>
  <c r="M149" i="53" s="1"/>
  <c r="J149" i="53"/>
  <c r="MQ244" i="69"/>
  <c r="M103" i="53" s="1"/>
  <c r="J103" i="53"/>
  <c r="MQ198" i="69"/>
  <c r="M57" i="53" s="1"/>
  <c r="J57" i="53"/>
  <c r="MQ289" i="69"/>
  <c r="M148" i="53" s="1"/>
  <c r="J148" i="53"/>
  <c r="MR186" i="69"/>
  <c r="N45" i="53" s="1"/>
  <c r="K45" i="53"/>
  <c r="MR263" i="69"/>
  <c r="N122" i="53" s="1"/>
  <c r="K122" i="53"/>
  <c r="MR217" i="69"/>
  <c r="N76" i="53" s="1"/>
  <c r="K76" i="53"/>
  <c r="MR203" i="69"/>
  <c r="N62" i="53" s="1"/>
  <c r="K62" i="53"/>
  <c r="MR220" i="69"/>
  <c r="N79" i="53" s="1"/>
  <c r="K79" i="53"/>
  <c r="MR248" i="69"/>
  <c r="N107" i="53" s="1"/>
  <c r="K107" i="53"/>
  <c r="MR202" i="69"/>
  <c r="N61" i="53" s="1"/>
  <c r="K61" i="53"/>
  <c r="MS206" i="69"/>
  <c r="O65" i="53" s="1"/>
  <c r="L65" i="53"/>
  <c r="MS265" i="69"/>
  <c r="O124" i="53" s="1"/>
  <c r="L124" i="53"/>
  <c r="MS219" i="69"/>
  <c r="O78" i="53" s="1"/>
  <c r="L78" i="53"/>
  <c r="MS205" i="69"/>
  <c r="O64" i="53" s="1"/>
  <c r="L64" i="53"/>
  <c r="MS213" i="69"/>
  <c r="O72" i="53" s="1"/>
  <c r="L72" i="53"/>
  <c r="MS250" i="69"/>
  <c r="O109" i="53" s="1"/>
  <c r="L109" i="53"/>
  <c r="MS220" i="69"/>
  <c r="O79" i="53" s="1"/>
  <c r="L79" i="53"/>
  <c r="MQ229" i="69"/>
  <c r="M88" i="53" s="1"/>
  <c r="J88" i="53"/>
  <c r="MQ199" i="69"/>
  <c r="M58" i="53" s="1"/>
  <c r="J58" i="53"/>
  <c r="MQ274" i="69"/>
  <c r="M133" i="53" s="1"/>
  <c r="J133" i="53"/>
  <c r="MQ228" i="69"/>
  <c r="M87" i="53" s="1"/>
  <c r="J87" i="53"/>
  <c r="MQ287" i="69"/>
  <c r="M146" i="53" s="1"/>
  <c r="J146" i="53"/>
  <c r="MQ273" i="69"/>
  <c r="M132" i="53" s="1"/>
  <c r="J132" i="53"/>
  <c r="MR277" i="69"/>
  <c r="N136" i="53" s="1"/>
  <c r="K136" i="53"/>
  <c r="MR247" i="69"/>
  <c r="N106" i="53" s="1"/>
  <c r="K106" i="53"/>
  <c r="MR201" i="69"/>
  <c r="N60" i="53" s="1"/>
  <c r="K60" i="53"/>
  <c r="MR292" i="69"/>
  <c r="N151" i="53" s="1"/>
  <c r="K151" i="53"/>
  <c r="MR278" i="69"/>
  <c r="N137" i="53" s="1"/>
  <c r="K137" i="53"/>
  <c r="MR232" i="69"/>
  <c r="N91" i="53" s="1"/>
  <c r="K91" i="53"/>
  <c r="MR236" i="69"/>
  <c r="N95" i="53" s="1"/>
  <c r="K95" i="53"/>
  <c r="MS190" i="69"/>
  <c r="O49" i="53" s="1"/>
  <c r="L49" i="53"/>
  <c r="MS249" i="69"/>
  <c r="O108" i="53" s="1"/>
  <c r="L108" i="53"/>
  <c r="MS203" i="69"/>
  <c r="O62" i="53" s="1"/>
  <c r="L62" i="53"/>
  <c r="MS189" i="69"/>
  <c r="O48" i="53" s="1"/>
  <c r="L48" i="53"/>
  <c r="MS280" i="69"/>
  <c r="O139" i="53" s="1"/>
  <c r="L139" i="53"/>
  <c r="MS234" i="69"/>
  <c r="O93" i="53" s="1"/>
  <c r="L93" i="53"/>
  <c r="MS204" i="69"/>
  <c r="O63" i="53" s="1"/>
  <c r="L63" i="53"/>
  <c r="MQ213" i="69"/>
  <c r="M72" i="53" s="1"/>
  <c r="J72" i="53"/>
  <c r="MQ243" i="69"/>
  <c r="M102" i="53" s="1"/>
  <c r="J102" i="53"/>
  <c r="MQ258" i="69"/>
  <c r="M117" i="53" s="1"/>
  <c r="J117" i="53"/>
  <c r="MQ212" i="69"/>
  <c r="M71" i="53" s="1"/>
  <c r="J71" i="53"/>
  <c r="MQ271" i="69"/>
  <c r="M130" i="53" s="1"/>
  <c r="J130" i="53"/>
  <c r="MQ257" i="69"/>
  <c r="M116" i="53" s="1"/>
  <c r="J116" i="53"/>
  <c r="MR261" i="69"/>
  <c r="N120" i="53" s="1"/>
  <c r="K120" i="53"/>
  <c r="MR231" i="69"/>
  <c r="N90" i="53" s="1"/>
  <c r="K90" i="53"/>
  <c r="MR204" i="69"/>
  <c r="N63" i="53" s="1"/>
  <c r="K63" i="53"/>
  <c r="MR276" i="69"/>
  <c r="N135" i="53" s="1"/>
  <c r="K135" i="53"/>
  <c r="MR262" i="69"/>
  <c r="N121" i="53" s="1"/>
  <c r="K121" i="53"/>
  <c r="MR216" i="69"/>
  <c r="N75" i="53" s="1"/>
  <c r="K75" i="53"/>
  <c r="MR291" i="69"/>
  <c r="N150" i="53" s="1"/>
  <c r="K150" i="53"/>
  <c r="MS279" i="69"/>
  <c r="O138" i="53" s="1"/>
  <c r="L138" i="53"/>
  <c r="MS233" i="69"/>
  <c r="O92" i="53" s="1"/>
  <c r="L92" i="53"/>
  <c r="MS245" i="69"/>
  <c r="O104" i="53" s="1"/>
  <c r="L104" i="53"/>
  <c r="MS229" i="69"/>
  <c r="O88" i="53" s="1"/>
  <c r="L88" i="53"/>
  <c r="MS264" i="69"/>
  <c r="O123" i="53" s="1"/>
  <c r="L123" i="53"/>
  <c r="MS218" i="69"/>
  <c r="O77" i="53" s="1"/>
  <c r="L77" i="53"/>
  <c r="MQ188" i="69"/>
  <c r="M47" i="53" s="1"/>
  <c r="J47" i="53"/>
  <c r="MQ197" i="69"/>
  <c r="M56" i="53" s="1"/>
  <c r="J56" i="53"/>
  <c r="AR56" i="53" s="1"/>
  <c r="MQ288" i="69"/>
  <c r="M147" i="53" s="1"/>
  <c r="J147" i="53"/>
  <c r="MQ242" i="69"/>
  <c r="M101" i="53" s="1"/>
  <c r="J101" i="53"/>
  <c r="MQ196" i="69"/>
  <c r="M55" i="53" s="1"/>
  <c r="J55" i="53"/>
  <c r="MQ255" i="69"/>
  <c r="M114" i="53" s="1"/>
  <c r="J114" i="53"/>
  <c r="MQ241" i="69"/>
  <c r="M100" i="53" s="1"/>
  <c r="J100" i="53"/>
  <c r="MR245" i="69"/>
  <c r="N104" i="53" s="1"/>
  <c r="K104" i="53"/>
  <c r="MR215" i="69"/>
  <c r="N74" i="53" s="1"/>
  <c r="K74" i="53"/>
  <c r="MR290" i="69"/>
  <c r="N149" i="53" s="1"/>
  <c r="K149" i="53"/>
  <c r="MR260" i="69"/>
  <c r="N119" i="53" s="1"/>
  <c r="K119" i="53"/>
  <c r="MR246" i="69"/>
  <c r="N105" i="53" s="1"/>
  <c r="K105" i="53"/>
  <c r="MR200" i="69"/>
  <c r="N59" i="53" s="1"/>
  <c r="K59" i="53"/>
  <c r="MR275" i="69"/>
  <c r="N134" i="53" s="1"/>
  <c r="K134" i="53"/>
  <c r="MS263" i="69"/>
  <c r="O122" i="53" s="1"/>
  <c r="L122" i="53"/>
  <c r="MS217" i="69"/>
  <c r="O76" i="53" s="1"/>
  <c r="L76" i="53"/>
  <c r="MS292" i="69"/>
  <c r="O151" i="53" s="1"/>
  <c r="L151" i="53"/>
  <c r="MS278" i="69"/>
  <c r="O137" i="53" s="1"/>
  <c r="L137" i="53"/>
  <c r="MS248" i="69"/>
  <c r="O107" i="53" s="1"/>
  <c r="L107" i="53"/>
  <c r="MS202" i="69"/>
  <c r="O61" i="53" s="1"/>
  <c r="L61" i="53"/>
  <c r="MQ187" i="69"/>
  <c r="M46" i="53" s="1"/>
  <c r="J46" i="53"/>
  <c r="MQ286" i="69"/>
  <c r="M145" i="53" s="1"/>
  <c r="J145" i="53"/>
  <c r="MQ272" i="69"/>
  <c r="M131" i="53" s="1"/>
  <c r="J131" i="53"/>
  <c r="MQ226" i="69"/>
  <c r="M85" i="53" s="1"/>
  <c r="J85" i="53"/>
  <c r="MQ285" i="69"/>
  <c r="M144" i="53" s="1"/>
  <c r="J144" i="53"/>
  <c r="MQ239" i="69"/>
  <c r="M98" i="53" s="1"/>
  <c r="J98" i="53"/>
  <c r="MQ225" i="69"/>
  <c r="M84" i="53" s="1"/>
  <c r="J84" i="53"/>
  <c r="MR229" i="69"/>
  <c r="N88" i="53" s="1"/>
  <c r="K88" i="53"/>
  <c r="MR199" i="69"/>
  <c r="N58" i="53" s="1"/>
  <c r="K58" i="53"/>
  <c r="MR274" i="69"/>
  <c r="N133" i="53" s="1"/>
  <c r="K133" i="53"/>
  <c r="MR244" i="69"/>
  <c r="N103" i="53" s="1"/>
  <c r="K103" i="53"/>
  <c r="MR230" i="69"/>
  <c r="N89" i="53" s="1"/>
  <c r="K89" i="53"/>
  <c r="MR289" i="69"/>
  <c r="N148" i="53" s="1"/>
  <c r="K148" i="53"/>
  <c r="MR259" i="69"/>
  <c r="N118" i="53" s="1"/>
  <c r="K118" i="53"/>
  <c r="MS247" i="69"/>
  <c r="O106" i="53" s="1"/>
  <c r="L106" i="53"/>
  <c r="MS201" i="69"/>
  <c r="O60" i="53" s="1"/>
  <c r="L60" i="53"/>
  <c r="MS276" i="69"/>
  <c r="O135" i="53" s="1"/>
  <c r="L135" i="53"/>
  <c r="MS262" i="69"/>
  <c r="O121" i="53" s="1"/>
  <c r="L121" i="53"/>
  <c r="MS232" i="69"/>
  <c r="O91" i="53" s="1"/>
  <c r="L91" i="53"/>
  <c r="MS261" i="69"/>
  <c r="O120" i="53" s="1"/>
  <c r="L120" i="53"/>
  <c r="MQ186" i="69"/>
  <c r="M45" i="53" s="1"/>
  <c r="J45" i="53"/>
  <c r="MQ270" i="69"/>
  <c r="M129" i="53" s="1"/>
  <c r="J129" i="53"/>
  <c r="MQ256" i="69"/>
  <c r="M115" i="53" s="1"/>
  <c r="J115" i="53"/>
  <c r="MQ210" i="69"/>
  <c r="M69" i="53" s="1"/>
  <c r="J69" i="53"/>
  <c r="MQ269" i="69"/>
  <c r="M128" i="53" s="1"/>
  <c r="J128" i="53"/>
  <c r="MQ223" i="69"/>
  <c r="M82" i="53" s="1"/>
  <c r="J82" i="53"/>
  <c r="MQ209" i="69"/>
  <c r="M68" i="53" s="1"/>
  <c r="J68" i="53"/>
  <c r="MR213" i="69"/>
  <c r="N72" i="53" s="1"/>
  <c r="K72" i="53"/>
  <c r="MR288" i="69"/>
  <c r="N147" i="53" s="1"/>
  <c r="K147" i="53"/>
  <c r="MR258" i="69"/>
  <c r="N117" i="53" s="1"/>
  <c r="K117" i="53"/>
  <c r="MR228" i="69"/>
  <c r="N87" i="53" s="1"/>
  <c r="K87" i="53"/>
  <c r="MR214" i="69"/>
  <c r="N73" i="53" s="1"/>
  <c r="K73" i="53"/>
  <c r="MR273" i="69"/>
  <c r="N132" i="53" s="1"/>
  <c r="K132" i="53"/>
  <c r="MR243" i="69"/>
  <c r="N102" i="53" s="1"/>
  <c r="K102" i="53"/>
  <c r="MS231" i="69"/>
  <c r="O90" i="53" s="1"/>
  <c r="L90" i="53"/>
  <c r="MS290" i="69"/>
  <c r="O149" i="53" s="1"/>
  <c r="L149" i="53"/>
  <c r="MS260" i="69"/>
  <c r="O119" i="53" s="1"/>
  <c r="L119" i="53"/>
  <c r="MS246" i="69"/>
  <c r="O105" i="53" s="1"/>
  <c r="L105" i="53"/>
  <c r="MS216" i="69"/>
  <c r="O75" i="53" s="1"/>
  <c r="L75" i="53"/>
  <c r="MS291" i="69"/>
  <c r="O150" i="53" s="1"/>
  <c r="L150" i="53"/>
  <c r="MQ227" i="69"/>
  <c r="M86" i="53" s="1"/>
  <c r="J86" i="53"/>
  <c r="MQ254" i="69"/>
  <c r="M113" i="53" s="1"/>
  <c r="J113" i="53"/>
  <c r="MQ240" i="69"/>
  <c r="M99" i="53" s="1"/>
  <c r="J99" i="53"/>
  <c r="MQ194" i="69"/>
  <c r="M53" i="53" s="1"/>
  <c r="J53" i="53"/>
  <c r="MQ253" i="69"/>
  <c r="M112" i="53" s="1"/>
  <c r="J112" i="53"/>
  <c r="MQ207" i="69"/>
  <c r="M66" i="53" s="1"/>
  <c r="J66" i="53"/>
  <c r="MQ193" i="69"/>
  <c r="M52" i="53" s="1"/>
  <c r="J52" i="53"/>
  <c r="MR197" i="69"/>
  <c r="N56" i="53" s="1"/>
  <c r="K56" i="53"/>
  <c r="AS56" i="53" s="1"/>
  <c r="MR272" i="69"/>
  <c r="N131" i="53" s="1"/>
  <c r="K131" i="53"/>
  <c r="MR242" i="69"/>
  <c r="N101" i="53" s="1"/>
  <c r="K101" i="53"/>
  <c r="MR212" i="69"/>
  <c r="N71" i="53" s="1"/>
  <c r="K71" i="53"/>
  <c r="MR198" i="69"/>
  <c r="N57" i="53" s="1"/>
  <c r="K57" i="53"/>
  <c r="MR257" i="69"/>
  <c r="N116" i="53" s="1"/>
  <c r="K116" i="53"/>
  <c r="MR227" i="69"/>
  <c r="N86" i="53" s="1"/>
  <c r="K86" i="53"/>
  <c r="MS215" i="69"/>
  <c r="O74" i="53" s="1"/>
  <c r="L74" i="53"/>
  <c r="MS274" i="69"/>
  <c r="O133" i="53" s="1"/>
  <c r="L133" i="53"/>
  <c r="MS244" i="69"/>
  <c r="O103" i="53" s="1"/>
  <c r="L103" i="53"/>
  <c r="MS230" i="69"/>
  <c r="O89" i="53" s="1"/>
  <c r="L89" i="53"/>
  <c r="MS200" i="69"/>
  <c r="O59" i="53" s="1"/>
  <c r="L59" i="53"/>
  <c r="MS275" i="69"/>
  <c r="O134" i="53" s="1"/>
  <c r="L134" i="53"/>
  <c r="MQ284" i="69"/>
  <c r="M143" i="53" s="1"/>
  <c r="J143" i="53"/>
  <c r="MQ238" i="69"/>
  <c r="M97" i="53" s="1"/>
  <c r="J97" i="53"/>
  <c r="MQ224" i="69"/>
  <c r="M83" i="53" s="1"/>
  <c r="J83" i="53"/>
  <c r="MQ283" i="69"/>
  <c r="M142" i="53" s="1"/>
  <c r="J142" i="53"/>
  <c r="MQ237" i="69"/>
  <c r="M96" i="53" s="1"/>
  <c r="J96" i="53"/>
  <c r="MQ191" i="69"/>
  <c r="M50" i="53" s="1"/>
  <c r="J50" i="53"/>
  <c r="MQ211" i="69"/>
  <c r="M70" i="53" s="1"/>
  <c r="J70" i="53"/>
  <c r="MR284" i="69"/>
  <c r="N143" i="53" s="1"/>
  <c r="K143" i="53"/>
  <c r="MR256" i="69"/>
  <c r="N115" i="53" s="1"/>
  <c r="K115" i="53"/>
  <c r="MR226" i="69"/>
  <c r="N85" i="53" s="1"/>
  <c r="K85" i="53"/>
  <c r="MR196" i="69"/>
  <c r="N55" i="53" s="1"/>
  <c r="K55" i="53"/>
  <c r="MR287" i="69"/>
  <c r="N146" i="53" s="1"/>
  <c r="K146" i="53"/>
  <c r="MR241" i="69"/>
  <c r="N100" i="53" s="1"/>
  <c r="K100" i="53"/>
  <c r="MR211" i="69"/>
  <c r="N70" i="53" s="1"/>
  <c r="K70" i="53"/>
  <c r="MS188" i="69"/>
  <c r="O47" i="53" s="1"/>
  <c r="L47" i="53"/>
  <c r="MS199" i="69"/>
  <c r="O58" i="53" s="1"/>
  <c r="L58" i="53"/>
  <c r="MS258" i="69"/>
  <c r="O117" i="53" s="1"/>
  <c r="L117" i="53"/>
  <c r="MS228" i="69"/>
  <c r="O87" i="53" s="1"/>
  <c r="L87" i="53"/>
  <c r="MS214" i="69"/>
  <c r="O73" i="53" s="1"/>
  <c r="L73" i="53"/>
  <c r="MS289" i="69"/>
  <c r="O148" i="53" s="1"/>
  <c r="L148" i="53"/>
  <c r="MS259" i="69"/>
  <c r="O118" i="53" s="1"/>
  <c r="L118" i="53"/>
  <c r="MQ268" i="69"/>
  <c r="M127" i="53" s="1"/>
  <c r="J127" i="53"/>
  <c r="MQ222" i="69"/>
  <c r="M81" i="53" s="1"/>
  <c r="J81" i="53"/>
  <c r="MQ208" i="69"/>
  <c r="M67" i="53" s="1"/>
  <c r="J67" i="53"/>
  <c r="MQ267" i="69"/>
  <c r="M126" i="53" s="1"/>
  <c r="J126" i="53"/>
  <c r="MQ221" i="69"/>
  <c r="M80" i="53" s="1"/>
  <c r="J80" i="53"/>
  <c r="MQ280" i="69"/>
  <c r="M139" i="53" s="1"/>
  <c r="J139" i="53"/>
  <c r="MQ282" i="69"/>
  <c r="M141" i="53" s="1"/>
  <c r="J141" i="53"/>
  <c r="MR286" i="69"/>
  <c r="N145" i="53" s="1"/>
  <c r="K145" i="53"/>
  <c r="MR240" i="69"/>
  <c r="N99" i="53" s="1"/>
  <c r="K99" i="53"/>
  <c r="MR210" i="69"/>
  <c r="N69" i="53" s="1"/>
  <c r="K69" i="53"/>
  <c r="MR252" i="69"/>
  <c r="N111" i="53" s="1"/>
  <c r="K111" i="53"/>
  <c r="MR271" i="69"/>
  <c r="N130" i="53" s="1"/>
  <c r="K130" i="53"/>
  <c r="MR225" i="69"/>
  <c r="N84" i="53" s="1"/>
  <c r="K84" i="53"/>
  <c r="MR195" i="69"/>
  <c r="N54" i="53" s="1"/>
  <c r="K54" i="53"/>
  <c r="MS185" i="69"/>
  <c r="MP293" i="69"/>
  <c r="MQ185" i="69"/>
  <c r="MN293" i="69"/>
  <c r="MR185" i="69"/>
  <c r="MO293" i="69"/>
  <c r="P194" i="69"/>
  <c r="P189" i="69"/>
  <c r="P195" i="69"/>
  <c r="P192" i="69"/>
  <c r="P190" i="69"/>
  <c r="P193" i="69"/>
  <c r="P196" i="69"/>
  <c r="P191" i="69"/>
  <c r="O193" i="69"/>
  <c r="Q189" i="69"/>
  <c r="O192" i="69"/>
  <c r="Q196" i="69"/>
  <c r="O190" i="69"/>
  <c r="Q193" i="69"/>
  <c r="O194" i="69"/>
  <c r="Q195" i="69"/>
  <c r="O195" i="69"/>
  <c r="Q190" i="69"/>
  <c r="O196" i="69"/>
  <c r="Q191" i="69"/>
  <c r="O191" i="69"/>
  <c r="Q194" i="69"/>
  <c r="O189" i="69"/>
  <c r="Q192" i="69"/>
  <c r="O288" i="69"/>
  <c r="P290" i="69"/>
  <c r="Q282" i="69"/>
  <c r="O278" i="69"/>
  <c r="P288" i="69"/>
  <c r="Q291" i="69"/>
  <c r="O287" i="69"/>
  <c r="P280" i="69"/>
  <c r="Q283" i="69"/>
  <c r="P282" i="69"/>
  <c r="O286" i="69"/>
  <c r="P279" i="69"/>
  <c r="Q281" i="69"/>
  <c r="O279" i="69"/>
  <c r="P286" i="69"/>
  <c r="Q289" i="69"/>
  <c r="O289" i="69"/>
  <c r="P283" i="69"/>
  <c r="Q278" i="69"/>
  <c r="O281" i="69"/>
  <c r="P278" i="69"/>
  <c r="Q292" i="69"/>
  <c r="O292" i="69"/>
  <c r="P291" i="69"/>
  <c r="Q284" i="69"/>
  <c r="O284" i="69"/>
  <c r="P287" i="69"/>
  <c r="Q287" i="69"/>
  <c r="Q290" i="69"/>
  <c r="O283" i="69"/>
  <c r="P289" i="69"/>
  <c r="Q279" i="69"/>
  <c r="O290" i="69"/>
  <c r="P281" i="69"/>
  <c r="Q286" i="69"/>
  <c r="O280" i="69"/>
  <c r="O282" i="69"/>
  <c r="P292" i="69"/>
  <c r="Q285" i="69"/>
  <c r="O291" i="69"/>
  <c r="P284" i="69"/>
  <c r="Q277" i="69"/>
  <c r="O285" i="69"/>
  <c r="P285" i="69"/>
  <c r="Q288" i="69"/>
  <c r="O277" i="69"/>
  <c r="P277" i="69"/>
  <c r="Q280" i="69"/>
  <c r="O256" i="69"/>
  <c r="P256" i="69"/>
  <c r="Q258" i="69"/>
  <c r="P266" i="69"/>
  <c r="O264" i="69"/>
  <c r="P264" i="69"/>
  <c r="Q266" i="69"/>
  <c r="O254" i="69"/>
  <c r="P258" i="69"/>
  <c r="Q261" i="69"/>
  <c r="O262" i="69"/>
  <c r="P259" i="69"/>
  <c r="Q259" i="69"/>
  <c r="Q253" i="69"/>
  <c r="O255" i="69"/>
  <c r="P255" i="69"/>
  <c r="Q267" i="69"/>
  <c r="O263" i="69"/>
  <c r="P267" i="69"/>
  <c r="Q257" i="69"/>
  <c r="O258" i="69"/>
  <c r="P254" i="69"/>
  <c r="Q265" i="69"/>
  <c r="O259" i="69"/>
  <c r="P263" i="69"/>
  <c r="Q254" i="69"/>
  <c r="O265" i="69"/>
  <c r="P262" i="69"/>
  <c r="Q268" i="69"/>
  <c r="O266" i="69"/>
  <c r="O257" i="69"/>
  <c r="P265" i="69"/>
  <c r="Q260" i="69"/>
  <c r="O268" i="69"/>
  <c r="P257" i="69"/>
  <c r="Q263" i="69"/>
  <c r="O260" i="69"/>
  <c r="P268" i="69"/>
  <c r="Q255" i="69"/>
  <c r="O261" i="69"/>
  <c r="P260" i="69"/>
  <c r="Q262" i="69"/>
  <c r="O253" i="69"/>
  <c r="P261" i="69"/>
  <c r="Q264" i="69"/>
  <c r="O267" i="69"/>
  <c r="P253" i="69"/>
  <c r="Q256" i="69"/>
  <c r="P231" i="69"/>
  <c r="O240" i="69"/>
  <c r="P234" i="69"/>
  <c r="Q234" i="69"/>
  <c r="O231" i="69"/>
  <c r="P232" i="69"/>
  <c r="Q242" i="69"/>
  <c r="O239" i="69"/>
  <c r="P242" i="69"/>
  <c r="Q235" i="69"/>
  <c r="O238" i="69"/>
  <c r="P240" i="69"/>
  <c r="Q243" i="69"/>
  <c r="O232" i="69"/>
  <c r="O230" i="69"/>
  <c r="P235" i="69"/>
  <c r="Q230" i="69"/>
  <c r="O235" i="69"/>
  <c r="P243" i="69"/>
  <c r="Q241" i="69"/>
  <c r="O241" i="69"/>
  <c r="P239" i="69"/>
  <c r="Q233" i="69"/>
  <c r="Q229" i="69"/>
  <c r="O233" i="69"/>
  <c r="P238" i="69"/>
  <c r="Q244" i="69"/>
  <c r="O244" i="69"/>
  <c r="P230" i="69"/>
  <c r="Q236" i="69"/>
  <c r="O236" i="69"/>
  <c r="P241" i="69"/>
  <c r="Q239" i="69"/>
  <c r="O243" i="69"/>
  <c r="P233" i="69"/>
  <c r="Q231" i="69"/>
  <c r="O242" i="69"/>
  <c r="P244" i="69"/>
  <c r="Q238" i="69"/>
  <c r="O234" i="69"/>
  <c r="P236" i="69"/>
  <c r="Q237" i="69"/>
  <c r="O237" i="69"/>
  <c r="P237" i="69"/>
  <c r="Q240" i="69"/>
  <c r="O229" i="69"/>
  <c r="P229" i="69"/>
  <c r="Q232" i="69"/>
  <c r="O207" i="69"/>
  <c r="P218" i="69"/>
  <c r="Q218" i="69"/>
  <c r="O208" i="69"/>
  <c r="P210" i="69"/>
  <c r="Q211" i="69"/>
  <c r="O216" i="69"/>
  <c r="P208" i="69"/>
  <c r="Q210" i="69"/>
  <c r="O215" i="69"/>
  <c r="P219" i="69"/>
  <c r="Q205" i="69"/>
  <c r="O214" i="69"/>
  <c r="P216" i="69"/>
  <c r="Q219" i="69"/>
  <c r="O206" i="69"/>
  <c r="P211" i="69"/>
  <c r="Q217" i="69"/>
  <c r="O217" i="69"/>
  <c r="P214" i="69"/>
  <c r="Q209" i="69"/>
  <c r="O209" i="69"/>
  <c r="P206" i="69"/>
  <c r="Q206" i="69"/>
  <c r="O211" i="69"/>
  <c r="P217" i="69"/>
  <c r="Q220" i="69"/>
  <c r="O220" i="69"/>
  <c r="P209" i="69"/>
  <c r="Q212" i="69"/>
  <c r="O212" i="69"/>
  <c r="P220" i="69"/>
  <c r="Q215" i="69"/>
  <c r="O219" i="69"/>
  <c r="P212" i="69"/>
  <c r="Q207" i="69"/>
  <c r="O218" i="69"/>
  <c r="P215" i="69"/>
  <c r="Q214" i="69"/>
  <c r="O210" i="69"/>
  <c r="P207" i="69"/>
  <c r="Q213" i="69"/>
  <c r="O213" i="69"/>
  <c r="P213" i="69"/>
  <c r="Q216" i="69"/>
  <c r="O205" i="69"/>
  <c r="P205" i="69"/>
  <c r="Q208" i="69"/>
  <c r="AJ44" i="53"/>
  <c r="AE35" i="53" s="1"/>
  <c r="N293" i="69"/>
  <c r="M293" i="69"/>
  <c r="L293" i="69"/>
  <c r="Q385" i="1"/>
  <c r="Z693" i="55" s="1"/>
  <c r="O373" i="1"/>
  <c r="Y681" i="55" s="1"/>
  <c r="O375" i="1"/>
  <c r="Y683" i="55" s="1"/>
  <c r="O377" i="1"/>
  <c r="Y685" i="55" s="1"/>
  <c r="O374" i="1"/>
  <c r="Y682" i="55" s="1"/>
  <c r="P373" i="1"/>
  <c r="AA681" i="55" s="1"/>
  <c r="P375" i="1"/>
  <c r="AA683" i="55" s="1"/>
  <c r="P377" i="1"/>
  <c r="AA685" i="55" s="1"/>
  <c r="P374" i="1"/>
  <c r="AA682" i="55" s="1"/>
  <c r="Q373" i="1"/>
  <c r="Z681" i="55" s="1"/>
  <c r="Q375" i="1"/>
  <c r="Z683" i="55" s="1"/>
  <c r="Q374" i="1"/>
  <c r="Z682" i="55" s="1"/>
  <c r="Q377" i="1"/>
  <c r="Z685" i="55" s="1"/>
  <c r="Q356" i="1"/>
  <c r="Z664" i="55" s="1"/>
  <c r="Q357" i="1"/>
  <c r="Z665" i="55" s="1"/>
  <c r="Q358" i="1"/>
  <c r="Z666" i="55" s="1"/>
  <c r="Q360" i="1"/>
  <c r="Z668" i="55" s="1"/>
  <c r="O357" i="1"/>
  <c r="Y665" i="55" s="1"/>
  <c r="O358" i="1"/>
  <c r="Y666" i="55" s="1"/>
  <c r="O360" i="1"/>
  <c r="Y668" i="55" s="1"/>
  <c r="O356" i="1"/>
  <c r="Y664" i="55" s="1"/>
  <c r="P357" i="1"/>
  <c r="AA665" i="55" s="1"/>
  <c r="P360" i="1"/>
  <c r="AA668" i="55" s="1"/>
  <c r="P358" i="1"/>
  <c r="AA666" i="55" s="1"/>
  <c r="P356" i="1"/>
  <c r="AA664" i="55" s="1"/>
  <c r="P343" i="1"/>
  <c r="AA651" i="55" s="1"/>
  <c r="P340" i="1"/>
  <c r="AA648" i="55" s="1"/>
  <c r="P341" i="1"/>
  <c r="AA649" i="55" s="1"/>
  <c r="P339" i="1"/>
  <c r="AA647" i="55" s="1"/>
  <c r="Q339" i="1"/>
  <c r="Z647" i="55" s="1"/>
  <c r="Q340" i="1"/>
  <c r="Z648" i="55" s="1"/>
  <c r="Q341" i="1"/>
  <c r="Z649" i="55" s="1"/>
  <c r="Q343" i="1"/>
  <c r="Z651" i="55" s="1"/>
  <c r="O339" i="1"/>
  <c r="Y647" i="55" s="1"/>
  <c r="O341" i="1"/>
  <c r="Y649" i="55" s="1"/>
  <c r="O343" i="1"/>
  <c r="Y651" i="55" s="1"/>
  <c r="O340" i="1"/>
  <c r="Y648" i="55" s="1"/>
  <c r="P319" i="1"/>
  <c r="AA627" i="55" s="1"/>
  <c r="P322" i="1"/>
  <c r="AA630" i="55" s="1"/>
  <c r="P326" i="1"/>
  <c r="AA634" i="55" s="1"/>
  <c r="P318" i="1"/>
  <c r="AA626" i="55" s="1"/>
  <c r="O320" i="1"/>
  <c r="Y628" i="55" s="1"/>
  <c r="Q323" i="1"/>
  <c r="Z631" i="55" s="1"/>
  <c r="O319" i="1"/>
  <c r="Y627" i="55" s="1"/>
  <c r="Q319" i="1"/>
  <c r="Z627" i="55" s="1"/>
  <c r="O325" i="1"/>
  <c r="Y633" i="55" s="1"/>
  <c r="Q322" i="1"/>
  <c r="Z630" i="55" s="1"/>
  <c r="O322" i="1"/>
  <c r="Y630" i="55" s="1"/>
  <c r="Q326" i="1"/>
  <c r="Z634" i="55" s="1"/>
  <c r="O326" i="1"/>
  <c r="Y634" i="55" s="1"/>
  <c r="Q320" i="1"/>
  <c r="Z628" i="55" s="1"/>
  <c r="O323" i="1"/>
  <c r="Y631" i="55" s="1"/>
  <c r="Q318" i="1"/>
  <c r="Z626" i="55" s="1"/>
  <c r="O318" i="1"/>
  <c r="Y626" i="55" s="1"/>
  <c r="Q321" i="1"/>
  <c r="Z629" i="55" s="1"/>
  <c r="O321" i="1"/>
  <c r="Y629" i="55" s="1"/>
  <c r="Q325" i="1"/>
  <c r="Z633" i="55" s="1"/>
  <c r="P323" i="1"/>
  <c r="AA631" i="55" s="1"/>
  <c r="P325" i="1"/>
  <c r="AA633" i="55" s="1"/>
  <c r="P320" i="1"/>
  <c r="AA628" i="55" s="1"/>
  <c r="P321" i="1"/>
  <c r="AA629" i="55" s="1"/>
  <c r="O303" i="1"/>
  <c r="Y611" i="55" s="1"/>
  <c r="V611" i="55"/>
  <c r="Q304" i="1"/>
  <c r="Z612" i="55" s="1"/>
  <c r="W612" i="55"/>
  <c r="AI612" i="55" s="1"/>
  <c r="J612" i="55" s="1"/>
  <c r="J453" i="55" s="1"/>
  <c r="O304" i="1"/>
  <c r="Y612" i="55" s="1"/>
  <c r="V612" i="55"/>
  <c r="Q299" i="1"/>
  <c r="Z607" i="55" s="1"/>
  <c r="W607" i="55"/>
  <c r="AI607" i="55" s="1"/>
  <c r="J607" i="55" s="1"/>
  <c r="J448" i="55" s="1"/>
  <c r="O302" i="1"/>
  <c r="Y610" i="55" s="1"/>
  <c r="V610" i="55"/>
  <c r="Q297" i="1"/>
  <c r="Z605" i="55" s="1"/>
  <c r="W605" i="55"/>
  <c r="AI605" i="55" s="1"/>
  <c r="J605" i="55" s="1"/>
  <c r="J446" i="55" s="1"/>
  <c r="O297" i="1"/>
  <c r="Y605" i="55" s="1"/>
  <c r="V605" i="55"/>
  <c r="Q300" i="1"/>
  <c r="Z608" i="55" s="1"/>
  <c r="W608" i="55"/>
  <c r="AI608" i="55" s="1"/>
  <c r="J608" i="55" s="1"/>
  <c r="J449" i="55" s="1"/>
  <c r="P302" i="1"/>
  <c r="AA610" i="55" s="1"/>
  <c r="X610" i="55"/>
  <c r="P300" i="1"/>
  <c r="AA608" i="55" s="1"/>
  <c r="X608" i="55"/>
  <c r="P303" i="1"/>
  <c r="AA611" i="55" s="1"/>
  <c r="X611" i="55"/>
  <c r="P299" i="1"/>
  <c r="AA607" i="55" s="1"/>
  <c r="X607" i="55"/>
  <c r="P298" i="1"/>
  <c r="AA606" i="55" s="1"/>
  <c r="X606" i="55"/>
  <c r="P301" i="1"/>
  <c r="AA609" i="55" s="1"/>
  <c r="X609" i="55"/>
  <c r="P304" i="1"/>
  <c r="AA612" i="55" s="1"/>
  <c r="X612" i="55"/>
  <c r="P297" i="1"/>
  <c r="AA605" i="55" s="1"/>
  <c r="X605" i="55"/>
  <c r="O299" i="1"/>
  <c r="Y607" i="55" s="1"/>
  <c r="V607" i="55"/>
  <c r="Q303" i="1"/>
  <c r="Z611" i="55" s="1"/>
  <c r="W611" i="55"/>
  <c r="AI611" i="55" s="1"/>
  <c r="J611" i="55" s="1"/>
  <c r="J452" i="55" s="1"/>
  <c r="O300" i="1"/>
  <c r="Y608" i="55" s="1"/>
  <c r="V608" i="55"/>
  <c r="Q302" i="1"/>
  <c r="Z610" i="55" s="1"/>
  <c r="W610" i="55"/>
  <c r="AI610" i="55" s="1"/>
  <c r="J610" i="55" s="1"/>
  <c r="J451" i="55" s="1"/>
  <c r="O298" i="1"/>
  <c r="Y606" i="55" s="1"/>
  <c r="V606" i="55"/>
  <c r="Q298" i="1"/>
  <c r="Z606" i="55" s="1"/>
  <c r="W606" i="55"/>
  <c r="AI606" i="55" s="1"/>
  <c r="J606" i="55" s="1"/>
  <c r="J447" i="55" s="1"/>
  <c r="O301" i="1"/>
  <c r="Y609" i="55" s="1"/>
  <c r="V609" i="55"/>
  <c r="Q301" i="1"/>
  <c r="Z609" i="55" s="1"/>
  <c r="W609" i="55"/>
  <c r="AI609" i="55" s="1"/>
  <c r="J609" i="55" s="1"/>
  <c r="J450" i="55" s="1"/>
  <c r="R276" i="1"/>
  <c r="R277" i="1"/>
  <c r="R275" i="1"/>
  <c r="R279" i="1"/>
  <c r="R258" i="1"/>
  <c r="R260" i="1"/>
  <c r="R257" i="1"/>
  <c r="R256" i="1"/>
  <c r="R239" i="1"/>
  <c r="R241" i="1"/>
  <c r="R238" i="1"/>
  <c r="R237" i="1"/>
  <c r="R222" i="1"/>
  <c r="Q248" i="1"/>
  <c r="AH377" i="58" s="1"/>
  <c r="R215" i="1"/>
  <c r="AE377" i="58"/>
  <c r="AL377" i="58" s="1"/>
  <c r="R218" i="1"/>
  <c r="R193" i="1"/>
  <c r="R217" i="1"/>
  <c r="R219" i="1"/>
  <c r="R212" i="1"/>
  <c r="R211" i="1"/>
  <c r="R221" i="1"/>
  <c r="R213" i="1"/>
  <c r="R214" i="1"/>
  <c r="R216" i="1"/>
  <c r="R223" i="1"/>
  <c r="R191" i="1"/>
  <c r="R190" i="1"/>
  <c r="R194" i="1"/>
  <c r="R189" i="1"/>
  <c r="R192" i="1"/>
  <c r="R195" i="1"/>
  <c r="R188" i="1"/>
  <c r="AB301" i="56"/>
  <c r="J301" i="56" s="1"/>
  <c r="Q49" i="63"/>
  <c r="Q97" i="63"/>
  <c r="Q96" i="63"/>
  <c r="Q116" i="63"/>
  <c r="Q81" i="63"/>
  <c r="Q42" i="63"/>
  <c r="Q128" i="63"/>
  <c r="Q129" i="63"/>
  <c r="Q123" i="63"/>
  <c r="Q61" i="63"/>
  <c r="Q106" i="63"/>
  <c r="Q74" i="63"/>
  <c r="Q51" i="63"/>
  <c r="Q58" i="63"/>
  <c r="Q35" i="63"/>
  <c r="Q54" i="63"/>
  <c r="Q87" i="63"/>
  <c r="Q115" i="63"/>
  <c r="Q55" i="63"/>
  <c r="Q83" i="63"/>
  <c r="Q127" i="63"/>
  <c r="Q110" i="63"/>
  <c r="Q64" i="63"/>
  <c r="Q86" i="63"/>
  <c r="Q70" i="63"/>
  <c r="Q41" i="63"/>
  <c r="Q88" i="63"/>
  <c r="Q108" i="63"/>
  <c r="Q105" i="63"/>
  <c r="Q84" i="63"/>
  <c r="Q113" i="63"/>
  <c r="Q103" i="63"/>
  <c r="Q124" i="63"/>
  <c r="Q52" i="63"/>
  <c r="Q77" i="63"/>
  <c r="Q122" i="63"/>
  <c r="Q53" i="63"/>
  <c r="Q98" i="63"/>
  <c r="Q68" i="63"/>
  <c r="Q120" i="63"/>
  <c r="Q46" i="63"/>
  <c r="Q79" i="63"/>
  <c r="Q107" i="63"/>
  <c r="Q47" i="63"/>
  <c r="Q75" i="63"/>
  <c r="Q126" i="63"/>
  <c r="Q102" i="63"/>
  <c r="Q56" i="63"/>
  <c r="Q40" i="63"/>
  <c r="Q121" i="63"/>
  <c r="Q65" i="63"/>
  <c r="Q73" i="63"/>
  <c r="Q112" i="63"/>
  <c r="Q80" i="63"/>
  <c r="Q100" i="63"/>
  <c r="Q62" i="63"/>
  <c r="Q44" i="63"/>
  <c r="Q93" i="63"/>
  <c r="Q132" i="63"/>
  <c r="Q101" i="63"/>
  <c r="Q45" i="63"/>
  <c r="Q90" i="63"/>
  <c r="Q67" i="63"/>
  <c r="Q130" i="63"/>
  <c r="Q66" i="63"/>
  <c r="Q43" i="63"/>
  <c r="Q85" i="63"/>
  <c r="Q50" i="63"/>
  <c r="Q38" i="63"/>
  <c r="Q71" i="63"/>
  <c r="Q99" i="63"/>
  <c r="Q39" i="63"/>
  <c r="Q94" i="63"/>
  <c r="Q78" i="63"/>
  <c r="Q57" i="63"/>
  <c r="Q104" i="63"/>
  <c r="Q89" i="63"/>
  <c r="Q72" i="63"/>
  <c r="Q92" i="63"/>
  <c r="Q76" i="63"/>
  <c r="Q109" i="63"/>
  <c r="Q60" i="63"/>
  <c r="Q118" i="63"/>
  <c r="Q131" i="63"/>
  <c r="Q36" i="63"/>
  <c r="Q69" i="63"/>
  <c r="Q114" i="63"/>
  <c r="Q37" i="63"/>
  <c r="Q82" i="63"/>
  <c r="Q59" i="63"/>
  <c r="Q117" i="63"/>
  <c r="Q111" i="63"/>
  <c r="Q95" i="63"/>
  <c r="Q119" i="63"/>
  <c r="Q63" i="63"/>
  <c r="Q91" i="63"/>
  <c r="Q48" i="63"/>
  <c r="Q125" i="63"/>
  <c r="T110" i="63"/>
  <c r="T126" i="63"/>
  <c r="T131" i="63"/>
  <c r="T114" i="63"/>
  <c r="T121" i="63"/>
  <c r="T112" i="63"/>
  <c r="T55" i="63"/>
  <c r="T87" i="63"/>
  <c r="T104" i="63"/>
  <c r="T65" i="63"/>
  <c r="T127" i="63"/>
  <c r="T47" i="63"/>
  <c r="T129" i="63"/>
  <c r="T42" i="63"/>
  <c r="T111" i="63"/>
  <c r="T45" i="63"/>
  <c r="T40" i="63"/>
  <c r="T83" i="63"/>
  <c r="T57" i="63"/>
  <c r="T80" i="63"/>
  <c r="T118" i="63"/>
  <c r="T69" i="63"/>
  <c r="T101" i="63"/>
  <c r="T84" i="63"/>
  <c r="T52" i="63"/>
  <c r="T106" i="63"/>
  <c r="T72" i="63"/>
  <c r="T38" i="63"/>
  <c r="T119" i="63"/>
  <c r="T99" i="63"/>
  <c r="T56" i="63"/>
  <c r="T124" i="63"/>
  <c r="T97" i="63"/>
  <c r="T54" i="63"/>
  <c r="T100" i="63"/>
  <c r="T36" i="63"/>
  <c r="T132" i="63"/>
  <c r="T81" i="63"/>
  <c r="T115" i="63"/>
  <c r="T61" i="63"/>
  <c r="T76" i="63"/>
  <c r="T102" i="63"/>
  <c r="T117" i="63"/>
  <c r="T41" i="63"/>
  <c r="T103" i="63"/>
  <c r="T92" i="63"/>
  <c r="T79" i="63"/>
  <c r="T89" i="63"/>
  <c r="T59" i="63"/>
  <c r="T116" i="63"/>
  <c r="T39" i="63"/>
  <c r="T82" i="63"/>
  <c r="T75" i="63"/>
  <c r="T62" i="63"/>
  <c r="T125" i="63"/>
  <c r="T50" i="63"/>
  <c r="T98" i="63"/>
  <c r="T128" i="63"/>
  <c r="T78" i="63"/>
  <c r="T49" i="63"/>
  <c r="T85" i="63"/>
  <c r="T93" i="63"/>
  <c r="T35" i="63"/>
  <c r="T123" i="63"/>
  <c r="T105" i="63"/>
  <c r="T86" i="63"/>
  <c r="T60" i="63"/>
  <c r="T43" i="63"/>
  <c r="T44" i="63"/>
  <c r="T58" i="63"/>
  <c r="T94" i="63"/>
  <c r="T108" i="63"/>
  <c r="T95" i="63"/>
  <c r="T37" i="63"/>
  <c r="T109" i="63"/>
  <c r="T66" i="63"/>
  <c r="T46" i="63"/>
  <c r="T53" i="63"/>
  <c r="T70" i="63"/>
  <c r="T96" i="63"/>
  <c r="T88" i="63"/>
  <c r="T130" i="63"/>
  <c r="T120" i="63"/>
  <c r="T122" i="63"/>
  <c r="T71" i="63"/>
  <c r="T63" i="63"/>
  <c r="T67" i="63"/>
  <c r="T107" i="63"/>
  <c r="T64" i="63"/>
  <c r="T51" i="63"/>
  <c r="T113" i="63"/>
  <c r="T48" i="63"/>
  <c r="T91" i="63"/>
  <c r="T73" i="63"/>
  <c r="T90" i="63"/>
  <c r="T68" i="63"/>
  <c r="T77" i="63"/>
  <c r="T74" i="63"/>
  <c r="R32" i="63"/>
  <c r="AD32" i="63" s="1"/>
  <c r="N31" i="65" s="1"/>
  <c r="Q31" i="65" s="1"/>
  <c r="R122" i="63"/>
  <c r="AD122" i="63" s="1"/>
  <c r="N121" i="65" s="1"/>
  <c r="Q121" i="65" s="1"/>
  <c r="R106" i="63"/>
  <c r="AD106" i="63" s="1"/>
  <c r="N105" i="65" s="1"/>
  <c r="Q105" i="65" s="1"/>
  <c r="R57" i="63"/>
  <c r="AD57" i="63" s="1"/>
  <c r="N56" i="65" s="1"/>
  <c r="Q56" i="65" s="1"/>
  <c r="R128" i="63"/>
  <c r="AD128" i="63" s="1"/>
  <c r="N127" i="65" s="1"/>
  <c r="Q127" i="65" s="1"/>
  <c r="R105" i="63"/>
  <c r="AD105" i="63" s="1"/>
  <c r="N104" i="65" s="1"/>
  <c r="Q104" i="65" s="1"/>
  <c r="R86" i="63"/>
  <c r="AD86" i="63" s="1"/>
  <c r="N85" i="65" s="1"/>
  <c r="Q85" i="65" s="1"/>
  <c r="R54" i="63"/>
  <c r="AD54" i="63" s="1"/>
  <c r="N53" i="65" s="1"/>
  <c r="Q53" i="65" s="1"/>
  <c r="R119" i="63"/>
  <c r="AD119" i="63" s="1"/>
  <c r="N118" i="65" s="1"/>
  <c r="Q118" i="65" s="1"/>
  <c r="R53" i="63"/>
  <c r="AD53" i="63" s="1"/>
  <c r="N52" i="65" s="1"/>
  <c r="Q52" i="65" s="1"/>
  <c r="R104" i="63"/>
  <c r="AD104" i="63" s="1"/>
  <c r="N103" i="65" s="1"/>
  <c r="Q103" i="65" s="1"/>
  <c r="R80" i="63"/>
  <c r="AD80" i="63" s="1"/>
  <c r="N79" i="65" s="1"/>
  <c r="Q79" i="65" s="1"/>
  <c r="R102" i="63"/>
  <c r="AD102" i="63" s="1"/>
  <c r="N101" i="65" s="1"/>
  <c r="Q101" i="65" s="1"/>
  <c r="R68" i="63"/>
  <c r="AD68" i="63" s="1"/>
  <c r="N67" i="65" s="1"/>
  <c r="Q67" i="65" s="1"/>
  <c r="R120" i="63"/>
  <c r="AD120" i="63" s="1"/>
  <c r="N119" i="65" s="1"/>
  <c r="Q119" i="65" s="1"/>
  <c r="R36" i="63"/>
  <c r="AD36" i="63" s="1"/>
  <c r="N35" i="65" s="1"/>
  <c r="Q35" i="65" s="1"/>
  <c r="R73" i="63"/>
  <c r="AD73" i="63" s="1"/>
  <c r="N72" i="65" s="1"/>
  <c r="Q72" i="65" s="1"/>
  <c r="R84" i="63"/>
  <c r="AD84" i="63" s="1"/>
  <c r="N83" i="65" s="1"/>
  <c r="Q83" i="65" s="1"/>
  <c r="R98" i="63"/>
  <c r="AD98" i="63" s="1"/>
  <c r="N97" i="65" s="1"/>
  <c r="Q97" i="65" s="1"/>
  <c r="R40" i="63"/>
  <c r="AD40" i="63" s="1"/>
  <c r="N39" i="65" s="1"/>
  <c r="Q39" i="65" s="1"/>
  <c r="R87" i="63"/>
  <c r="AD87" i="63" s="1"/>
  <c r="N86" i="65" s="1"/>
  <c r="Q86" i="65" s="1"/>
  <c r="R109" i="63"/>
  <c r="AD109" i="63" s="1"/>
  <c r="N108" i="65" s="1"/>
  <c r="Q108" i="65" s="1"/>
  <c r="R91" i="63"/>
  <c r="AD91" i="63" s="1"/>
  <c r="N90" i="65" s="1"/>
  <c r="Q90" i="65" s="1"/>
  <c r="R55" i="63"/>
  <c r="AD55" i="63" s="1"/>
  <c r="N54" i="65" s="1"/>
  <c r="Q54" i="65" s="1"/>
  <c r="R118" i="63"/>
  <c r="AD118" i="63" s="1"/>
  <c r="N117" i="65" s="1"/>
  <c r="Q117" i="65" s="1"/>
  <c r="R89" i="63"/>
  <c r="AD89" i="63" s="1"/>
  <c r="N88" i="65" s="1"/>
  <c r="Q88" i="65" s="1"/>
  <c r="R49" i="63"/>
  <c r="AD49" i="63" s="1"/>
  <c r="N48" i="65" s="1"/>
  <c r="Q48" i="65" s="1"/>
  <c r="R97" i="63"/>
  <c r="AD97" i="63" s="1"/>
  <c r="N96" i="65" s="1"/>
  <c r="Q96" i="65" s="1"/>
  <c r="R100" i="63"/>
  <c r="AD100" i="63" s="1"/>
  <c r="N99" i="65" s="1"/>
  <c r="Q99" i="65" s="1"/>
  <c r="R58" i="63"/>
  <c r="AD58" i="63" s="1"/>
  <c r="N57" i="65" s="1"/>
  <c r="Q57" i="65" s="1"/>
  <c r="R43" i="63"/>
  <c r="AD43" i="63" s="1"/>
  <c r="N42" i="65" s="1"/>
  <c r="Q42" i="65" s="1"/>
  <c r="R78" i="63"/>
  <c r="AD78" i="63" s="1"/>
  <c r="N77" i="65" s="1"/>
  <c r="Q77" i="65" s="1"/>
  <c r="R117" i="63"/>
  <c r="AD117" i="63" s="1"/>
  <c r="N116" i="65" s="1"/>
  <c r="Q116" i="65" s="1"/>
  <c r="R46" i="63"/>
  <c r="AD46" i="63" s="1"/>
  <c r="N45" i="65" s="1"/>
  <c r="Q45" i="65" s="1"/>
  <c r="R45" i="63"/>
  <c r="AD45" i="63" s="1"/>
  <c r="N44" i="65" s="1"/>
  <c r="Q44" i="65" s="1"/>
  <c r="R96" i="63"/>
  <c r="AD96" i="63" s="1"/>
  <c r="N95" i="65" s="1"/>
  <c r="Q95" i="65" s="1"/>
  <c r="R101" i="63"/>
  <c r="AD101" i="63" s="1"/>
  <c r="N100" i="65" s="1"/>
  <c r="Q100" i="65" s="1"/>
  <c r="R56" i="63"/>
  <c r="AD56" i="63" s="1"/>
  <c r="N55" i="65" s="1"/>
  <c r="Q55" i="65" s="1"/>
  <c r="R60" i="63"/>
  <c r="AD60" i="63" s="1"/>
  <c r="N59" i="65" s="1"/>
  <c r="Q59" i="65" s="1"/>
  <c r="R111" i="63"/>
  <c r="AD111" i="63" s="1"/>
  <c r="N110" i="65" s="1"/>
  <c r="Q110" i="65" s="1"/>
  <c r="R79" i="63"/>
  <c r="AD79" i="63" s="1"/>
  <c r="N78" i="65" s="1"/>
  <c r="Q78" i="65" s="1"/>
  <c r="R116" i="63"/>
  <c r="AD116" i="63" s="1"/>
  <c r="N115" i="65" s="1"/>
  <c r="Q115" i="65" s="1"/>
  <c r="R83" i="63"/>
  <c r="AD83" i="63" s="1"/>
  <c r="N82" i="65" s="1"/>
  <c r="Q82" i="65" s="1"/>
  <c r="R131" i="63"/>
  <c r="AD131" i="63" s="1"/>
  <c r="N130" i="65" s="1"/>
  <c r="Q130" i="65" s="1"/>
  <c r="R59" i="63"/>
  <c r="AD59" i="63" s="1"/>
  <c r="N58" i="65" s="1"/>
  <c r="Q58" i="65" s="1"/>
  <c r="R93" i="63"/>
  <c r="AD93" i="63" s="1"/>
  <c r="N92" i="65" s="1"/>
  <c r="Q92" i="65" s="1"/>
  <c r="R115" i="63"/>
  <c r="AD115" i="63" s="1"/>
  <c r="N114" i="65" s="1"/>
  <c r="Q114" i="65" s="1"/>
  <c r="R47" i="63"/>
  <c r="AD47" i="63" s="1"/>
  <c r="N46" i="65" s="1"/>
  <c r="Q46" i="65" s="1"/>
  <c r="R77" i="63"/>
  <c r="AD77" i="63" s="1"/>
  <c r="N76" i="65" s="1"/>
  <c r="Q76" i="65" s="1"/>
  <c r="R94" i="63"/>
  <c r="AD94" i="63" s="1"/>
  <c r="N93" i="65" s="1"/>
  <c r="Q93" i="65" s="1"/>
  <c r="R129" i="63"/>
  <c r="AD129" i="63" s="1"/>
  <c r="N128" i="65" s="1"/>
  <c r="Q128" i="65" s="1"/>
  <c r="R81" i="63"/>
  <c r="AD81" i="63" s="1"/>
  <c r="N80" i="65" s="1"/>
  <c r="Q80" i="65" s="1"/>
  <c r="R42" i="63"/>
  <c r="AD42" i="63" s="1"/>
  <c r="N41" i="65" s="1"/>
  <c r="Q41" i="65" s="1"/>
  <c r="R41" i="63"/>
  <c r="AD41" i="63" s="1"/>
  <c r="N40" i="65" s="1"/>
  <c r="Q40" i="65" s="1"/>
  <c r="R74" i="63"/>
  <c r="AD74" i="63" s="1"/>
  <c r="N73" i="65" s="1"/>
  <c r="Q73" i="65" s="1"/>
  <c r="R76" i="63"/>
  <c r="AD76" i="63" s="1"/>
  <c r="N75" i="65" s="1"/>
  <c r="Q75" i="65" s="1"/>
  <c r="R70" i="63"/>
  <c r="AD70" i="63" s="1"/>
  <c r="N69" i="65" s="1"/>
  <c r="Q69" i="65" s="1"/>
  <c r="R38" i="63"/>
  <c r="AD38" i="63" s="1"/>
  <c r="N37" i="65" s="1"/>
  <c r="Q37" i="65" s="1"/>
  <c r="R37" i="63"/>
  <c r="AD37" i="63" s="1"/>
  <c r="N36" i="65" s="1"/>
  <c r="Q36" i="65" s="1"/>
  <c r="R88" i="63"/>
  <c r="AD88" i="63" s="1"/>
  <c r="N87" i="65" s="1"/>
  <c r="Q87" i="65" s="1"/>
  <c r="R72" i="63"/>
  <c r="AD72" i="63" s="1"/>
  <c r="N71" i="65" s="1"/>
  <c r="Q71" i="65" s="1"/>
  <c r="R114" i="63"/>
  <c r="AD114" i="63" s="1"/>
  <c r="N113" i="65" s="1"/>
  <c r="Q113" i="65" s="1"/>
  <c r="R82" i="63"/>
  <c r="AD82" i="63" s="1"/>
  <c r="N81" i="65" s="1"/>
  <c r="Q81" i="65" s="1"/>
  <c r="R52" i="63"/>
  <c r="AD52" i="63" s="1"/>
  <c r="N51" i="65" s="1"/>
  <c r="Q51" i="65" s="1"/>
  <c r="R103" i="63"/>
  <c r="AD103" i="63" s="1"/>
  <c r="N102" i="65" s="1"/>
  <c r="Q102" i="65" s="1"/>
  <c r="R107" i="63"/>
  <c r="AD107" i="63" s="1"/>
  <c r="N106" i="65" s="1"/>
  <c r="Q106" i="65" s="1"/>
  <c r="R71" i="63"/>
  <c r="AD71" i="63" s="1"/>
  <c r="N70" i="65" s="1"/>
  <c r="Q70" i="65" s="1"/>
  <c r="R124" i="63"/>
  <c r="AD124" i="63" s="1"/>
  <c r="N123" i="65" s="1"/>
  <c r="Q123" i="65" s="1"/>
  <c r="R75" i="63"/>
  <c r="AD75" i="63" s="1"/>
  <c r="N74" i="65" s="1"/>
  <c r="Q74" i="65" s="1"/>
  <c r="R35" i="63"/>
  <c r="AD35" i="63" s="1"/>
  <c r="N34" i="65" s="1"/>
  <c r="Q34" i="65" s="1"/>
  <c r="R125" i="63"/>
  <c r="AD125" i="63" s="1"/>
  <c r="N124" i="65" s="1"/>
  <c r="Q124" i="65" s="1"/>
  <c r="R39" i="63"/>
  <c r="AD39" i="63" s="1"/>
  <c r="N38" i="65" s="1"/>
  <c r="Q38" i="65" s="1"/>
  <c r="R110" i="63"/>
  <c r="AD110" i="63" s="1"/>
  <c r="N109" i="65" s="1"/>
  <c r="Q109" i="65" s="1"/>
  <c r="R126" i="63"/>
  <c r="AD126" i="63" s="1"/>
  <c r="N125" i="65" s="1"/>
  <c r="Q125" i="65" s="1"/>
  <c r="R130" i="63"/>
  <c r="AD130" i="63" s="1"/>
  <c r="N129" i="65" s="1"/>
  <c r="Q129" i="65" s="1"/>
  <c r="R121" i="63"/>
  <c r="AD121" i="63" s="1"/>
  <c r="N120" i="65" s="1"/>
  <c r="Q120" i="65" s="1"/>
  <c r="R65" i="63"/>
  <c r="AD65" i="63" s="1"/>
  <c r="N64" i="65" s="1"/>
  <c r="Q64" i="65" s="1"/>
  <c r="R50" i="63"/>
  <c r="AD50" i="63" s="1"/>
  <c r="N49" i="65" s="1"/>
  <c r="Q49" i="65" s="1"/>
  <c r="R108" i="63"/>
  <c r="AD108" i="63" s="1"/>
  <c r="N107" i="65" s="1"/>
  <c r="Q107" i="65" s="1"/>
  <c r="R66" i="63"/>
  <c r="AD66" i="63" s="1"/>
  <c r="N65" i="65" s="1"/>
  <c r="Q65" i="65" s="1"/>
  <c r="R92" i="63"/>
  <c r="AD92" i="63" s="1"/>
  <c r="N91" i="65" s="1"/>
  <c r="Q91" i="65" s="1"/>
  <c r="R90" i="63"/>
  <c r="AD90" i="63" s="1"/>
  <c r="N89" i="65" s="1"/>
  <c r="Q89" i="65" s="1"/>
  <c r="R62" i="63"/>
  <c r="AD62" i="63" s="1"/>
  <c r="N61" i="65" s="1"/>
  <c r="Q61" i="65" s="1"/>
  <c r="R127" i="63"/>
  <c r="AD127" i="63" s="1"/>
  <c r="N126" i="65" s="1"/>
  <c r="Q126" i="65" s="1"/>
  <c r="R61" i="63"/>
  <c r="AD61" i="63" s="1"/>
  <c r="N60" i="65" s="1"/>
  <c r="Q60" i="65" s="1"/>
  <c r="R112" i="63"/>
  <c r="AD112" i="63" s="1"/>
  <c r="N111" i="65" s="1"/>
  <c r="Q111" i="65" s="1"/>
  <c r="R44" i="63"/>
  <c r="AD44" i="63" s="1"/>
  <c r="N43" i="65" s="1"/>
  <c r="Q43" i="65" s="1"/>
  <c r="R95" i="63"/>
  <c r="AD95" i="63" s="1"/>
  <c r="N94" i="65" s="1"/>
  <c r="Q94" i="65" s="1"/>
  <c r="R113" i="63"/>
  <c r="AD113" i="63" s="1"/>
  <c r="N112" i="65" s="1"/>
  <c r="Q112" i="65" s="1"/>
  <c r="R99" i="63"/>
  <c r="AD99" i="63" s="1"/>
  <c r="N98" i="65" s="1"/>
  <c r="Q98" i="65" s="1"/>
  <c r="R132" i="63"/>
  <c r="AD132" i="63" s="1"/>
  <c r="N131" i="65" s="1"/>
  <c r="Q131" i="65" s="1"/>
  <c r="R67" i="63"/>
  <c r="AD67" i="63" s="1"/>
  <c r="N66" i="65" s="1"/>
  <c r="Q66" i="65" s="1"/>
  <c r="R123" i="63"/>
  <c r="AD123" i="63" s="1"/>
  <c r="N122" i="65" s="1"/>
  <c r="Q122" i="65" s="1"/>
  <c r="R51" i="63"/>
  <c r="AD51" i="63" s="1"/>
  <c r="N50" i="65" s="1"/>
  <c r="Q50" i="65" s="1"/>
  <c r="R48" i="63"/>
  <c r="AD48" i="63" s="1"/>
  <c r="N47" i="65" s="1"/>
  <c r="Q47" i="65" s="1"/>
  <c r="R69" i="63"/>
  <c r="AD69" i="63" s="1"/>
  <c r="N68" i="65" s="1"/>
  <c r="Q68" i="65" s="1"/>
  <c r="R63" i="63"/>
  <c r="AD63" i="63" s="1"/>
  <c r="N62" i="65" s="1"/>
  <c r="Q62" i="65" s="1"/>
  <c r="R64" i="63"/>
  <c r="AD64" i="63" s="1"/>
  <c r="N63" i="65" s="1"/>
  <c r="Q63" i="65" s="1"/>
  <c r="R85" i="63"/>
  <c r="AD85" i="63" s="1"/>
  <c r="N84" i="65" s="1"/>
  <c r="Q84" i="65" s="1"/>
  <c r="Q225" i="69"/>
  <c r="Q271" i="69"/>
  <c r="Q270" i="69"/>
  <c r="AE383" i="58"/>
  <c r="M383" i="58" s="1"/>
  <c r="R27" i="63"/>
  <c r="AD27" i="63" s="1"/>
  <c r="N26" i="65" s="1"/>
  <c r="Q26" i="65" s="1"/>
  <c r="R24" i="63"/>
  <c r="AD24" i="63" s="1"/>
  <c r="N23" i="65" s="1"/>
  <c r="Q23" i="65" s="1"/>
  <c r="R25" i="63"/>
  <c r="AD25" i="63" s="1"/>
  <c r="N24" i="65" s="1"/>
  <c r="Q24" i="65" s="1"/>
  <c r="Q275" i="69"/>
  <c r="Q263" i="1"/>
  <c r="AH383" i="58" s="1"/>
  <c r="Q363" i="1"/>
  <c r="Z671" i="55" s="1"/>
  <c r="W604" i="55"/>
  <c r="AI604" i="55" s="1"/>
  <c r="J604" i="55" s="1"/>
  <c r="J445" i="55" s="1"/>
  <c r="W271" i="69"/>
  <c r="Q296" i="1"/>
  <c r="AC303" i="19" s="1"/>
  <c r="Q244" i="1"/>
  <c r="AE326" i="56" s="1"/>
  <c r="Z336" i="19"/>
  <c r="J336" i="19" s="1"/>
  <c r="J229" i="19" s="1"/>
  <c r="J66" i="19" s="1"/>
  <c r="Q66" i="19" s="1"/>
  <c r="AB326" i="56"/>
  <c r="J326" i="56" s="1"/>
  <c r="W272" i="69"/>
  <c r="AB335" i="56"/>
  <c r="J335" i="56" s="1"/>
  <c r="W226" i="69"/>
  <c r="W199" i="69"/>
  <c r="R29" i="63"/>
  <c r="AD29" i="63" s="1"/>
  <c r="N28" i="65" s="1"/>
  <c r="Q28" i="65" s="1"/>
  <c r="AB332" i="56"/>
  <c r="J332" i="56" s="1"/>
  <c r="J219" i="56" s="1"/>
  <c r="AE382" i="58"/>
  <c r="AL382" i="58" s="1"/>
  <c r="Q226" i="69"/>
  <c r="Q269" i="1"/>
  <c r="AE335" i="56" s="1"/>
  <c r="W221" i="69"/>
  <c r="AE347" i="58"/>
  <c r="M347" i="58" s="1"/>
  <c r="Q292" i="1"/>
  <c r="Z600" i="55" s="1"/>
  <c r="Q207" i="1"/>
  <c r="AE315" i="56" s="1"/>
  <c r="AE363" i="58"/>
  <c r="AL363" i="58" s="1"/>
  <c r="W245" i="69"/>
  <c r="Q271" i="1"/>
  <c r="AH387" i="58" s="1"/>
  <c r="AE387" i="58"/>
  <c r="AL387" i="58" s="1"/>
  <c r="Z306" i="19"/>
  <c r="J306" i="19" s="1"/>
  <c r="J199" i="19" s="1"/>
  <c r="Q328" i="1"/>
  <c r="Z317" i="19"/>
  <c r="J317" i="19" s="1"/>
  <c r="J210" i="19" s="1"/>
  <c r="Q221" i="69"/>
  <c r="W188" i="69"/>
  <c r="Z188" i="69" s="1"/>
  <c r="Q208" i="1"/>
  <c r="AE316" i="56" s="1"/>
  <c r="AE364" i="58"/>
  <c r="AL364" i="58" s="1"/>
  <c r="Q245" i="69"/>
  <c r="Q185" i="1"/>
  <c r="AH352" i="58" s="1"/>
  <c r="Q227" i="69"/>
  <c r="AB305" i="56"/>
  <c r="J305" i="56" s="1"/>
  <c r="J192" i="56" s="1"/>
  <c r="Q284" i="1"/>
  <c r="AH394" i="58" s="1"/>
  <c r="R30" i="63"/>
  <c r="AD30" i="63" s="1"/>
  <c r="N29" i="65" s="1"/>
  <c r="Q29" i="65" s="1"/>
  <c r="R23" i="63"/>
  <c r="AD23" i="63" s="1"/>
  <c r="N22" i="65" s="1"/>
  <c r="R28" i="63"/>
  <c r="AD28" i="63" s="1"/>
  <c r="N27" i="65" s="1"/>
  <c r="Q27" i="65" s="1"/>
  <c r="W602" i="55"/>
  <c r="AI602" i="55" s="1"/>
  <c r="J602" i="55" s="1"/>
  <c r="J443" i="55" s="1"/>
  <c r="W251" i="69"/>
  <c r="Q250" i="69"/>
  <c r="W250" i="69"/>
  <c r="Q311" i="1"/>
  <c r="Z619" i="55" s="1"/>
  <c r="Z309" i="19"/>
  <c r="J309" i="19" s="1"/>
  <c r="J202" i="19" s="1"/>
  <c r="W603" i="55"/>
  <c r="AI603" i="55" s="1"/>
  <c r="J603" i="55" s="1"/>
  <c r="AB314" i="56"/>
  <c r="J314" i="56" s="1"/>
  <c r="W273" i="69"/>
  <c r="Z401" i="19"/>
  <c r="Q273" i="69"/>
  <c r="Q382" i="1"/>
  <c r="Z690" i="55" s="1"/>
  <c r="Q283" i="1"/>
  <c r="AH393" i="58" s="1"/>
  <c r="AB322" i="56"/>
  <c r="J322" i="56" s="1"/>
  <c r="W224" i="69"/>
  <c r="Q295" i="1"/>
  <c r="AC302" i="19" s="1"/>
  <c r="Q183" i="1"/>
  <c r="AH349" i="58" s="1"/>
  <c r="Q315" i="1"/>
  <c r="Z623" i="55" s="1"/>
  <c r="AB302" i="56"/>
  <c r="Q187" i="69"/>
  <c r="Q274" i="69"/>
  <c r="Q379" i="1"/>
  <c r="AA441" i="61"/>
  <c r="X757" i="55"/>
  <c r="AE467" i="58"/>
  <c r="Q252" i="69"/>
  <c r="Z379" i="1"/>
  <c r="Z311" i="19"/>
  <c r="J311" i="19" s="1"/>
  <c r="Q311" i="19" s="1"/>
  <c r="Q386" i="1"/>
  <c r="Z694" i="55" s="1"/>
  <c r="Q204" i="1"/>
  <c r="AE314" i="56" s="1"/>
  <c r="R26" i="63"/>
  <c r="R34" i="63"/>
  <c r="AD34" i="63" s="1"/>
  <c r="N33" i="65" s="1"/>
  <c r="Q33" i="65" s="1"/>
  <c r="R33" i="63"/>
  <c r="R31" i="63"/>
  <c r="Q254" i="1"/>
  <c r="AH380" i="58" s="1"/>
  <c r="AB330" i="56"/>
  <c r="J330" i="56" s="1"/>
  <c r="J217" i="56" s="1"/>
  <c r="Q198" i="69"/>
  <c r="W201" i="69"/>
  <c r="AE371" i="58"/>
  <c r="M371" i="58" s="1"/>
  <c r="Q365" i="1"/>
  <c r="Z673" i="55" s="1"/>
  <c r="Z338" i="19"/>
  <c r="J338" i="19" s="1"/>
  <c r="Q338" i="19" s="1"/>
  <c r="AE372" i="58"/>
  <c r="M372" i="58" s="1"/>
  <c r="Q305" i="1"/>
  <c r="Z613" i="55" s="1"/>
  <c r="Q313" i="1"/>
  <c r="Q306" i="1"/>
  <c r="Z614" i="55" s="1"/>
  <c r="W614" i="55"/>
  <c r="AI614" i="55" s="1"/>
  <c r="J614" i="55" s="1"/>
  <c r="J455" i="55" s="1"/>
  <c r="Z327" i="19"/>
  <c r="J327" i="19" s="1"/>
  <c r="J220" i="19" s="1"/>
  <c r="J52" i="19" s="1"/>
  <c r="Q52" i="19" s="1"/>
  <c r="AE390" i="58"/>
  <c r="M390" i="58" s="1"/>
  <c r="W186" i="69"/>
  <c r="Z186" i="69" s="1"/>
  <c r="Q222" i="69"/>
  <c r="W222" i="69"/>
  <c r="Q348" i="1"/>
  <c r="Z656" i="55" s="1"/>
  <c r="Q387" i="1"/>
  <c r="Z695" i="55" s="1"/>
  <c r="W598" i="55"/>
  <c r="AI598" i="55" s="1"/>
  <c r="Q197" i="69"/>
  <c r="Q273" i="1"/>
  <c r="AH388" i="58" s="1"/>
  <c r="Q351" i="1"/>
  <c r="Z659" i="55" s="1"/>
  <c r="Q332" i="1"/>
  <c r="Z640" i="55" s="1"/>
  <c r="W223" i="69"/>
  <c r="W601" i="55"/>
  <c r="AI601" i="55" s="1"/>
  <c r="J601" i="55" s="1"/>
  <c r="J442" i="55" s="1"/>
  <c r="Z310" i="19"/>
  <c r="J310" i="19" s="1"/>
  <c r="J203" i="19" s="1"/>
  <c r="Q349" i="1"/>
  <c r="Z657" i="55" s="1"/>
  <c r="Q200" i="69"/>
  <c r="Q346" i="1"/>
  <c r="Z654" i="55" s="1"/>
  <c r="AB334" i="56"/>
  <c r="J334" i="56" s="1"/>
  <c r="Q243" i="1"/>
  <c r="AE325" i="56" s="1"/>
  <c r="AB325" i="56"/>
  <c r="J325" i="56" s="1"/>
  <c r="J212" i="56" s="1"/>
  <c r="Q204" i="69"/>
  <c r="Z300" i="19"/>
  <c r="J300" i="19" s="1"/>
  <c r="W290" i="1"/>
  <c r="Z290" i="1" s="1"/>
  <c r="W197" i="69"/>
  <c r="Q389" i="1"/>
  <c r="Z697" i="55" s="1"/>
  <c r="W697" i="55"/>
  <c r="Q329" i="1"/>
  <c r="Z637" i="55" s="1"/>
  <c r="Q316" i="1"/>
  <c r="Z318" i="19"/>
  <c r="J318" i="19" s="1"/>
  <c r="J211" i="19" s="1"/>
  <c r="Z314" i="19"/>
  <c r="J314" i="19" s="1"/>
  <c r="J207" i="19" s="1"/>
  <c r="J34" i="19" s="1"/>
  <c r="Q335" i="1"/>
  <c r="Z643" i="55" s="1"/>
  <c r="Q184" i="1"/>
  <c r="AE304" i="56" s="1"/>
  <c r="Z330" i="19"/>
  <c r="J330" i="19" s="1"/>
  <c r="Q330" i="19" s="1"/>
  <c r="Q235" i="1"/>
  <c r="AH372" i="58" s="1"/>
  <c r="Q223" i="69"/>
  <c r="Q293" i="1"/>
  <c r="Z601" i="55" s="1"/>
  <c r="W200" i="69"/>
  <c r="Q203" i="1"/>
  <c r="AH361" i="58" s="1"/>
  <c r="AB313" i="56"/>
  <c r="J313" i="56" s="1"/>
  <c r="AB304" i="56"/>
  <c r="J304" i="56" s="1"/>
  <c r="J191" i="56" s="1"/>
  <c r="Q282" i="1"/>
  <c r="AH391" i="58" s="1"/>
  <c r="AE367" i="58"/>
  <c r="AL367" i="58" s="1"/>
  <c r="Q246" i="69"/>
  <c r="Q267" i="1"/>
  <c r="AH385" i="58" s="1"/>
  <c r="Q334" i="1"/>
  <c r="Z642" i="55" s="1"/>
  <c r="AB309" i="56"/>
  <c r="J309" i="56" s="1"/>
  <c r="Z320" i="19"/>
  <c r="J320" i="19" s="1"/>
  <c r="J213" i="19" s="1"/>
  <c r="Q249" i="69"/>
  <c r="Q196" i="1"/>
  <c r="AH356" i="58" s="1"/>
  <c r="Q185" i="69"/>
  <c r="W185" i="69"/>
  <c r="Z185" i="69" s="1"/>
  <c r="Q226" i="1"/>
  <c r="AE319" i="56" s="1"/>
  <c r="Q390" i="1"/>
  <c r="Z698" i="55" s="1"/>
  <c r="Q228" i="69"/>
  <c r="Q291" i="1"/>
  <c r="AC301" i="19" s="1"/>
  <c r="Z301" i="19"/>
  <c r="J301" i="19" s="1"/>
  <c r="J194" i="19" s="1"/>
  <c r="W269" i="69"/>
  <c r="Q269" i="69"/>
  <c r="AE357" i="58"/>
  <c r="M357" i="58" s="1"/>
  <c r="Q366" i="1"/>
  <c r="Z674" i="55" s="1"/>
  <c r="AE360" i="58"/>
  <c r="M360" i="58" s="1"/>
  <c r="Z339" i="19"/>
  <c r="J339" i="19" s="1"/>
  <c r="J232" i="19" s="1"/>
  <c r="Q202" i="1"/>
  <c r="AE312" i="56" s="1"/>
  <c r="Q231" i="1"/>
  <c r="AH370" i="58" s="1"/>
  <c r="AE370" i="58"/>
  <c r="AL370" i="58" s="1"/>
  <c r="W248" i="69"/>
  <c r="Q371" i="1"/>
  <c r="Z679" i="55" s="1"/>
  <c r="Q197" i="1"/>
  <c r="AE310" i="56" s="1"/>
  <c r="Q248" i="69"/>
  <c r="Q362" i="1"/>
  <c r="Z670" i="55" s="1"/>
  <c r="AB307" i="56"/>
  <c r="AI307" i="56" s="1"/>
  <c r="Q383" i="1"/>
  <c r="Z691" i="55" s="1"/>
  <c r="Q225" i="1"/>
  <c r="AH366" i="58" s="1"/>
  <c r="AE354" i="58"/>
  <c r="M354" i="58" s="1"/>
  <c r="AB318" i="56"/>
  <c r="J318" i="56" s="1"/>
  <c r="J205" i="56" s="1"/>
  <c r="P32" i="66"/>
  <c r="J32" i="66" s="1"/>
  <c r="Q276" i="69"/>
  <c r="W616" i="55"/>
  <c r="AI616" i="55" s="1"/>
  <c r="Q186" i="1"/>
  <c r="AH353" i="58" s="1"/>
  <c r="Q229" i="1"/>
  <c r="AE320" i="56" s="1"/>
  <c r="AB306" i="56"/>
  <c r="J306" i="56" s="1"/>
  <c r="J193" i="56" s="1"/>
  <c r="AB320" i="56"/>
  <c r="AI320" i="56" s="1"/>
  <c r="Z341" i="19"/>
  <c r="J341" i="19" s="1"/>
  <c r="J234" i="19" s="1"/>
  <c r="P31" i="66"/>
  <c r="J31" i="66" s="1"/>
  <c r="N285" i="1"/>
  <c r="N286" i="1" s="1"/>
  <c r="Q345" i="1"/>
  <c r="Q203" i="69"/>
  <c r="Z326" i="19"/>
  <c r="J326" i="19" s="1"/>
  <c r="J219" i="19" s="1"/>
  <c r="J51" i="19" s="1"/>
  <c r="J99" i="19" s="1"/>
  <c r="Q99" i="19" s="1"/>
  <c r="W203" i="69"/>
  <c r="AB329" i="56"/>
  <c r="J329" i="56" s="1"/>
  <c r="Q247" i="69"/>
  <c r="Q368" i="1"/>
  <c r="Q309" i="1"/>
  <c r="Z617" i="55" s="1"/>
  <c r="Q181" i="1"/>
  <c r="AH346" i="58" s="1"/>
  <c r="AE346" i="58"/>
  <c r="Q381" i="1"/>
  <c r="Z403" i="19"/>
  <c r="Z402" i="19"/>
  <c r="AE469" i="58"/>
  <c r="AE468" i="58"/>
  <c r="AA443" i="61"/>
  <c r="X758" i="55"/>
  <c r="Z335" i="19"/>
  <c r="J335" i="19" s="1"/>
  <c r="J228" i="19" s="1"/>
  <c r="Q228" i="19" s="1"/>
  <c r="AB409" i="56"/>
  <c r="AA442" i="61"/>
  <c r="Q354" i="1"/>
  <c r="X759" i="55"/>
  <c r="Q337" i="1"/>
  <c r="Z645" i="55" s="1"/>
  <c r="Z352" i="19"/>
  <c r="Z410" i="19" s="1"/>
  <c r="Z332" i="19"/>
  <c r="J332" i="19" s="1"/>
  <c r="J225" i="19" s="1"/>
  <c r="Z323" i="19"/>
  <c r="J323" i="19" s="1"/>
  <c r="J216" i="19" s="1"/>
  <c r="Q200" i="1"/>
  <c r="AH359" i="58" s="1"/>
  <c r="AB311" i="56"/>
  <c r="AI311" i="56" s="1"/>
  <c r="Q308" i="1"/>
  <c r="Z616" i="55" s="1"/>
  <c r="Q202" i="69"/>
  <c r="Q252" i="1"/>
  <c r="AE329" i="56" s="1"/>
  <c r="S71" i="50"/>
  <c r="Q384" i="1"/>
  <c r="Z692" i="55" s="1"/>
  <c r="N392" i="1"/>
  <c r="AE483" i="58" s="1"/>
  <c r="AE484" i="58" s="1"/>
  <c r="AB486" i="58" s="1"/>
  <c r="Q31" i="69"/>
  <c r="Q40" i="69" s="1"/>
  <c r="N40" i="69"/>
  <c r="O31" i="69"/>
  <c r="O40" i="69" s="1"/>
  <c r="L40" i="69"/>
  <c r="P31" i="69"/>
  <c r="P40" i="69" s="1"/>
  <c r="M40" i="69"/>
  <c r="P33" i="66"/>
  <c r="J33" i="66" s="1"/>
  <c r="R38" i="69"/>
  <c r="W692" i="55"/>
  <c r="R39" i="69"/>
  <c r="R34" i="69"/>
  <c r="R33" i="69"/>
  <c r="R32" i="69"/>
  <c r="R35" i="69"/>
  <c r="R36" i="69"/>
  <c r="R37" i="69"/>
  <c r="W696" i="55"/>
  <c r="W699" i="55"/>
  <c r="S35" i="50"/>
  <c r="T44" i="54"/>
  <c r="U8" i="54"/>
  <c r="U54" i="54" s="1"/>
  <c r="U60" i="54" s="1"/>
  <c r="R199" i="1"/>
  <c r="U14" i="54"/>
  <c r="H14" i="54" s="1"/>
  <c r="U29" i="54"/>
  <c r="H29" i="54" s="1"/>
  <c r="H59" i="62"/>
  <c r="L59" i="62" s="1"/>
  <c r="L16" i="62"/>
  <c r="I276" i="55"/>
  <c r="M356" i="58"/>
  <c r="AL356" i="58"/>
  <c r="X693" i="55"/>
  <c r="P385" i="1"/>
  <c r="AA693" i="55" s="1"/>
  <c r="AC366" i="58"/>
  <c r="Z318" i="56"/>
  <c r="O225" i="1"/>
  <c r="O107" i="69"/>
  <c r="O157" i="69" s="1"/>
  <c r="AC361" i="58"/>
  <c r="Z313" i="56"/>
  <c r="O203" i="1"/>
  <c r="AC352" i="58"/>
  <c r="Z305" i="56"/>
  <c r="O185" i="1"/>
  <c r="X330" i="19"/>
  <c r="I330" i="19" s="1"/>
  <c r="O349" i="1"/>
  <c r="Y657" i="55" s="1"/>
  <c r="U204" i="69"/>
  <c r="T204" i="69"/>
  <c r="O204" i="69"/>
  <c r="AC364" i="58"/>
  <c r="Z316" i="56"/>
  <c r="O208" i="1"/>
  <c r="T753" i="55"/>
  <c r="M361" i="58"/>
  <c r="AL361" i="58"/>
  <c r="N15" i="62"/>
  <c r="J58" i="62"/>
  <c r="N58" i="62" s="1"/>
  <c r="X696" i="55"/>
  <c r="P388" i="1"/>
  <c r="AA696" i="55" s="1"/>
  <c r="AA334" i="56"/>
  <c r="AD385" i="58"/>
  <c r="P267" i="1"/>
  <c r="V269" i="69"/>
  <c r="P269" i="69"/>
  <c r="AA312" i="56"/>
  <c r="AD360" i="58"/>
  <c r="P202" i="1"/>
  <c r="V250" i="69"/>
  <c r="P250" i="69"/>
  <c r="V245" i="69"/>
  <c r="P245" i="69"/>
  <c r="AD359" i="58"/>
  <c r="AA311" i="56"/>
  <c r="P200" i="1"/>
  <c r="P351" i="1"/>
  <c r="AA659" i="55" s="1"/>
  <c r="Y33" i="54"/>
  <c r="L33" i="54" s="1"/>
  <c r="I33" i="54"/>
  <c r="AC393" i="58"/>
  <c r="O283" i="1"/>
  <c r="U198" i="69"/>
  <c r="T198" i="69"/>
  <c r="O198" i="69"/>
  <c r="X310" i="19"/>
  <c r="I310" i="19" s="1"/>
  <c r="O312" i="1"/>
  <c r="Y620" i="55" s="1"/>
  <c r="AC353" i="58"/>
  <c r="Z306" i="56"/>
  <c r="O186" i="1"/>
  <c r="X309" i="19"/>
  <c r="I309" i="19" s="1"/>
  <c r="O311" i="1"/>
  <c r="Y619" i="55" s="1"/>
  <c r="AC346" i="58"/>
  <c r="Z300" i="56"/>
  <c r="L285" i="1"/>
  <c r="L286" i="1" s="1"/>
  <c r="O181" i="1"/>
  <c r="U197" i="69"/>
  <c r="T197" i="69"/>
  <c r="O197" i="69"/>
  <c r="AC390" i="58"/>
  <c r="O281" i="1"/>
  <c r="T252" i="69"/>
  <c r="U252" i="69"/>
  <c r="O252" i="69"/>
  <c r="M385" i="58"/>
  <c r="AL385" i="58"/>
  <c r="M379" i="58"/>
  <c r="AL379" i="58"/>
  <c r="G37" i="54"/>
  <c r="J323" i="56"/>
  <c r="AI323" i="56"/>
  <c r="J321" i="56"/>
  <c r="AI321" i="56"/>
  <c r="Y303" i="19"/>
  <c r="K303" i="19" s="1"/>
  <c r="K196" i="19" s="1"/>
  <c r="K18" i="19" s="1"/>
  <c r="X604" i="55"/>
  <c r="P296" i="1"/>
  <c r="P332" i="1"/>
  <c r="AA640" i="55" s="1"/>
  <c r="F29" i="54"/>
  <c r="S58" i="54"/>
  <c r="S64" i="54" s="1"/>
  <c r="AC356" i="58"/>
  <c r="Z309" i="56"/>
  <c r="O196" i="1"/>
  <c r="O274" i="55"/>
  <c r="X699" i="55"/>
  <c r="P391" i="1"/>
  <c r="AA699" i="55" s="1"/>
  <c r="AA301" i="56"/>
  <c r="AD347" i="58"/>
  <c r="P182" i="1"/>
  <c r="V247" i="69"/>
  <c r="P247" i="69"/>
  <c r="AD366" i="58"/>
  <c r="AA318" i="56"/>
  <c r="P225" i="1"/>
  <c r="V198" i="69"/>
  <c r="P198" i="69"/>
  <c r="P382" i="1"/>
  <c r="AA690" i="55" s="1"/>
  <c r="Y314" i="19"/>
  <c r="K314" i="19" s="1"/>
  <c r="K207" i="19" s="1"/>
  <c r="K34" i="19" s="1"/>
  <c r="P316" i="1"/>
  <c r="AA624" i="55" s="1"/>
  <c r="M352" i="58"/>
  <c r="AL352" i="58"/>
  <c r="X311" i="19"/>
  <c r="I311" i="19" s="1"/>
  <c r="O313" i="1"/>
  <c r="Y621" i="55" s="1"/>
  <c r="Z312" i="56"/>
  <c r="AC360" i="58"/>
  <c r="O202" i="1"/>
  <c r="R228" i="1"/>
  <c r="Z327" i="56"/>
  <c r="AC377" i="58"/>
  <c r="O248" i="1"/>
  <c r="AC357" i="58"/>
  <c r="Z310" i="56"/>
  <c r="O197" i="1"/>
  <c r="U226" i="69"/>
  <c r="T226" i="69"/>
  <c r="O226" i="69"/>
  <c r="AC394" i="58"/>
  <c r="L394" i="58" s="1"/>
  <c r="O284" i="1"/>
  <c r="T187" i="69"/>
  <c r="U187" i="69"/>
  <c r="X187" i="69" s="1"/>
  <c r="O187" i="69"/>
  <c r="AC382" i="58"/>
  <c r="Z332" i="56"/>
  <c r="O262" i="1"/>
  <c r="M252" i="58"/>
  <c r="P394" i="58"/>
  <c r="M359" i="58"/>
  <c r="AL359" i="58"/>
  <c r="O265" i="55"/>
  <c r="X694" i="55"/>
  <c r="P386" i="1"/>
  <c r="AA694" i="55" s="1"/>
  <c r="V201" i="69"/>
  <c r="P201" i="69"/>
  <c r="V188" i="69"/>
  <c r="Y188" i="69" s="1"/>
  <c r="P188" i="69"/>
  <c r="AA319" i="56"/>
  <c r="AD367" i="58"/>
  <c r="P226" i="1"/>
  <c r="Y302" i="19"/>
  <c r="K302" i="19" s="1"/>
  <c r="X603" i="55"/>
  <c r="P295" i="1"/>
  <c r="AD388" i="58"/>
  <c r="P273" i="1"/>
  <c r="AG388" i="58" s="1"/>
  <c r="AD351" i="58"/>
  <c r="AA304" i="56"/>
  <c r="P184" i="1"/>
  <c r="X600" i="55"/>
  <c r="P292" i="1"/>
  <c r="AA600" i="55" s="1"/>
  <c r="Y338" i="19"/>
  <c r="K338" i="19" s="1"/>
  <c r="P365" i="1"/>
  <c r="AA673" i="55" s="1"/>
  <c r="T201" i="69"/>
  <c r="U201" i="69"/>
  <c r="O201" i="69"/>
  <c r="AC388" i="58"/>
  <c r="O273" i="1"/>
  <c r="AC369" i="58"/>
  <c r="Z320" i="56"/>
  <c r="O229" i="1"/>
  <c r="T225" i="69"/>
  <c r="U225" i="69"/>
  <c r="O225" i="69"/>
  <c r="T224" i="69"/>
  <c r="U224" i="69"/>
  <c r="O224" i="69"/>
  <c r="O352" i="1"/>
  <c r="Y660" i="55" s="1"/>
  <c r="V599" i="55"/>
  <c r="X301" i="19"/>
  <c r="I301" i="19" s="1"/>
  <c r="O291" i="1"/>
  <c r="X332" i="19"/>
  <c r="I332" i="19" s="1"/>
  <c r="O354" i="1"/>
  <c r="Y662" i="55" s="1"/>
  <c r="M366" i="58"/>
  <c r="AL366" i="58"/>
  <c r="V697" i="55"/>
  <c r="O389" i="1"/>
  <c r="J312" i="56"/>
  <c r="AI312" i="56"/>
  <c r="V200" i="69"/>
  <c r="P200" i="69"/>
  <c r="V222" i="69"/>
  <c r="P222" i="69"/>
  <c r="P331" i="1"/>
  <c r="AA639" i="55" s="1"/>
  <c r="J333" i="56"/>
  <c r="J220" i="56" s="1"/>
  <c r="AI333" i="56"/>
  <c r="AE332" i="56"/>
  <c r="AH382" i="58"/>
  <c r="J327" i="56"/>
  <c r="AI327" i="56"/>
  <c r="X314" i="19"/>
  <c r="I314" i="19" s="1"/>
  <c r="I207" i="19" s="1"/>
  <c r="I34" i="19" s="1"/>
  <c r="O316" i="1"/>
  <c r="Y624" i="55" s="1"/>
  <c r="U249" i="69"/>
  <c r="T249" i="69"/>
  <c r="O249" i="69"/>
  <c r="V600" i="55"/>
  <c r="O292" i="1"/>
  <c r="AC391" i="58"/>
  <c r="L391" i="58" s="1"/>
  <c r="O282" i="1"/>
  <c r="AC383" i="58"/>
  <c r="Z333" i="56"/>
  <c r="O263" i="1"/>
  <c r="Z326" i="56"/>
  <c r="AC375" i="58"/>
  <c r="O244" i="1"/>
  <c r="X326" i="19"/>
  <c r="I326" i="19" s="1"/>
  <c r="I219" i="19" s="1"/>
  <c r="I51" i="19" s="1"/>
  <c r="O345" i="1"/>
  <c r="Y653" i="55" s="1"/>
  <c r="U270" i="69"/>
  <c r="T270" i="69"/>
  <c r="O270" i="69"/>
  <c r="R265" i="1"/>
  <c r="N16" i="62"/>
  <c r="J59" i="62"/>
  <c r="N59" i="62" s="1"/>
  <c r="V270" i="69"/>
  <c r="P270" i="69"/>
  <c r="Y327" i="19"/>
  <c r="K327" i="19" s="1"/>
  <c r="K220" i="19" s="1"/>
  <c r="K52" i="19" s="1"/>
  <c r="P346" i="1"/>
  <c r="AA654" i="55" s="1"/>
  <c r="Y323" i="19"/>
  <c r="K323" i="19" s="1"/>
  <c r="P337" i="1"/>
  <c r="AA645" i="55" s="1"/>
  <c r="T223" i="69"/>
  <c r="U223" i="69"/>
  <c r="O223" i="69"/>
  <c r="X691" i="55"/>
  <c r="O33" i="66"/>
  <c r="I33" i="66" s="1"/>
  <c r="P383" i="1"/>
  <c r="AA691" i="55" s="1"/>
  <c r="AA336" i="56"/>
  <c r="AD387" i="58"/>
  <c r="P271" i="1"/>
  <c r="V275" i="69"/>
  <c r="P275" i="69"/>
  <c r="V273" i="69"/>
  <c r="P273" i="69"/>
  <c r="Y335" i="19"/>
  <c r="K335" i="19" s="1"/>
  <c r="K228" i="19" s="1"/>
  <c r="P362" i="1"/>
  <c r="AA670" i="55" s="1"/>
  <c r="AA320" i="56"/>
  <c r="AD369" i="58"/>
  <c r="P229" i="1"/>
  <c r="Y332" i="19"/>
  <c r="K332" i="19" s="1"/>
  <c r="P354" i="1"/>
  <c r="AA662" i="55" s="1"/>
  <c r="M362" i="58"/>
  <c r="AL362" i="58"/>
  <c r="X698" i="55"/>
  <c r="P390" i="1"/>
  <c r="AA698" i="55" s="1"/>
  <c r="Y318" i="19"/>
  <c r="K318" i="19" s="1"/>
  <c r="P329" i="1"/>
  <c r="AA637" i="55" s="1"/>
  <c r="AD382" i="58"/>
  <c r="AA332" i="56"/>
  <c r="P262" i="1"/>
  <c r="Y320" i="19"/>
  <c r="K320" i="19" s="1"/>
  <c r="P334" i="1"/>
  <c r="AA642" i="55" s="1"/>
  <c r="AD346" i="58"/>
  <c r="M285" i="1"/>
  <c r="M286" i="1" s="1"/>
  <c r="AA300" i="56"/>
  <c r="P181" i="1"/>
  <c r="V227" i="69"/>
  <c r="P227" i="69"/>
  <c r="P369" i="1"/>
  <c r="AA677" i="55" s="1"/>
  <c r="Y326" i="19"/>
  <c r="K326" i="19" s="1"/>
  <c r="K219" i="19" s="1"/>
  <c r="K51" i="19" s="1"/>
  <c r="P345" i="1"/>
  <c r="AA653" i="55" s="1"/>
  <c r="Y352" i="19"/>
  <c r="AD468" i="58"/>
  <c r="Y402" i="19"/>
  <c r="Z442" i="61"/>
  <c r="W758" i="55"/>
  <c r="P381" i="1"/>
  <c r="AA689" i="55" s="1"/>
  <c r="X302" i="19"/>
  <c r="I302" i="19" s="1"/>
  <c r="V603" i="55"/>
  <c r="O295" i="1"/>
  <c r="Z321" i="56"/>
  <c r="AC370" i="58"/>
  <c r="O231" i="1"/>
  <c r="X336" i="19"/>
  <c r="I336" i="19" s="1"/>
  <c r="I229" i="19" s="1"/>
  <c r="I66" i="19" s="1"/>
  <c r="P66" i="19" s="1"/>
  <c r="O363" i="1"/>
  <c r="Y671" i="55" s="1"/>
  <c r="T246" i="69"/>
  <c r="U246" i="69"/>
  <c r="O246" i="69"/>
  <c r="X318" i="19"/>
  <c r="I318" i="19" s="1"/>
  <c r="O329" i="1"/>
  <c r="Y637" i="55" s="1"/>
  <c r="T221" i="69"/>
  <c r="U221" i="69"/>
  <c r="O221" i="69"/>
  <c r="R246" i="1"/>
  <c r="J300" i="56"/>
  <c r="AI300" i="56"/>
  <c r="V186" i="69"/>
  <c r="Y186" i="69" s="1"/>
  <c r="P186" i="69"/>
  <c r="X338" i="19"/>
  <c r="I338" i="19" s="1"/>
  <c r="O365" i="1"/>
  <c r="Y673" i="55" s="1"/>
  <c r="E52" i="66"/>
  <c r="X695" i="55"/>
  <c r="P387" i="1"/>
  <c r="AA695" i="55" s="1"/>
  <c r="V248" i="69"/>
  <c r="P248" i="69"/>
  <c r="V249" i="69"/>
  <c r="P249" i="69"/>
  <c r="V199" i="69"/>
  <c r="P199" i="69"/>
  <c r="V246" i="69"/>
  <c r="P246" i="69"/>
  <c r="Y341" i="19"/>
  <c r="K341" i="19" s="1"/>
  <c r="P368" i="1"/>
  <c r="AA676" i="55" s="1"/>
  <c r="AD386" i="58"/>
  <c r="AA335" i="56"/>
  <c r="P269" i="1"/>
  <c r="V204" i="69"/>
  <c r="P204" i="69"/>
  <c r="Y317" i="19"/>
  <c r="K317" i="19" s="1"/>
  <c r="P328" i="1"/>
  <c r="AA636" i="55" s="1"/>
  <c r="AE301" i="56"/>
  <c r="AH347" i="58"/>
  <c r="O331" i="1"/>
  <c r="Y639" i="55" s="1"/>
  <c r="U272" i="69"/>
  <c r="T272" i="69"/>
  <c r="O272" i="69"/>
  <c r="T247" i="69"/>
  <c r="U247" i="69"/>
  <c r="O247" i="69"/>
  <c r="AC351" i="58"/>
  <c r="Z304" i="56"/>
  <c r="O184" i="1"/>
  <c r="U245" i="69"/>
  <c r="T245" i="69"/>
  <c r="O245" i="69"/>
  <c r="Q32" i="63"/>
  <c r="AC32" i="63" s="1"/>
  <c r="Q24" i="63"/>
  <c r="AC24" i="63" s="1"/>
  <c r="Q31" i="63"/>
  <c r="AC31" i="63" s="1"/>
  <c r="Q29" i="63"/>
  <c r="AC29" i="63" s="1"/>
  <c r="Q34" i="63"/>
  <c r="AC34" i="63" s="1"/>
  <c r="Q27" i="63"/>
  <c r="AC27" i="63" s="1"/>
  <c r="Q26" i="63"/>
  <c r="AC26" i="63" s="1"/>
  <c r="Q28" i="63"/>
  <c r="AC28" i="63" s="1"/>
  <c r="Q23" i="63"/>
  <c r="AC23" i="63" s="1"/>
  <c r="Q33" i="63"/>
  <c r="AC33" i="63" s="1"/>
  <c r="Q25" i="63"/>
  <c r="AC25" i="63" s="1"/>
  <c r="Q30" i="63"/>
  <c r="AC30" i="63" s="1"/>
  <c r="T27" i="63"/>
  <c r="T23" i="63"/>
  <c r="T30" i="63"/>
  <c r="T31" i="63"/>
  <c r="T28" i="63"/>
  <c r="T29" i="63"/>
  <c r="T32" i="63"/>
  <c r="T34" i="63"/>
  <c r="T26" i="63"/>
  <c r="T33" i="63"/>
  <c r="T24" i="63"/>
  <c r="T25" i="63"/>
  <c r="H70" i="61"/>
  <c r="S17" i="61"/>
  <c r="H21" i="61"/>
  <c r="E33" i="54"/>
  <c r="U33" i="54"/>
  <c r="H33" i="54" s="1"/>
  <c r="AA321" i="56"/>
  <c r="AD370" i="58"/>
  <c r="P231" i="1"/>
  <c r="T273" i="69"/>
  <c r="U273" i="69"/>
  <c r="O273" i="69"/>
  <c r="AH354" i="58"/>
  <c r="AE307" i="56"/>
  <c r="X697" i="55"/>
  <c r="P389" i="1"/>
  <c r="AA697" i="55" s="1"/>
  <c r="AD393" i="58"/>
  <c r="P283" i="1"/>
  <c r="AG393" i="58" s="1"/>
  <c r="V185" i="69"/>
  <c r="P185" i="69"/>
  <c r="AD352" i="58"/>
  <c r="AA305" i="56"/>
  <c r="P185" i="1"/>
  <c r="V699" i="55"/>
  <c r="Y391" i="1"/>
  <c r="O391" i="1"/>
  <c r="AC349" i="58"/>
  <c r="Z302" i="56"/>
  <c r="O183" i="1"/>
  <c r="R209" i="1"/>
  <c r="T199" i="69"/>
  <c r="U199" i="69"/>
  <c r="O199" i="69"/>
  <c r="T203" i="69"/>
  <c r="U203" i="69"/>
  <c r="O203" i="69"/>
  <c r="AC380" i="58"/>
  <c r="Z330" i="56"/>
  <c r="O254" i="1"/>
  <c r="X352" i="19"/>
  <c r="V758" i="55"/>
  <c r="Y442" i="61"/>
  <c r="AC468" i="58"/>
  <c r="X402" i="19"/>
  <c r="O381" i="1"/>
  <c r="Y689" i="55" s="1"/>
  <c r="M369" i="58"/>
  <c r="AL369" i="58"/>
  <c r="K80" i="61"/>
  <c r="K109" i="61"/>
  <c r="U19" i="54"/>
  <c r="H15" i="54"/>
  <c r="S55" i="54"/>
  <c r="S61" i="54" s="1"/>
  <c r="F14" i="54"/>
  <c r="AD356" i="58"/>
  <c r="AA309" i="56"/>
  <c r="P196" i="1"/>
  <c r="V225" i="69"/>
  <c r="P225" i="69"/>
  <c r="Y309" i="19"/>
  <c r="K309" i="19" s="1"/>
  <c r="P311" i="1"/>
  <c r="AA619" i="55" s="1"/>
  <c r="V290" i="1"/>
  <c r="X598" i="55"/>
  <c r="M392" i="1"/>
  <c r="Y300" i="19"/>
  <c r="AA409" i="56"/>
  <c r="Z443" i="61"/>
  <c r="O31" i="66"/>
  <c r="I31" i="66" s="1"/>
  <c r="W759" i="55"/>
  <c r="AD469" i="58"/>
  <c r="Y403" i="19"/>
  <c r="P290" i="1"/>
  <c r="Y310" i="19"/>
  <c r="K310" i="19" s="1"/>
  <c r="P312" i="1"/>
  <c r="AA620" i="55" s="1"/>
  <c r="AD362" i="58"/>
  <c r="AA314" i="56"/>
  <c r="P204" i="1"/>
  <c r="X614" i="55"/>
  <c r="Y307" i="19"/>
  <c r="K307" i="19" s="1"/>
  <c r="P306" i="1"/>
  <c r="Y336" i="19"/>
  <c r="K336" i="19" s="1"/>
  <c r="K229" i="19" s="1"/>
  <c r="K66" i="19" s="1"/>
  <c r="R66" i="19" s="1"/>
  <c r="P363" i="1"/>
  <c r="AA671" i="55" s="1"/>
  <c r="V221" i="69"/>
  <c r="P221" i="69"/>
  <c r="AD363" i="58"/>
  <c r="AA315" i="56"/>
  <c r="P207" i="1"/>
  <c r="V693" i="55"/>
  <c r="O385" i="1"/>
  <c r="X329" i="19"/>
  <c r="I329" i="19" s="1"/>
  <c r="O348" i="1"/>
  <c r="Y656" i="55" s="1"/>
  <c r="T250" i="69"/>
  <c r="U250" i="69"/>
  <c r="O250" i="69"/>
  <c r="AC359" i="58"/>
  <c r="Z311" i="56"/>
  <c r="O200" i="1"/>
  <c r="X303" i="19"/>
  <c r="I303" i="19" s="1"/>
  <c r="I196" i="19" s="1"/>
  <c r="I18" i="19" s="1"/>
  <c r="V604" i="55"/>
  <c r="O296" i="1"/>
  <c r="X351" i="19"/>
  <c r="V757" i="55"/>
  <c r="AC467" i="58"/>
  <c r="Y441" i="61"/>
  <c r="N32" i="66"/>
  <c r="H32" i="66" s="1"/>
  <c r="X401" i="19"/>
  <c r="O379" i="1"/>
  <c r="Y687" i="55" s="1"/>
  <c r="O332" i="1"/>
  <c r="Y640" i="55" s="1"/>
  <c r="T185" i="69"/>
  <c r="U185" i="69"/>
  <c r="O185" i="69"/>
  <c r="R37" i="54"/>
  <c r="Q21" i="61"/>
  <c r="Q70" i="61"/>
  <c r="Q76" i="61" s="1"/>
  <c r="Q109" i="61" s="1"/>
  <c r="Q169" i="61" s="1"/>
  <c r="AC300" i="19"/>
  <c r="Z598" i="55"/>
  <c r="C10" i="14"/>
  <c r="J310" i="56"/>
  <c r="J197" i="56" s="1"/>
  <c r="AI310" i="56"/>
  <c r="M349" i="58"/>
  <c r="AL349" i="58"/>
  <c r="V272" i="69"/>
  <c r="P272" i="69"/>
  <c r="X339" i="19"/>
  <c r="I339" i="19" s="1"/>
  <c r="O366" i="1"/>
  <c r="Y674" i="55" s="1"/>
  <c r="V251" i="69"/>
  <c r="P251" i="69"/>
  <c r="P107" i="69"/>
  <c r="P157" i="69" s="1"/>
  <c r="V197" i="69"/>
  <c r="P197" i="69"/>
  <c r="AD390" i="58"/>
  <c r="P281" i="1"/>
  <c r="AG390" i="58" s="1"/>
  <c r="M386" i="58"/>
  <c r="AL386" i="58"/>
  <c r="M374" i="58"/>
  <c r="AL374" i="58"/>
  <c r="V694" i="55"/>
  <c r="O386" i="1"/>
  <c r="X327" i="19"/>
  <c r="I327" i="19" s="1"/>
  <c r="I220" i="19" s="1"/>
  <c r="I52" i="19" s="1"/>
  <c r="O346" i="1"/>
  <c r="Y654" i="55" s="1"/>
  <c r="T275" i="69"/>
  <c r="U275" i="69"/>
  <c r="O275" i="69"/>
  <c r="X323" i="19"/>
  <c r="I323" i="19" s="1"/>
  <c r="O337" i="1"/>
  <c r="Y645" i="55" s="1"/>
  <c r="X341" i="19"/>
  <c r="I341" i="19" s="1"/>
  <c r="O368" i="1"/>
  <c r="Y676" i="55" s="1"/>
  <c r="T290" i="1"/>
  <c r="U290" i="1"/>
  <c r="X300" i="19"/>
  <c r="V598" i="55"/>
  <c r="L392" i="1"/>
  <c r="Y443" i="61"/>
  <c r="AC469" i="58"/>
  <c r="V759" i="55"/>
  <c r="X403" i="19"/>
  <c r="Z409" i="56"/>
  <c r="N31" i="66"/>
  <c r="H31" i="66" s="1"/>
  <c r="O290" i="1"/>
  <c r="L15" i="62"/>
  <c r="H58" i="62"/>
  <c r="L58" i="62" s="1"/>
  <c r="I267" i="55"/>
  <c r="M351" i="58"/>
  <c r="AL351" i="58"/>
  <c r="V274" i="69"/>
  <c r="P274" i="69"/>
  <c r="AD380" i="58"/>
  <c r="AA330" i="56"/>
  <c r="P254" i="1"/>
  <c r="V223" i="69"/>
  <c r="P223" i="69"/>
  <c r="V616" i="55"/>
  <c r="O308" i="1"/>
  <c r="V228" i="69"/>
  <c r="P228" i="69"/>
  <c r="Y306" i="19"/>
  <c r="K306" i="19" s="1"/>
  <c r="X613" i="55"/>
  <c r="P305" i="1"/>
  <c r="X601" i="55"/>
  <c r="P293" i="1"/>
  <c r="AA601" i="55" s="1"/>
  <c r="P309" i="1"/>
  <c r="AA617" i="55" s="1"/>
  <c r="AD377" i="58"/>
  <c r="AA327" i="56"/>
  <c r="P248" i="1"/>
  <c r="V696" i="55"/>
  <c r="O388" i="1"/>
  <c r="AC372" i="58"/>
  <c r="Z323" i="56"/>
  <c r="O235" i="1"/>
  <c r="T269" i="69"/>
  <c r="U269" i="69"/>
  <c r="O269" i="69"/>
  <c r="X335" i="19"/>
  <c r="I335" i="19" s="1"/>
  <c r="I228" i="19" s="1"/>
  <c r="O362" i="1"/>
  <c r="Y670" i="55" s="1"/>
  <c r="R205" i="1"/>
  <c r="X320" i="19"/>
  <c r="I320" i="19" s="1"/>
  <c r="O334" i="1"/>
  <c r="Y642" i="55" s="1"/>
  <c r="T186" i="69"/>
  <c r="U186" i="69"/>
  <c r="X186" i="69" s="1"/>
  <c r="O186" i="69"/>
  <c r="AC347" i="58"/>
  <c r="Z301" i="56"/>
  <c r="O182" i="1"/>
  <c r="E112" i="49"/>
  <c r="S42" i="54"/>
  <c r="U42" i="54" s="1"/>
  <c r="M393" i="58"/>
  <c r="AL393" i="58"/>
  <c r="V166" i="58"/>
  <c r="M375" i="58"/>
  <c r="AL375" i="58"/>
  <c r="AD394" i="58"/>
  <c r="N394" i="58" s="1"/>
  <c r="P284" i="1"/>
  <c r="AG394" i="58" s="1"/>
  <c r="AD364" i="58"/>
  <c r="AA316" i="56"/>
  <c r="P208" i="1"/>
  <c r="X616" i="55"/>
  <c r="P308" i="1"/>
  <c r="AA616" i="55" s="1"/>
  <c r="V224" i="69"/>
  <c r="P224" i="69"/>
  <c r="P352" i="1"/>
  <c r="AA660" i="55" s="1"/>
  <c r="Y329" i="19"/>
  <c r="K329" i="19" s="1"/>
  <c r="P348" i="1"/>
  <c r="AA656" i="55" s="1"/>
  <c r="AA326" i="56"/>
  <c r="AD375" i="58"/>
  <c r="P244" i="1"/>
  <c r="AD353" i="58"/>
  <c r="AA306" i="56"/>
  <c r="P186" i="1"/>
  <c r="Y351" i="19"/>
  <c r="Z441" i="61"/>
  <c r="AD467" i="58"/>
  <c r="O32" i="66"/>
  <c r="I32" i="66" s="1"/>
  <c r="W757" i="55"/>
  <c r="Y401" i="19"/>
  <c r="P379" i="1"/>
  <c r="AA687" i="55" s="1"/>
  <c r="V692" i="55"/>
  <c r="O384" i="1"/>
  <c r="T276" i="69"/>
  <c r="U276" i="69"/>
  <c r="O276" i="69"/>
  <c r="AC386" i="58"/>
  <c r="Z335" i="56"/>
  <c r="O269" i="1"/>
  <c r="AC354" i="58"/>
  <c r="Z307" i="56"/>
  <c r="O187" i="1"/>
  <c r="O380" i="1"/>
  <c r="Y688" i="55" s="1"/>
  <c r="O382" i="1"/>
  <c r="Y690" i="55" s="1"/>
  <c r="O371" i="1"/>
  <c r="Y679" i="55" s="1"/>
  <c r="Z334" i="56"/>
  <c r="AC385" i="58"/>
  <c r="O267" i="1"/>
  <c r="U248" i="69"/>
  <c r="T248" i="69"/>
  <c r="O248" i="69"/>
  <c r="M388" i="58"/>
  <c r="AL388" i="58"/>
  <c r="G17" i="61"/>
  <c r="J70" i="61"/>
  <c r="J76" i="61" s="1"/>
  <c r="J21" i="61"/>
  <c r="P17" i="61"/>
  <c r="AA313" i="56"/>
  <c r="AD361" i="58"/>
  <c r="P203" i="1"/>
  <c r="Z322" i="56"/>
  <c r="AC371" i="58"/>
  <c r="O233" i="1"/>
  <c r="AD372" i="58"/>
  <c r="AA323" i="56"/>
  <c r="P235" i="1"/>
  <c r="P371" i="1"/>
  <c r="AA679" i="55" s="1"/>
  <c r="AD349" i="58"/>
  <c r="AA302" i="56"/>
  <c r="P183" i="1"/>
  <c r="V226" i="69"/>
  <c r="P226" i="69"/>
  <c r="AD357" i="58"/>
  <c r="AA310" i="56"/>
  <c r="P197" i="1"/>
  <c r="Y313" i="19"/>
  <c r="K313" i="19" s="1"/>
  <c r="P315" i="1"/>
  <c r="AA623" i="55" s="1"/>
  <c r="AD374" i="58"/>
  <c r="AA325" i="56"/>
  <c r="P243" i="1"/>
  <c r="AD379" i="58"/>
  <c r="AA329" i="56"/>
  <c r="P252" i="1"/>
  <c r="P380" i="1"/>
  <c r="AA688" i="55" s="1"/>
  <c r="AD354" i="58"/>
  <c r="AA307" i="56"/>
  <c r="P187" i="1"/>
  <c r="V202" i="69"/>
  <c r="P202" i="69"/>
  <c r="V698" i="55"/>
  <c r="O390" i="1"/>
  <c r="T228" i="69"/>
  <c r="U228" i="69"/>
  <c r="O228" i="69"/>
  <c r="V601" i="55"/>
  <c r="O293" i="1"/>
  <c r="T202" i="69"/>
  <c r="U202" i="69"/>
  <c r="O202" i="69"/>
  <c r="X317" i="19"/>
  <c r="I317" i="19" s="1"/>
  <c r="O328" i="1"/>
  <c r="Y636" i="55" s="1"/>
  <c r="U222" i="69"/>
  <c r="T222" i="69"/>
  <c r="O222" i="69"/>
  <c r="X306" i="19"/>
  <c r="I306" i="19" s="1"/>
  <c r="V613" i="55"/>
  <c r="O305" i="1"/>
  <c r="X321" i="19"/>
  <c r="I321" i="19" s="1"/>
  <c r="O335" i="1"/>
  <c r="Y643" i="55" s="1"/>
  <c r="AC387" i="58"/>
  <c r="Z336" i="56"/>
  <c r="O271" i="1"/>
  <c r="O17" i="61"/>
  <c r="DM17" i="61"/>
  <c r="F17" i="61"/>
  <c r="I70" i="61"/>
  <c r="I76" i="61" s="1"/>
  <c r="T17" i="61"/>
  <c r="V17" i="61" s="1"/>
  <c r="I21" i="61"/>
  <c r="DM21" i="61" s="1"/>
  <c r="R44" i="54"/>
  <c r="AD391" i="58"/>
  <c r="N391" i="58" s="1"/>
  <c r="P282" i="1"/>
  <c r="AG391" i="58" s="1"/>
  <c r="V187" i="69"/>
  <c r="Y187" i="69" s="1"/>
  <c r="P187" i="69"/>
  <c r="V271" i="69"/>
  <c r="P271" i="69"/>
  <c r="Y330" i="19"/>
  <c r="K330" i="19" s="1"/>
  <c r="P349" i="1"/>
  <c r="AA657" i="55" s="1"/>
  <c r="V203" i="69"/>
  <c r="P203" i="69"/>
  <c r="AA322" i="56"/>
  <c r="AD371" i="58"/>
  <c r="P233" i="1"/>
  <c r="V695" i="55"/>
  <c r="O387" i="1"/>
  <c r="AC367" i="58"/>
  <c r="Z319" i="56"/>
  <c r="O226" i="1"/>
  <c r="R250" i="1"/>
  <c r="AC374" i="58"/>
  <c r="Z325" i="56"/>
  <c r="O243" i="1"/>
  <c r="V602" i="55"/>
  <c r="O294" i="1"/>
  <c r="AC362" i="58"/>
  <c r="Z314" i="56"/>
  <c r="O204" i="1"/>
  <c r="T227" i="69"/>
  <c r="U227" i="69"/>
  <c r="O227" i="69"/>
  <c r="O369" i="1"/>
  <c r="Y677" i="55" s="1"/>
  <c r="T200" i="69"/>
  <c r="U200" i="69"/>
  <c r="O200" i="69"/>
  <c r="J319" i="56"/>
  <c r="J206" i="56" s="1"/>
  <c r="AI319" i="56"/>
  <c r="M353" i="58"/>
  <c r="AL353" i="58"/>
  <c r="M380" i="58"/>
  <c r="AL380" i="58"/>
  <c r="V276" i="69"/>
  <c r="P276" i="69"/>
  <c r="U24" i="54"/>
  <c r="H20" i="54"/>
  <c r="U251" i="69"/>
  <c r="T251" i="69"/>
  <c r="O251" i="69"/>
  <c r="X307" i="19"/>
  <c r="I307" i="19" s="1"/>
  <c r="V614" i="55"/>
  <c r="O306" i="1"/>
  <c r="S37" i="54"/>
  <c r="S43" i="54"/>
  <c r="F8" i="54"/>
  <c r="S54" i="54"/>
  <c r="S60" i="54" s="1"/>
  <c r="F24" i="54"/>
  <c r="S57" i="54"/>
  <c r="S63" i="54" s="1"/>
  <c r="T188" i="69"/>
  <c r="U188" i="69"/>
  <c r="X188" i="69" s="1"/>
  <c r="O188" i="69"/>
  <c r="J316" i="56"/>
  <c r="AI316" i="56"/>
  <c r="X692" i="55"/>
  <c r="P384" i="1"/>
  <c r="AA692" i="55" s="1"/>
  <c r="Y311" i="19"/>
  <c r="K311" i="19" s="1"/>
  <c r="P313" i="1"/>
  <c r="AA621" i="55" s="1"/>
  <c r="V252" i="69"/>
  <c r="P252" i="69"/>
  <c r="Y301" i="19"/>
  <c r="K301" i="19" s="1"/>
  <c r="X599" i="55"/>
  <c r="P291" i="1"/>
  <c r="Y339" i="19"/>
  <c r="K339" i="19" s="1"/>
  <c r="P366" i="1"/>
  <c r="AA674" i="55" s="1"/>
  <c r="Y321" i="19"/>
  <c r="K321" i="19" s="1"/>
  <c r="P335" i="1"/>
  <c r="AA643" i="55" s="1"/>
  <c r="X602" i="55"/>
  <c r="P294" i="1"/>
  <c r="AA602" i="55" s="1"/>
  <c r="AD383" i="58"/>
  <c r="AA333" i="56"/>
  <c r="P263" i="1"/>
  <c r="V691" i="55"/>
  <c r="N33" i="66"/>
  <c r="H33" i="66" s="1"/>
  <c r="O383" i="1"/>
  <c r="O351" i="1"/>
  <c r="Y659" i="55" s="1"/>
  <c r="O309" i="1"/>
  <c r="Y617" i="55" s="1"/>
  <c r="T274" i="69"/>
  <c r="U274" i="69"/>
  <c r="O274" i="69"/>
  <c r="U271" i="69"/>
  <c r="T271" i="69"/>
  <c r="O271" i="69"/>
  <c r="Z315" i="56"/>
  <c r="AC363" i="58"/>
  <c r="O207" i="1"/>
  <c r="Z329" i="56"/>
  <c r="AC379" i="58"/>
  <c r="O252" i="1"/>
  <c r="X313" i="19"/>
  <c r="I313" i="19" s="1"/>
  <c r="O315" i="1"/>
  <c r="Y623" i="55" s="1"/>
  <c r="AE322" i="56"/>
  <c r="AH371" i="58"/>
  <c r="J336" i="56"/>
  <c r="AI336" i="56"/>
  <c r="M250" i="58"/>
  <c r="P391" i="58"/>
  <c r="J315" i="56"/>
  <c r="AI315" i="56"/>
  <c r="S56" i="54"/>
  <c r="S62" i="54" s="1"/>
  <c r="F19" i="54"/>
  <c r="M599" i="55" l="1"/>
  <c r="R378" i="1"/>
  <c r="AM686" i="55"/>
  <c r="AH686" i="55"/>
  <c r="I686" i="55" s="1"/>
  <c r="AM680" i="55"/>
  <c r="Q302" i="19"/>
  <c r="M455" i="55"/>
  <c r="M338" i="55" s="1"/>
  <c r="J338" i="55"/>
  <c r="J42" i="55" s="1"/>
  <c r="M42" i="55" s="1"/>
  <c r="M451" i="55"/>
  <c r="M330" i="55" s="1"/>
  <c r="J330" i="55"/>
  <c r="J29" i="55" s="1"/>
  <c r="J175" i="55" s="1"/>
  <c r="M448" i="55"/>
  <c r="M321" i="55" s="1"/>
  <c r="J321" i="55"/>
  <c r="J20" i="55" s="1"/>
  <c r="J167" i="55" s="1"/>
  <c r="M454" i="55"/>
  <c r="M333" i="55" s="1"/>
  <c r="J333" i="55"/>
  <c r="J37" i="55" s="1"/>
  <c r="M442" i="55"/>
  <c r="M324" i="55" s="1"/>
  <c r="J324" i="55"/>
  <c r="J23" i="55" s="1"/>
  <c r="J138" i="55" s="1"/>
  <c r="M445" i="55"/>
  <c r="M327" i="55" s="1"/>
  <c r="J327" i="55"/>
  <c r="J26" i="55" s="1"/>
  <c r="J150" i="55" s="1"/>
  <c r="M452" i="55"/>
  <c r="M331" i="55" s="1"/>
  <c r="J331" i="55"/>
  <c r="J30" i="55" s="1"/>
  <c r="J185" i="55" s="1"/>
  <c r="M453" i="55"/>
  <c r="M332" i="55" s="1"/>
  <c r="J332" i="55"/>
  <c r="J31" i="55" s="1"/>
  <c r="J186" i="55" s="1"/>
  <c r="M490" i="55"/>
  <c r="M369" i="55" s="1"/>
  <c r="J369" i="55"/>
  <c r="J78" i="55" s="1"/>
  <c r="J179" i="55" s="1"/>
  <c r="M509" i="55"/>
  <c r="M388" i="55" s="1"/>
  <c r="J388" i="55"/>
  <c r="J102" i="55" s="1"/>
  <c r="M440" i="55"/>
  <c r="M323" i="55" s="1"/>
  <c r="J323" i="55"/>
  <c r="J22" i="55" s="1"/>
  <c r="M450" i="55"/>
  <c r="M329" i="55" s="1"/>
  <c r="J329" i="55"/>
  <c r="J28" i="55" s="1"/>
  <c r="J174" i="55" s="1"/>
  <c r="M449" i="55"/>
  <c r="M322" i="55" s="1"/>
  <c r="J322" i="55"/>
  <c r="J21" i="55" s="1"/>
  <c r="J168" i="55" s="1"/>
  <c r="M522" i="55"/>
  <c r="M391" i="55" s="1"/>
  <c r="J391" i="55"/>
  <c r="J110" i="55" s="1"/>
  <c r="J166" i="55" s="1"/>
  <c r="M441" i="55"/>
  <c r="M328" i="55" s="1"/>
  <c r="J328" i="55"/>
  <c r="J27" i="55" s="1"/>
  <c r="M447" i="55"/>
  <c r="M320" i="55" s="1"/>
  <c r="J320" i="55"/>
  <c r="J19" i="55" s="1"/>
  <c r="J161" i="55" s="1"/>
  <c r="M446" i="55"/>
  <c r="M319" i="55" s="1"/>
  <c r="J319" i="55"/>
  <c r="J18" i="55" s="1"/>
  <c r="J160" i="55" s="1"/>
  <c r="M489" i="55"/>
  <c r="M358" i="55" s="1"/>
  <c r="J358" i="55"/>
  <c r="J67" i="55" s="1"/>
  <c r="J171" i="55" s="1"/>
  <c r="M443" i="55"/>
  <c r="M325" i="55" s="1"/>
  <c r="J325" i="55"/>
  <c r="J24" i="55" s="1"/>
  <c r="J139" i="55" s="1"/>
  <c r="M507" i="55"/>
  <c r="M386" i="55" s="1"/>
  <c r="J386" i="55"/>
  <c r="J100" i="55" s="1"/>
  <c r="J181" i="55" s="1"/>
  <c r="L686" i="55"/>
  <c r="I527" i="55"/>
  <c r="M686" i="55"/>
  <c r="J527" i="55"/>
  <c r="M684" i="55"/>
  <c r="J525" i="55"/>
  <c r="J516" i="55"/>
  <c r="J401" i="55" s="1"/>
  <c r="J120" i="55" s="1"/>
  <c r="M669" i="55"/>
  <c r="J510" i="55"/>
  <c r="L669" i="55"/>
  <c r="I510" i="55"/>
  <c r="M667" i="55"/>
  <c r="J508" i="55"/>
  <c r="L652" i="55"/>
  <c r="I493" i="55"/>
  <c r="M652" i="55"/>
  <c r="J493" i="55"/>
  <c r="M650" i="55"/>
  <c r="J491" i="55"/>
  <c r="L635" i="55"/>
  <c r="I476" i="55"/>
  <c r="M635" i="55"/>
  <c r="J476" i="55"/>
  <c r="M632" i="55"/>
  <c r="J473" i="55"/>
  <c r="AL675" i="55"/>
  <c r="AJ675" i="55" s="1"/>
  <c r="K675" i="55" s="1"/>
  <c r="AM675" i="55"/>
  <c r="R367" i="1"/>
  <c r="R372" i="1"/>
  <c r="AJ686" i="55"/>
  <c r="AL680" i="55"/>
  <c r="AJ680" i="55" s="1"/>
  <c r="K680" i="55" s="1"/>
  <c r="K521" i="55" s="1"/>
  <c r="K399" i="55" s="1"/>
  <c r="K118" i="55" s="1"/>
  <c r="K159" i="55" s="1"/>
  <c r="AM684" i="55"/>
  <c r="AL684" i="55"/>
  <c r="AH684" i="55"/>
  <c r="I684" i="55" s="1"/>
  <c r="Y684" i="55"/>
  <c r="R376" i="1"/>
  <c r="I680" i="55"/>
  <c r="AL669" i="55"/>
  <c r="AJ669" i="55" s="1"/>
  <c r="AK669" i="55" s="1"/>
  <c r="AM669" i="55"/>
  <c r="R361" i="1"/>
  <c r="M521" i="55"/>
  <c r="M399" i="55" s="1"/>
  <c r="R327" i="1"/>
  <c r="AH678" i="55"/>
  <c r="AM678" i="55"/>
  <c r="AL678" i="55"/>
  <c r="R370" i="1"/>
  <c r="Y678" i="55"/>
  <c r="J519" i="55"/>
  <c r="J397" i="55" s="1"/>
  <c r="J116" i="55" s="1"/>
  <c r="J148" i="55" s="1"/>
  <c r="M678" i="55"/>
  <c r="AL652" i="55"/>
  <c r="AJ652" i="55" s="1"/>
  <c r="AK652" i="55" s="1"/>
  <c r="R344" i="1"/>
  <c r="AM652" i="55"/>
  <c r="AL635" i="55"/>
  <c r="AJ635" i="55" s="1"/>
  <c r="AK635" i="55" s="1"/>
  <c r="AM635" i="55"/>
  <c r="AH667" i="55"/>
  <c r="I667" i="55" s="1"/>
  <c r="AL667" i="55"/>
  <c r="AM667" i="55"/>
  <c r="Y667" i="55"/>
  <c r="R359" i="1"/>
  <c r="AM632" i="55"/>
  <c r="J471" i="55"/>
  <c r="Y650" i="55"/>
  <c r="R342" i="1"/>
  <c r="AH650" i="55"/>
  <c r="I650" i="55" s="1"/>
  <c r="AM650" i="55"/>
  <c r="AL650" i="55"/>
  <c r="AH632" i="55"/>
  <c r="I632" i="55" s="1"/>
  <c r="AL632" i="55"/>
  <c r="R324" i="1"/>
  <c r="Y632" i="55"/>
  <c r="J492" i="55"/>
  <c r="Q307" i="19"/>
  <c r="M613" i="55"/>
  <c r="M649" i="55"/>
  <c r="M666" i="55"/>
  <c r="Q321" i="19"/>
  <c r="J462" i="55"/>
  <c r="G411" i="1"/>
  <c r="AC310" i="19"/>
  <c r="AL651" i="55"/>
  <c r="AJ651" i="55" s="1"/>
  <c r="K651" i="55" s="1"/>
  <c r="J468" i="55"/>
  <c r="AM651" i="55"/>
  <c r="M668" i="55"/>
  <c r="M648" i="55"/>
  <c r="J470" i="55"/>
  <c r="G412" i="1"/>
  <c r="H412" i="1" s="1"/>
  <c r="M600" i="55"/>
  <c r="AM628" i="55"/>
  <c r="J524" i="55"/>
  <c r="AL648" i="55"/>
  <c r="J523" i="55"/>
  <c r="AH648" i="55"/>
  <c r="I648" i="55" s="1"/>
  <c r="I489" i="55" s="1"/>
  <c r="M681" i="55"/>
  <c r="AL629" i="55"/>
  <c r="AJ629" i="55" s="1"/>
  <c r="K629" i="55" s="1"/>
  <c r="J469" i="55"/>
  <c r="AM630" i="55"/>
  <c r="AL627" i="55"/>
  <c r="AJ627" i="55" s="1"/>
  <c r="K627" i="55" s="1"/>
  <c r="AL633" i="55"/>
  <c r="AJ633" i="55" s="1"/>
  <c r="K633" i="55" s="1"/>
  <c r="AL649" i="55"/>
  <c r="J467" i="55"/>
  <c r="AM629" i="55"/>
  <c r="AM626" i="55"/>
  <c r="AL630" i="55"/>
  <c r="AJ630" i="55" s="1"/>
  <c r="K630" i="55" s="1"/>
  <c r="AL685" i="55"/>
  <c r="AJ685" i="55" s="1"/>
  <c r="AM664" i="55"/>
  <c r="AM648" i="55"/>
  <c r="G409" i="1"/>
  <c r="AL666" i="55"/>
  <c r="AJ666" i="55" s="1"/>
  <c r="AL660" i="55"/>
  <c r="AL628" i="55"/>
  <c r="AH628" i="55"/>
  <c r="I628" i="55" s="1"/>
  <c r="L628" i="55" s="1"/>
  <c r="J526" i="55"/>
  <c r="AM665" i="55"/>
  <c r="AL683" i="55"/>
  <c r="AJ683" i="55" s="1"/>
  <c r="AL621" i="55"/>
  <c r="AJ621" i="55" s="1"/>
  <c r="AM666" i="55"/>
  <c r="AM685" i="55"/>
  <c r="AH649" i="55"/>
  <c r="I649" i="55" s="1"/>
  <c r="L649" i="55" s="1"/>
  <c r="AM649" i="55"/>
  <c r="AH660" i="55"/>
  <c r="I660" i="55" s="1"/>
  <c r="I501" i="55" s="1"/>
  <c r="AL634" i="55"/>
  <c r="AJ634" i="55" s="1"/>
  <c r="AM660" i="55"/>
  <c r="AM683" i="55"/>
  <c r="J475" i="55"/>
  <c r="AM668" i="55"/>
  <c r="J474" i="55"/>
  <c r="AM682" i="55"/>
  <c r="AM621" i="55"/>
  <c r="AM633" i="55"/>
  <c r="AM647" i="55"/>
  <c r="AL665" i="55"/>
  <c r="AJ665" i="55" s="1"/>
  <c r="J488" i="55"/>
  <c r="AM634" i="55"/>
  <c r="J506" i="55"/>
  <c r="AL668" i="55"/>
  <c r="AJ668" i="55" s="1"/>
  <c r="AL626" i="55"/>
  <c r="AJ626" i="55" s="1"/>
  <c r="K626" i="55" s="1"/>
  <c r="AL682" i="55"/>
  <c r="AJ682" i="55" s="1"/>
  <c r="J505" i="55"/>
  <c r="AL664" i="55"/>
  <c r="AJ664" i="55" s="1"/>
  <c r="J472" i="55"/>
  <c r="AL647" i="55"/>
  <c r="AJ647" i="55" s="1"/>
  <c r="AM631" i="55"/>
  <c r="AL631" i="55"/>
  <c r="AJ631" i="55" s="1"/>
  <c r="AM681" i="55"/>
  <c r="AL681" i="55"/>
  <c r="AJ681" i="55" s="1"/>
  <c r="K681" i="55" s="1"/>
  <c r="AM627" i="55"/>
  <c r="G406" i="1"/>
  <c r="AL636" i="55"/>
  <c r="AJ636" i="55" s="1"/>
  <c r="K636" i="55" s="1"/>
  <c r="AM636" i="55"/>
  <c r="AL674" i="55"/>
  <c r="AJ674" i="55" s="1"/>
  <c r="K674" i="55" s="1"/>
  <c r="Q313" i="19"/>
  <c r="J222" i="19"/>
  <c r="J59" i="19" s="1"/>
  <c r="AL619" i="55"/>
  <c r="AJ619" i="55" s="1"/>
  <c r="K619" i="55" s="1"/>
  <c r="AL659" i="55"/>
  <c r="AJ659" i="55" s="1"/>
  <c r="AL679" i="55"/>
  <c r="AJ679" i="55" s="1"/>
  <c r="J351" i="19"/>
  <c r="J244" i="19" s="1"/>
  <c r="J109" i="19" s="1"/>
  <c r="AM673" i="55"/>
  <c r="M603" i="55"/>
  <c r="J444" i="55"/>
  <c r="M615" i="55"/>
  <c r="J456" i="55"/>
  <c r="J339" i="55" s="1"/>
  <c r="J43" i="55" s="1"/>
  <c r="M43" i="55" s="1"/>
  <c r="L645" i="55"/>
  <c r="I486" i="55"/>
  <c r="M638" i="55"/>
  <c r="J479" i="55"/>
  <c r="J360" i="55" s="1"/>
  <c r="J69" i="55" s="1"/>
  <c r="L627" i="55"/>
  <c r="I468" i="55"/>
  <c r="L653" i="55"/>
  <c r="I494" i="55"/>
  <c r="L664" i="55"/>
  <c r="I505" i="55"/>
  <c r="L685" i="55"/>
  <c r="I526" i="55"/>
  <c r="M688" i="55"/>
  <c r="J529" i="55"/>
  <c r="M673" i="55"/>
  <c r="J514" i="55"/>
  <c r="L624" i="55"/>
  <c r="I465" i="55"/>
  <c r="M640" i="55"/>
  <c r="J481" i="55"/>
  <c r="M677" i="55"/>
  <c r="J518" i="55"/>
  <c r="L668" i="55"/>
  <c r="I509" i="55"/>
  <c r="L682" i="55"/>
  <c r="I523" i="55"/>
  <c r="M619" i="55"/>
  <c r="J460" i="55"/>
  <c r="L676" i="55"/>
  <c r="I517" i="55"/>
  <c r="L662" i="55"/>
  <c r="I503" i="55"/>
  <c r="L675" i="55"/>
  <c r="I516" i="55"/>
  <c r="I401" i="55" s="1"/>
  <c r="I120" i="55" s="1"/>
  <c r="L647" i="55"/>
  <c r="I488" i="55"/>
  <c r="M618" i="55"/>
  <c r="J459" i="55"/>
  <c r="J348" i="55" s="1"/>
  <c r="J52" i="55" s="1"/>
  <c r="M52" i="55" s="1"/>
  <c r="M622" i="55"/>
  <c r="J463" i="55"/>
  <c r="J343" i="55" s="1"/>
  <c r="J47" i="55" s="1"/>
  <c r="M659" i="55"/>
  <c r="J500" i="55"/>
  <c r="L654" i="55"/>
  <c r="I495" i="55"/>
  <c r="L651" i="55"/>
  <c r="I492" i="55"/>
  <c r="M645" i="55"/>
  <c r="J486" i="55"/>
  <c r="M654" i="55"/>
  <c r="J495" i="55"/>
  <c r="L629" i="55"/>
  <c r="I470" i="55"/>
  <c r="L639" i="55"/>
  <c r="I480" i="55"/>
  <c r="M670" i="55"/>
  <c r="J511" i="55"/>
  <c r="M689" i="55"/>
  <c r="J530" i="55"/>
  <c r="M642" i="55"/>
  <c r="J483" i="55"/>
  <c r="L626" i="55"/>
  <c r="I467" i="55"/>
  <c r="L666" i="55"/>
  <c r="I507" i="55"/>
  <c r="L630" i="55"/>
  <c r="I471" i="55"/>
  <c r="L633" i="55"/>
  <c r="I474" i="55"/>
  <c r="L637" i="55"/>
  <c r="I478" i="55"/>
  <c r="M671" i="55"/>
  <c r="J512" i="55"/>
  <c r="L621" i="55"/>
  <c r="I462" i="55"/>
  <c r="M625" i="55"/>
  <c r="J466" i="55"/>
  <c r="J346" i="55" s="1"/>
  <c r="J50" i="55" s="1"/>
  <c r="M662" i="55"/>
  <c r="J503" i="55"/>
  <c r="M653" i="55"/>
  <c r="J494" i="55"/>
  <c r="M617" i="55"/>
  <c r="J458" i="55"/>
  <c r="M620" i="55"/>
  <c r="J461" i="55"/>
  <c r="L689" i="55"/>
  <c r="I530" i="55"/>
  <c r="L671" i="55"/>
  <c r="I512" i="55"/>
  <c r="M661" i="55"/>
  <c r="J502" i="55"/>
  <c r="J380" i="55" s="1"/>
  <c r="J94" i="55" s="1"/>
  <c r="J146" i="55" s="1"/>
  <c r="L617" i="55"/>
  <c r="I458" i="55"/>
  <c r="L623" i="55"/>
  <c r="I464" i="55"/>
  <c r="M676" i="55"/>
  <c r="J517" i="55"/>
  <c r="L665" i="55"/>
  <c r="I506" i="55"/>
  <c r="L659" i="55"/>
  <c r="I500" i="55"/>
  <c r="L677" i="55"/>
  <c r="I518" i="55"/>
  <c r="L643" i="55"/>
  <c r="I484" i="55"/>
  <c r="L631" i="55"/>
  <c r="I472" i="55"/>
  <c r="L634" i="55"/>
  <c r="I475" i="55"/>
  <c r="M679" i="55"/>
  <c r="J520" i="55"/>
  <c r="M656" i="55"/>
  <c r="J497" i="55"/>
  <c r="AM659" i="55"/>
  <c r="L674" i="55"/>
  <c r="I515" i="55"/>
  <c r="L679" i="55"/>
  <c r="I520" i="55"/>
  <c r="L640" i="55"/>
  <c r="I481" i="55"/>
  <c r="M641" i="55"/>
  <c r="J482" i="55"/>
  <c r="J367" i="55" s="1"/>
  <c r="J76" i="55" s="1"/>
  <c r="M644" i="55"/>
  <c r="J485" i="55"/>
  <c r="J363" i="55" s="1"/>
  <c r="J72" i="55" s="1"/>
  <c r="J144" i="55" s="1"/>
  <c r="L690" i="55"/>
  <c r="I531" i="55"/>
  <c r="L687" i="55"/>
  <c r="I528" i="55"/>
  <c r="M636" i="55"/>
  <c r="J477" i="55"/>
  <c r="R336" i="1"/>
  <c r="AM619" i="55"/>
  <c r="M690" i="55"/>
  <c r="J531" i="55"/>
  <c r="L673" i="55"/>
  <c r="I514" i="55"/>
  <c r="M646" i="55"/>
  <c r="J487" i="55"/>
  <c r="J365" i="55" s="1"/>
  <c r="J74" i="55" s="1"/>
  <c r="J155" i="55" s="1"/>
  <c r="L636" i="55"/>
  <c r="I477" i="55"/>
  <c r="L688" i="55"/>
  <c r="I529" i="55"/>
  <c r="M674" i="55"/>
  <c r="J515" i="55"/>
  <c r="M657" i="55"/>
  <c r="J498" i="55"/>
  <c r="L656" i="55"/>
  <c r="I497" i="55"/>
  <c r="L683" i="55"/>
  <c r="I524" i="55"/>
  <c r="M637" i="55"/>
  <c r="J478" i="55"/>
  <c r="M687" i="55"/>
  <c r="J528" i="55"/>
  <c r="AL688" i="55"/>
  <c r="AJ688" i="55" s="1"/>
  <c r="M660" i="55"/>
  <c r="J501" i="55"/>
  <c r="M663" i="55"/>
  <c r="J504" i="55"/>
  <c r="J382" i="55" s="1"/>
  <c r="J96" i="55" s="1"/>
  <c r="J157" i="55" s="1"/>
  <c r="M672" i="55"/>
  <c r="J513" i="55"/>
  <c r="J394" i="55" s="1"/>
  <c r="J113" i="55" s="1"/>
  <c r="M624" i="55"/>
  <c r="J465" i="55"/>
  <c r="L619" i="55"/>
  <c r="I460" i="55"/>
  <c r="AM688" i="55"/>
  <c r="L681" i="55"/>
  <c r="I522" i="55"/>
  <c r="M658" i="55"/>
  <c r="J499" i="55"/>
  <c r="J384" i="55" s="1"/>
  <c r="J98" i="55" s="1"/>
  <c r="L620" i="55"/>
  <c r="I461" i="55"/>
  <c r="M655" i="55"/>
  <c r="J496" i="55"/>
  <c r="J377" i="55" s="1"/>
  <c r="J91" i="55" s="1"/>
  <c r="L670" i="55"/>
  <c r="I511" i="55"/>
  <c r="L642" i="55"/>
  <c r="I483" i="55"/>
  <c r="M639" i="55"/>
  <c r="J480" i="55"/>
  <c r="L657" i="55"/>
  <c r="I498" i="55"/>
  <c r="R333" i="1"/>
  <c r="R364" i="1"/>
  <c r="AM617" i="55"/>
  <c r="J643" i="55"/>
  <c r="J616" i="55"/>
  <c r="AL617" i="55"/>
  <c r="AJ617" i="55" s="1"/>
  <c r="K617" i="55" s="1"/>
  <c r="AL620" i="55"/>
  <c r="AJ620" i="55" s="1"/>
  <c r="K620" i="55" s="1"/>
  <c r="AM662" i="55"/>
  <c r="J623" i="55"/>
  <c r="R314" i="1"/>
  <c r="R310" i="1"/>
  <c r="R317" i="1"/>
  <c r="R338" i="1"/>
  <c r="AM674" i="55"/>
  <c r="AM657" i="55"/>
  <c r="AM677" i="55"/>
  <c r="AL662" i="55"/>
  <c r="AJ662" i="55" s="1"/>
  <c r="AL657" i="55"/>
  <c r="AJ657" i="55" s="1"/>
  <c r="AL677" i="55"/>
  <c r="AJ677" i="55" s="1"/>
  <c r="AL639" i="55"/>
  <c r="AJ639" i="55" s="1"/>
  <c r="R347" i="1"/>
  <c r="AM637" i="55"/>
  <c r="AM679" i="55"/>
  <c r="AL637" i="55"/>
  <c r="AJ637" i="55" s="1"/>
  <c r="AH618" i="55"/>
  <c r="I618" i="55" s="1"/>
  <c r="AL618" i="55"/>
  <c r="AM618" i="55"/>
  <c r="AM656" i="55"/>
  <c r="AC352" i="19"/>
  <c r="Z689" i="55"/>
  <c r="AL656" i="55"/>
  <c r="AJ656" i="55" s="1"/>
  <c r="AC314" i="19"/>
  <c r="Z624" i="55"/>
  <c r="AM623" i="55"/>
  <c r="AM690" i="55"/>
  <c r="AM653" i="55"/>
  <c r="R353" i="1"/>
  <c r="AM645" i="55"/>
  <c r="AL623" i="55"/>
  <c r="AJ623" i="55" s="1"/>
  <c r="AL690" i="55"/>
  <c r="AJ690" i="55" s="1"/>
  <c r="AM671" i="55"/>
  <c r="AC317" i="19"/>
  <c r="Z636" i="55"/>
  <c r="AL645" i="55"/>
  <c r="AJ645" i="55" s="1"/>
  <c r="AL644" i="55"/>
  <c r="AM644" i="55"/>
  <c r="AH644" i="55"/>
  <c r="I644" i="55" s="1"/>
  <c r="AL653" i="55"/>
  <c r="AJ653" i="55" s="1"/>
  <c r="AH646" i="55"/>
  <c r="I646" i="55" s="1"/>
  <c r="AL646" i="55"/>
  <c r="AM646" i="55"/>
  <c r="AL671" i="55"/>
  <c r="AJ671" i="55" s="1"/>
  <c r="AC332" i="19"/>
  <c r="Z662" i="55"/>
  <c r="AC341" i="19"/>
  <c r="Z676" i="55"/>
  <c r="AM622" i="55"/>
  <c r="AH622" i="55"/>
  <c r="I622" i="55" s="1"/>
  <c r="AL622" i="55"/>
  <c r="AM658" i="55"/>
  <c r="AH658" i="55"/>
  <c r="I658" i="55" s="1"/>
  <c r="AL658" i="55"/>
  <c r="AM624" i="55"/>
  <c r="AC351" i="19"/>
  <c r="Z687" i="55"/>
  <c r="AM670" i="55"/>
  <c r="AL624" i="55"/>
  <c r="AJ624" i="55" s="1"/>
  <c r="AH638" i="55"/>
  <c r="I638" i="55" s="1"/>
  <c r="AL638" i="55"/>
  <c r="AM638" i="55"/>
  <c r="AL673" i="55"/>
  <c r="AJ673" i="55" s="1"/>
  <c r="AL670" i="55"/>
  <c r="AJ670" i="55" s="1"/>
  <c r="AM676" i="55"/>
  <c r="AL640" i="55"/>
  <c r="AJ640" i="55" s="1"/>
  <c r="AC311" i="19"/>
  <c r="Z621" i="55"/>
  <c r="AH663" i="55"/>
  <c r="I663" i="55" s="1"/>
  <c r="AL663" i="55"/>
  <c r="AM663" i="55"/>
  <c r="AL676" i="55"/>
  <c r="AJ676" i="55" s="1"/>
  <c r="R350" i="1"/>
  <c r="Z658" i="55"/>
  <c r="AM642" i="55"/>
  <c r="AM640" i="55"/>
  <c r="AM654" i="55"/>
  <c r="AC326" i="19"/>
  <c r="Z653" i="55"/>
  <c r="AH625" i="55"/>
  <c r="I625" i="55" s="1"/>
  <c r="AL625" i="55"/>
  <c r="AM625" i="55"/>
  <c r="AH655" i="55"/>
  <c r="I655" i="55" s="1"/>
  <c r="AM655" i="55"/>
  <c r="AL655" i="55"/>
  <c r="AM643" i="55"/>
  <c r="AL642" i="55"/>
  <c r="AJ642" i="55" s="1"/>
  <c r="R355" i="1"/>
  <c r="Z663" i="55"/>
  <c r="AM687" i="55"/>
  <c r="AM689" i="55"/>
  <c r="AL654" i="55"/>
  <c r="AJ654" i="55" s="1"/>
  <c r="R330" i="1"/>
  <c r="AH661" i="55"/>
  <c r="I661" i="55" s="1"/>
  <c r="AM661" i="55"/>
  <c r="AL661" i="55"/>
  <c r="AM620" i="55"/>
  <c r="AL643" i="55"/>
  <c r="AJ643" i="55" s="1"/>
  <c r="AH672" i="55"/>
  <c r="I672" i="55" s="1"/>
  <c r="AL672" i="55"/>
  <c r="AM672" i="55"/>
  <c r="AH641" i="55"/>
  <c r="I641" i="55" s="1"/>
  <c r="AL641" i="55"/>
  <c r="AM641" i="55"/>
  <c r="AL687" i="55"/>
  <c r="AJ687" i="55" s="1"/>
  <c r="AL689" i="55"/>
  <c r="AJ689" i="55" s="1"/>
  <c r="AM639" i="55"/>
  <c r="AL615" i="55"/>
  <c r="AH615" i="55"/>
  <c r="I615" i="55" s="1"/>
  <c r="AM615" i="55"/>
  <c r="R307" i="1"/>
  <c r="S354" i="1"/>
  <c r="S335" i="1"/>
  <c r="S313" i="1"/>
  <c r="MT210" i="69"/>
  <c r="MT247" i="69"/>
  <c r="MT192" i="69"/>
  <c r="MT243" i="69"/>
  <c r="MT205" i="69"/>
  <c r="MT245" i="69"/>
  <c r="MT204" i="69"/>
  <c r="MT251" i="69"/>
  <c r="MT282" i="69"/>
  <c r="MT283" i="69"/>
  <c r="MT193" i="69"/>
  <c r="MT216" i="69"/>
  <c r="MT272" i="69"/>
  <c r="MT195" i="69"/>
  <c r="MT255" i="69"/>
  <c r="MT242" i="69"/>
  <c r="MT228" i="69"/>
  <c r="MT201" i="69"/>
  <c r="MT253" i="69"/>
  <c r="MT244" i="69"/>
  <c r="MT203" i="69"/>
  <c r="MT227" i="69"/>
  <c r="MT223" i="69"/>
  <c r="MT214" i="69"/>
  <c r="MT219" i="69"/>
  <c r="MT270" i="69"/>
  <c r="MT291" i="69"/>
  <c r="MT190" i="69"/>
  <c r="MT225" i="69"/>
  <c r="MT246" i="69"/>
  <c r="MT285" i="69"/>
  <c r="MT250" i="69"/>
  <c r="MT233" i="69"/>
  <c r="MT235" i="69"/>
  <c r="MT259" i="69"/>
  <c r="R190" i="69"/>
  <c r="MT187" i="69"/>
  <c r="MT236" i="69"/>
  <c r="MT266" i="69"/>
  <c r="MT221" i="69"/>
  <c r="MT197" i="69"/>
  <c r="MT191" i="69"/>
  <c r="MT257" i="69"/>
  <c r="MT238" i="69"/>
  <c r="MT273" i="69"/>
  <c r="MT208" i="69"/>
  <c r="MT199" i="69"/>
  <c r="MT261" i="69"/>
  <c r="MT222" i="69"/>
  <c r="MT209" i="69"/>
  <c r="MT196" i="69"/>
  <c r="MT229" i="69"/>
  <c r="MT277" i="69"/>
  <c r="MT202" i="69"/>
  <c r="MT292" i="69"/>
  <c r="MT268" i="69"/>
  <c r="MT289" i="69"/>
  <c r="MT218" i="69"/>
  <c r="MT211" i="69"/>
  <c r="MT269" i="69"/>
  <c r="MT288" i="69"/>
  <c r="MT198" i="69"/>
  <c r="MT279" i="69"/>
  <c r="MT262" i="69"/>
  <c r="MT263" i="69"/>
  <c r="MT237" i="69"/>
  <c r="MT256" i="69"/>
  <c r="MT188" i="69"/>
  <c r="MT290" i="69"/>
  <c r="MT248" i="69"/>
  <c r="MT249" i="69"/>
  <c r="MT220" i="69"/>
  <c r="MT224" i="69"/>
  <c r="MT186" i="69"/>
  <c r="MT271" i="69"/>
  <c r="MT275" i="69"/>
  <c r="MT281" i="69"/>
  <c r="MT234" i="69"/>
  <c r="MT264" i="69"/>
  <c r="MT212" i="69"/>
  <c r="MT232" i="69"/>
  <c r="MT284" i="69"/>
  <c r="MT239" i="69"/>
  <c r="MT258" i="69"/>
  <c r="MT260" i="69"/>
  <c r="MT278" i="69"/>
  <c r="MR293" i="69"/>
  <c r="N44" i="53"/>
  <c r="MT207" i="69"/>
  <c r="MT226" i="69"/>
  <c r="MT213" i="69"/>
  <c r="MT231" i="69"/>
  <c r="MT265" i="69"/>
  <c r="MT206" i="69"/>
  <c r="MQ293" i="69"/>
  <c r="M44" i="53"/>
  <c r="MT252" i="69"/>
  <c r="MT280" i="69"/>
  <c r="MT194" i="69"/>
  <c r="MT286" i="69"/>
  <c r="MT287" i="69"/>
  <c r="MT230" i="69"/>
  <c r="MT189" i="69"/>
  <c r="MT240" i="69"/>
  <c r="MT276" i="69"/>
  <c r="MS293" i="69"/>
  <c r="O44" i="53"/>
  <c r="MT267" i="69"/>
  <c r="MT254" i="69"/>
  <c r="MT241" i="69"/>
  <c r="MT274" i="69"/>
  <c r="MT217" i="69"/>
  <c r="MT215" i="69"/>
  <c r="MT200" i="69"/>
  <c r="MT185" i="69"/>
  <c r="J19" i="53"/>
  <c r="J20" i="53"/>
  <c r="O19" i="53"/>
  <c r="L20" i="53"/>
  <c r="K20" i="53"/>
  <c r="K21" i="53"/>
  <c r="K19" i="53"/>
  <c r="N20" i="53"/>
  <c r="J18" i="53"/>
  <c r="O20" i="53"/>
  <c r="J21" i="53"/>
  <c r="O21" i="53"/>
  <c r="L21" i="53"/>
  <c r="L18" i="53"/>
  <c r="N18" i="53"/>
  <c r="L19" i="53"/>
  <c r="K18" i="53"/>
  <c r="N21" i="53"/>
  <c r="N19" i="53"/>
  <c r="O18" i="53"/>
  <c r="K8" i="53"/>
  <c r="L8" i="53"/>
  <c r="K6" i="53"/>
  <c r="O7" i="53"/>
  <c r="O6" i="53"/>
  <c r="N6" i="53"/>
  <c r="J6" i="53"/>
  <c r="J7" i="53"/>
  <c r="L7" i="53"/>
  <c r="N8" i="53"/>
  <c r="O8" i="53"/>
  <c r="N7" i="53"/>
  <c r="J5" i="53"/>
  <c r="K7" i="53"/>
  <c r="L155" i="53"/>
  <c r="L5" i="53"/>
  <c r="J8" i="53"/>
  <c r="K5" i="53"/>
  <c r="L6" i="53"/>
  <c r="R195" i="69"/>
  <c r="R189" i="69"/>
  <c r="R285" i="69"/>
  <c r="R196" i="69"/>
  <c r="R191" i="69"/>
  <c r="R193" i="69"/>
  <c r="R192" i="69"/>
  <c r="R260" i="69"/>
  <c r="R290" i="69"/>
  <c r="R283" i="69"/>
  <c r="R194" i="69"/>
  <c r="R257" i="69"/>
  <c r="R281" i="69"/>
  <c r="R292" i="69"/>
  <c r="R287" i="69"/>
  <c r="R279" i="69"/>
  <c r="R264" i="69"/>
  <c r="R277" i="69"/>
  <c r="R288" i="69"/>
  <c r="R280" i="69"/>
  <c r="R211" i="69"/>
  <c r="R268" i="69"/>
  <c r="R229" i="69"/>
  <c r="R278" i="69"/>
  <c r="R267" i="69"/>
  <c r="R258" i="69"/>
  <c r="R291" i="69"/>
  <c r="R289" i="69"/>
  <c r="R284" i="69"/>
  <c r="R282" i="69"/>
  <c r="R286" i="69"/>
  <c r="R254" i="69"/>
  <c r="R235" i="69"/>
  <c r="R255" i="69"/>
  <c r="R253" i="69"/>
  <c r="R261" i="69"/>
  <c r="R266" i="69"/>
  <c r="R265" i="69"/>
  <c r="R259" i="69"/>
  <c r="R241" i="69"/>
  <c r="R217" i="69"/>
  <c r="R262" i="69"/>
  <c r="R263" i="69"/>
  <c r="R256" i="69"/>
  <c r="R239" i="69"/>
  <c r="R240" i="69"/>
  <c r="R244" i="69"/>
  <c r="R208" i="69"/>
  <c r="R234" i="69"/>
  <c r="R231" i="69"/>
  <c r="R230" i="69"/>
  <c r="R242" i="69"/>
  <c r="R243" i="69"/>
  <c r="R236" i="69"/>
  <c r="R237" i="69"/>
  <c r="R238" i="69"/>
  <c r="R233" i="69"/>
  <c r="R232" i="69"/>
  <c r="R220" i="69"/>
  <c r="R209" i="69"/>
  <c r="R212" i="69"/>
  <c r="R214" i="69"/>
  <c r="R206" i="69"/>
  <c r="R213" i="69"/>
  <c r="R205" i="69"/>
  <c r="R210" i="69"/>
  <c r="R215" i="69"/>
  <c r="R218" i="69"/>
  <c r="R219" i="69"/>
  <c r="R216" i="69"/>
  <c r="R207" i="69"/>
  <c r="O293" i="69"/>
  <c r="P293" i="69"/>
  <c r="P158" i="69" s="1"/>
  <c r="Q293" i="69"/>
  <c r="Q158" i="69" s="1"/>
  <c r="AE327" i="56"/>
  <c r="M611" i="55"/>
  <c r="M609" i="55"/>
  <c r="M608" i="55"/>
  <c r="M612" i="55"/>
  <c r="M606" i="55"/>
  <c r="M605" i="55"/>
  <c r="M610" i="55"/>
  <c r="M607" i="55"/>
  <c r="R357" i="1"/>
  <c r="R320" i="1"/>
  <c r="R340" i="1"/>
  <c r="R318" i="1"/>
  <c r="R339" i="1"/>
  <c r="R343" i="1"/>
  <c r="R360" i="1"/>
  <c r="R374" i="1"/>
  <c r="R377" i="1"/>
  <c r="R375" i="1"/>
  <c r="R373" i="1"/>
  <c r="R322" i="1"/>
  <c r="R341" i="1"/>
  <c r="R356" i="1"/>
  <c r="R358" i="1"/>
  <c r="R303" i="1"/>
  <c r="R321" i="1"/>
  <c r="R326" i="1"/>
  <c r="R325" i="1"/>
  <c r="R323" i="1"/>
  <c r="R319" i="1"/>
  <c r="AH609" i="55"/>
  <c r="I609" i="55" s="1"/>
  <c r="I450" i="55" s="1"/>
  <c r="AL609" i="55"/>
  <c r="AM609" i="55"/>
  <c r="AL605" i="55"/>
  <c r="AM605" i="55"/>
  <c r="AH605" i="55"/>
  <c r="I605" i="55" s="1"/>
  <c r="I446" i="55" s="1"/>
  <c r="R297" i="1"/>
  <c r="R302" i="1"/>
  <c r="AH606" i="55"/>
  <c r="I606" i="55" s="1"/>
  <c r="I447" i="55" s="1"/>
  <c r="AL606" i="55"/>
  <c r="AM606" i="55"/>
  <c r="AM610" i="55"/>
  <c r="AL610" i="55"/>
  <c r="AH610" i="55"/>
  <c r="I610" i="55" s="1"/>
  <c r="I451" i="55" s="1"/>
  <c r="R304" i="1"/>
  <c r="AH608" i="55"/>
  <c r="I608" i="55" s="1"/>
  <c r="I449" i="55" s="1"/>
  <c r="AL608" i="55"/>
  <c r="AM608" i="55"/>
  <c r="AL612" i="55"/>
  <c r="AM612" i="55"/>
  <c r="AH612" i="55"/>
  <c r="I612" i="55" s="1"/>
  <c r="I453" i="55" s="1"/>
  <c r="R301" i="1"/>
  <c r="R298" i="1"/>
  <c r="R300" i="1"/>
  <c r="AH607" i="55"/>
  <c r="I607" i="55" s="1"/>
  <c r="I448" i="55" s="1"/>
  <c r="AL607" i="55"/>
  <c r="AM607" i="55"/>
  <c r="AH611" i="55"/>
  <c r="I611" i="55" s="1"/>
  <c r="I452" i="55" s="1"/>
  <c r="AL611" i="55"/>
  <c r="AM611" i="55"/>
  <c r="R299" i="1"/>
  <c r="M377" i="58"/>
  <c r="M237" i="58" s="1"/>
  <c r="AI301" i="56"/>
  <c r="AB417" i="56"/>
  <c r="AB418" i="56" s="1"/>
  <c r="AB426" i="56" s="1"/>
  <c r="AE336" i="56"/>
  <c r="Z604" i="55"/>
  <c r="AH375" i="58"/>
  <c r="S73" i="63"/>
  <c r="AE73" i="63" s="1"/>
  <c r="O72" i="65" s="1"/>
  <c r="R72" i="65" s="1"/>
  <c r="S93" i="63"/>
  <c r="AE93" i="63" s="1"/>
  <c r="O92" i="65" s="1"/>
  <c r="R92" i="65" s="1"/>
  <c r="S78" i="63"/>
  <c r="AE78" i="63" s="1"/>
  <c r="O77" i="65" s="1"/>
  <c r="R77" i="65" s="1"/>
  <c r="S120" i="63"/>
  <c r="AE120" i="63" s="1"/>
  <c r="O119" i="65" s="1"/>
  <c r="R119" i="65" s="1"/>
  <c r="S53" i="63"/>
  <c r="AE53" i="63" s="1"/>
  <c r="O52" i="65" s="1"/>
  <c r="R52" i="65" s="1"/>
  <c r="S92" i="63"/>
  <c r="AE92" i="63" s="1"/>
  <c r="O91" i="65" s="1"/>
  <c r="R91" i="65" s="1"/>
  <c r="S99" i="63"/>
  <c r="AE99" i="63" s="1"/>
  <c r="O98" i="65" s="1"/>
  <c r="R98" i="65" s="1"/>
  <c r="S42" i="63"/>
  <c r="AE42" i="63" s="1"/>
  <c r="O41" i="65" s="1"/>
  <c r="R41" i="65" s="1"/>
  <c r="S109" i="63"/>
  <c r="AE109" i="63" s="1"/>
  <c r="O108" i="65" s="1"/>
  <c r="R108" i="65" s="1"/>
  <c r="S51" i="63"/>
  <c r="AE51" i="63" s="1"/>
  <c r="O50" i="65" s="1"/>
  <c r="R50" i="65" s="1"/>
  <c r="S37" i="63"/>
  <c r="AE37" i="63" s="1"/>
  <c r="O36" i="65" s="1"/>
  <c r="R36" i="65" s="1"/>
  <c r="S128" i="63"/>
  <c r="AE128" i="63" s="1"/>
  <c r="O127" i="65" s="1"/>
  <c r="R127" i="65" s="1"/>
  <c r="S98" i="63"/>
  <c r="AE98" i="63" s="1"/>
  <c r="O97" i="65" s="1"/>
  <c r="R97" i="65" s="1"/>
  <c r="AC91" i="63"/>
  <c r="M90" i="65" s="1"/>
  <c r="P90" i="65" s="1"/>
  <c r="AC76" i="63"/>
  <c r="M75" i="65" s="1"/>
  <c r="P75" i="65" s="1"/>
  <c r="AC130" i="63"/>
  <c r="M129" i="65" s="1"/>
  <c r="P129" i="65" s="1"/>
  <c r="AC56" i="63"/>
  <c r="M55" i="65" s="1"/>
  <c r="P55" i="65" s="1"/>
  <c r="AC103" i="63"/>
  <c r="M102" i="65" s="1"/>
  <c r="P102" i="65" s="1"/>
  <c r="AC54" i="63"/>
  <c r="M53" i="65" s="1"/>
  <c r="P53" i="65" s="1"/>
  <c r="S91" i="63"/>
  <c r="AE91" i="63" s="1"/>
  <c r="O90" i="65" s="1"/>
  <c r="R90" i="65" s="1"/>
  <c r="S46" i="63"/>
  <c r="AE46" i="63" s="1"/>
  <c r="O45" i="65" s="1"/>
  <c r="R45" i="65" s="1"/>
  <c r="S85" i="63"/>
  <c r="AE85" i="63" s="1"/>
  <c r="O84" i="65" s="1"/>
  <c r="R84" i="65" s="1"/>
  <c r="S103" i="63"/>
  <c r="AE103" i="63" s="1"/>
  <c r="O102" i="65" s="1"/>
  <c r="R102" i="65" s="1"/>
  <c r="S119" i="63"/>
  <c r="AE119" i="63" s="1"/>
  <c r="O118" i="65" s="1"/>
  <c r="R118" i="65" s="1"/>
  <c r="S129" i="63"/>
  <c r="AE129" i="63" s="1"/>
  <c r="O128" i="65" s="1"/>
  <c r="R128" i="65" s="1"/>
  <c r="AC63" i="63"/>
  <c r="M62" i="65" s="1"/>
  <c r="P62" i="65" s="1"/>
  <c r="AC92" i="63"/>
  <c r="M91" i="65" s="1"/>
  <c r="P91" i="65" s="1"/>
  <c r="AC67" i="63"/>
  <c r="M66" i="65" s="1"/>
  <c r="P66" i="65" s="1"/>
  <c r="AC102" i="63"/>
  <c r="M101" i="65" s="1"/>
  <c r="P101" i="65" s="1"/>
  <c r="AC113" i="63"/>
  <c r="M112" i="65" s="1"/>
  <c r="P112" i="65" s="1"/>
  <c r="AC35" i="63"/>
  <c r="M34" i="65" s="1"/>
  <c r="P34" i="65" s="1"/>
  <c r="S48" i="63"/>
  <c r="AE48" i="63" s="1"/>
  <c r="O47" i="65" s="1"/>
  <c r="R47" i="65" s="1"/>
  <c r="S66" i="63"/>
  <c r="AE66" i="63" s="1"/>
  <c r="O65" i="65" s="1"/>
  <c r="R65" i="65" s="1"/>
  <c r="S49" i="63"/>
  <c r="AE49" i="63" s="1"/>
  <c r="O48" i="65" s="1"/>
  <c r="R48" i="65" s="1"/>
  <c r="S41" i="63"/>
  <c r="AE41" i="63" s="1"/>
  <c r="O40" i="65" s="1"/>
  <c r="R40" i="65" s="1"/>
  <c r="S38" i="63"/>
  <c r="AE38" i="63" s="1"/>
  <c r="O37" i="65" s="1"/>
  <c r="R37" i="65" s="1"/>
  <c r="S47" i="63"/>
  <c r="AE47" i="63" s="1"/>
  <c r="O46" i="65" s="1"/>
  <c r="R46" i="65" s="1"/>
  <c r="AC119" i="63"/>
  <c r="M118" i="65" s="1"/>
  <c r="P118" i="65" s="1"/>
  <c r="AC72" i="63"/>
  <c r="M71" i="65" s="1"/>
  <c r="P71" i="65" s="1"/>
  <c r="AC90" i="63"/>
  <c r="M89" i="65" s="1"/>
  <c r="P89" i="65" s="1"/>
  <c r="AC126" i="63"/>
  <c r="M125" i="65" s="1"/>
  <c r="P125" i="65" s="1"/>
  <c r="AC84" i="63"/>
  <c r="M83" i="65" s="1"/>
  <c r="P83" i="65" s="1"/>
  <c r="AC58" i="63"/>
  <c r="M57" i="65" s="1"/>
  <c r="P57" i="65" s="1"/>
  <c r="S113" i="63"/>
  <c r="AE113" i="63" s="1"/>
  <c r="O112" i="65" s="1"/>
  <c r="R112" i="65" s="1"/>
  <c r="S117" i="63"/>
  <c r="AE117" i="63" s="1"/>
  <c r="O116" i="65" s="1"/>
  <c r="R116" i="65" s="1"/>
  <c r="S72" i="63"/>
  <c r="AE72" i="63" s="1"/>
  <c r="O71" i="65" s="1"/>
  <c r="R71" i="65" s="1"/>
  <c r="S127" i="63"/>
  <c r="AE127" i="63" s="1"/>
  <c r="O126" i="65" s="1"/>
  <c r="R126" i="65" s="1"/>
  <c r="AC95" i="63"/>
  <c r="M94" i="65" s="1"/>
  <c r="P94" i="65" s="1"/>
  <c r="AC89" i="63"/>
  <c r="M88" i="65" s="1"/>
  <c r="P88" i="65" s="1"/>
  <c r="AC45" i="63"/>
  <c r="M44" i="65" s="1"/>
  <c r="P44" i="65" s="1"/>
  <c r="AC75" i="63"/>
  <c r="M74" i="65" s="1"/>
  <c r="P74" i="65" s="1"/>
  <c r="AC105" i="63"/>
  <c r="M104" i="65" s="1"/>
  <c r="P104" i="65" s="1"/>
  <c r="AC51" i="63"/>
  <c r="M50" i="65" s="1"/>
  <c r="P50" i="65" s="1"/>
  <c r="S102" i="63"/>
  <c r="AE102" i="63" s="1"/>
  <c r="O101" i="65" s="1"/>
  <c r="R101" i="65" s="1"/>
  <c r="S106" i="63"/>
  <c r="AE106" i="63" s="1"/>
  <c r="O105" i="65" s="1"/>
  <c r="R105" i="65" s="1"/>
  <c r="S65" i="63"/>
  <c r="AE65" i="63" s="1"/>
  <c r="O64" i="65" s="1"/>
  <c r="R64" i="65" s="1"/>
  <c r="AC111" i="63"/>
  <c r="M110" i="65" s="1"/>
  <c r="P110" i="65" s="1"/>
  <c r="AC104" i="63"/>
  <c r="M103" i="65" s="1"/>
  <c r="P103" i="65" s="1"/>
  <c r="AC101" i="63"/>
  <c r="M100" i="65" s="1"/>
  <c r="P100" i="65" s="1"/>
  <c r="AC47" i="63"/>
  <c r="M46" i="65" s="1"/>
  <c r="P46" i="65" s="1"/>
  <c r="AC108" i="63"/>
  <c r="M107" i="65" s="1"/>
  <c r="P107" i="65" s="1"/>
  <c r="AC74" i="63"/>
  <c r="M73" i="65" s="1"/>
  <c r="P73" i="65" s="1"/>
  <c r="S64" i="63"/>
  <c r="AE64" i="63" s="1"/>
  <c r="O63" i="65" s="1"/>
  <c r="R63" i="65" s="1"/>
  <c r="S95" i="63"/>
  <c r="AE95" i="63" s="1"/>
  <c r="O94" i="65" s="1"/>
  <c r="R94" i="65" s="1"/>
  <c r="S76" i="63"/>
  <c r="AE76" i="63" s="1"/>
  <c r="O75" i="65" s="1"/>
  <c r="R75" i="65" s="1"/>
  <c r="S52" i="63"/>
  <c r="AE52" i="63" s="1"/>
  <c r="O51" i="65" s="1"/>
  <c r="R51" i="65" s="1"/>
  <c r="S104" i="63"/>
  <c r="AE104" i="63" s="1"/>
  <c r="O103" i="65" s="1"/>
  <c r="R103" i="65" s="1"/>
  <c r="AC117" i="63"/>
  <c r="M116" i="65" s="1"/>
  <c r="P116" i="65" s="1"/>
  <c r="AC57" i="63"/>
  <c r="M56" i="65" s="1"/>
  <c r="P56" i="65" s="1"/>
  <c r="AC132" i="63"/>
  <c r="M131" i="65" s="1"/>
  <c r="P131" i="65" s="1"/>
  <c r="AC107" i="63"/>
  <c r="M106" i="65" s="1"/>
  <c r="P106" i="65" s="1"/>
  <c r="AC88" i="63"/>
  <c r="M87" i="65" s="1"/>
  <c r="P87" i="65" s="1"/>
  <c r="AC106" i="63"/>
  <c r="M105" i="65" s="1"/>
  <c r="P105" i="65" s="1"/>
  <c r="S107" i="63"/>
  <c r="AE107" i="63" s="1"/>
  <c r="O106" i="65" s="1"/>
  <c r="R106" i="65" s="1"/>
  <c r="S108" i="63"/>
  <c r="AE108" i="63" s="1"/>
  <c r="O107" i="65" s="1"/>
  <c r="R107" i="65" s="1"/>
  <c r="S50" i="63"/>
  <c r="AE50" i="63" s="1"/>
  <c r="O49" i="65" s="1"/>
  <c r="R49" i="65" s="1"/>
  <c r="S61" i="63"/>
  <c r="AE61" i="63" s="1"/>
  <c r="O60" i="65" s="1"/>
  <c r="R60" i="65" s="1"/>
  <c r="S84" i="63"/>
  <c r="AE84" i="63" s="1"/>
  <c r="O83" i="65" s="1"/>
  <c r="R83" i="65" s="1"/>
  <c r="S87" i="63"/>
  <c r="AE87" i="63" s="1"/>
  <c r="O86" i="65" s="1"/>
  <c r="R86" i="65" s="1"/>
  <c r="AC59" i="63"/>
  <c r="M58" i="65" s="1"/>
  <c r="P58" i="65" s="1"/>
  <c r="AC78" i="63"/>
  <c r="M77" i="65" s="1"/>
  <c r="P77" i="65" s="1"/>
  <c r="AC93" i="63"/>
  <c r="M92" i="65" s="1"/>
  <c r="P92" i="65" s="1"/>
  <c r="AC79" i="63"/>
  <c r="M78" i="65" s="1"/>
  <c r="P78" i="65" s="1"/>
  <c r="AC41" i="63"/>
  <c r="M40" i="65" s="1"/>
  <c r="P40" i="65" s="1"/>
  <c r="AC61" i="63"/>
  <c r="M60" i="65" s="1"/>
  <c r="P60" i="65" s="1"/>
  <c r="S67" i="63"/>
  <c r="AE67" i="63" s="1"/>
  <c r="O66" i="65" s="1"/>
  <c r="R66" i="65" s="1"/>
  <c r="S94" i="63"/>
  <c r="AE94" i="63" s="1"/>
  <c r="O93" i="65" s="1"/>
  <c r="R93" i="65" s="1"/>
  <c r="S125" i="63"/>
  <c r="AE125" i="63" s="1"/>
  <c r="O124" i="65" s="1"/>
  <c r="R124" i="65" s="1"/>
  <c r="S115" i="63"/>
  <c r="AE115" i="63" s="1"/>
  <c r="O114" i="65" s="1"/>
  <c r="R114" i="65" s="1"/>
  <c r="S101" i="63"/>
  <c r="AE101" i="63" s="1"/>
  <c r="O100" i="65" s="1"/>
  <c r="R100" i="65" s="1"/>
  <c r="S55" i="63"/>
  <c r="AE55" i="63" s="1"/>
  <c r="O54" i="65" s="1"/>
  <c r="R54" i="65" s="1"/>
  <c r="AC82" i="63"/>
  <c r="M81" i="65" s="1"/>
  <c r="P81" i="65" s="1"/>
  <c r="AC94" i="63"/>
  <c r="M93" i="65" s="1"/>
  <c r="P93" i="65" s="1"/>
  <c r="AC44" i="63"/>
  <c r="M43" i="65" s="1"/>
  <c r="P43" i="65" s="1"/>
  <c r="AC46" i="63"/>
  <c r="M45" i="65" s="1"/>
  <c r="P45" i="65" s="1"/>
  <c r="AC70" i="63"/>
  <c r="M69" i="65" s="1"/>
  <c r="P69" i="65" s="1"/>
  <c r="AC123" i="63"/>
  <c r="M122" i="65" s="1"/>
  <c r="P122" i="65" s="1"/>
  <c r="S63" i="63"/>
  <c r="AE63" i="63" s="1"/>
  <c r="O62" i="65" s="1"/>
  <c r="R62" i="65" s="1"/>
  <c r="S58" i="63"/>
  <c r="AE58" i="63" s="1"/>
  <c r="O57" i="65" s="1"/>
  <c r="R57" i="65" s="1"/>
  <c r="S62" i="63"/>
  <c r="AE62" i="63" s="1"/>
  <c r="O61" i="65" s="1"/>
  <c r="R61" i="65" s="1"/>
  <c r="S81" i="63"/>
  <c r="AE81" i="63" s="1"/>
  <c r="O80" i="65" s="1"/>
  <c r="R80" i="65" s="1"/>
  <c r="S69" i="63"/>
  <c r="AE69" i="63" s="1"/>
  <c r="O68" i="65" s="1"/>
  <c r="R68" i="65" s="1"/>
  <c r="S112" i="63"/>
  <c r="AE112" i="63" s="1"/>
  <c r="O111" i="65" s="1"/>
  <c r="R111" i="65" s="1"/>
  <c r="AC37" i="63"/>
  <c r="M36" i="65" s="1"/>
  <c r="P36" i="65" s="1"/>
  <c r="AC39" i="63"/>
  <c r="M38" i="65" s="1"/>
  <c r="P38" i="65" s="1"/>
  <c r="AC62" i="63"/>
  <c r="M61" i="65" s="1"/>
  <c r="P61" i="65" s="1"/>
  <c r="AC120" i="63"/>
  <c r="M119" i="65" s="1"/>
  <c r="P119" i="65" s="1"/>
  <c r="AC86" i="63"/>
  <c r="M85" i="65" s="1"/>
  <c r="P85" i="65" s="1"/>
  <c r="AC129" i="63"/>
  <c r="M128" i="65" s="1"/>
  <c r="P128" i="65" s="1"/>
  <c r="S71" i="63"/>
  <c r="AE71" i="63" s="1"/>
  <c r="O70" i="65" s="1"/>
  <c r="R70" i="65" s="1"/>
  <c r="S44" i="63"/>
  <c r="AE44" i="63" s="1"/>
  <c r="O43" i="65" s="1"/>
  <c r="R43" i="65" s="1"/>
  <c r="S75" i="63"/>
  <c r="AE75" i="63" s="1"/>
  <c r="O74" i="65" s="1"/>
  <c r="R74" i="65" s="1"/>
  <c r="S132" i="63"/>
  <c r="AE132" i="63" s="1"/>
  <c r="O131" i="65" s="1"/>
  <c r="R131" i="65" s="1"/>
  <c r="S118" i="63"/>
  <c r="AE118" i="63" s="1"/>
  <c r="O117" i="65" s="1"/>
  <c r="R117" i="65" s="1"/>
  <c r="S121" i="63"/>
  <c r="AE121" i="63" s="1"/>
  <c r="O120" i="65" s="1"/>
  <c r="R120" i="65" s="1"/>
  <c r="AC114" i="63"/>
  <c r="M113" i="65" s="1"/>
  <c r="P113" i="65" s="1"/>
  <c r="AC99" i="63"/>
  <c r="M98" i="65" s="1"/>
  <c r="P98" i="65" s="1"/>
  <c r="AC100" i="63"/>
  <c r="M99" i="65" s="1"/>
  <c r="P99" i="65" s="1"/>
  <c r="AC68" i="63"/>
  <c r="M67" i="65" s="1"/>
  <c r="P67" i="65" s="1"/>
  <c r="AC64" i="63"/>
  <c r="M63" i="65" s="1"/>
  <c r="P63" i="65" s="1"/>
  <c r="AC128" i="63"/>
  <c r="M127" i="65" s="1"/>
  <c r="P127" i="65" s="1"/>
  <c r="S122" i="63"/>
  <c r="AE122" i="63" s="1"/>
  <c r="O121" i="65" s="1"/>
  <c r="R121" i="65" s="1"/>
  <c r="S43" i="63"/>
  <c r="AE43" i="63" s="1"/>
  <c r="O42" i="65" s="1"/>
  <c r="R42" i="65" s="1"/>
  <c r="S82" i="63"/>
  <c r="AE82" i="63" s="1"/>
  <c r="O81" i="65" s="1"/>
  <c r="R81" i="65" s="1"/>
  <c r="S36" i="63"/>
  <c r="AE36" i="63" s="1"/>
  <c r="O35" i="65" s="1"/>
  <c r="R35" i="65" s="1"/>
  <c r="S80" i="63"/>
  <c r="AE80" i="63" s="1"/>
  <c r="O79" i="65" s="1"/>
  <c r="R79" i="65" s="1"/>
  <c r="S114" i="63"/>
  <c r="AE114" i="63" s="1"/>
  <c r="O113" i="65" s="1"/>
  <c r="R113" i="65" s="1"/>
  <c r="AC69" i="63"/>
  <c r="M68" i="65" s="1"/>
  <c r="P68" i="65" s="1"/>
  <c r="AC71" i="63"/>
  <c r="M70" i="65" s="1"/>
  <c r="P70" i="65" s="1"/>
  <c r="AC80" i="63"/>
  <c r="M79" i="65" s="1"/>
  <c r="P79" i="65" s="1"/>
  <c r="AC98" i="63"/>
  <c r="M97" i="65" s="1"/>
  <c r="P97" i="65" s="1"/>
  <c r="AC110" i="63"/>
  <c r="M109" i="65" s="1"/>
  <c r="P109" i="65" s="1"/>
  <c r="AC42" i="63"/>
  <c r="M41" i="65" s="1"/>
  <c r="P41" i="65" s="1"/>
  <c r="S60" i="63"/>
  <c r="AE60" i="63" s="1"/>
  <c r="O59" i="65" s="1"/>
  <c r="R59" i="65" s="1"/>
  <c r="S39" i="63"/>
  <c r="AE39" i="63" s="1"/>
  <c r="O38" i="65" s="1"/>
  <c r="R38" i="65" s="1"/>
  <c r="S100" i="63"/>
  <c r="AE100" i="63" s="1"/>
  <c r="O99" i="65" s="1"/>
  <c r="R99" i="65" s="1"/>
  <c r="S57" i="63"/>
  <c r="AE57" i="63" s="1"/>
  <c r="O56" i="65" s="1"/>
  <c r="R56" i="65" s="1"/>
  <c r="S131" i="63"/>
  <c r="AE131" i="63" s="1"/>
  <c r="O130" i="65" s="1"/>
  <c r="R130" i="65" s="1"/>
  <c r="AC36" i="63"/>
  <c r="M35" i="65" s="1"/>
  <c r="P35" i="65" s="1"/>
  <c r="AC38" i="63"/>
  <c r="M37" i="65" s="1"/>
  <c r="P37" i="65" s="1"/>
  <c r="AC112" i="63"/>
  <c r="M111" i="65" s="1"/>
  <c r="P111" i="65" s="1"/>
  <c r="AC53" i="63"/>
  <c r="M52" i="65" s="1"/>
  <c r="P52" i="65" s="1"/>
  <c r="AC127" i="63"/>
  <c r="M126" i="65" s="1"/>
  <c r="P126" i="65" s="1"/>
  <c r="AC81" i="63"/>
  <c r="M80" i="65" s="1"/>
  <c r="P80" i="65" s="1"/>
  <c r="S74" i="63"/>
  <c r="AE74" i="63" s="1"/>
  <c r="O73" i="65" s="1"/>
  <c r="R73" i="65" s="1"/>
  <c r="S130" i="63"/>
  <c r="AE130" i="63" s="1"/>
  <c r="O129" i="65" s="1"/>
  <c r="R129" i="65" s="1"/>
  <c r="S86" i="63"/>
  <c r="AE86" i="63" s="1"/>
  <c r="O85" i="65" s="1"/>
  <c r="R85" i="65" s="1"/>
  <c r="S116" i="63"/>
  <c r="AE116" i="63" s="1"/>
  <c r="O115" i="65" s="1"/>
  <c r="R115" i="65" s="1"/>
  <c r="S54" i="63"/>
  <c r="AE54" i="63" s="1"/>
  <c r="O53" i="65" s="1"/>
  <c r="R53" i="65" s="1"/>
  <c r="S83" i="63"/>
  <c r="AE83" i="63" s="1"/>
  <c r="O82" i="65" s="1"/>
  <c r="R82" i="65" s="1"/>
  <c r="S126" i="63"/>
  <c r="AE126" i="63" s="1"/>
  <c r="O125" i="65" s="1"/>
  <c r="R125" i="65" s="1"/>
  <c r="AC131" i="63"/>
  <c r="M130" i="65" s="1"/>
  <c r="P130" i="65" s="1"/>
  <c r="AC50" i="63"/>
  <c r="M49" i="65" s="1"/>
  <c r="P49" i="65" s="1"/>
  <c r="AC73" i="63"/>
  <c r="M72" i="65" s="1"/>
  <c r="P72" i="65" s="1"/>
  <c r="AC122" i="63"/>
  <c r="M121" i="65" s="1"/>
  <c r="P121" i="65" s="1"/>
  <c r="AC83" i="63"/>
  <c r="M82" i="65" s="1"/>
  <c r="P82" i="65" s="1"/>
  <c r="AC116" i="63"/>
  <c r="M115" i="65" s="1"/>
  <c r="P115" i="65" s="1"/>
  <c r="S77" i="63"/>
  <c r="AE77" i="63" s="1"/>
  <c r="O76" i="65" s="1"/>
  <c r="R76" i="65" s="1"/>
  <c r="S88" i="63"/>
  <c r="AE88" i="63" s="1"/>
  <c r="O87" i="65" s="1"/>
  <c r="R87" i="65" s="1"/>
  <c r="S105" i="63"/>
  <c r="AE105" i="63" s="1"/>
  <c r="O104" i="65" s="1"/>
  <c r="R104" i="65" s="1"/>
  <c r="S59" i="63"/>
  <c r="AE59" i="63" s="1"/>
  <c r="O58" i="65" s="1"/>
  <c r="R58" i="65" s="1"/>
  <c r="S97" i="63"/>
  <c r="AE97" i="63" s="1"/>
  <c r="O96" i="65" s="1"/>
  <c r="R96" i="65" s="1"/>
  <c r="S40" i="63"/>
  <c r="AE40" i="63" s="1"/>
  <c r="O39" i="65" s="1"/>
  <c r="R39" i="65" s="1"/>
  <c r="S110" i="63"/>
  <c r="AE110" i="63" s="1"/>
  <c r="O109" i="65" s="1"/>
  <c r="R109" i="65" s="1"/>
  <c r="AC118" i="63"/>
  <c r="M117" i="65" s="1"/>
  <c r="P117" i="65" s="1"/>
  <c r="AC85" i="63"/>
  <c r="M84" i="65" s="1"/>
  <c r="P84" i="65" s="1"/>
  <c r="AC65" i="63"/>
  <c r="M64" i="65" s="1"/>
  <c r="P64" i="65" s="1"/>
  <c r="AC77" i="63"/>
  <c r="M76" i="65" s="1"/>
  <c r="P76" i="65" s="1"/>
  <c r="AC55" i="63"/>
  <c r="M54" i="65" s="1"/>
  <c r="P54" i="65" s="1"/>
  <c r="AC96" i="63"/>
  <c r="M95" i="65" s="1"/>
  <c r="P95" i="65" s="1"/>
  <c r="S68" i="63"/>
  <c r="AE68" i="63" s="1"/>
  <c r="O67" i="65" s="1"/>
  <c r="R67" i="65" s="1"/>
  <c r="S96" i="63"/>
  <c r="AE96" i="63" s="1"/>
  <c r="O95" i="65" s="1"/>
  <c r="R95" i="65" s="1"/>
  <c r="S123" i="63"/>
  <c r="AE123" i="63" s="1"/>
  <c r="O122" i="65" s="1"/>
  <c r="R122" i="65" s="1"/>
  <c r="S89" i="63"/>
  <c r="AE89" i="63" s="1"/>
  <c r="O88" i="65" s="1"/>
  <c r="R88" i="65" s="1"/>
  <c r="S124" i="63"/>
  <c r="AE124" i="63" s="1"/>
  <c r="O123" i="65" s="1"/>
  <c r="R123" i="65" s="1"/>
  <c r="S45" i="63"/>
  <c r="AE45" i="63" s="1"/>
  <c r="O44" i="65" s="1"/>
  <c r="R44" i="65" s="1"/>
  <c r="AC125" i="63"/>
  <c r="M124" i="65" s="1"/>
  <c r="P124" i="65" s="1"/>
  <c r="AC60" i="63"/>
  <c r="M59" i="65" s="1"/>
  <c r="P59" i="65" s="1"/>
  <c r="AC43" i="63"/>
  <c r="M42" i="65" s="1"/>
  <c r="P42" i="65" s="1"/>
  <c r="AC121" i="63"/>
  <c r="M120" i="65" s="1"/>
  <c r="P120" i="65" s="1"/>
  <c r="AC52" i="63"/>
  <c r="M51" i="65" s="1"/>
  <c r="P51" i="65" s="1"/>
  <c r="AC115" i="63"/>
  <c r="M114" i="65" s="1"/>
  <c r="P114" i="65" s="1"/>
  <c r="AC97" i="63"/>
  <c r="M96" i="65" s="1"/>
  <c r="P96" i="65" s="1"/>
  <c r="S90" i="63"/>
  <c r="AE90" i="63" s="1"/>
  <c r="O89" i="65" s="1"/>
  <c r="R89" i="65" s="1"/>
  <c r="S70" i="63"/>
  <c r="AE70" i="63" s="1"/>
  <c r="O69" i="65" s="1"/>
  <c r="R69" i="65" s="1"/>
  <c r="S35" i="63"/>
  <c r="AE35" i="63" s="1"/>
  <c r="O34" i="65" s="1"/>
  <c r="R34" i="65" s="1"/>
  <c r="S79" i="63"/>
  <c r="AE79" i="63" s="1"/>
  <c r="O78" i="65" s="1"/>
  <c r="R78" i="65" s="1"/>
  <c r="S56" i="63"/>
  <c r="AE56" i="63" s="1"/>
  <c r="O55" i="65" s="1"/>
  <c r="R55" i="65" s="1"/>
  <c r="S111" i="63"/>
  <c r="AE111" i="63" s="1"/>
  <c r="O110" i="65" s="1"/>
  <c r="R110" i="65" s="1"/>
  <c r="AC48" i="63"/>
  <c r="M47" i="65" s="1"/>
  <c r="P47" i="65" s="1"/>
  <c r="AC109" i="63"/>
  <c r="M108" i="65" s="1"/>
  <c r="P108" i="65" s="1"/>
  <c r="AC66" i="63"/>
  <c r="M65" i="65" s="1"/>
  <c r="P65" i="65" s="1"/>
  <c r="AC40" i="63"/>
  <c r="M39" i="65" s="1"/>
  <c r="P39" i="65" s="1"/>
  <c r="AC124" i="63"/>
  <c r="M123" i="65" s="1"/>
  <c r="P123" i="65" s="1"/>
  <c r="AC87" i="63"/>
  <c r="M86" i="65" s="1"/>
  <c r="P86" i="65" s="1"/>
  <c r="AC49" i="63"/>
  <c r="M48" i="65" s="1"/>
  <c r="P48" i="65" s="1"/>
  <c r="AH386" i="58"/>
  <c r="J352" i="19"/>
  <c r="J245" i="19" s="1"/>
  <c r="Q245" i="19" s="1"/>
  <c r="AI326" i="56"/>
  <c r="AL347" i="58"/>
  <c r="M604" i="55"/>
  <c r="AL383" i="58"/>
  <c r="AH363" i="58"/>
  <c r="L158" i="53"/>
  <c r="AC336" i="19"/>
  <c r="AE333" i="56"/>
  <c r="J98" i="19"/>
  <c r="Q98" i="19" s="1"/>
  <c r="AI335" i="56"/>
  <c r="M387" i="58"/>
  <c r="P387" i="58" s="1"/>
  <c r="AI332" i="56"/>
  <c r="M382" i="58"/>
  <c r="M242" i="58" s="1"/>
  <c r="AI322" i="56"/>
  <c r="AE420" i="58"/>
  <c r="AD283" i="58" s="1"/>
  <c r="M363" i="58"/>
  <c r="P363" i="58" s="1"/>
  <c r="Q317" i="19"/>
  <c r="AI330" i="56"/>
  <c r="AC309" i="19"/>
  <c r="AE305" i="56"/>
  <c r="Q306" i="19"/>
  <c r="M364" i="58"/>
  <c r="M226" i="58" s="1"/>
  <c r="AH364" i="58"/>
  <c r="O161" i="53"/>
  <c r="AI305" i="56"/>
  <c r="M602" i="55"/>
  <c r="J204" i="19"/>
  <c r="Q204" i="19" s="1"/>
  <c r="J16" i="40" s="1"/>
  <c r="Z603" i="55"/>
  <c r="C12" i="15"/>
  <c r="AC327" i="19"/>
  <c r="Q309" i="19"/>
  <c r="J302" i="56"/>
  <c r="J189" i="56" s="1"/>
  <c r="Q189" i="56" s="1"/>
  <c r="AC330" i="19"/>
  <c r="O160" i="53"/>
  <c r="AI314" i="56"/>
  <c r="AD31" i="63"/>
  <c r="N30" i="65" s="1"/>
  <c r="Q30" i="65" s="1"/>
  <c r="AD33" i="63"/>
  <c r="N32" i="65" s="1"/>
  <c r="Q32" i="65" s="1"/>
  <c r="AD26" i="63"/>
  <c r="N25" i="65" s="1"/>
  <c r="AE302" i="56"/>
  <c r="AI302" i="56"/>
  <c r="AB361" i="56"/>
  <c r="AB398" i="56" s="1"/>
  <c r="Y400" i="56" s="1"/>
  <c r="Y402" i="56" s="1"/>
  <c r="L159" i="53"/>
  <c r="O159" i="53"/>
  <c r="AL372" i="58"/>
  <c r="C10" i="11"/>
  <c r="Q310" i="19"/>
  <c r="AI304" i="56"/>
  <c r="AC306" i="19"/>
  <c r="AC313" i="19"/>
  <c r="AE330" i="56"/>
  <c r="C13" i="15"/>
  <c r="AC307" i="19"/>
  <c r="J231" i="19"/>
  <c r="J68" i="19" s="1"/>
  <c r="Q68" i="19" s="1"/>
  <c r="AL371" i="58"/>
  <c r="AH362" i="58"/>
  <c r="AH374" i="58"/>
  <c r="M614" i="55"/>
  <c r="AC338" i="19"/>
  <c r="L161" i="53"/>
  <c r="AL357" i="58"/>
  <c r="AI334" i="56"/>
  <c r="AC321" i="19"/>
  <c r="AH351" i="58"/>
  <c r="AL390" i="58"/>
  <c r="AC318" i="19"/>
  <c r="M601" i="55"/>
  <c r="M370" i="58"/>
  <c r="M231" i="58" s="1"/>
  <c r="O156" i="53"/>
  <c r="AI313" i="56"/>
  <c r="AH367" i="58"/>
  <c r="AC329" i="19"/>
  <c r="L156" i="53"/>
  <c r="J223" i="19"/>
  <c r="J60" i="19" s="1"/>
  <c r="Q60" i="19" s="1"/>
  <c r="Q320" i="19"/>
  <c r="AL354" i="58"/>
  <c r="AL360" i="58"/>
  <c r="O157" i="53"/>
  <c r="AH360" i="58"/>
  <c r="AI325" i="56"/>
  <c r="AE334" i="56"/>
  <c r="Q339" i="19"/>
  <c r="Q332" i="19"/>
  <c r="AE318" i="56"/>
  <c r="AI309" i="56"/>
  <c r="C12" i="11"/>
  <c r="O158" i="53"/>
  <c r="AE309" i="56"/>
  <c r="AE323" i="56"/>
  <c r="W708" i="55"/>
  <c r="AI318" i="56"/>
  <c r="U41" i="66"/>
  <c r="P41" i="66" s="1"/>
  <c r="J41" i="66" s="1"/>
  <c r="L162" i="53"/>
  <c r="M367" i="58"/>
  <c r="M229" i="58" s="1"/>
  <c r="AE313" i="56"/>
  <c r="Q318" i="19"/>
  <c r="Q34" i="19"/>
  <c r="N158" i="69"/>
  <c r="AC335" i="19"/>
  <c r="U55" i="54"/>
  <c r="U61" i="54" s="1"/>
  <c r="J320" i="56"/>
  <c r="J207" i="56" s="1"/>
  <c r="J47" i="56" s="1"/>
  <c r="AC323" i="19"/>
  <c r="J307" i="56"/>
  <c r="Q307" i="56" s="1"/>
  <c r="Q301" i="19"/>
  <c r="Z411" i="19"/>
  <c r="Z412" i="19" s="1"/>
  <c r="Z355" i="19"/>
  <c r="Z377" i="19" s="1"/>
  <c r="W379" i="19" s="1"/>
  <c r="W381" i="19" s="1"/>
  <c r="AE300" i="56"/>
  <c r="AC339" i="19"/>
  <c r="AL346" i="58"/>
  <c r="M346" i="58"/>
  <c r="M420" i="58" s="1"/>
  <c r="N459" i="58" s="1"/>
  <c r="AE477" i="58"/>
  <c r="AE478" i="58" s="1"/>
  <c r="AE486" i="58" s="1"/>
  <c r="J34" i="66"/>
  <c r="AE321" i="56"/>
  <c r="AC320" i="19"/>
  <c r="Q51" i="19"/>
  <c r="O162" i="53"/>
  <c r="W709" i="55"/>
  <c r="X42" i="66"/>
  <c r="Z599" i="55"/>
  <c r="W293" i="69"/>
  <c r="C11" i="15"/>
  <c r="Z709" i="55"/>
  <c r="Q323" i="19"/>
  <c r="AI306" i="56"/>
  <c r="AH357" i="58"/>
  <c r="U40" i="66"/>
  <c r="P40" i="66" s="1"/>
  <c r="J40" i="66" s="1"/>
  <c r="W707" i="55"/>
  <c r="AH369" i="58"/>
  <c r="AH379" i="58"/>
  <c r="L157" i="53"/>
  <c r="J65" i="19"/>
  <c r="X65" i="19" s="1"/>
  <c r="AG65" i="19" s="1"/>
  <c r="AJ65" i="19" s="1"/>
  <c r="Q285" i="1"/>
  <c r="Q286" i="1" s="1"/>
  <c r="AE306" i="56"/>
  <c r="Q392" i="1"/>
  <c r="L160" i="53"/>
  <c r="AI329" i="56"/>
  <c r="J311" i="56"/>
  <c r="J198" i="56" s="1"/>
  <c r="J33" i="56" s="1"/>
  <c r="Q33" i="56" s="1"/>
  <c r="Q341" i="19"/>
  <c r="AA457" i="61"/>
  <c r="AA460" i="61" s="1"/>
  <c r="X773" i="55"/>
  <c r="X774" i="55" s="1"/>
  <c r="U776" i="55" s="1"/>
  <c r="Z417" i="19"/>
  <c r="Z418" i="19" s="1"/>
  <c r="W420" i="19" s="1"/>
  <c r="U58" i="54"/>
  <c r="U64" i="54" s="1"/>
  <c r="AE311" i="56"/>
  <c r="U42" i="66"/>
  <c r="P42" i="66" s="1"/>
  <c r="J42" i="66" s="1"/>
  <c r="H8" i="54"/>
  <c r="R31" i="69"/>
  <c r="R40" i="69" s="1"/>
  <c r="W706" i="55"/>
  <c r="W749" i="55" s="1"/>
  <c r="T751" i="55" s="1"/>
  <c r="W767" i="55"/>
  <c r="W768" i="55" s="1"/>
  <c r="R58" i="62"/>
  <c r="T58" i="62" s="1"/>
  <c r="AB443" i="61"/>
  <c r="Y759" i="55"/>
  <c r="AB442" i="61"/>
  <c r="U37" i="54"/>
  <c r="H37" i="54" s="1"/>
  <c r="AA402" i="19"/>
  <c r="Y758" i="55"/>
  <c r="AC409" i="56"/>
  <c r="N159" i="53"/>
  <c r="S31" i="63"/>
  <c r="S34" i="63"/>
  <c r="AE34" i="63" s="1"/>
  <c r="G413" i="1"/>
  <c r="H413" i="1" s="1"/>
  <c r="I413" i="1" s="1"/>
  <c r="S28" i="63"/>
  <c r="G416" i="1"/>
  <c r="H416" i="1" s="1"/>
  <c r="I416" i="1" s="1"/>
  <c r="U43" i="54"/>
  <c r="U44" i="54" s="1"/>
  <c r="AF469" i="58"/>
  <c r="AA403" i="19"/>
  <c r="S25" i="63"/>
  <c r="AE25" i="63" s="1"/>
  <c r="S33" i="63"/>
  <c r="S26" i="63"/>
  <c r="AE26" i="63" s="1"/>
  <c r="AF468" i="58"/>
  <c r="S30" i="63"/>
  <c r="N161" i="53"/>
  <c r="M158" i="69"/>
  <c r="J46" i="56"/>
  <c r="Q46" i="56" s="1"/>
  <c r="Q206" i="56"/>
  <c r="R182" i="1"/>
  <c r="AF347" i="58"/>
  <c r="AC301" i="56"/>
  <c r="AM696" i="55"/>
  <c r="AL696" i="55"/>
  <c r="AL694" i="55"/>
  <c r="AM694" i="55"/>
  <c r="J30" i="19"/>
  <c r="Q203" i="19"/>
  <c r="J15" i="40" s="1"/>
  <c r="K214" i="19"/>
  <c r="R321" i="19"/>
  <c r="AB339" i="19"/>
  <c r="DL17" i="61"/>
  <c r="DO17" i="61"/>
  <c r="R335" i="1"/>
  <c r="AA321" i="19"/>
  <c r="AA317" i="19"/>
  <c r="R328" i="1"/>
  <c r="N374" i="58"/>
  <c r="AK374" i="58"/>
  <c r="AD313" i="56"/>
  <c r="AG361" i="58"/>
  <c r="R382" i="1"/>
  <c r="R276" i="69"/>
  <c r="L347" i="58"/>
  <c r="AJ347" i="58"/>
  <c r="K327" i="56"/>
  <c r="AH327" i="56"/>
  <c r="M220" i="58"/>
  <c r="P357" i="58"/>
  <c r="V767" i="55"/>
  <c r="AL598" i="55"/>
  <c r="AH598" i="55"/>
  <c r="T40" i="66"/>
  <c r="N40" i="66" s="1"/>
  <c r="H40" i="66" s="1"/>
  <c r="V706" i="55"/>
  <c r="V707" i="55"/>
  <c r="AM598" i="55"/>
  <c r="R275" i="69"/>
  <c r="M235" i="58"/>
  <c r="P374" i="58"/>
  <c r="R185" i="69"/>
  <c r="AF467" i="58"/>
  <c r="K200" i="19"/>
  <c r="R307" i="19"/>
  <c r="Y411" i="19"/>
  <c r="K300" i="19"/>
  <c r="Y355" i="19"/>
  <c r="J16" i="19"/>
  <c r="Q194" i="19"/>
  <c r="AF370" i="58"/>
  <c r="R231" i="1"/>
  <c r="AC321" i="56"/>
  <c r="K300" i="56"/>
  <c r="AA361" i="56"/>
  <c r="AA417" i="56"/>
  <c r="AA418" i="56" s="1"/>
  <c r="AA426" i="56" s="1"/>
  <c r="AH300" i="56"/>
  <c r="I326" i="56"/>
  <c r="AG326" i="56"/>
  <c r="AM697" i="55"/>
  <c r="AL697" i="55"/>
  <c r="L388" i="58"/>
  <c r="AJ388" i="58"/>
  <c r="AD304" i="56"/>
  <c r="AG351" i="58"/>
  <c r="M116" i="58"/>
  <c r="T116" i="58" s="1"/>
  <c r="G116" i="58" s="1"/>
  <c r="P252" i="58"/>
  <c r="R202" i="1"/>
  <c r="AC312" i="56"/>
  <c r="AF360" i="58"/>
  <c r="K98" i="19"/>
  <c r="R98" i="19" s="1"/>
  <c r="R34" i="19"/>
  <c r="I309" i="56"/>
  <c r="AG309" i="56"/>
  <c r="J208" i="56"/>
  <c r="Q321" i="56"/>
  <c r="AV56" i="53"/>
  <c r="AW56" i="53"/>
  <c r="I223" i="19"/>
  <c r="P330" i="19"/>
  <c r="L362" i="58"/>
  <c r="AJ362" i="58"/>
  <c r="I336" i="56"/>
  <c r="AG336" i="56"/>
  <c r="I335" i="56"/>
  <c r="AG335" i="56"/>
  <c r="V709" i="55"/>
  <c r="AM691" i="55"/>
  <c r="T42" i="66"/>
  <c r="N42" i="66" s="1"/>
  <c r="H42" i="66" s="1"/>
  <c r="AL691" i="55"/>
  <c r="J17" i="19"/>
  <c r="Q195" i="19"/>
  <c r="J8" i="40" s="1"/>
  <c r="O70" i="61"/>
  <c r="O76" i="61" s="1"/>
  <c r="O21" i="61"/>
  <c r="R21" i="61" s="1"/>
  <c r="AB313" i="19"/>
  <c r="J46" i="19"/>
  <c r="Q46" i="19" s="1"/>
  <c r="Q214" i="19"/>
  <c r="AG372" i="58"/>
  <c r="AD323" i="56"/>
  <c r="N361" i="58"/>
  <c r="AK361" i="58"/>
  <c r="R186" i="69"/>
  <c r="AA186" i="69" s="1"/>
  <c r="AB186" i="69" s="1"/>
  <c r="N377" i="58"/>
  <c r="AK377" i="58"/>
  <c r="R308" i="1"/>
  <c r="Y616" i="55"/>
  <c r="I300" i="19"/>
  <c r="X355" i="19"/>
  <c r="X411" i="19"/>
  <c r="J32" i="56"/>
  <c r="Q32" i="56" s="1"/>
  <c r="Q197" i="56"/>
  <c r="Y757" i="55"/>
  <c r="M211" i="58"/>
  <c r="P347" i="58"/>
  <c r="W773" i="55"/>
  <c r="W774" i="55" s="1"/>
  <c r="T776" i="55" s="1"/>
  <c r="AD483" i="58"/>
  <c r="AD484" i="58" s="1"/>
  <c r="AA486" i="58" s="1"/>
  <c r="Z457" i="61"/>
  <c r="Y417" i="19"/>
  <c r="Y418" i="19" s="1"/>
  <c r="V420" i="19" s="1"/>
  <c r="Q22" i="65"/>
  <c r="N393" i="58"/>
  <c r="AK393" i="58"/>
  <c r="R272" i="69"/>
  <c r="K210" i="19"/>
  <c r="R317" i="19"/>
  <c r="K157" i="53"/>
  <c r="L370" i="58"/>
  <c r="AJ370" i="58"/>
  <c r="K65" i="19"/>
  <c r="R228" i="19"/>
  <c r="R263" i="1"/>
  <c r="AC333" i="56"/>
  <c r="AF383" i="58"/>
  <c r="R201" i="69"/>
  <c r="K304" i="56"/>
  <c r="K191" i="56" s="1"/>
  <c r="AH304" i="56"/>
  <c r="L360" i="58"/>
  <c r="AJ360" i="58"/>
  <c r="L356" i="58"/>
  <c r="AJ356" i="58"/>
  <c r="AF346" i="58"/>
  <c r="R181" i="1"/>
  <c r="AC300" i="56"/>
  <c r="O285" i="1"/>
  <c r="O286" i="1" s="1"/>
  <c r="M223" i="58"/>
  <c r="P361" i="58"/>
  <c r="R185" i="1"/>
  <c r="AC305" i="56"/>
  <c r="AF352" i="58"/>
  <c r="K323" i="56"/>
  <c r="AH323" i="56"/>
  <c r="M214" i="58"/>
  <c r="P351" i="58"/>
  <c r="M245" i="58"/>
  <c r="P386" i="58"/>
  <c r="I232" i="19"/>
  <c r="P339" i="19"/>
  <c r="U293" i="69"/>
  <c r="X185" i="69"/>
  <c r="V708" i="55"/>
  <c r="T41" i="66"/>
  <c r="N41" i="66" s="1"/>
  <c r="H41" i="66" s="1"/>
  <c r="AD314" i="56"/>
  <c r="AG362" i="58"/>
  <c r="X767" i="55"/>
  <c r="X768" i="55" s="1"/>
  <c r="X706" i="55"/>
  <c r="X749" i="55" s="1"/>
  <c r="U751" i="55" s="1"/>
  <c r="V40" i="66"/>
  <c r="O40" i="66" s="1"/>
  <c r="I40" i="66" s="1"/>
  <c r="X707" i="55"/>
  <c r="R203" i="69"/>
  <c r="AM699" i="55"/>
  <c r="AL699" i="55"/>
  <c r="S32" i="63"/>
  <c r="AE32" i="63" s="1"/>
  <c r="M30" i="65"/>
  <c r="P30" i="65" s="1"/>
  <c r="N162" i="53"/>
  <c r="I231" i="19"/>
  <c r="I68" i="19" s="1"/>
  <c r="P68" i="19" s="1"/>
  <c r="P338" i="19"/>
  <c r="I321" i="56"/>
  <c r="AG321" i="56"/>
  <c r="AD420" i="58"/>
  <c r="AD477" i="58"/>
  <c r="AD478" i="58" s="1"/>
  <c r="N346" i="58"/>
  <c r="AK346" i="58"/>
  <c r="J201" i="56"/>
  <c r="Q314" i="56"/>
  <c r="I333" i="56"/>
  <c r="I220" i="56" s="1"/>
  <c r="AG333" i="56"/>
  <c r="AA332" i="19"/>
  <c r="R354" i="1"/>
  <c r="N351" i="58"/>
  <c r="AK351" i="58"/>
  <c r="J159" i="53"/>
  <c r="I312" i="56"/>
  <c r="AG312" i="56"/>
  <c r="M244" i="58"/>
  <c r="P385" i="58"/>
  <c r="AG385" i="58"/>
  <c r="AD334" i="56"/>
  <c r="I305" i="56"/>
  <c r="I192" i="56" s="1"/>
  <c r="AG305" i="56"/>
  <c r="I80" i="61"/>
  <c r="L80" i="61" s="1"/>
  <c r="I109" i="61"/>
  <c r="AG374" i="58"/>
  <c r="AD325" i="56"/>
  <c r="J21" i="56"/>
  <c r="Q191" i="56"/>
  <c r="K159" i="53"/>
  <c r="J355" i="19"/>
  <c r="K393" i="19" s="1"/>
  <c r="J193" i="19"/>
  <c r="Q300" i="19"/>
  <c r="I206" i="19"/>
  <c r="P313" i="19"/>
  <c r="R309" i="1"/>
  <c r="Y614" i="55"/>
  <c r="AA307" i="19"/>
  <c r="R306" i="1"/>
  <c r="J158" i="53"/>
  <c r="AG371" i="58"/>
  <c r="AD322" i="56"/>
  <c r="K313" i="56"/>
  <c r="AH313" i="56"/>
  <c r="V41" i="66"/>
  <c r="O41" i="66" s="1"/>
  <c r="I41" i="66" s="1"/>
  <c r="X708" i="55"/>
  <c r="N252" i="58"/>
  <c r="Q394" i="58"/>
  <c r="I65" i="19"/>
  <c r="F68" i="34"/>
  <c r="P228" i="19"/>
  <c r="AF379" i="58"/>
  <c r="AC329" i="56"/>
  <c r="R252" i="1"/>
  <c r="K232" i="19"/>
  <c r="R339" i="19"/>
  <c r="M222" i="58"/>
  <c r="P360" i="58"/>
  <c r="R369" i="1"/>
  <c r="AL602" i="55"/>
  <c r="AH602" i="55"/>
  <c r="AM602" i="55"/>
  <c r="N371" i="58"/>
  <c r="AK371" i="58"/>
  <c r="N250" i="58"/>
  <c r="Q391" i="58"/>
  <c r="J67" i="56"/>
  <c r="Q67" i="56" s="1"/>
  <c r="Q217" i="56"/>
  <c r="R390" i="1"/>
  <c r="Y698" i="55"/>
  <c r="N372" i="58"/>
  <c r="AK372" i="58"/>
  <c r="P21" i="61"/>
  <c r="P70" i="61"/>
  <c r="P76" i="61" s="1"/>
  <c r="P109" i="61" s="1"/>
  <c r="P169" i="61" s="1"/>
  <c r="Y409" i="19"/>
  <c r="K351" i="19"/>
  <c r="K244" i="19" s="1"/>
  <c r="M251" i="58"/>
  <c r="P393" i="58"/>
  <c r="R269" i="69"/>
  <c r="G404" i="1"/>
  <c r="T293" i="69"/>
  <c r="X409" i="19"/>
  <c r="I351" i="19"/>
  <c r="I244" i="19" s="1"/>
  <c r="AA329" i="19"/>
  <c r="R348" i="1"/>
  <c r="J222" i="56"/>
  <c r="Q335" i="56"/>
  <c r="K314" i="56"/>
  <c r="AH314" i="56"/>
  <c r="AD309" i="56"/>
  <c r="AG356" i="58"/>
  <c r="B12" i="11"/>
  <c r="R381" i="1"/>
  <c r="AA381" i="1" s="1"/>
  <c r="AB381" i="1" s="1"/>
  <c r="AA352" i="19"/>
  <c r="S29" i="63"/>
  <c r="AE29" i="63" s="1"/>
  <c r="I211" i="19"/>
  <c r="P318" i="19"/>
  <c r="B12" i="15"/>
  <c r="AA302" i="19"/>
  <c r="Y603" i="55"/>
  <c r="R295" i="1"/>
  <c r="AA295" i="1" s="1"/>
  <c r="AB295" i="1" s="1"/>
  <c r="AB320" i="19"/>
  <c r="R223" i="69"/>
  <c r="J196" i="56"/>
  <c r="Q309" i="56"/>
  <c r="L383" i="58"/>
  <c r="AJ383" i="58"/>
  <c r="M232" i="58"/>
  <c r="P371" i="58"/>
  <c r="AH420" i="58"/>
  <c r="R224" i="69"/>
  <c r="J598" i="55"/>
  <c r="AI707" i="55"/>
  <c r="AF394" i="58"/>
  <c r="R284" i="1"/>
  <c r="R313" i="1"/>
  <c r="AA311" i="19"/>
  <c r="I300" i="56"/>
  <c r="Z361" i="56"/>
  <c r="Z417" i="56"/>
  <c r="Z418" i="56" s="1"/>
  <c r="Z426" i="56" s="1"/>
  <c r="AC426" i="56" s="1"/>
  <c r="AG300" i="56"/>
  <c r="I203" i="19"/>
  <c r="P310" i="19"/>
  <c r="AD311" i="56"/>
  <c r="AG359" i="58"/>
  <c r="N385" i="58"/>
  <c r="AK385" i="58"/>
  <c r="L352" i="58"/>
  <c r="AJ352" i="58"/>
  <c r="K204" i="19"/>
  <c r="R311" i="19"/>
  <c r="L379" i="58"/>
  <c r="AJ379" i="58"/>
  <c r="AB301" i="19"/>
  <c r="AA599" i="55"/>
  <c r="D11" i="15"/>
  <c r="K322" i="56"/>
  <c r="AH322" i="56"/>
  <c r="R248" i="69"/>
  <c r="R384" i="1"/>
  <c r="Y692" i="55"/>
  <c r="AD306" i="56"/>
  <c r="AG353" i="58"/>
  <c r="M236" i="58"/>
  <c r="P375" i="58"/>
  <c r="J156" i="53"/>
  <c r="AL616" i="55"/>
  <c r="AH616" i="55"/>
  <c r="I616" i="55" s="1"/>
  <c r="AM616" i="55"/>
  <c r="J43" i="19"/>
  <c r="Q211" i="19"/>
  <c r="R368" i="1"/>
  <c r="AA341" i="19"/>
  <c r="R346" i="1"/>
  <c r="AA327" i="19"/>
  <c r="N390" i="58"/>
  <c r="AK390" i="58"/>
  <c r="AH44" i="53"/>
  <c r="J155" i="53"/>
  <c r="AG363" i="58"/>
  <c r="AD315" i="56"/>
  <c r="N362" i="58"/>
  <c r="AK362" i="58"/>
  <c r="AB309" i="19"/>
  <c r="K309" i="56"/>
  <c r="AH309" i="56"/>
  <c r="K162" i="53"/>
  <c r="J45" i="19"/>
  <c r="Q45" i="19" s="1"/>
  <c r="Q213" i="19"/>
  <c r="Y410" i="19"/>
  <c r="K352" i="19"/>
  <c r="K245" i="19" s="1"/>
  <c r="R270" i="69"/>
  <c r="R282" i="1"/>
  <c r="AF391" i="58"/>
  <c r="I98" i="19"/>
  <c r="P98" i="19" s="1"/>
  <c r="P34" i="19"/>
  <c r="N388" i="58"/>
  <c r="AK388" i="58"/>
  <c r="L252" i="58"/>
  <c r="O394" i="58"/>
  <c r="J210" i="56"/>
  <c r="Q323" i="56"/>
  <c r="J209" i="56"/>
  <c r="Q322" i="56"/>
  <c r="AC420" i="58"/>
  <c r="L346" i="58"/>
  <c r="AC477" i="58"/>
  <c r="AC478" i="58" s="1"/>
  <c r="AJ346" i="58"/>
  <c r="R198" i="69"/>
  <c r="K311" i="56"/>
  <c r="K198" i="56" s="1"/>
  <c r="AH311" i="56"/>
  <c r="K334" i="56"/>
  <c r="AH334" i="56"/>
  <c r="R208" i="1"/>
  <c r="AC316" i="56"/>
  <c r="AF364" i="58"/>
  <c r="AF361" i="58"/>
  <c r="AC313" i="56"/>
  <c r="R203" i="1"/>
  <c r="J223" i="56"/>
  <c r="Q336" i="56"/>
  <c r="J213" i="56"/>
  <c r="Q326" i="56"/>
  <c r="J200" i="56"/>
  <c r="Q313" i="56"/>
  <c r="AF374" i="58"/>
  <c r="R243" i="1"/>
  <c r="AC325" i="56"/>
  <c r="K206" i="19"/>
  <c r="R313" i="19"/>
  <c r="I329" i="56"/>
  <c r="AG329" i="56"/>
  <c r="I325" i="56"/>
  <c r="I212" i="56" s="1"/>
  <c r="AG325" i="56"/>
  <c r="J23" i="56"/>
  <c r="Q193" i="56"/>
  <c r="I214" i="19"/>
  <c r="P321" i="19"/>
  <c r="I210" i="19"/>
  <c r="P317" i="19"/>
  <c r="AG354" i="58"/>
  <c r="AD307" i="56"/>
  <c r="AD310" i="56"/>
  <c r="AG357" i="58"/>
  <c r="J109" i="61"/>
  <c r="J80" i="61"/>
  <c r="R380" i="1"/>
  <c r="K306" i="56"/>
  <c r="K193" i="56" s="1"/>
  <c r="AH306" i="56"/>
  <c r="S44" i="54"/>
  <c r="R334" i="1"/>
  <c r="AA320" i="19"/>
  <c r="G407" i="1"/>
  <c r="R332" i="1"/>
  <c r="R296" i="1"/>
  <c r="AA296" i="1" s="1"/>
  <c r="AB296" i="1" s="1"/>
  <c r="Y604" i="55"/>
  <c r="AA303" i="19"/>
  <c r="K315" i="56"/>
  <c r="AH315" i="56"/>
  <c r="AB310" i="19"/>
  <c r="N356" i="58"/>
  <c r="AK356" i="58"/>
  <c r="J161" i="53"/>
  <c r="J33" i="19"/>
  <c r="Q206" i="19"/>
  <c r="J17" i="40" s="1"/>
  <c r="R245" i="69"/>
  <c r="R331" i="1"/>
  <c r="AG386" i="58"/>
  <c r="AD335" i="56"/>
  <c r="N156" i="53"/>
  <c r="R246" i="69"/>
  <c r="AB326" i="19"/>
  <c r="L250" i="58"/>
  <c r="O391" i="58"/>
  <c r="D12" i="15"/>
  <c r="AA603" i="55"/>
  <c r="AB302" i="19"/>
  <c r="J45" i="56"/>
  <c r="Q45" i="56" s="1"/>
  <c r="Q205" i="56"/>
  <c r="R226" i="69"/>
  <c r="R311" i="1"/>
  <c r="AA309" i="19"/>
  <c r="N359" i="58"/>
  <c r="AK359" i="58"/>
  <c r="I316" i="56"/>
  <c r="AG316" i="56"/>
  <c r="I313" i="56"/>
  <c r="AG313" i="56"/>
  <c r="G70" i="61"/>
  <c r="G21" i="61"/>
  <c r="N353" i="58"/>
  <c r="AK353" i="58"/>
  <c r="N363" i="58"/>
  <c r="AK363" i="58"/>
  <c r="R199" i="69"/>
  <c r="J188" i="56"/>
  <c r="Q301" i="56"/>
  <c r="K335" i="56"/>
  <c r="AH335" i="56"/>
  <c r="AL603" i="55"/>
  <c r="AH603" i="55"/>
  <c r="AM603" i="55"/>
  <c r="K213" i="19"/>
  <c r="R320" i="19"/>
  <c r="M224" i="58"/>
  <c r="P362" i="58"/>
  <c r="Y600" i="55"/>
  <c r="R292" i="1"/>
  <c r="J214" i="56"/>
  <c r="Q327" i="56"/>
  <c r="L364" i="58"/>
  <c r="AJ364" i="58"/>
  <c r="L361" i="58"/>
  <c r="AJ361" i="58"/>
  <c r="AG383" i="58"/>
  <c r="AD333" i="56"/>
  <c r="AL614" i="55"/>
  <c r="AH614" i="55"/>
  <c r="AM614" i="55"/>
  <c r="L374" i="58"/>
  <c r="AJ374" i="58"/>
  <c r="B13" i="15"/>
  <c r="AA306" i="19"/>
  <c r="Y613" i="55"/>
  <c r="R305" i="1"/>
  <c r="AA305" i="1" s="1"/>
  <c r="AB305" i="1" s="1"/>
  <c r="R202" i="69"/>
  <c r="K307" i="56"/>
  <c r="AH307" i="56"/>
  <c r="K310" i="56"/>
  <c r="K197" i="56" s="1"/>
  <c r="AH310" i="56"/>
  <c r="L363" i="58"/>
  <c r="AJ363" i="58"/>
  <c r="R351" i="1"/>
  <c r="K333" i="56"/>
  <c r="K220" i="56" s="1"/>
  <c r="AH333" i="56"/>
  <c r="K194" i="19"/>
  <c r="R301" i="19"/>
  <c r="J203" i="56"/>
  <c r="Q316" i="56"/>
  <c r="F37" i="54"/>
  <c r="I200" i="19"/>
  <c r="P307" i="19"/>
  <c r="K161" i="53"/>
  <c r="AM698" i="55"/>
  <c r="AL698" i="55"/>
  <c r="N354" i="58"/>
  <c r="AK354" i="58"/>
  <c r="N357" i="58"/>
  <c r="AK357" i="58"/>
  <c r="R233" i="1"/>
  <c r="AC322" i="56"/>
  <c r="AF371" i="58"/>
  <c r="AD326" i="56"/>
  <c r="AG375" i="58"/>
  <c r="AD316" i="56"/>
  <c r="AG364" i="58"/>
  <c r="AF372" i="58"/>
  <c r="R235" i="1"/>
  <c r="AC323" i="56"/>
  <c r="AA300" i="19"/>
  <c r="Y598" i="55"/>
  <c r="R290" i="1"/>
  <c r="S290" i="1" s="1"/>
  <c r="O392" i="1"/>
  <c r="AC355" i="19"/>
  <c r="K202" i="19"/>
  <c r="R309" i="19"/>
  <c r="S23" i="63"/>
  <c r="AE23" i="63" s="1"/>
  <c r="N386" i="58"/>
  <c r="AK386" i="58"/>
  <c r="K156" i="53"/>
  <c r="AG382" i="58"/>
  <c r="AD332" i="56"/>
  <c r="AB332" i="19"/>
  <c r="AB323" i="19"/>
  <c r="N158" i="53"/>
  <c r="I225" i="19"/>
  <c r="P332" i="19"/>
  <c r="R225" i="69"/>
  <c r="AI708" i="55"/>
  <c r="M221" i="58"/>
  <c r="P359" i="58"/>
  <c r="AG366" i="58"/>
  <c r="AD318" i="56"/>
  <c r="J21" i="19"/>
  <c r="Q21" i="19" s="1"/>
  <c r="Q199" i="19"/>
  <c r="J9" i="40" s="1"/>
  <c r="R252" i="69"/>
  <c r="R204" i="69"/>
  <c r="R107" i="69"/>
  <c r="R157" i="69" s="1"/>
  <c r="I315" i="56"/>
  <c r="AG315" i="56"/>
  <c r="N383" i="58"/>
  <c r="AK383" i="58"/>
  <c r="R251" i="69"/>
  <c r="M240" i="58"/>
  <c r="P380" i="58"/>
  <c r="R227" i="69"/>
  <c r="AF367" i="58"/>
  <c r="R226" i="1"/>
  <c r="AC319" i="56"/>
  <c r="AB330" i="19"/>
  <c r="L371" i="58"/>
  <c r="AJ371" i="58"/>
  <c r="R267" i="1"/>
  <c r="AC334" i="56"/>
  <c r="AF385" i="58"/>
  <c r="AM692" i="55"/>
  <c r="AL692" i="55"/>
  <c r="N375" i="58"/>
  <c r="AK375" i="58"/>
  <c r="K316" i="56"/>
  <c r="AH316" i="56"/>
  <c r="I323" i="56"/>
  <c r="AG323" i="56"/>
  <c r="AA613" i="55"/>
  <c r="D13" i="15"/>
  <c r="AB306" i="19"/>
  <c r="H34" i="66"/>
  <c r="I222" i="19"/>
  <c r="P329" i="19"/>
  <c r="K203" i="19"/>
  <c r="R310" i="19"/>
  <c r="S27" i="63"/>
  <c r="AB341" i="19"/>
  <c r="I195" i="19"/>
  <c r="P302" i="19"/>
  <c r="K99" i="19"/>
  <c r="R99" i="19" s="1"/>
  <c r="R51" i="19"/>
  <c r="K332" i="56"/>
  <c r="K219" i="56" s="1"/>
  <c r="AH332" i="56"/>
  <c r="AG387" i="58"/>
  <c r="AD336" i="56"/>
  <c r="AA326" i="19"/>
  <c r="R345" i="1"/>
  <c r="B11" i="15"/>
  <c r="R291" i="1"/>
  <c r="AA291" i="1" s="1"/>
  <c r="AB291" i="1" s="1"/>
  <c r="AA301" i="19"/>
  <c r="Y599" i="55"/>
  <c r="K195" i="19"/>
  <c r="R302" i="19"/>
  <c r="I204" i="19"/>
  <c r="P311" i="19"/>
  <c r="K318" i="56"/>
  <c r="K205" i="56" s="1"/>
  <c r="AH318" i="56"/>
  <c r="R283" i="1"/>
  <c r="AF393" i="58"/>
  <c r="L158" i="69"/>
  <c r="J27" i="19"/>
  <c r="Q200" i="19"/>
  <c r="J11" i="40" s="1"/>
  <c r="K326" i="56"/>
  <c r="AH326" i="56"/>
  <c r="I234" i="19"/>
  <c r="P341" i="19"/>
  <c r="AL604" i="55"/>
  <c r="AH604" i="55"/>
  <c r="AM604" i="55"/>
  <c r="Y693" i="55"/>
  <c r="R385" i="1"/>
  <c r="AB300" i="19"/>
  <c r="AA598" i="55"/>
  <c r="D10" i="14"/>
  <c r="E10" i="14" s="1"/>
  <c r="P392" i="1"/>
  <c r="J157" i="53"/>
  <c r="AD305" i="56"/>
  <c r="AG352" i="58"/>
  <c r="R273" i="69"/>
  <c r="M29" i="65"/>
  <c r="P29" i="65" s="1"/>
  <c r="R363" i="1"/>
  <c r="AA336" i="19"/>
  <c r="N382" i="58"/>
  <c r="AK382" i="58"/>
  <c r="N387" i="58"/>
  <c r="AK387" i="58"/>
  <c r="AL600" i="55"/>
  <c r="AM600" i="55"/>
  <c r="AH600" i="55"/>
  <c r="K158" i="53"/>
  <c r="AB338" i="19"/>
  <c r="AD319" i="56"/>
  <c r="AG367" i="58"/>
  <c r="M233" i="58"/>
  <c r="P372" i="58"/>
  <c r="J221" i="56"/>
  <c r="Q334" i="56"/>
  <c r="AC310" i="56"/>
  <c r="AF357" i="58"/>
  <c r="R197" i="1"/>
  <c r="N366" i="58"/>
  <c r="AK366" i="58"/>
  <c r="I202" i="19"/>
  <c r="P309" i="19"/>
  <c r="L393" i="58"/>
  <c r="AJ393" i="58"/>
  <c r="R225" i="1"/>
  <c r="AF366" i="58"/>
  <c r="AC318" i="56"/>
  <c r="I322" i="56"/>
  <c r="AG322" i="56"/>
  <c r="N364" i="58"/>
  <c r="AK364" i="58"/>
  <c r="I213" i="19"/>
  <c r="P320" i="19"/>
  <c r="L367" i="58"/>
  <c r="AJ367" i="58"/>
  <c r="AL613" i="55"/>
  <c r="AH613" i="55"/>
  <c r="AM613" i="55"/>
  <c r="I334" i="56"/>
  <c r="AG334" i="56"/>
  <c r="AF354" i="58"/>
  <c r="AC307" i="56"/>
  <c r="R187" i="1"/>
  <c r="AB329" i="19"/>
  <c r="R388" i="1"/>
  <c r="Y696" i="55"/>
  <c r="R337" i="1"/>
  <c r="AA323" i="19"/>
  <c r="R386" i="1"/>
  <c r="Y694" i="55"/>
  <c r="B10" i="11"/>
  <c r="R379" i="1"/>
  <c r="AA379" i="1" s="1"/>
  <c r="AB379" i="1" s="1"/>
  <c r="AA351" i="19"/>
  <c r="P18" i="19"/>
  <c r="AB336" i="19"/>
  <c r="K305" i="56"/>
  <c r="K192" i="56" s="1"/>
  <c r="AH305" i="56"/>
  <c r="J5" i="62"/>
  <c r="H76" i="61"/>
  <c r="AC304" i="56"/>
  <c r="R184" i="1"/>
  <c r="AF351" i="58"/>
  <c r="R221" i="69"/>
  <c r="J69" i="56"/>
  <c r="Q219" i="56"/>
  <c r="AB318" i="19"/>
  <c r="K225" i="19"/>
  <c r="R332" i="19"/>
  <c r="K336" i="56"/>
  <c r="AH336" i="56"/>
  <c r="K216" i="19"/>
  <c r="R323" i="19"/>
  <c r="G408" i="1"/>
  <c r="J70" i="56"/>
  <c r="Q220" i="56"/>
  <c r="N367" i="58"/>
  <c r="AK367" i="58"/>
  <c r="I310" i="56"/>
  <c r="I197" i="56" s="1"/>
  <c r="AG310" i="56"/>
  <c r="M239" i="58"/>
  <c r="P379" i="58"/>
  <c r="G410" i="1"/>
  <c r="J162" i="53"/>
  <c r="I318" i="56"/>
  <c r="I205" i="56" s="1"/>
  <c r="AG318" i="56"/>
  <c r="J37" i="19"/>
  <c r="Q210" i="19"/>
  <c r="AF363" i="58"/>
  <c r="R207" i="1"/>
  <c r="AC315" i="56"/>
  <c r="R271" i="69"/>
  <c r="M216" i="58"/>
  <c r="P353" i="58"/>
  <c r="R293" i="1"/>
  <c r="Y601" i="55"/>
  <c r="AB311" i="19"/>
  <c r="Y695" i="55"/>
  <c r="R387" i="1"/>
  <c r="K223" i="19"/>
  <c r="R330" i="19"/>
  <c r="I199" i="19"/>
  <c r="P306" i="19"/>
  <c r="AG379" i="58"/>
  <c r="AD329" i="56"/>
  <c r="AG349" i="58"/>
  <c r="AD302" i="56"/>
  <c r="R371" i="1"/>
  <c r="I307" i="56"/>
  <c r="AG307" i="56"/>
  <c r="D10" i="11"/>
  <c r="AB351" i="19"/>
  <c r="K199" i="19"/>
  <c r="R306" i="19"/>
  <c r="AG380" i="58"/>
  <c r="AD330" i="56"/>
  <c r="AA401" i="19"/>
  <c r="U56" i="54"/>
  <c r="U62" i="54" s="1"/>
  <c r="H19" i="54"/>
  <c r="I352" i="19"/>
  <c r="I245" i="19" s="1"/>
  <c r="X410" i="19"/>
  <c r="AF349" i="58"/>
  <c r="R183" i="1"/>
  <c r="AC302" i="56"/>
  <c r="N352" i="58"/>
  <c r="AK352" i="58"/>
  <c r="I304" i="56"/>
  <c r="I191" i="56" s="1"/>
  <c r="AG304" i="56"/>
  <c r="K234" i="19"/>
  <c r="R341" i="19"/>
  <c r="J187" i="56"/>
  <c r="Q300" i="56"/>
  <c r="AG369" i="58"/>
  <c r="AD320" i="56"/>
  <c r="AA709" i="55"/>
  <c r="Y42" i="66"/>
  <c r="AB327" i="19"/>
  <c r="J48" i="19"/>
  <c r="Q216" i="19"/>
  <c r="R249" i="69"/>
  <c r="J199" i="56"/>
  <c r="Q312" i="56"/>
  <c r="I194" i="19"/>
  <c r="P301" i="19"/>
  <c r="K319" i="56"/>
  <c r="K206" i="56" s="1"/>
  <c r="AH319" i="56"/>
  <c r="J29" i="19"/>
  <c r="Q29" i="19" s="1"/>
  <c r="Q202" i="19"/>
  <c r="J14" i="40" s="1"/>
  <c r="J216" i="56"/>
  <c r="Q329" i="56"/>
  <c r="L357" i="58"/>
  <c r="AJ357" i="58"/>
  <c r="AB303" i="19"/>
  <c r="AA604" i="55"/>
  <c r="R281" i="1"/>
  <c r="AF390" i="58"/>
  <c r="R186" i="1"/>
  <c r="AC306" i="56"/>
  <c r="AF353" i="58"/>
  <c r="R349" i="1"/>
  <c r="AA330" i="19"/>
  <c r="L366" i="58"/>
  <c r="AJ366" i="58"/>
  <c r="L372" i="58"/>
  <c r="AJ372" i="58"/>
  <c r="Y691" i="55"/>
  <c r="R383" i="1"/>
  <c r="AB321" i="19"/>
  <c r="R188" i="69"/>
  <c r="AA188" i="69" s="1"/>
  <c r="AB188" i="69" s="1"/>
  <c r="AF362" i="58"/>
  <c r="AC314" i="56"/>
  <c r="R204" i="1"/>
  <c r="R222" i="69"/>
  <c r="K329" i="56"/>
  <c r="AH329" i="56"/>
  <c r="K302" i="56"/>
  <c r="K189" i="56" s="1"/>
  <c r="AH302" i="56"/>
  <c r="M247" i="58"/>
  <c r="P388" i="58"/>
  <c r="L354" i="58"/>
  <c r="AJ354" i="58"/>
  <c r="J62" i="19"/>
  <c r="Q62" i="19" s="1"/>
  <c r="Q225" i="19"/>
  <c r="K330" i="56"/>
  <c r="K217" i="56" s="1"/>
  <c r="AH330" i="56"/>
  <c r="E37" i="54"/>
  <c r="AC311" i="56"/>
  <c r="R200" i="1"/>
  <c r="AF359" i="58"/>
  <c r="K169" i="61"/>
  <c r="K111" i="61"/>
  <c r="H109" i="61"/>
  <c r="G414" i="1"/>
  <c r="I302" i="56"/>
  <c r="I189" i="56" s="1"/>
  <c r="AG302" i="56"/>
  <c r="L351" i="58"/>
  <c r="AJ351" i="58"/>
  <c r="J76" i="19"/>
  <c r="Q76" i="19" s="1"/>
  <c r="Q234" i="19"/>
  <c r="M243" i="58"/>
  <c r="P383" i="58"/>
  <c r="N369" i="58"/>
  <c r="AK369" i="58"/>
  <c r="R389" i="1"/>
  <c r="Y697" i="55"/>
  <c r="AL599" i="55"/>
  <c r="AH599" i="55"/>
  <c r="AM599" i="55"/>
  <c r="AF369" i="58"/>
  <c r="R229" i="1"/>
  <c r="AC320" i="56"/>
  <c r="K231" i="19"/>
  <c r="K68" i="19" s="1"/>
  <c r="R68" i="19" s="1"/>
  <c r="R338" i="19"/>
  <c r="N160" i="53"/>
  <c r="AC332" i="56"/>
  <c r="AF382" i="58"/>
  <c r="R262" i="1"/>
  <c r="R248" i="1"/>
  <c r="AF377" i="58"/>
  <c r="AC327" i="56"/>
  <c r="M215" i="58"/>
  <c r="P352" i="58"/>
  <c r="L390" i="58"/>
  <c r="AJ390" i="58"/>
  <c r="I306" i="56"/>
  <c r="I193" i="56" s="1"/>
  <c r="AG306" i="56"/>
  <c r="AG360" i="58"/>
  <c r="AD312" i="56"/>
  <c r="M219" i="58"/>
  <c r="P356" i="58"/>
  <c r="J202" i="56"/>
  <c r="Q315" i="56"/>
  <c r="L385" i="58"/>
  <c r="AJ385" i="58"/>
  <c r="P52" i="19"/>
  <c r="M107" i="58"/>
  <c r="T107" i="58" s="1"/>
  <c r="G107" i="58" s="1"/>
  <c r="P250" i="58"/>
  <c r="AA313" i="19"/>
  <c r="R315" i="1"/>
  <c r="R274" i="69"/>
  <c r="H24" i="54"/>
  <c r="U57" i="54"/>
  <c r="U63" i="54" s="1"/>
  <c r="I314" i="56"/>
  <c r="AG314" i="56"/>
  <c r="AC336" i="56"/>
  <c r="AF387" i="58"/>
  <c r="R271" i="1"/>
  <c r="AL601" i="55"/>
  <c r="AH601" i="55"/>
  <c r="AM601" i="55"/>
  <c r="N379" i="58"/>
  <c r="AK379" i="58"/>
  <c r="N349" i="58"/>
  <c r="AK349" i="58"/>
  <c r="AC335" i="56"/>
  <c r="AF386" i="58"/>
  <c r="R269" i="1"/>
  <c r="K222" i="19"/>
  <c r="R329" i="19"/>
  <c r="P112" i="49"/>
  <c r="E154" i="49"/>
  <c r="AA335" i="19"/>
  <c r="R362" i="1"/>
  <c r="G417" i="1"/>
  <c r="N380" i="58"/>
  <c r="AK380" i="58"/>
  <c r="M249" i="58"/>
  <c r="P390" i="58"/>
  <c r="AA339" i="19"/>
  <c r="R366" i="1"/>
  <c r="M212" i="58"/>
  <c r="P349" i="58"/>
  <c r="I311" i="56"/>
  <c r="I198" i="56" s="1"/>
  <c r="AG311" i="56"/>
  <c r="AM693" i="55"/>
  <c r="AL693" i="55"/>
  <c r="I34" i="66"/>
  <c r="M217" i="58"/>
  <c r="P354" i="58"/>
  <c r="AC330" i="56"/>
  <c r="AF380" i="58"/>
  <c r="R254" i="1"/>
  <c r="L349" i="58"/>
  <c r="AJ349" i="58"/>
  <c r="V293" i="69"/>
  <c r="Y185" i="69"/>
  <c r="AD321" i="56"/>
  <c r="AG370" i="58"/>
  <c r="J69" i="19"/>
  <c r="Q69" i="19" s="1"/>
  <c r="K66" i="46" s="1"/>
  <c r="Q232" i="19"/>
  <c r="M27" i="65"/>
  <c r="P27" i="65" s="1"/>
  <c r="R247" i="69"/>
  <c r="D12" i="11"/>
  <c r="AB352" i="19"/>
  <c r="K211" i="19"/>
  <c r="R318" i="19"/>
  <c r="K320" i="56"/>
  <c r="K207" i="56" s="1"/>
  <c r="AH320" i="56"/>
  <c r="I99" i="19"/>
  <c r="P99" i="19" s="1"/>
  <c r="P51" i="19"/>
  <c r="G405" i="1"/>
  <c r="I320" i="56"/>
  <c r="I207" i="56" s="1"/>
  <c r="AG320" i="56"/>
  <c r="I332" i="56"/>
  <c r="I219" i="56" s="1"/>
  <c r="AG332" i="56"/>
  <c r="L377" i="58"/>
  <c r="AJ377" i="58"/>
  <c r="AB314" i="19"/>
  <c r="AG347" i="58"/>
  <c r="AD301" i="56"/>
  <c r="R197" i="69"/>
  <c r="L353" i="58"/>
  <c r="AJ353" i="58"/>
  <c r="J22" i="56"/>
  <c r="Q192" i="56"/>
  <c r="N360" i="58"/>
  <c r="AK360" i="58"/>
  <c r="L359" i="58"/>
  <c r="AJ359" i="58"/>
  <c r="AB307" i="19"/>
  <c r="AA614" i="55"/>
  <c r="I330" i="56"/>
  <c r="I217" i="56" s="1"/>
  <c r="AG330" i="56"/>
  <c r="Y699" i="55"/>
  <c r="R391" i="1"/>
  <c r="N370" i="58"/>
  <c r="AK370" i="58"/>
  <c r="S24" i="63"/>
  <c r="AE24" i="63" s="1"/>
  <c r="AB317" i="19"/>
  <c r="R329" i="1"/>
  <c r="AA318" i="19"/>
  <c r="AB335" i="19"/>
  <c r="V42" i="66"/>
  <c r="O42" i="66" s="1"/>
  <c r="I42" i="66" s="1"/>
  <c r="X709" i="55"/>
  <c r="R52" i="19"/>
  <c r="R244" i="1"/>
  <c r="AF375" i="58"/>
  <c r="AC326" i="56"/>
  <c r="M228" i="58"/>
  <c r="P366" i="58"/>
  <c r="R352" i="1"/>
  <c r="L369" i="58"/>
  <c r="AJ369" i="58"/>
  <c r="K160" i="53"/>
  <c r="L382" i="58"/>
  <c r="AJ382" i="58"/>
  <c r="I327" i="56"/>
  <c r="AG327" i="56"/>
  <c r="N347" i="58"/>
  <c r="AK347" i="58"/>
  <c r="R18" i="19"/>
  <c r="R312" i="1"/>
  <c r="AA310" i="19"/>
  <c r="K312" i="56"/>
  <c r="AH312" i="56"/>
  <c r="I319" i="56"/>
  <c r="I206" i="56" s="1"/>
  <c r="AG319" i="56"/>
  <c r="J160" i="53"/>
  <c r="R200" i="69"/>
  <c r="R294" i="1"/>
  <c r="Y602" i="55"/>
  <c r="AL695" i="55"/>
  <c r="AM695" i="55"/>
  <c r="F70" i="61"/>
  <c r="F21" i="61"/>
  <c r="L387" i="58"/>
  <c r="AJ387" i="58"/>
  <c r="R228" i="69"/>
  <c r="K325" i="56"/>
  <c r="K212" i="56" s="1"/>
  <c r="AH325" i="56"/>
  <c r="L386" i="58"/>
  <c r="AJ386" i="58"/>
  <c r="I301" i="56"/>
  <c r="AG301" i="56"/>
  <c r="AD327" i="56"/>
  <c r="AG377" i="58"/>
  <c r="V773" i="55"/>
  <c r="V774" i="55" s="1"/>
  <c r="S776" i="55" s="1"/>
  <c r="Y457" i="61"/>
  <c r="X417" i="19"/>
  <c r="X418" i="19" s="1"/>
  <c r="U420" i="19" s="1"/>
  <c r="AC483" i="58"/>
  <c r="AC484" i="58" s="1"/>
  <c r="Z486" i="58" s="1"/>
  <c r="Y392" i="1"/>
  <c r="AD463" i="58"/>
  <c r="Z437" i="61"/>
  <c r="W753" i="55"/>
  <c r="I216" i="19"/>
  <c r="P323" i="19"/>
  <c r="AB441" i="61"/>
  <c r="R250" i="69"/>
  <c r="J57" i="56"/>
  <c r="Q212" i="56"/>
  <c r="M230" i="58"/>
  <c r="P369" i="58"/>
  <c r="L380" i="58"/>
  <c r="AJ380" i="58"/>
  <c r="K155" i="53"/>
  <c r="AI44" i="53"/>
  <c r="AD35" i="53" s="1"/>
  <c r="K321" i="56"/>
  <c r="AH321" i="56"/>
  <c r="M26" i="65"/>
  <c r="P26" i="65" s="1"/>
  <c r="N157" i="53"/>
  <c r="R365" i="1"/>
  <c r="AA338" i="19"/>
  <c r="AG346" i="58"/>
  <c r="P285" i="1"/>
  <c r="P286" i="1" s="1"/>
  <c r="AD300" i="56"/>
  <c r="L375" i="58"/>
  <c r="AJ375" i="58"/>
  <c r="AA314" i="19"/>
  <c r="R316" i="1"/>
  <c r="R273" i="1"/>
  <c r="AF388" i="58"/>
  <c r="R187" i="69"/>
  <c r="AA187" i="69" s="1"/>
  <c r="AB187" i="69" s="1"/>
  <c r="K301" i="56"/>
  <c r="AH301" i="56"/>
  <c r="R196" i="1"/>
  <c r="AF356" i="58"/>
  <c r="AC309" i="56"/>
  <c r="R59" i="62"/>
  <c r="T59" i="62" s="1"/>
  <c r="O5" i="53" l="1"/>
  <c r="M102" i="55"/>
  <c r="M192" i="55" s="1"/>
  <c r="J192" i="55"/>
  <c r="M50" i="55"/>
  <c r="M153" i="55" s="1"/>
  <c r="J153" i="55"/>
  <c r="M47" i="55"/>
  <c r="M142" i="55" s="1"/>
  <c r="J142" i="55"/>
  <c r="J136" i="55"/>
  <c r="J133" i="55"/>
  <c r="M516" i="55"/>
  <c r="M401" i="55" s="1"/>
  <c r="L460" i="55"/>
  <c r="L349" i="55" s="1"/>
  <c r="I349" i="55"/>
  <c r="I53" i="55" s="1"/>
  <c r="L53" i="55" s="1"/>
  <c r="L500" i="55"/>
  <c r="L385" i="55" s="1"/>
  <c r="I385" i="55"/>
  <c r="I99" i="55" s="1"/>
  <c r="M461" i="55"/>
  <c r="M341" i="55" s="1"/>
  <c r="J341" i="55"/>
  <c r="J45" i="55" s="1"/>
  <c r="L474" i="55"/>
  <c r="L353" i="55" s="1"/>
  <c r="I353" i="55"/>
  <c r="I57" i="55" s="1"/>
  <c r="L470" i="55"/>
  <c r="L337" i="55" s="1"/>
  <c r="I337" i="55"/>
  <c r="I41" i="55" s="1"/>
  <c r="L488" i="55"/>
  <c r="L357" i="55" s="1"/>
  <c r="I357" i="55"/>
  <c r="I66" i="55" s="1"/>
  <c r="I164" i="55" s="1"/>
  <c r="M481" i="55"/>
  <c r="M366" i="55" s="1"/>
  <c r="J366" i="55"/>
  <c r="J75" i="55" s="1"/>
  <c r="M492" i="55"/>
  <c r="M371" i="55" s="1"/>
  <c r="J371" i="55"/>
  <c r="J80" i="55" s="1"/>
  <c r="M480" i="55"/>
  <c r="M361" i="55" s="1"/>
  <c r="J361" i="55"/>
  <c r="J70" i="55" s="1"/>
  <c r="M70" i="55" s="1"/>
  <c r="L497" i="55"/>
  <c r="L378" i="55" s="1"/>
  <c r="I378" i="55"/>
  <c r="I92" i="55" s="1"/>
  <c r="L515" i="55"/>
  <c r="L400" i="55" s="1"/>
  <c r="I400" i="55"/>
  <c r="I119" i="55" s="1"/>
  <c r="M506" i="55"/>
  <c r="M375" i="55" s="1"/>
  <c r="J375" i="55"/>
  <c r="J89" i="55" s="1"/>
  <c r="M476" i="55"/>
  <c r="M355" i="55" s="1"/>
  <c r="J355" i="55"/>
  <c r="J59" i="55" s="1"/>
  <c r="L450" i="55"/>
  <c r="L329" i="55" s="1"/>
  <c r="I329" i="55"/>
  <c r="I28" i="55" s="1"/>
  <c r="I174" i="55" s="1"/>
  <c r="M465" i="55"/>
  <c r="M345" i="55" s="1"/>
  <c r="J345" i="55"/>
  <c r="J49" i="55" s="1"/>
  <c r="L506" i="55"/>
  <c r="L375" i="55" s="1"/>
  <c r="I375" i="55"/>
  <c r="I89" i="55" s="1"/>
  <c r="I172" i="55" s="1"/>
  <c r="M458" i="55"/>
  <c r="M347" i="55" s="1"/>
  <c r="J347" i="55"/>
  <c r="J51" i="55" s="1"/>
  <c r="M51" i="55" s="1"/>
  <c r="L471" i="55"/>
  <c r="L350" i="55" s="1"/>
  <c r="I350" i="55"/>
  <c r="I54" i="55" s="1"/>
  <c r="M495" i="55"/>
  <c r="M376" i="55" s="1"/>
  <c r="J376" i="55"/>
  <c r="J90" i="55" s="1"/>
  <c r="M90" i="55" s="1"/>
  <c r="L465" i="55"/>
  <c r="L345" i="55" s="1"/>
  <c r="I345" i="55"/>
  <c r="I49" i="55" s="1"/>
  <c r="L486" i="55"/>
  <c r="L364" i="55" s="1"/>
  <c r="I364" i="55"/>
  <c r="I73" i="55" s="1"/>
  <c r="I154" i="55" s="1"/>
  <c r="M470" i="55"/>
  <c r="M337" i="55" s="1"/>
  <c r="J337" i="55"/>
  <c r="J41" i="55" s="1"/>
  <c r="M525" i="55"/>
  <c r="M404" i="55" s="1"/>
  <c r="J404" i="55"/>
  <c r="J123" i="55" s="1"/>
  <c r="L449" i="55"/>
  <c r="L322" i="55" s="1"/>
  <c r="I322" i="55"/>
  <c r="I21" i="55" s="1"/>
  <c r="I168" i="55" s="1"/>
  <c r="L483" i="55"/>
  <c r="L368" i="55" s="1"/>
  <c r="I368" i="55"/>
  <c r="I77" i="55" s="1"/>
  <c r="M498" i="55"/>
  <c r="M383" i="55" s="1"/>
  <c r="J383" i="55"/>
  <c r="J97" i="55" s="1"/>
  <c r="M477" i="55"/>
  <c r="M356" i="55" s="1"/>
  <c r="J356" i="55"/>
  <c r="J65" i="55" s="1"/>
  <c r="X15" i="54" s="1"/>
  <c r="M488" i="55"/>
  <c r="M357" i="55" s="1"/>
  <c r="J357" i="55"/>
  <c r="J66" i="55" s="1"/>
  <c r="M467" i="55"/>
  <c r="M334" i="55" s="1"/>
  <c r="J334" i="55"/>
  <c r="J38" i="55" s="1"/>
  <c r="L476" i="55"/>
  <c r="L355" i="55" s="1"/>
  <c r="I355" i="55"/>
  <c r="I59" i="55" s="1"/>
  <c r="M497" i="55"/>
  <c r="M378" i="55" s="1"/>
  <c r="J378" i="55"/>
  <c r="J92" i="55" s="1"/>
  <c r="M92" i="55" s="1"/>
  <c r="M517" i="55"/>
  <c r="M402" i="55" s="1"/>
  <c r="J402" i="55"/>
  <c r="J121" i="55" s="1"/>
  <c r="M494" i="55"/>
  <c r="M373" i="55" s="1"/>
  <c r="J373" i="55"/>
  <c r="J87" i="55" s="1"/>
  <c r="X20" i="54" s="1"/>
  <c r="L507" i="55"/>
  <c r="L386" i="55" s="1"/>
  <c r="I386" i="55"/>
  <c r="I100" i="55" s="1"/>
  <c r="I181" i="55" s="1"/>
  <c r="M486" i="55"/>
  <c r="M364" i="55" s="1"/>
  <c r="J364" i="55"/>
  <c r="J73" i="55" s="1"/>
  <c r="J154" i="55" s="1"/>
  <c r="I47" i="62" s="1"/>
  <c r="L503" i="55"/>
  <c r="L381" i="55" s="1"/>
  <c r="I381" i="55"/>
  <c r="I95" i="55" s="1"/>
  <c r="I156" i="55" s="1"/>
  <c r="M514" i="55"/>
  <c r="M395" i="55" s="1"/>
  <c r="J395" i="55"/>
  <c r="J114" i="55" s="1"/>
  <c r="M527" i="55"/>
  <c r="M406" i="55" s="1"/>
  <c r="J406" i="55"/>
  <c r="J125" i="55" s="1"/>
  <c r="L451" i="55"/>
  <c r="L330" i="55" s="1"/>
  <c r="I330" i="55"/>
  <c r="I29" i="55" s="1"/>
  <c r="I175" i="55" s="1"/>
  <c r="L511" i="55"/>
  <c r="L390" i="55" s="1"/>
  <c r="I390" i="55"/>
  <c r="I109" i="55" s="1"/>
  <c r="M515" i="55"/>
  <c r="M400" i="55" s="1"/>
  <c r="J400" i="55"/>
  <c r="J119" i="55" s="1"/>
  <c r="M119" i="55" s="1"/>
  <c r="L528" i="55"/>
  <c r="L407" i="55" s="1"/>
  <c r="I407" i="55"/>
  <c r="M491" i="55"/>
  <c r="M370" i="55" s="1"/>
  <c r="J370" i="55"/>
  <c r="J79" i="55" s="1"/>
  <c r="M520" i="55"/>
  <c r="M398" i="55" s="1"/>
  <c r="J398" i="55"/>
  <c r="J117" i="55" s="1"/>
  <c r="J158" i="55" s="1"/>
  <c r="I51" i="62" s="1"/>
  <c r="L464" i="55"/>
  <c r="L344" i="55" s="1"/>
  <c r="I344" i="55"/>
  <c r="I48" i="55" s="1"/>
  <c r="M503" i="55"/>
  <c r="M381" i="55" s="1"/>
  <c r="J381" i="55"/>
  <c r="J95" i="55" s="1"/>
  <c r="J156" i="55" s="1"/>
  <c r="L467" i="55"/>
  <c r="L334" i="55" s="1"/>
  <c r="I334" i="55"/>
  <c r="I38" i="55" s="1"/>
  <c r="L492" i="55"/>
  <c r="L371" i="55" s="1"/>
  <c r="I371" i="55"/>
  <c r="I80" i="55" s="1"/>
  <c r="L517" i="55"/>
  <c r="L402" i="55" s="1"/>
  <c r="I402" i="55"/>
  <c r="I121" i="55" s="1"/>
  <c r="M529" i="55"/>
  <c r="M408" i="55" s="1"/>
  <c r="J408" i="55"/>
  <c r="M444" i="55"/>
  <c r="M326" i="55" s="1"/>
  <c r="J326" i="55"/>
  <c r="J25" i="55" s="1"/>
  <c r="M468" i="55"/>
  <c r="M335" i="55" s="1"/>
  <c r="J335" i="55"/>
  <c r="J39" i="55" s="1"/>
  <c r="L527" i="55"/>
  <c r="L406" i="55" s="1"/>
  <c r="I406" i="55"/>
  <c r="I125" i="55" s="1"/>
  <c r="L452" i="55"/>
  <c r="L331" i="55" s="1"/>
  <c r="I331" i="55"/>
  <c r="I30" i="55" s="1"/>
  <c r="I185" i="55" s="1"/>
  <c r="L529" i="55"/>
  <c r="L408" i="55" s="1"/>
  <c r="I408" i="55"/>
  <c r="L531" i="55"/>
  <c r="L410" i="55" s="1"/>
  <c r="I410" i="55"/>
  <c r="M526" i="55"/>
  <c r="M405" i="55" s="1"/>
  <c r="J405" i="55"/>
  <c r="J124" i="55" s="1"/>
  <c r="M493" i="55"/>
  <c r="M372" i="55" s="1"/>
  <c r="J372" i="55"/>
  <c r="J81" i="55" s="1"/>
  <c r="M501" i="55"/>
  <c r="M379" i="55" s="1"/>
  <c r="J379" i="55"/>
  <c r="J93" i="55" s="1"/>
  <c r="L475" i="55"/>
  <c r="L354" i="55" s="1"/>
  <c r="I354" i="55"/>
  <c r="I58" i="55" s="1"/>
  <c r="L458" i="55"/>
  <c r="L347" i="55" s="1"/>
  <c r="I347" i="55"/>
  <c r="I51" i="55" s="1"/>
  <c r="L51" i="55" s="1"/>
  <c r="M483" i="55"/>
  <c r="M368" i="55" s="1"/>
  <c r="J368" i="55"/>
  <c r="J77" i="55" s="1"/>
  <c r="L495" i="55"/>
  <c r="L376" i="55" s="1"/>
  <c r="I376" i="55"/>
  <c r="I90" i="55" s="1"/>
  <c r="M460" i="55"/>
  <c r="M349" i="55" s="1"/>
  <c r="J349" i="55"/>
  <c r="J53" i="55" s="1"/>
  <c r="M53" i="55" s="1"/>
  <c r="L526" i="55"/>
  <c r="L405" i="55" s="1"/>
  <c r="I405" i="55"/>
  <c r="I124" i="55" s="1"/>
  <c r="M469" i="55"/>
  <c r="M336" i="55" s="1"/>
  <c r="J336" i="55"/>
  <c r="J40" i="55" s="1"/>
  <c r="L461" i="55"/>
  <c r="L341" i="55" s="1"/>
  <c r="I341" i="55"/>
  <c r="I45" i="55" s="1"/>
  <c r="L477" i="55"/>
  <c r="L356" i="55" s="1"/>
  <c r="I356" i="55"/>
  <c r="I65" i="55" s="1"/>
  <c r="M474" i="55"/>
  <c r="M353" i="55" s="1"/>
  <c r="J353" i="55"/>
  <c r="J57" i="55" s="1"/>
  <c r="L493" i="55"/>
  <c r="L372" i="55" s="1"/>
  <c r="I372" i="55"/>
  <c r="I81" i="55" s="1"/>
  <c r="L448" i="55"/>
  <c r="L321" i="55" s="1"/>
  <c r="I321" i="55"/>
  <c r="I20" i="55" s="1"/>
  <c r="I167" i="55" s="1"/>
  <c r="L447" i="55"/>
  <c r="L320" i="55" s="1"/>
  <c r="I320" i="55"/>
  <c r="I19" i="55" s="1"/>
  <c r="I161" i="55" s="1"/>
  <c r="L472" i="55"/>
  <c r="L351" i="55" s="1"/>
  <c r="I351" i="55"/>
  <c r="I55" i="55" s="1"/>
  <c r="L462" i="55"/>
  <c r="L342" i="55" s="1"/>
  <c r="I342" i="55"/>
  <c r="I46" i="55" s="1"/>
  <c r="M530" i="55"/>
  <c r="M409" i="55" s="1"/>
  <c r="J409" i="55"/>
  <c r="M500" i="55"/>
  <c r="M385" i="55" s="1"/>
  <c r="J385" i="55"/>
  <c r="J99" i="55" s="1"/>
  <c r="L523" i="55"/>
  <c r="L392" i="55" s="1"/>
  <c r="I392" i="55"/>
  <c r="I111" i="55" s="1"/>
  <c r="I173" i="55" s="1"/>
  <c r="L505" i="55"/>
  <c r="L374" i="55" s="1"/>
  <c r="I374" i="55"/>
  <c r="I88" i="55" s="1"/>
  <c r="I165" i="55" s="1"/>
  <c r="M462" i="55"/>
  <c r="M342" i="55" s="1"/>
  <c r="J342" i="55"/>
  <c r="J46" i="55" s="1"/>
  <c r="M471" i="55"/>
  <c r="M350" i="55" s="1"/>
  <c r="J350" i="55"/>
  <c r="J54" i="55" s="1"/>
  <c r="M528" i="55"/>
  <c r="M407" i="55" s="1"/>
  <c r="J407" i="55"/>
  <c r="M472" i="55"/>
  <c r="M351" i="55" s="1"/>
  <c r="J351" i="55"/>
  <c r="J55" i="55" s="1"/>
  <c r="M475" i="55"/>
  <c r="M354" i="55" s="1"/>
  <c r="J354" i="55"/>
  <c r="J58" i="55" s="1"/>
  <c r="L489" i="55"/>
  <c r="L358" i="55" s="1"/>
  <c r="I358" i="55"/>
  <c r="I67" i="55" s="1"/>
  <c r="I171" i="55" s="1"/>
  <c r="M508" i="55"/>
  <c r="M387" i="55" s="1"/>
  <c r="J387" i="55"/>
  <c r="J101" i="55" s="1"/>
  <c r="L484" i="55"/>
  <c r="L362" i="55" s="1"/>
  <c r="I362" i="55"/>
  <c r="I71" i="55" s="1"/>
  <c r="I143" i="55" s="1"/>
  <c r="L512" i="55"/>
  <c r="L393" i="55" s="1"/>
  <c r="I393" i="55"/>
  <c r="I112" i="55" s="1"/>
  <c r="M512" i="55"/>
  <c r="M393" i="55" s="1"/>
  <c r="J393" i="55"/>
  <c r="J112" i="55" s="1"/>
  <c r="M112" i="55" s="1"/>
  <c r="M511" i="55"/>
  <c r="M390" i="55" s="1"/>
  <c r="J390" i="55"/>
  <c r="J109" i="55" s="1"/>
  <c r="X25" i="54" s="1"/>
  <c r="L509" i="55"/>
  <c r="L388" i="55" s="1"/>
  <c r="I388" i="55"/>
  <c r="I102" i="55" s="1"/>
  <c r="L494" i="55"/>
  <c r="L373" i="55" s="1"/>
  <c r="I373" i="55"/>
  <c r="I87" i="55" s="1"/>
  <c r="M523" i="55"/>
  <c r="M392" i="55" s="1"/>
  <c r="J392" i="55"/>
  <c r="J111" i="55" s="1"/>
  <c r="L446" i="55"/>
  <c r="L319" i="55" s="1"/>
  <c r="I319" i="55"/>
  <c r="I18" i="55" s="1"/>
  <c r="I160" i="55" s="1"/>
  <c r="L522" i="55"/>
  <c r="L391" i="55" s="1"/>
  <c r="I391" i="55"/>
  <c r="I110" i="55" s="1"/>
  <c r="I166" i="55" s="1"/>
  <c r="M478" i="55"/>
  <c r="M359" i="55" s="1"/>
  <c r="J359" i="55"/>
  <c r="J68" i="55" s="1"/>
  <c r="M68" i="55" s="1"/>
  <c r="G65" i="46" s="1"/>
  <c r="L514" i="55"/>
  <c r="L395" i="55" s="1"/>
  <c r="I395" i="55"/>
  <c r="I114" i="55" s="1"/>
  <c r="L114" i="55" s="1"/>
  <c r="L481" i="55"/>
  <c r="L366" i="55" s="1"/>
  <c r="I366" i="55"/>
  <c r="I75" i="55" s="1"/>
  <c r="M505" i="55"/>
  <c r="M374" i="55" s="1"/>
  <c r="J374" i="55"/>
  <c r="J88" i="55" s="1"/>
  <c r="L510" i="55"/>
  <c r="L389" i="55" s="1"/>
  <c r="I389" i="55"/>
  <c r="I103" i="55" s="1"/>
  <c r="L453" i="55"/>
  <c r="L332" i="55" s="1"/>
  <c r="I332" i="55"/>
  <c r="I31" i="55" s="1"/>
  <c r="I186" i="55" s="1"/>
  <c r="L518" i="55"/>
  <c r="L396" i="55" s="1"/>
  <c r="I396" i="55"/>
  <c r="I115" i="55" s="1"/>
  <c r="I147" i="55" s="1"/>
  <c r="L530" i="55"/>
  <c r="L409" i="55" s="1"/>
  <c r="I409" i="55"/>
  <c r="L478" i="55"/>
  <c r="L359" i="55" s="1"/>
  <c r="I359" i="55"/>
  <c r="I68" i="55" s="1"/>
  <c r="L480" i="55"/>
  <c r="L361" i="55" s="1"/>
  <c r="I361" i="55"/>
  <c r="I70" i="55" s="1"/>
  <c r="M518" i="55"/>
  <c r="M396" i="55" s="1"/>
  <c r="J396" i="55"/>
  <c r="J115" i="55" s="1"/>
  <c r="J147" i="55" s="1"/>
  <c r="I40" i="62" s="1"/>
  <c r="L468" i="55"/>
  <c r="L335" i="55" s="1"/>
  <c r="I335" i="55"/>
  <c r="I39" i="55" s="1"/>
  <c r="M524" i="55"/>
  <c r="M403" i="55" s="1"/>
  <c r="J403" i="55"/>
  <c r="J122" i="55" s="1"/>
  <c r="J183" i="55" s="1"/>
  <c r="L498" i="55"/>
  <c r="L383" i="55" s="1"/>
  <c r="I383" i="55"/>
  <c r="I97" i="55" s="1"/>
  <c r="L524" i="55"/>
  <c r="L403" i="55" s="1"/>
  <c r="I403" i="55"/>
  <c r="I122" i="55" s="1"/>
  <c r="I183" i="55" s="1"/>
  <c r="M531" i="55"/>
  <c r="M410" i="55" s="1"/>
  <c r="J410" i="55"/>
  <c r="L520" i="55"/>
  <c r="L398" i="55" s="1"/>
  <c r="I398" i="55"/>
  <c r="I117" i="55" s="1"/>
  <c r="I158" i="55" s="1"/>
  <c r="L501" i="55"/>
  <c r="L379" i="55" s="1"/>
  <c r="I379" i="55"/>
  <c r="I93" i="55" s="1"/>
  <c r="I145" i="55" s="1"/>
  <c r="M473" i="55"/>
  <c r="M352" i="55" s="1"/>
  <c r="J352" i="55"/>
  <c r="J56" i="55" s="1"/>
  <c r="M510" i="55"/>
  <c r="M389" i="55" s="1"/>
  <c r="J389" i="55"/>
  <c r="J103" i="55" s="1"/>
  <c r="L684" i="55"/>
  <c r="I525" i="55"/>
  <c r="L667" i="55"/>
  <c r="I508" i="55"/>
  <c r="L650" i="55"/>
  <c r="I491" i="55"/>
  <c r="N680" i="55"/>
  <c r="L632" i="55"/>
  <c r="I473" i="55"/>
  <c r="AK680" i="55"/>
  <c r="AJ650" i="55"/>
  <c r="AK650" i="55" s="1"/>
  <c r="AK686" i="55"/>
  <c r="K686" i="55"/>
  <c r="K635" i="55"/>
  <c r="K652" i="55"/>
  <c r="AJ678" i="55"/>
  <c r="K678" i="55" s="1"/>
  <c r="N678" i="55" s="1"/>
  <c r="AJ684" i="55"/>
  <c r="K669" i="55"/>
  <c r="I521" i="55"/>
  <c r="I399" i="55" s="1"/>
  <c r="I118" i="55" s="1"/>
  <c r="I159" i="55" s="1"/>
  <c r="L680" i="55"/>
  <c r="N521" i="55"/>
  <c r="N399" i="55" s="1"/>
  <c r="M519" i="55"/>
  <c r="M397" i="55" s="1"/>
  <c r="I678" i="55"/>
  <c r="AJ632" i="55"/>
  <c r="AK632" i="55" s="1"/>
  <c r="AJ667" i="55"/>
  <c r="AK667" i="55" s="1"/>
  <c r="AJ660" i="55"/>
  <c r="AK660" i="55" s="1"/>
  <c r="AJ648" i="55"/>
  <c r="K648" i="55" s="1"/>
  <c r="N648" i="55" s="1"/>
  <c r="Q222" i="19"/>
  <c r="J212" i="55"/>
  <c r="X32" i="54" s="1"/>
  <c r="K32" i="54" s="1"/>
  <c r="L648" i="55"/>
  <c r="Q244" i="19"/>
  <c r="AJ628" i="55"/>
  <c r="K628" i="55" s="1"/>
  <c r="K469" i="55" s="1"/>
  <c r="M22" i="55"/>
  <c r="I412" i="1"/>
  <c r="J412" i="1"/>
  <c r="I490" i="55"/>
  <c r="L660" i="55"/>
  <c r="H409" i="1"/>
  <c r="I409" i="1" s="1"/>
  <c r="J409" i="1"/>
  <c r="I469" i="55"/>
  <c r="AJ649" i="55"/>
  <c r="K649" i="55" s="1"/>
  <c r="H406" i="1"/>
  <c r="I406" i="1" s="1"/>
  <c r="J406" i="1"/>
  <c r="S286" i="1"/>
  <c r="L516" i="55"/>
  <c r="L401" i="55" s="1"/>
  <c r="M513" i="55"/>
  <c r="M394" i="55" s="1"/>
  <c r="M504" i="55"/>
  <c r="M382" i="55" s="1"/>
  <c r="M502" i="55"/>
  <c r="M380" i="55" s="1"/>
  <c r="M499" i="55"/>
  <c r="M384" i="55" s="1"/>
  <c r="M496" i="55"/>
  <c r="M377" i="55" s="1"/>
  <c r="M487" i="55"/>
  <c r="M365" i="55" s="1"/>
  <c r="M485" i="55"/>
  <c r="M363" i="55" s="1"/>
  <c r="M482" i="55"/>
  <c r="M367" i="55" s="1"/>
  <c r="M479" i="55"/>
  <c r="M360" i="55" s="1"/>
  <c r="M67" i="55"/>
  <c r="M171" i="55" s="1"/>
  <c r="M466" i="55"/>
  <c r="M346" i="55" s="1"/>
  <c r="M463" i="55"/>
  <c r="M343" i="55" s="1"/>
  <c r="M459" i="55"/>
  <c r="M348" i="55" s="1"/>
  <c r="M456" i="55"/>
  <c r="M339" i="55" s="1"/>
  <c r="M91" i="55"/>
  <c r="G66" i="46" s="1"/>
  <c r="J204" i="55"/>
  <c r="M204" i="55" s="1"/>
  <c r="E69" i="46" s="1"/>
  <c r="E69" i="49" s="1"/>
  <c r="M96" i="55"/>
  <c r="M157" i="55" s="1"/>
  <c r="AK627" i="55"/>
  <c r="AK633" i="55"/>
  <c r="X17" i="54"/>
  <c r="K17" i="54" s="1"/>
  <c r="M113" i="55"/>
  <c r="AK636" i="55"/>
  <c r="AK630" i="55"/>
  <c r="J213" i="55"/>
  <c r="M213" i="55" s="1"/>
  <c r="E70" i="46" s="1"/>
  <c r="S70" i="50" s="1"/>
  <c r="L616" i="55"/>
  <c r="I457" i="55"/>
  <c r="N620" i="55"/>
  <c r="K461" i="55"/>
  <c r="L615" i="55"/>
  <c r="I456" i="55"/>
  <c r="I339" i="55" s="1"/>
  <c r="I43" i="55" s="1"/>
  <c r="L43" i="55" s="1"/>
  <c r="L661" i="55"/>
  <c r="I502" i="55"/>
  <c r="I380" i="55" s="1"/>
  <c r="I94" i="55" s="1"/>
  <c r="I146" i="55" s="1"/>
  <c r="L618" i="55"/>
  <c r="I459" i="55"/>
  <c r="I348" i="55" s="1"/>
  <c r="I52" i="55" s="1"/>
  <c r="L52" i="55" s="1"/>
  <c r="N619" i="55"/>
  <c r="K460" i="55"/>
  <c r="L622" i="55"/>
  <c r="I463" i="55"/>
  <c r="I343" i="55" s="1"/>
  <c r="I47" i="55" s="1"/>
  <c r="N617" i="55"/>
  <c r="K458" i="55"/>
  <c r="M616" i="55"/>
  <c r="J457" i="55"/>
  <c r="N629" i="55"/>
  <c r="K470" i="55"/>
  <c r="M643" i="55"/>
  <c r="J484" i="55"/>
  <c r="N630" i="55"/>
  <c r="K471" i="55"/>
  <c r="L641" i="55"/>
  <c r="I482" i="55"/>
  <c r="I367" i="55" s="1"/>
  <c r="I76" i="55" s="1"/>
  <c r="L638" i="55"/>
  <c r="I479" i="55"/>
  <c r="I360" i="55" s="1"/>
  <c r="I69" i="55" s="1"/>
  <c r="N651" i="55"/>
  <c r="K492" i="55"/>
  <c r="N636" i="55"/>
  <c r="K477" i="55"/>
  <c r="N675" i="55"/>
  <c r="K516" i="55"/>
  <c r="K401" i="55" s="1"/>
  <c r="K120" i="55" s="1"/>
  <c r="L672" i="55"/>
  <c r="I513" i="55"/>
  <c r="I394" i="55" s="1"/>
  <c r="I113" i="55" s="1"/>
  <c r="L663" i="55"/>
  <c r="I504" i="55"/>
  <c r="I382" i="55" s="1"/>
  <c r="I96" i="55" s="1"/>
  <c r="I157" i="55" s="1"/>
  <c r="N633" i="55"/>
  <c r="K474" i="55"/>
  <c r="N626" i="55"/>
  <c r="K467" i="55"/>
  <c r="L655" i="55"/>
  <c r="I496" i="55"/>
  <c r="I377" i="55" s="1"/>
  <c r="I91" i="55" s="1"/>
  <c r="N674" i="55"/>
  <c r="K515" i="55"/>
  <c r="L646" i="55"/>
  <c r="I487" i="55"/>
  <c r="I365" i="55" s="1"/>
  <c r="I74" i="55" s="1"/>
  <c r="I155" i="55" s="1"/>
  <c r="M623" i="55"/>
  <c r="J464" i="55"/>
  <c r="N627" i="55"/>
  <c r="K468" i="55"/>
  <c r="L625" i="55"/>
  <c r="I466" i="55"/>
  <c r="I346" i="55" s="1"/>
  <c r="I50" i="55" s="1"/>
  <c r="L658" i="55"/>
  <c r="I499" i="55"/>
  <c r="I384" i="55" s="1"/>
  <c r="I98" i="55" s="1"/>
  <c r="L644" i="55"/>
  <c r="I485" i="55"/>
  <c r="I363" i="55" s="1"/>
  <c r="I72" i="55" s="1"/>
  <c r="I144" i="55" s="1"/>
  <c r="N681" i="55"/>
  <c r="K522" i="55"/>
  <c r="U392" i="1"/>
  <c r="AK619" i="55"/>
  <c r="AJ672" i="55"/>
  <c r="K672" i="55" s="1"/>
  <c r="AK681" i="55"/>
  <c r="AK651" i="55"/>
  <c r="AK674" i="55"/>
  <c r="AJ622" i="55"/>
  <c r="K622" i="55" s="1"/>
  <c r="AJ618" i="55"/>
  <c r="K618" i="55" s="1"/>
  <c r="H411" i="1"/>
  <c r="I411" i="1" s="1"/>
  <c r="AK629" i="55"/>
  <c r="AK643" i="55"/>
  <c r="K643" i="55"/>
  <c r="AK659" i="55"/>
  <c r="K659" i="55"/>
  <c r="AK647" i="55"/>
  <c r="K647" i="55"/>
  <c r="AK657" i="55"/>
  <c r="K657" i="55"/>
  <c r="AK645" i="55"/>
  <c r="K645" i="55"/>
  <c r="AK662" i="55"/>
  <c r="K662" i="55"/>
  <c r="AJ661" i="55"/>
  <c r="K661" i="55" s="1"/>
  <c r="AK624" i="55"/>
  <c r="K624" i="55"/>
  <c r="AK671" i="55"/>
  <c r="K671" i="55"/>
  <c r="AK621" i="55"/>
  <c r="K621" i="55"/>
  <c r="AK668" i="55"/>
  <c r="K668" i="55"/>
  <c r="AJ625" i="55"/>
  <c r="K625" i="55" s="1"/>
  <c r="AK683" i="55"/>
  <c r="K683" i="55"/>
  <c r="AK631" i="55"/>
  <c r="K631" i="55"/>
  <c r="AK656" i="55"/>
  <c r="K656" i="55"/>
  <c r="AK640" i="55"/>
  <c r="K640" i="55"/>
  <c r="AK654" i="55"/>
  <c r="K654" i="55"/>
  <c r="AK677" i="55"/>
  <c r="K677" i="55"/>
  <c r="AK690" i="55"/>
  <c r="K690" i="55"/>
  <c r="AK689" i="55"/>
  <c r="K689" i="55"/>
  <c r="AK623" i="55"/>
  <c r="K623" i="55"/>
  <c r="AK688" i="55"/>
  <c r="K688" i="55"/>
  <c r="AK687" i="55"/>
  <c r="K687" i="55"/>
  <c r="AK653" i="55"/>
  <c r="K653" i="55"/>
  <c r="AK679" i="55"/>
  <c r="K679" i="55"/>
  <c r="AK685" i="55"/>
  <c r="K685" i="55"/>
  <c r="AK617" i="55"/>
  <c r="AK637" i="55"/>
  <c r="K637" i="55"/>
  <c r="AK626" i="55"/>
  <c r="AK634" i="55"/>
  <c r="K634" i="55"/>
  <c r="AK666" i="55"/>
  <c r="K666" i="55"/>
  <c r="AK642" i="55"/>
  <c r="K642" i="55"/>
  <c r="AK670" i="55"/>
  <c r="K670" i="55"/>
  <c r="AK620" i="55"/>
  <c r="AK673" i="55"/>
  <c r="K673" i="55"/>
  <c r="AK682" i="55"/>
  <c r="K682" i="55"/>
  <c r="AJ655" i="55"/>
  <c r="K655" i="55" s="1"/>
  <c r="AK676" i="55"/>
  <c r="K676" i="55"/>
  <c r="AK675" i="55"/>
  <c r="AK665" i="55"/>
  <c r="K665" i="55"/>
  <c r="AK639" i="55"/>
  <c r="K639" i="55"/>
  <c r="AK664" i="55"/>
  <c r="K664" i="55"/>
  <c r="AJ646" i="55"/>
  <c r="K646" i="55" s="1"/>
  <c r="AJ658" i="55"/>
  <c r="K658" i="55" s="1"/>
  <c r="T392" i="1"/>
  <c r="AJ663" i="55"/>
  <c r="K663" i="55" s="1"/>
  <c r="AJ641" i="55"/>
  <c r="K641" i="55" s="1"/>
  <c r="AJ644" i="55"/>
  <c r="AJ638" i="55"/>
  <c r="AJ615" i="55"/>
  <c r="Z354" i="1"/>
  <c r="AA354" i="1"/>
  <c r="AA335" i="1"/>
  <c r="Z335" i="1"/>
  <c r="AA313" i="1"/>
  <c r="MT293" i="69"/>
  <c r="O155" i="53"/>
  <c r="O163" i="53" s="1"/>
  <c r="M19" i="53"/>
  <c r="M18" i="53"/>
  <c r="M20" i="53"/>
  <c r="M21" i="53"/>
  <c r="M8" i="53"/>
  <c r="M7" i="53"/>
  <c r="M5" i="53"/>
  <c r="M6" i="53"/>
  <c r="N155" i="53"/>
  <c r="N163" i="53" s="1"/>
  <c r="N5" i="53"/>
  <c r="R293" i="69"/>
  <c r="R158" i="69" s="1"/>
  <c r="P377" i="58"/>
  <c r="L607" i="55"/>
  <c r="L606" i="55"/>
  <c r="L605" i="55"/>
  <c r="L612" i="55"/>
  <c r="L609" i="55"/>
  <c r="L608" i="55"/>
  <c r="L610" i="55"/>
  <c r="L611" i="55"/>
  <c r="U93" i="63"/>
  <c r="AJ607" i="55"/>
  <c r="K607" i="55" s="1"/>
  <c r="K448" i="55" s="1"/>
  <c r="AJ606" i="55"/>
  <c r="K606" i="55" s="1"/>
  <c r="K447" i="55" s="1"/>
  <c r="AJ611" i="55"/>
  <c r="AJ609" i="55"/>
  <c r="U73" i="63"/>
  <c r="AJ610" i="55"/>
  <c r="AJ605" i="55"/>
  <c r="AJ612" i="55"/>
  <c r="AJ608" i="55"/>
  <c r="U78" i="63"/>
  <c r="U120" i="63"/>
  <c r="U53" i="63"/>
  <c r="U109" i="63"/>
  <c r="U92" i="63"/>
  <c r="U42" i="63"/>
  <c r="U99" i="63"/>
  <c r="U37" i="63"/>
  <c r="U65" i="63"/>
  <c r="U98" i="63"/>
  <c r="U128" i="63"/>
  <c r="U69" i="63"/>
  <c r="U62" i="63"/>
  <c r="U106" i="63"/>
  <c r="U50" i="63"/>
  <c r="U48" i="63"/>
  <c r="U81" i="63"/>
  <c r="U51" i="63"/>
  <c r="U127" i="63"/>
  <c r="U55" i="63"/>
  <c r="U66" i="63"/>
  <c r="U49" i="63"/>
  <c r="U115" i="63"/>
  <c r="U121" i="63"/>
  <c r="U60" i="63"/>
  <c r="U44" i="63"/>
  <c r="U87" i="63"/>
  <c r="U97" i="63"/>
  <c r="U96" i="63"/>
  <c r="U40" i="63"/>
  <c r="J117" i="19"/>
  <c r="Q117" i="19" s="1"/>
  <c r="U52" i="63"/>
  <c r="U119" i="63"/>
  <c r="U85" i="63"/>
  <c r="U114" i="63"/>
  <c r="U38" i="63"/>
  <c r="U118" i="63"/>
  <c r="U47" i="63"/>
  <c r="U41" i="63"/>
  <c r="U70" i="63"/>
  <c r="U46" i="63"/>
  <c r="U116" i="63"/>
  <c r="U77" i="63"/>
  <c r="U129" i="63"/>
  <c r="U108" i="63"/>
  <c r="U43" i="63"/>
  <c r="U61" i="63"/>
  <c r="U122" i="63"/>
  <c r="U125" i="63"/>
  <c r="U79" i="63"/>
  <c r="U104" i="63"/>
  <c r="U113" i="63"/>
  <c r="U71" i="63"/>
  <c r="U39" i="63"/>
  <c r="U84" i="63"/>
  <c r="U94" i="63"/>
  <c r="U117" i="63"/>
  <c r="U36" i="63"/>
  <c r="U102" i="63"/>
  <c r="U82" i="63"/>
  <c r="U72" i="63"/>
  <c r="U58" i="63"/>
  <c r="U74" i="63"/>
  <c r="U105" i="63"/>
  <c r="U88" i="63"/>
  <c r="U35" i="63"/>
  <c r="U54" i="63"/>
  <c r="U83" i="63"/>
  <c r="U107" i="63"/>
  <c r="U75" i="63"/>
  <c r="U126" i="63"/>
  <c r="U132" i="63"/>
  <c r="U45" i="63"/>
  <c r="U101" i="63"/>
  <c r="U90" i="63"/>
  <c r="U103" i="63"/>
  <c r="U89" i="63"/>
  <c r="U110" i="63"/>
  <c r="U59" i="63"/>
  <c r="U57" i="63"/>
  <c r="U67" i="63"/>
  <c r="U56" i="63"/>
  <c r="U124" i="63"/>
  <c r="U64" i="63"/>
  <c r="U95" i="63"/>
  <c r="U130" i="63"/>
  <c r="U131" i="63"/>
  <c r="U112" i="63"/>
  <c r="U68" i="63"/>
  <c r="U111" i="63"/>
  <c r="U76" i="63"/>
  <c r="U80" i="63"/>
  <c r="U86" i="63"/>
  <c r="U123" i="63"/>
  <c r="U63" i="63"/>
  <c r="U100" i="63"/>
  <c r="U91" i="63"/>
  <c r="AE459" i="58"/>
  <c r="AB461" i="58" s="1"/>
  <c r="M246" i="58"/>
  <c r="M72" i="58" s="1"/>
  <c r="M225" i="58"/>
  <c r="P225" i="58" s="1"/>
  <c r="P382" i="58"/>
  <c r="P364" i="58"/>
  <c r="J19" i="56"/>
  <c r="J79" i="56" s="1"/>
  <c r="Q79" i="56" s="1"/>
  <c r="J361" i="56"/>
  <c r="K399" i="56" s="1"/>
  <c r="K401" i="56" s="1"/>
  <c r="J31" i="19"/>
  <c r="J95" i="19" s="1"/>
  <c r="AB383" i="56"/>
  <c r="Y385" i="56" s="1"/>
  <c r="Y387" i="56" s="1"/>
  <c r="AE361" i="56"/>
  <c r="AD133" i="63"/>
  <c r="Q25" i="65"/>
  <c r="Q132" i="65" s="1"/>
  <c r="Q14" i="65" s="1"/>
  <c r="K17" i="65" s="1"/>
  <c r="N132" i="65"/>
  <c r="N14" i="65" s="1"/>
  <c r="AE30" i="63"/>
  <c r="O29" i="65" s="1"/>
  <c r="R29" i="65" s="1"/>
  <c r="AE27" i="63"/>
  <c r="O26" i="65" s="1"/>
  <c r="R26" i="65" s="1"/>
  <c r="AE33" i="63"/>
  <c r="O32" i="65" s="1"/>
  <c r="R32" i="65" s="1"/>
  <c r="AE28" i="63"/>
  <c r="O27" i="65" s="1"/>
  <c r="R27" i="65" s="1"/>
  <c r="AE31" i="63"/>
  <c r="O30" i="65" s="1"/>
  <c r="R30" i="65" s="1"/>
  <c r="Z708" i="55"/>
  <c r="P370" i="58"/>
  <c r="J100" i="19"/>
  <c r="Q100" i="19" s="1"/>
  <c r="X41" i="66"/>
  <c r="Q223" i="19"/>
  <c r="P367" i="58"/>
  <c r="P346" i="58"/>
  <c r="P420" i="58" s="1"/>
  <c r="M210" i="58"/>
  <c r="M277" i="58" s="1"/>
  <c r="L9" i="53"/>
  <c r="O9" i="53" s="1"/>
  <c r="AA458" i="61"/>
  <c r="X460" i="61" s="1"/>
  <c r="J194" i="56"/>
  <c r="J24" i="56" s="1"/>
  <c r="Q65" i="19"/>
  <c r="Q207" i="56"/>
  <c r="Q355" i="19"/>
  <c r="Z706" i="55"/>
  <c r="Z749" i="55" s="1"/>
  <c r="X40" i="66"/>
  <c r="Z707" i="55"/>
  <c r="Z392" i="19"/>
  <c r="W394" i="19" s="1"/>
  <c r="W396" i="19" s="1"/>
  <c r="L22" i="53"/>
  <c r="O22" i="53" s="1"/>
  <c r="Q198" i="56"/>
  <c r="Z420" i="19"/>
  <c r="L163" i="53"/>
  <c r="J44" i="66"/>
  <c r="J45" i="66" s="1"/>
  <c r="X776" i="55"/>
  <c r="AB444" i="61"/>
  <c r="AD444" i="61" s="1"/>
  <c r="U33" i="63"/>
  <c r="U26" i="63"/>
  <c r="U30" i="63"/>
  <c r="O28" i="65"/>
  <c r="R28" i="65" s="1"/>
  <c r="M24" i="65"/>
  <c r="P24" i="65" s="1"/>
  <c r="O33" i="65"/>
  <c r="R33" i="65" s="1"/>
  <c r="O25" i="65"/>
  <c r="R25" i="65" s="1"/>
  <c r="O24" i="65"/>
  <c r="R24" i="65" s="1"/>
  <c r="M28" i="65"/>
  <c r="P28" i="65" s="1"/>
  <c r="Q157" i="53"/>
  <c r="J413" i="1"/>
  <c r="U28" i="63"/>
  <c r="U31" i="63"/>
  <c r="W776" i="55"/>
  <c r="AA404" i="19"/>
  <c r="AC404" i="19" s="1"/>
  <c r="Y760" i="55"/>
  <c r="AA760" i="55" s="1"/>
  <c r="U34" i="63"/>
  <c r="AF420" i="58"/>
  <c r="AF459" i="58" s="1"/>
  <c r="U25" i="63"/>
  <c r="I100" i="19"/>
  <c r="P100" i="19" s="1"/>
  <c r="E11" i="15"/>
  <c r="U27" i="63"/>
  <c r="O158" i="69"/>
  <c r="AF470" i="58"/>
  <c r="AH470" i="58" s="1"/>
  <c r="M158" i="53"/>
  <c r="P158" i="53" s="1"/>
  <c r="J416" i="1"/>
  <c r="AD486" i="58"/>
  <c r="Q162" i="53"/>
  <c r="U32" i="63"/>
  <c r="U23" i="63"/>
  <c r="M159" i="53"/>
  <c r="P159" i="53" s="1"/>
  <c r="Q361" i="56"/>
  <c r="Q159" i="53"/>
  <c r="K100" i="19"/>
  <c r="R100" i="19" s="1"/>
  <c r="S228" i="19"/>
  <c r="Q161" i="53"/>
  <c r="AJ613" i="55"/>
  <c r="K613" i="55" s="1"/>
  <c r="K454" i="55" s="1"/>
  <c r="AJ604" i="55"/>
  <c r="K604" i="55" s="1"/>
  <c r="K445" i="55" s="1"/>
  <c r="AJ600" i="55"/>
  <c r="K600" i="55" s="1"/>
  <c r="K441" i="55" s="1"/>
  <c r="E12" i="15"/>
  <c r="AA355" i="19"/>
  <c r="E13" i="15"/>
  <c r="AJ616" i="55"/>
  <c r="I31" i="19"/>
  <c r="P204" i="19"/>
  <c r="N243" i="58"/>
  <c r="Q383" i="58"/>
  <c r="M47" i="58"/>
  <c r="T47" i="58" s="1"/>
  <c r="P47" i="58" s="1"/>
  <c r="G47" i="58" s="1"/>
  <c r="P231" i="58"/>
  <c r="J18" i="56"/>
  <c r="Q188" i="56"/>
  <c r="I5" i="62"/>
  <c r="G76" i="61"/>
  <c r="K202" i="56"/>
  <c r="R315" i="56"/>
  <c r="J89" i="56"/>
  <c r="Q89" i="56" s="1"/>
  <c r="Q23" i="56"/>
  <c r="J9" i="53"/>
  <c r="M9" i="53" s="1"/>
  <c r="I109" i="19"/>
  <c r="P244" i="19"/>
  <c r="N116" i="58"/>
  <c r="U116" i="58" s="1"/>
  <c r="H116" i="58" s="1"/>
  <c r="Q252" i="58"/>
  <c r="I208" i="56"/>
  <c r="P321" i="56"/>
  <c r="R285" i="1"/>
  <c r="R286" i="1" s="1"/>
  <c r="AA383" i="56"/>
  <c r="X385" i="56" s="1"/>
  <c r="X387" i="56" s="1"/>
  <c r="AA398" i="56"/>
  <c r="X400" i="56" s="1"/>
  <c r="X402" i="56" s="1"/>
  <c r="M31" i="58"/>
  <c r="P220" i="58"/>
  <c r="G112" i="19"/>
  <c r="Q109" i="19"/>
  <c r="I599" i="55"/>
  <c r="I440" i="55" s="1"/>
  <c r="I600" i="55"/>
  <c r="I441" i="55" s="1"/>
  <c r="I17" i="19"/>
  <c r="P195" i="19"/>
  <c r="L232" i="58"/>
  <c r="O371" i="58"/>
  <c r="I614" i="55"/>
  <c r="I455" i="55" s="1"/>
  <c r="J59" i="56"/>
  <c r="Q214" i="56"/>
  <c r="J35" i="56"/>
  <c r="Q200" i="56"/>
  <c r="K33" i="56"/>
  <c r="R33" i="56" s="1"/>
  <c r="R198" i="56"/>
  <c r="M31" i="65"/>
  <c r="P31" i="65" s="1"/>
  <c r="X412" i="19"/>
  <c r="X420" i="19" s="1"/>
  <c r="AA420" i="19" s="1"/>
  <c r="AA409" i="19"/>
  <c r="N233" i="58"/>
  <c r="Q372" i="58"/>
  <c r="I33" i="19"/>
  <c r="P206" i="19"/>
  <c r="M71" i="58"/>
  <c r="P245" i="58"/>
  <c r="N223" i="58"/>
  <c r="Q361" i="58"/>
  <c r="I222" i="56"/>
  <c r="P335" i="56"/>
  <c r="K187" i="56"/>
  <c r="K361" i="56"/>
  <c r="P399" i="56" s="1"/>
  <c r="R300" i="56"/>
  <c r="Q30" i="19"/>
  <c r="J94" i="19"/>
  <c r="M46" i="58"/>
  <c r="T46" i="58" s="1"/>
  <c r="P46" i="58" s="1"/>
  <c r="G46" i="58" s="1"/>
  <c r="P230" i="58"/>
  <c r="K57" i="56"/>
  <c r="R212" i="56"/>
  <c r="K208" i="56"/>
  <c r="R321" i="56"/>
  <c r="I601" i="55"/>
  <c r="I442" i="55" s="1"/>
  <c r="L215" i="58"/>
  <c r="O352" i="58"/>
  <c r="AJ601" i="55"/>
  <c r="K601" i="55" s="1"/>
  <c r="K442" i="55" s="1"/>
  <c r="AA708" i="55"/>
  <c r="Y41" i="66"/>
  <c r="AD361" i="56"/>
  <c r="K163" i="53"/>
  <c r="I48" i="19"/>
  <c r="P216" i="19"/>
  <c r="L245" i="58"/>
  <c r="O386" i="58"/>
  <c r="N211" i="58"/>
  <c r="Q347" i="58"/>
  <c r="O23" i="65"/>
  <c r="R23" i="65" s="1"/>
  <c r="L216" i="58"/>
  <c r="O353" i="58"/>
  <c r="I33" i="56"/>
  <c r="P33" i="56" s="1"/>
  <c r="P198" i="56"/>
  <c r="AJ599" i="55"/>
  <c r="K599" i="55" s="1"/>
  <c r="K440" i="55" s="1"/>
  <c r="M160" i="53"/>
  <c r="P160" i="53" s="1"/>
  <c r="I16" i="19"/>
  <c r="P194" i="19"/>
  <c r="AA410" i="19"/>
  <c r="N229" i="58"/>
  <c r="Q367" i="58"/>
  <c r="I76" i="19"/>
  <c r="P234" i="19"/>
  <c r="K17" i="19"/>
  <c r="H8" i="40"/>
  <c r="R195" i="19"/>
  <c r="I210" i="56"/>
  <c r="P323" i="56"/>
  <c r="I202" i="56"/>
  <c r="P315" i="56"/>
  <c r="AJ614" i="55"/>
  <c r="K614" i="55" s="1"/>
  <c r="K455" i="55" s="1"/>
  <c r="M157" i="53"/>
  <c r="P157" i="53" s="1"/>
  <c r="I200" i="56"/>
  <c r="P313" i="56"/>
  <c r="K23" i="56"/>
  <c r="R193" i="56"/>
  <c r="N249" i="58"/>
  <c r="Q390" i="58"/>
  <c r="Q156" i="53"/>
  <c r="K209" i="56"/>
  <c r="R322" i="56"/>
  <c r="N244" i="58"/>
  <c r="Q385" i="58"/>
  <c r="J439" i="55"/>
  <c r="J318" i="55" s="1"/>
  <c r="U65" i="66"/>
  <c r="P65" i="66" s="1"/>
  <c r="J65" i="66" s="1"/>
  <c r="J70" i="66" s="1"/>
  <c r="M598" i="55"/>
  <c r="I44" i="66"/>
  <c r="I45" i="66" s="1"/>
  <c r="Y65" i="19"/>
  <c r="AH65" i="19" s="1"/>
  <c r="AK65" i="19" s="1"/>
  <c r="R65" i="19"/>
  <c r="N461" i="58"/>
  <c r="K461" i="58"/>
  <c r="Q459" i="58"/>
  <c r="AA185" i="69"/>
  <c r="AB185" i="69" s="1"/>
  <c r="Y709" i="55"/>
  <c r="W42" i="66"/>
  <c r="M25" i="65"/>
  <c r="P25" i="65" s="1"/>
  <c r="J85" i="56"/>
  <c r="Q85" i="56" s="1"/>
  <c r="Q47" i="56"/>
  <c r="I194" i="56"/>
  <c r="P307" i="56"/>
  <c r="M45" i="58"/>
  <c r="P229" i="58"/>
  <c r="N228" i="58"/>
  <c r="Q366" i="58"/>
  <c r="L225" i="58"/>
  <c r="O363" i="58"/>
  <c r="I57" i="56"/>
  <c r="P212" i="56"/>
  <c r="J58" i="56"/>
  <c r="Q213" i="56"/>
  <c r="E12" i="11"/>
  <c r="H404" i="1"/>
  <c r="I404" i="1" s="1"/>
  <c r="J404" i="1"/>
  <c r="I32" i="62"/>
  <c r="M21" i="55"/>
  <c r="M168" i="55" s="1"/>
  <c r="J15" i="19"/>
  <c r="J248" i="19"/>
  <c r="K286" i="19" s="1"/>
  <c r="H288" i="19" s="1"/>
  <c r="Q193" i="19"/>
  <c r="Q248" i="19" s="1"/>
  <c r="R286" i="19" s="1"/>
  <c r="L219" i="58"/>
  <c r="O356" i="58"/>
  <c r="I223" i="56"/>
  <c r="P336" i="56"/>
  <c r="M155" i="53"/>
  <c r="AG420" i="58"/>
  <c r="Q160" i="53"/>
  <c r="I214" i="56"/>
  <c r="P327" i="56"/>
  <c r="N231" i="58"/>
  <c r="Q370" i="58"/>
  <c r="M19" i="58"/>
  <c r="P212" i="58"/>
  <c r="I19" i="56"/>
  <c r="P189" i="56"/>
  <c r="J34" i="56"/>
  <c r="Q199" i="56"/>
  <c r="J17" i="56"/>
  <c r="J248" i="56"/>
  <c r="K286" i="56" s="1"/>
  <c r="H288" i="56" s="1"/>
  <c r="Q187" i="56"/>
  <c r="J94" i="56"/>
  <c r="Q94" i="56" s="1"/>
  <c r="Q70" i="56"/>
  <c r="W41" i="66"/>
  <c r="Y708" i="55"/>
  <c r="I45" i="19"/>
  <c r="P45" i="19" s="1"/>
  <c r="P213" i="19"/>
  <c r="K213" i="56"/>
  <c r="R326" i="56"/>
  <c r="H14" i="40"/>
  <c r="K29" i="19"/>
  <c r="R29" i="19" s="1"/>
  <c r="R202" i="19"/>
  <c r="N225" i="58"/>
  <c r="Q363" i="58"/>
  <c r="I203" i="56"/>
  <c r="P316" i="56"/>
  <c r="K196" i="56"/>
  <c r="R309" i="56"/>
  <c r="M57" i="58"/>
  <c r="P236" i="58"/>
  <c r="M33" i="58"/>
  <c r="T33" i="58" s="1"/>
  <c r="P33" i="58" s="1"/>
  <c r="G33" i="58" s="1"/>
  <c r="P222" i="58"/>
  <c r="K200" i="56"/>
  <c r="R313" i="56"/>
  <c r="K395" i="19"/>
  <c r="H395" i="19"/>
  <c r="R393" i="19"/>
  <c r="L231" i="58"/>
  <c r="O370" i="58"/>
  <c r="K214" i="56"/>
  <c r="R327" i="56"/>
  <c r="J88" i="56"/>
  <c r="Q88" i="56" s="1"/>
  <c r="Q22" i="56"/>
  <c r="L66" i="49"/>
  <c r="Z66" i="50"/>
  <c r="M37" i="58"/>
  <c r="P226" i="58"/>
  <c r="K46" i="56"/>
  <c r="R46" i="56" s="1"/>
  <c r="R206" i="56"/>
  <c r="K9" i="53"/>
  <c r="N9" i="53" s="1"/>
  <c r="K47" i="56"/>
  <c r="R207" i="56"/>
  <c r="L244" i="58"/>
  <c r="O385" i="58"/>
  <c r="M21" i="58"/>
  <c r="P215" i="58"/>
  <c r="L217" i="58"/>
  <c r="O354" i="58"/>
  <c r="I117" i="19"/>
  <c r="P245" i="19"/>
  <c r="K188" i="56"/>
  <c r="R301" i="56"/>
  <c r="L240" i="58"/>
  <c r="O380" i="58"/>
  <c r="K43" i="19"/>
  <c r="R211" i="19"/>
  <c r="K59" i="19"/>
  <c r="R222" i="19"/>
  <c r="J414" i="1"/>
  <c r="H414" i="1"/>
  <c r="I414" i="1" s="1"/>
  <c r="M73" i="58"/>
  <c r="P247" i="58"/>
  <c r="X37" i="19"/>
  <c r="AG37" i="19" s="1"/>
  <c r="AJ37" i="19" s="1"/>
  <c r="J101" i="19"/>
  <c r="Q101" i="19" s="1"/>
  <c r="Q37" i="19"/>
  <c r="K64" i="46" s="1"/>
  <c r="J408" i="1"/>
  <c r="H408" i="1"/>
  <c r="I408" i="1" s="1"/>
  <c r="E10" i="11"/>
  <c r="I43" i="62"/>
  <c r="M23" i="55"/>
  <c r="N246" i="58"/>
  <c r="Q387" i="58"/>
  <c r="K32" i="56"/>
  <c r="R32" i="56" s="1"/>
  <c r="R197" i="56"/>
  <c r="M35" i="58"/>
  <c r="P224" i="58"/>
  <c r="J111" i="56"/>
  <c r="Q223" i="56"/>
  <c r="AC486" i="58"/>
  <c r="AF486" i="58" s="1"/>
  <c r="AG283" i="58"/>
  <c r="AH459" i="58"/>
  <c r="J70" i="19"/>
  <c r="Q59" i="19"/>
  <c r="Q70" i="19" s="1"/>
  <c r="L222" i="58"/>
  <c r="O360" i="58"/>
  <c r="N251" i="58"/>
  <c r="Q393" i="58"/>
  <c r="X392" i="19"/>
  <c r="U394" i="19" s="1"/>
  <c r="U396" i="19" s="1"/>
  <c r="X377" i="19"/>
  <c r="U379" i="19" s="1"/>
  <c r="U381" i="19" s="1"/>
  <c r="L224" i="58"/>
  <c r="O362" i="58"/>
  <c r="M33" i="65"/>
  <c r="P33" i="65" s="1"/>
  <c r="M56" i="58"/>
  <c r="P235" i="58"/>
  <c r="N230" i="58"/>
  <c r="Q369" i="58"/>
  <c r="N226" i="58"/>
  <c r="Q364" i="58"/>
  <c r="J38" i="19"/>
  <c r="Q27" i="19"/>
  <c r="Q38" i="19" s="1"/>
  <c r="K30" i="19"/>
  <c r="H15" i="40"/>
  <c r="R203" i="19"/>
  <c r="K203" i="56"/>
  <c r="R316" i="56"/>
  <c r="L223" i="58"/>
  <c r="O361" i="58"/>
  <c r="N221" i="58"/>
  <c r="Q359" i="58"/>
  <c r="J169" i="61"/>
  <c r="J111" i="61"/>
  <c r="G109" i="61"/>
  <c r="L210" i="58"/>
  <c r="L420" i="58"/>
  <c r="M459" i="58" s="1"/>
  <c r="O346" i="58"/>
  <c r="I30" i="19"/>
  <c r="P203" i="19"/>
  <c r="K69" i="19"/>
  <c r="R69" i="19" s="1"/>
  <c r="K48" i="46" s="1"/>
  <c r="R232" i="19"/>
  <c r="K22" i="53"/>
  <c r="M70" i="58"/>
  <c r="T70" i="58" s="1"/>
  <c r="P70" i="58" s="1"/>
  <c r="G70" i="58" s="1"/>
  <c r="P244" i="58"/>
  <c r="I70" i="56"/>
  <c r="P220" i="56"/>
  <c r="M20" i="58"/>
  <c r="P214" i="58"/>
  <c r="M18" i="55"/>
  <c r="M160" i="55" s="1"/>
  <c r="I355" i="19"/>
  <c r="I193" i="19"/>
  <c r="P300" i="19"/>
  <c r="P355" i="19" s="1"/>
  <c r="L211" i="58"/>
  <c r="O347" i="58"/>
  <c r="K19" i="56"/>
  <c r="R189" i="56"/>
  <c r="I45" i="56"/>
  <c r="P45" i="56" s="1"/>
  <c r="P205" i="56"/>
  <c r="K48" i="19"/>
  <c r="R216" i="19"/>
  <c r="N242" i="58"/>
  <c r="Q382" i="58"/>
  <c r="M32" i="58"/>
  <c r="T32" i="58" s="1"/>
  <c r="P32" i="58" s="1"/>
  <c r="G32" i="58" s="1"/>
  <c r="P221" i="58"/>
  <c r="I27" i="19"/>
  <c r="P200" i="19"/>
  <c r="K194" i="56"/>
  <c r="R307" i="56"/>
  <c r="K45" i="19"/>
  <c r="R45" i="19" s="1"/>
  <c r="R213" i="19"/>
  <c r="L107" i="58"/>
  <c r="S107" i="58" s="1"/>
  <c r="F107" i="58" s="1"/>
  <c r="O250" i="58"/>
  <c r="I216" i="56"/>
  <c r="P329" i="56"/>
  <c r="AC283" i="58"/>
  <c r="AC459" i="58"/>
  <c r="X6" i="54"/>
  <c r="K6" i="54" s="1"/>
  <c r="M19" i="55"/>
  <c r="M161" i="55" s="1"/>
  <c r="L239" i="58"/>
  <c r="O379" i="58"/>
  <c r="M48" i="58"/>
  <c r="P232" i="58"/>
  <c r="I60" i="19"/>
  <c r="P60" i="19" s="1"/>
  <c r="F28" i="34"/>
  <c r="P223" i="19"/>
  <c r="L212" i="58"/>
  <c r="O349" i="58"/>
  <c r="J37" i="56"/>
  <c r="Q202" i="56"/>
  <c r="I67" i="56"/>
  <c r="P67" i="56" s="1"/>
  <c r="P217" i="56"/>
  <c r="M69" i="58"/>
  <c r="P243" i="58"/>
  <c r="Q170" i="61"/>
  <c r="K172" i="61"/>
  <c r="M68" i="58"/>
  <c r="P242" i="58"/>
  <c r="J18" i="62"/>
  <c r="Q53" i="62"/>
  <c r="I209" i="56"/>
  <c r="P322" i="56"/>
  <c r="J71" i="56"/>
  <c r="Q221" i="56"/>
  <c r="F18" i="34"/>
  <c r="I59" i="19"/>
  <c r="P222" i="19"/>
  <c r="N236" i="58"/>
  <c r="Q375" i="58"/>
  <c r="L226" i="58"/>
  <c r="O364" i="58"/>
  <c r="X33" i="19"/>
  <c r="AG33" i="19" s="1"/>
  <c r="AJ33" i="19" s="1"/>
  <c r="J97" i="19"/>
  <c r="Q97" i="19" s="1"/>
  <c r="Q33" i="19"/>
  <c r="K117" i="19"/>
  <c r="R245" i="19"/>
  <c r="N224" i="58"/>
  <c r="Q362" i="58"/>
  <c r="I43" i="19"/>
  <c r="P211" i="19"/>
  <c r="Q158" i="53"/>
  <c r="J82" i="56"/>
  <c r="Q82" i="56" s="1"/>
  <c r="Q21" i="56"/>
  <c r="J36" i="56"/>
  <c r="Q201" i="56"/>
  <c r="AH708" i="55"/>
  <c r="K210" i="56"/>
  <c r="R323" i="56"/>
  <c r="K21" i="56"/>
  <c r="R191" i="56"/>
  <c r="L247" i="58"/>
  <c r="O388" i="58"/>
  <c r="I201" i="56"/>
  <c r="P314" i="56"/>
  <c r="K76" i="19"/>
  <c r="R76" i="19" s="1"/>
  <c r="R234" i="19"/>
  <c r="K223" i="56"/>
  <c r="R336" i="56"/>
  <c r="U66" i="66"/>
  <c r="P66" i="66" s="1"/>
  <c r="J66" i="66" s="1"/>
  <c r="J71" i="66" s="1"/>
  <c r="X66" i="66"/>
  <c r="I603" i="55"/>
  <c r="I444" i="55" s="1"/>
  <c r="K33" i="19"/>
  <c r="H17" i="40"/>
  <c r="R206" i="19"/>
  <c r="J49" i="56"/>
  <c r="Q209" i="56"/>
  <c r="K31" i="19"/>
  <c r="H16" i="40"/>
  <c r="R204" i="19"/>
  <c r="Z383" i="56"/>
  <c r="W385" i="56" s="1"/>
  <c r="W387" i="56" s="1"/>
  <c r="Z398" i="56"/>
  <c r="W400" i="56" s="1"/>
  <c r="W402" i="56" s="1"/>
  <c r="M23" i="65"/>
  <c r="P23" i="65" s="1"/>
  <c r="M115" i="58"/>
  <c r="P251" i="58"/>
  <c r="N107" i="58"/>
  <c r="U107" i="58" s="1"/>
  <c r="H107" i="58" s="1"/>
  <c r="Q250" i="58"/>
  <c r="O31" i="65"/>
  <c r="R31" i="65" s="1"/>
  <c r="Z460" i="61"/>
  <c r="Z458" i="61"/>
  <c r="W460" i="61" s="1"/>
  <c r="O109" i="61"/>
  <c r="BQ76" i="61"/>
  <c r="R76" i="61"/>
  <c r="M30" i="58"/>
  <c r="P219" i="58"/>
  <c r="K216" i="56"/>
  <c r="R329" i="56"/>
  <c r="L230" i="58"/>
  <c r="O369" i="58"/>
  <c r="I31" i="62"/>
  <c r="M20" i="55"/>
  <c r="M167" i="55" s="1"/>
  <c r="H410" i="1"/>
  <c r="I410" i="1" s="1"/>
  <c r="J410" i="1"/>
  <c r="K22" i="56"/>
  <c r="R192" i="56"/>
  <c r="I221" i="56"/>
  <c r="P334" i="56"/>
  <c r="M49" i="58"/>
  <c r="P233" i="58"/>
  <c r="Y40" i="66"/>
  <c r="AA707" i="55"/>
  <c r="AA706" i="55"/>
  <c r="AA749" i="55" s="1"/>
  <c r="M61" i="58"/>
  <c r="P240" i="58"/>
  <c r="R392" i="1"/>
  <c r="AA290" i="1"/>
  <c r="AB290" i="1" s="1"/>
  <c r="N220" i="58"/>
  <c r="Q357" i="58"/>
  <c r="AJ603" i="55"/>
  <c r="K603" i="55" s="1"/>
  <c r="K444" i="55" s="1"/>
  <c r="AM65" i="19"/>
  <c r="AA65" i="19"/>
  <c r="I187" i="56"/>
  <c r="I361" i="56"/>
  <c r="P300" i="56"/>
  <c r="U24" i="63"/>
  <c r="K201" i="56"/>
  <c r="R314" i="56"/>
  <c r="K109" i="19"/>
  <c r="R244" i="19"/>
  <c r="I199" i="56"/>
  <c r="P312" i="56"/>
  <c r="K37" i="19"/>
  <c r="R210" i="19"/>
  <c r="N237" i="58"/>
  <c r="Q377" i="58"/>
  <c r="J92" i="19"/>
  <c r="Q92" i="19" s="1"/>
  <c r="Q16" i="19"/>
  <c r="V749" i="55"/>
  <c r="Y460" i="61"/>
  <c r="AB460" i="61" s="1"/>
  <c r="Y458" i="61"/>
  <c r="V460" i="61" s="1"/>
  <c r="L237" i="58"/>
  <c r="O377" i="58"/>
  <c r="N212" i="58"/>
  <c r="Q349" i="58"/>
  <c r="L233" i="58"/>
  <c r="O372" i="58"/>
  <c r="L220" i="58"/>
  <c r="O357" i="58"/>
  <c r="I21" i="56"/>
  <c r="P191" i="56"/>
  <c r="L246" i="58"/>
  <c r="O387" i="58"/>
  <c r="K199" i="56"/>
  <c r="R312" i="56"/>
  <c r="N240" i="58"/>
  <c r="Q380" i="58"/>
  <c r="X48" i="19"/>
  <c r="AG48" i="19" s="1"/>
  <c r="AJ48" i="19" s="1"/>
  <c r="J96" i="19"/>
  <c r="Q96" i="19" s="1"/>
  <c r="Q48" i="19"/>
  <c r="I21" i="19"/>
  <c r="P199" i="19"/>
  <c r="K62" i="19"/>
  <c r="R62" i="19" s="1"/>
  <c r="R225" i="19"/>
  <c r="AB355" i="19"/>
  <c r="M162" i="53"/>
  <c r="P162" i="53" s="1"/>
  <c r="W40" i="66"/>
  <c r="Y706" i="55"/>
  <c r="Y749" i="55" s="1"/>
  <c r="Y707" i="55"/>
  <c r="J38" i="56"/>
  <c r="Q203" i="56"/>
  <c r="N216" i="58"/>
  <c r="Q353" i="58"/>
  <c r="J55" i="56"/>
  <c r="Q210" i="56"/>
  <c r="Y412" i="19"/>
  <c r="Y420" i="19" s="1"/>
  <c r="N232" i="58"/>
  <c r="Q371" i="58"/>
  <c r="J93" i="19"/>
  <c r="Q93" i="19" s="1"/>
  <c r="Q17" i="19"/>
  <c r="J48" i="56"/>
  <c r="Q208" i="56"/>
  <c r="Y392" i="19"/>
  <c r="V394" i="19" s="1"/>
  <c r="V396" i="19" s="1"/>
  <c r="Y377" i="19"/>
  <c r="V379" i="19" s="1"/>
  <c r="V381" i="19" s="1"/>
  <c r="H44" i="66"/>
  <c r="H45" i="66" s="1"/>
  <c r="I46" i="56"/>
  <c r="P46" i="56" s="1"/>
  <c r="P206" i="56"/>
  <c r="M106" i="58"/>
  <c r="P249" i="58"/>
  <c r="L221" i="58"/>
  <c r="O359" i="58"/>
  <c r="I69" i="56"/>
  <c r="P219" i="56"/>
  <c r="J417" i="1"/>
  <c r="H417" i="1"/>
  <c r="I417" i="1" s="1"/>
  <c r="L214" i="58"/>
  <c r="O351" i="58"/>
  <c r="L228" i="58"/>
  <c r="O366" i="58"/>
  <c r="J66" i="56"/>
  <c r="Q216" i="56"/>
  <c r="M32" i="65"/>
  <c r="P32" i="65" s="1"/>
  <c r="H9" i="40"/>
  <c r="K21" i="19"/>
  <c r="R21" i="19" s="1"/>
  <c r="R199" i="19"/>
  <c r="M60" i="58"/>
  <c r="P239" i="58"/>
  <c r="I613" i="55"/>
  <c r="I454" i="55" s="1"/>
  <c r="N217" i="58"/>
  <c r="Q354" i="58"/>
  <c r="M58" i="58"/>
  <c r="T58" i="58" s="1"/>
  <c r="P58" i="58" s="1"/>
  <c r="G58" i="58" s="1"/>
  <c r="P237" i="58"/>
  <c r="K222" i="56"/>
  <c r="R335" i="56"/>
  <c r="N219" i="58"/>
  <c r="Q356" i="58"/>
  <c r="J407" i="1"/>
  <c r="H407" i="1"/>
  <c r="I407" i="1" s="1"/>
  <c r="I37" i="19"/>
  <c r="P210" i="19"/>
  <c r="L243" i="58"/>
  <c r="O383" i="58"/>
  <c r="J103" i="56"/>
  <c r="Q222" i="56"/>
  <c r="I169" i="61"/>
  <c r="F109" i="61"/>
  <c r="I111" i="61"/>
  <c r="L111" i="61" s="1"/>
  <c r="J22" i="53"/>
  <c r="N210" i="58"/>
  <c r="N420" i="58"/>
  <c r="O459" i="58" s="1"/>
  <c r="Q346" i="58"/>
  <c r="I213" i="56"/>
  <c r="P326" i="56"/>
  <c r="K193" i="19"/>
  <c r="K355" i="19"/>
  <c r="P393" i="19" s="1"/>
  <c r="R300" i="19"/>
  <c r="R355" i="19" s="1"/>
  <c r="I598" i="55"/>
  <c r="AH707" i="55"/>
  <c r="K69" i="56"/>
  <c r="R219" i="56"/>
  <c r="K16" i="19"/>
  <c r="R194" i="19"/>
  <c r="I602" i="55"/>
  <c r="I443" i="55" s="1"/>
  <c r="M161" i="53"/>
  <c r="P161" i="53" s="1"/>
  <c r="M34" i="58"/>
  <c r="P223" i="58"/>
  <c r="M18" i="58"/>
  <c r="P211" i="58"/>
  <c r="I196" i="56"/>
  <c r="P309" i="56"/>
  <c r="AJ598" i="55"/>
  <c r="AL706" i="55"/>
  <c r="L242" i="58"/>
  <c r="O382" i="58"/>
  <c r="J80" i="56"/>
  <c r="Q80" i="56" s="1"/>
  <c r="Q57" i="56"/>
  <c r="H5" i="62"/>
  <c r="F76" i="61"/>
  <c r="M23" i="58"/>
  <c r="P217" i="58"/>
  <c r="I23" i="56"/>
  <c r="P193" i="56"/>
  <c r="M22" i="65"/>
  <c r="AC133" i="63"/>
  <c r="K60" i="19"/>
  <c r="R60" i="19" s="1"/>
  <c r="R223" i="19"/>
  <c r="I62" i="19"/>
  <c r="P225" i="19"/>
  <c r="I47" i="56"/>
  <c r="P207" i="56"/>
  <c r="N239" i="58"/>
  <c r="Q379" i="58"/>
  <c r="N215" i="58"/>
  <c r="Q352" i="58"/>
  <c r="M22" i="58"/>
  <c r="P216" i="58"/>
  <c r="I32" i="56"/>
  <c r="P32" i="56" s="1"/>
  <c r="P197" i="56"/>
  <c r="K45" i="56"/>
  <c r="R45" i="56" s="1"/>
  <c r="R205" i="56"/>
  <c r="O22" i="65"/>
  <c r="I46" i="19"/>
  <c r="P46" i="19" s="1"/>
  <c r="P214" i="19"/>
  <c r="J163" i="53"/>
  <c r="Q155" i="53"/>
  <c r="J31" i="56"/>
  <c r="Q31" i="56" s="1"/>
  <c r="Q196" i="56"/>
  <c r="AJ602" i="55"/>
  <c r="K602" i="55" s="1"/>
  <c r="K443" i="55" s="1"/>
  <c r="W65" i="19"/>
  <c r="AF65" i="19" s="1"/>
  <c r="AI65" i="19" s="1"/>
  <c r="P65" i="19"/>
  <c r="N214" i="58"/>
  <c r="Q351" i="58"/>
  <c r="AE283" i="58"/>
  <c r="AD459" i="58"/>
  <c r="AA461" i="58" s="1"/>
  <c r="U29" i="63"/>
  <c r="V768" i="55"/>
  <c r="V776" i="55" s="1"/>
  <c r="Y767" i="55"/>
  <c r="Y768" i="55" s="1"/>
  <c r="AA768" i="55" s="1"/>
  <c r="N235" i="58"/>
  <c r="Q374" i="58"/>
  <c r="L251" i="58"/>
  <c r="O393" i="58"/>
  <c r="N245" i="58"/>
  <c r="Q386" i="58"/>
  <c r="L116" i="58"/>
  <c r="S116" i="58" s="1"/>
  <c r="F116" i="58" s="1"/>
  <c r="O252" i="58"/>
  <c r="J54" i="19"/>
  <c r="Q43" i="19"/>
  <c r="Q54" i="19" s="1"/>
  <c r="I188" i="56"/>
  <c r="P301" i="56"/>
  <c r="M44" i="58"/>
  <c r="P228" i="58"/>
  <c r="N222" i="58"/>
  <c r="Q360" i="58"/>
  <c r="X9" i="54"/>
  <c r="M37" i="55"/>
  <c r="L236" i="58"/>
  <c r="O375" i="58"/>
  <c r="J405" i="1"/>
  <c r="H405" i="1"/>
  <c r="I405" i="1" s="1"/>
  <c r="L249" i="58"/>
  <c r="O390" i="58"/>
  <c r="K67" i="56"/>
  <c r="R67" i="56" s="1"/>
  <c r="R217" i="56"/>
  <c r="J87" i="56"/>
  <c r="Q87" i="56" s="1"/>
  <c r="Q69" i="56"/>
  <c r="L229" i="58"/>
  <c r="O367" i="58"/>
  <c r="I29" i="19"/>
  <c r="P29" i="19" s="1"/>
  <c r="P202" i="19"/>
  <c r="I604" i="55"/>
  <c r="I445" i="55" s="1"/>
  <c r="K70" i="56"/>
  <c r="R220" i="56"/>
  <c r="L235" i="58"/>
  <c r="O374" i="58"/>
  <c r="K221" i="56"/>
  <c r="R334" i="56"/>
  <c r="N247" i="58"/>
  <c r="Q388" i="58"/>
  <c r="AL44" i="53"/>
  <c r="AG35" i="53" s="1"/>
  <c r="AC35" i="53"/>
  <c r="AM44" i="53"/>
  <c r="AH35" i="53" s="1"/>
  <c r="I22" i="56"/>
  <c r="P192" i="56"/>
  <c r="I69" i="19"/>
  <c r="P69" i="19" s="1"/>
  <c r="K30" i="46" s="1"/>
  <c r="F77" i="34"/>
  <c r="P232" i="19"/>
  <c r="AC361" i="56"/>
  <c r="M156" i="53"/>
  <c r="P156" i="53" s="1"/>
  <c r="K27" i="19"/>
  <c r="H11" i="40"/>
  <c r="R200" i="19"/>
  <c r="K46" i="19"/>
  <c r="R46" i="19" s="1"/>
  <c r="R214" i="19"/>
  <c r="M212" i="55" l="1"/>
  <c r="F70" i="46" s="1"/>
  <c r="L103" i="55"/>
  <c r="L193" i="55" s="1"/>
  <c r="I193" i="55"/>
  <c r="M58" i="55"/>
  <c r="M188" i="55" s="1"/>
  <c r="J188" i="55"/>
  <c r="M103" i="55"/>
  <c r="M193" i="55" s="1"/>
  <c r="J193" i="55"/>
  <c r="L102" i="55"/>
  <c r="L192" i="55" s="1"/>
  <c r="I192" i="55"/>
  <c r="M81" i="55"/>
  <c r="M191" i="55" s="1"/>
  <c r="J191" i="55"/>
  <c r="L124" i="55"/>
  <c r="L194" i="55" s="1"/>
  <c r="I194" i="55"/>
  <c r="M124" i="55"/>
  <c r="M194" i="55" s="1"/>
  <c r="J194" i="55"/>
  <c r="L80" i="55"/>
  <c r="L190" i="55" s="1"/>
  <c r="I190" i="55"/>
  <c r="M80" i="55"/>
  <c r="M190" i="55" s="1"/>
  <c r="J190" i="55"/>
  <c r="L81" i="55"/>
  <c r="L191" i="55" s="1"/>
  <c r="I191" i="55"/>
  <c r="M125" i="55"/>
  <c r="M195" i="55" s="1"/>
  <c r="J195" i="55"/>
  <c r="L59" i="55"/>
  <c r="L189" i="55" s="1"/>
  <c r="I189" i="55"/>
  <c r="M57" i="55"/>
  <c r="M187" i="55" s="1"/>
  <c r="J187" i="55"/>
  <c r="L125" i="55"/>
  <c r="L195" i="55" s="1"/>
  <c r="I195" i="55"/>
  <c r="M59" i="55"/>
  <c r="M189" i="55" s="1"/>
  <c r="J189" i="55"/>
  <c r="L58" i="55"/>
  <c r="L188" i="55" s="1"/>
  <c r="I188" i="55"/>
  <c r="L57" i="55"/>
  <c r="L187" i="55" s="1"/>
  <c r="I187" i="55"/>
  <c r="M111" i="55"/>
  <c r="M173" i="55" s="1"/>
  <c r="J173" i="55"/>
  <c r="M89" i="55"/>
  <c r="M172" i="55" s="1"/>
  <c r="J172" i="55"/>
  <c r="M40" i="55"/>
  <c r="M169" i="55" s="1"/>
  <c r="J169" i="55"/>
  <c r="M41" i="55"/>
  <c r="M170" i="55" s="1"/>
  <c r="J170" i="55"/>
  <c r="L41" i="55"/>
  <c r="L170" i="55" s="1"/>
  <c r="I170" i="55"/>
  <c r="M79" i="55"/>
  <c r="M180" i="55" s="1"/>
  <c r="J180" i="55"/>
  <c r="M55" i="55"/>
  <c r="M177" i="55" s="1"/>
  <c r="J177" i="55"/>
  <c r="L54" i="55"/>
  <c r="L176" i="55" s="1"/>
  <c r="I176" i="55"/>
  <c r="M56" i="55"/>
  <c r="M178" i="55" s="1"/>
  <c r="J178" i="55"/>
  <c r="L55" i="55"/>
  <c r="L177" i="55" s="1"/>
  <c r="I177" i="55"/>
  <c r="M54" i="55"/>
  <c r="M176" i="55" s="1"/>
  <c r="J176" i="55"/>
  <c r="M123" i="55"/>
  <c r="M184" i="55" s="1"/>
  <c r="J184" i="55"/>
  <c r="M101" i="55"/>
  <c r="M182" i="55" s="1"/>
  <c r="J182" i="55"/>
  <c r="M115" i="55"/>
  <c r="M147" i="55" s="1"/>
  <c r="M39" i="55"/>
  <c r="M163" i="55" s="1"/>
  <c r="J163" i="55"/>
  <c r="M66" i="55"/>
  <c r="J164" i="55"/>
  <c r="L39" i="55"/>
  <c r="L163" i="55" s="1"/>
  <c r="I163" i="55"/>
  <c r="M88" i="55"/>
  <c r="J165" i="55"/>
  <c r="L38" i="55"/>
  <c r="L162" i="55" s="1"/>
  <c r="I162" i="55"/>
  <c r="M38" i="55"/>
  <c r="M162" i="55" s="1"/>
  <c r="J162" i="55"/>
  <c r="L49" i="55"/>
  <c r="L152" i="55" s="1"/>
  <c r="I152" i="55"/>
  <c r="J149" i="55"/>
  <c r="I42" i="62" s="1"/>
  <c r="M49" i="55"/>
  <c r="M152" i="55" s="1"/>
  <c r="J152" i="55"/>
  <c r="L50" i="55"/>
  <c r="L153" i="55" s="1"/>
  <c r="I153" i="55"/>
  <c r="L48" i="55"/>
  <c r="L151" i="55" s="1"/>
  <c r="I151" i="55"/>
  <c r="L45" i="55"/>
  <c r="L140" i="55" s="1"/>
  <c r="I140" i="55"/>
  <c r="M93" i="55"/>
  <c r="M145" i="55" s="1"/>
  <c r="J145" i="55"/>
  <c r="I38" i="62" s="1"/>
  <c r="M45" i="55"/>
  <c r="M140" i="55" s="1"/>
  <c r="J140" i="55"/>
  <c r="L47" i="55"/>
  <c r="L142" i="55" s="1"/>
  <c r="I142" i="55"/>
  <c r="L46" i="55"/>
  <c r="L141" i="55" s="1"/>
  <c r="I141" i="55"/>
  <c r="M138" i="55"/>
  <c r="M46" i="55"/>
  <c r="M141" i="55" s="1"/>
  <c r="J141" i="55"/>
  <c r="I34" i="62" s="1"/>
  <c r="I137" i="55"/>
  <c r="I136" i="55"/>
  <c r="M114" i="55"/>
  <c r="G67" i="46"/>
  <c r="M132" i="55"/>
  <c r="J135" i="55"/>
  <c r="I28" i="62" s="1"/>
  <c r="J132" i="55"/>
  <c r="I25" i="62" s="1"/>
  <c r="J137" i="55"/>
  <c r="I30" i="62" s="1"/>
  <c r="I133" i="55"/>
  <c r="X11" i="54"/>
  <c r="K11" i="54" s="1"/>
  <c r="N458" i="55"/>
  <c r="K347" i="55"/>
  <c r="K51" i="55" s="1"/>
  <c r="N51" i="55" s="1"/>
  <c r="N445" i="55"/>
  <c r="N327" i="55" s="1"/>
  <c r="K327" i="55"/>
  <c r="K26" i="55" s="1"/>
  <c r="K150" i="55" s="1"/>
  <c r="N515" i="55"/>
  <c r="K400" i="55"/>
  <c r="K119" i="55" s="1"/>
  <c r="N492" i="55"/>
  <c r="K371" i="55"/>
  <c r="K80" i="55" s="1"/>
  <c r="N522" i="55"/>
  <c r="K391" i="55"/>
  <c r="K110" i="55" s="1"/>
  <c r="K166" i="55" s="1"/>
  <c r="N460" i="55"/>
  <c r="K349" i="55"/>
  <c r="K53" i="55" s="1"/>
  <c r="N53" i="55" s="1"/>
  <c r="N469" i="55"/>
  <c r="N336" i="55" s="1"/>
  <c r="K336" i="55"/>
  <c r="K40" i="55" s="1"/>
  <c r="N454" i="55"/>
  <c r="N333" i="55" s="1"/>
  <c r="K333" i="55"/>
  <c r="K37" i="55" s="1"/>
  <c r="L491" i="55"/>
  <c r="L370" i="55" s="1"/>
  <c r="I370" i="55"/>
  <c r="I79" i="55" s="1"/>
  <c r="N441" i="55"/>
  <c r="N328" i="55" s="1"/>
  <c r="K328" i="55"/>
  <c r="K27" i="55" s="1"/>
  <c r="N467" i="55"/>
  <c r="K334" i="55"/>
  <c r="K38" i="55" s="1"/>
  <c r="N455" i="55"/>
  <c r="N338" i="55" s="1"/>
  <c r="K338" i="55"/>
  <c r="K42" i="55" s="1"/>
  <c r="N42" i="55" s="1"/>
  <c r="N440" i="55"/>
  <c r="N323" i="55" s="1"/>
  <c r="K323" i="55"/>
  <c r="K22" i="55" s="1"/>
  <c r="N442" i="55"/>
  <c r="N324" i="55" s="1"/>
  <c r="K324" i="55"/>
  <c r="K23" i="55" s="1"/>
  <c r="K138" i="55" s="1"/>
  <c r="L508" i="55"/>
  <c r="L387" i="55" s="1"/>
  <c r="I387" i="55"/>
  <c r="I101" i="55" s="1"/>
  <c r="N444" i="55"/>
  <c r="N326" i="55" s="1"/>
  <c r="K326" i="55"/>
  <c r="K25" i="55" s="1"/>
  <c r="K149" i="55" s="1"/>
  <c r="L444" i="55"/>
  <c r="L326" i="55" s="1"/>
  <c r="I326" i="55"/>
  <c r="I25" i="55" s="1"/>
  <c r="N474" i="55"/>
  <c r="K353" i="55"/>
  <c r="K57" i="55" s="1"/>
  <c r="N471" i="55"/>
  <c r="K350" i="55"/>
  <c r="K54" i="55" s="1"/>
  <c r="L455" i="55"/>
  <c r="L338" i="55" s="1"/>
  <c r="I338" i="55"/>
  <c r="I42" i="55" s="1"/>
  <c r="L42" i="55" s="1"/>
  <c r="L525" i="55"/>
  <c r="L404" i="55" s="1"/>
  <c r="I404" i="55"/>
  <c r="I123" i="55" s="1"/>
  <c r="L445" i="55"/>
  <c r="L327" i="55" s="1"/>
  <c r="I327" i="55"/>
  <c r="I26" i="55" s="1"/>
  <c r="L442" i="55"/>
  <c r="L324" i="55" s="1"/>
  <c r="I324" i="55"/>
  <c r="I23" i="55" s="1"/>
  <c r="I138" i="55" s="1"/>
  <c r="M484" i="55"/>
  <c r="M362" i="55" s="1"/>
  <c r="J362" i="55"/>
  <c r="J71" i="55" s="1"/>
  <c r="L473" i="55"/>
  <c r="L352" i="55" s="1"/>
  <c r="I352" i="55"/>
  <c r="I56" i="55" s="1"/>
  <c r="N447" i="55"/>
  <c r="K320" i="55"/>
  <c r="K19" i="55" s="1"/>
  <c r="K161" i="55" s="1"/>
  <c r="L469" i="55"/>
  <c r="L336" i="55" s="1"/>
  <c r="I336" i="55"/>
  <c r="I40" i="55" s="1"/>
  <c r="N448" i="55"/>
  <c r="K321" i="55"/>
  <c r="K20" i="55" s="1"/>
  <c r="K167" i="55" s="1"/>
  <c r="N468" i="55"/>
  <c r="K335" i="55"/>
  <c r="K39" i="55" s="1"/>
  <c r="N470" i="55"/>
  <c r="K337" i="55"/>
  <c r="K41" i="55" s="1"/>
  <c r="N461" i="55"/>
  <c r="K341" i="55"/>
  <c r="K45" i="55" s="1"/>
  <c r="K650" i="55"/>
  <c r="N650" i="55" s="1"/>
  <c r="L443" i="55"/>
  <c r="L325" i="55" s="1"/>
  <c r="I325" i="55"/>
  <c r="I24" i="55" s="1"/>
  <c r="I139" i="55" s="1"/>
  <c r="L441" i="55"/>
  <c r="L328" i="55" s="1"/>
  <c r="I328" i="55"/>
  <c r="I27" i="55" s="1"/>
  <c r="I135" i="55" s="1"/>
  <c r="M464" i="55"/>
  <c r="M344" i="55" s="1"/>
  <c r="J344" i="55"/>
  <c r="J48" i="55" s="1"/>
  <c r="M457" i="55"/>
  <c r="M340" i="55" s="1"/>
  <c r="J340" i="55"/>
  <c r="J44" i="55" s="1"/>
  <c r="L457" i="55"/>
  <c r="L340" i="55" s="1"/>
  <c r="I340" i="55"/>
  <c r="I44" i="55" s="1"/>
  <c r="L44" i="55" s="1"/>
  <c r="N477" i="55"/>
  <c r="K356" i="55"/>
  <c r="K65" i="55" s="1"/>
  <c r="N443" i="55"/>
  <c r="N325" i="55" s="1"/>
  <c r="K325" i="55"/>
  <c r="K24" i="55" s="1"/>
  <c r="K139" i="55" s="1"/>
  <c r="L454" i="55"/>
  <c r="L333" i="55" s="1"/>
  <c r="I333" i="55"/>
  <c r="I37" i="55" s="1"/>
  <c r="L440" i="55"/>
  <c r="L323" i="55" s="1"/>
  <c r="I323" i="55"/>
  <c r="I22" i="55" s="1"/>
  <c r="L490" i="55"/>
  <c r="L369" i="55" s="1"/>
  <c r="I369" i="55"/>
  <c r="I78" i="55" s="1"/>
  <c r="I179" i="55" s="1"/>
  <c r="N686" i="55"/>
  <c r="K527" i="55"/>
  <c r="N669" i="55"/>
  <c r="K510" i="55"/>
  <c r="K660" i="55"/>
  <c r="N660" i="55" s="1"/>
  <c r="N652" i="55"/>
  <c r="K493" i="55"/>
  <c r="M116" i="55"/>
  <c r="M148" i="55" s="1"/>
  <c r="N635" i="55"/>
  <c r="K476" i="55"/>
  <c r="E70" i="49"/>
  <c r="I49" i="62"/>
  <c r="G216" i="55"/>
  <c r="I57" i="62" s="1"/>
  <c r="M57" i="62" s="1"/>
  <c r="K667" i="55"/>
  <c r="X5" i="54"/>
  <c r="K5" i="54" s="1"/>
  <c r="K519" i="55"/>
  <c r="AK684" i="55"/>
  <c r="K684" i="55"/>
  <c r="AK678" i="55"/>
  <c r="K632" i="55"/>
  <c r="L521" i="55"/>
  <c r="I519" i="55"/>
  <c r="I397" i="55" s="1"/>
  <c r="I116" i="55" s="1"/>
  <c r="I148" i="55" s="1"/>
  <c r="L678" i="55"/>
  <c r="K489" i="55"/>
  <c r="AK648" i="55"/>
  <c r="M117" i="55"/>
  <c r="M158" i="55" s="1"/>
  <c r="N628" i="55"/>
  <c r="AK628" i="55"/>
  <c r="M87" i="55"/>
  <c r="E66" i="46" s="1"/>
  <c r="M69" i="55"/>
  <c r="H65" i="46" s="1"/>
  <c r="J411" i="1"/>
  <c r="AK649" i="55"/>
  <c r="M97" i="55"/>
  <c r="M75" i="55"/>
  <c r="M74" i="55"/>
  <c r="M95" i="55"/>
  <c r="M156" i="55" s="1"/>
  <c r="M73" i="55"/>
  <c r="M154" i="55" s="1"/>
  <c r="G425" i="1"/>
  <c r="M118" i="55"/>
  <c r="S69" i="50"/>
  <c r="N516" i="55"/>
  <c r="L513" i="55"/>
  <c r="L394" i="55" s="1"/>
  <c r="L111" i="55"/>
  <c r="L173" i="55" s="1"/>
  <c r="L504" i="55"/>
  <c r="L382" i="55" s="1"/>
  <c r="L502" i="55"/>
  <c r="L380" i="55" s="1"/>
  <c r="X21" i="54"/>
  <c r="K21" i="54" s="1"/>
  <c r="L499" i="55"/>
  <c r="L384" i="55" s="1"/>
  <c r="L92" i="55"/>
  <c r="L496" i="55"/>
  <c r="L377" i="55" s="1"/>
  <c r="L89" i="55"/>
  <c r="L172" i="55" s="1"/>
  <c r="L487" i="55"/>
  <c r="L365" i="55" s="1"/>
  <c r="L485" i="55"/>
  <c r="L363" i="55" s="1"/>
  <c r="L482" i="55"/>
  <c r="L367" i="55" s="1"/>
  <c r="L70" i="55"/>
  <c r="L479" i="55"/>
  <c r="L360" i="55" s="1"/>
  <c r="L67" i="55"/>
  <c r="L171" i="55" s="1"/>
  <c r="L466" i="55"/>
  <c r="L346" i="55" s="1"/>
  <c r="L463" i="55"/>
  <c r="L343" i="55" s="1"/>
  <c r="L459" i="55"/>
  <c r="L348" i="55" s="1"/>
  <c r="M65" i="55"/>
  <c r="E65" i="46" s="1"/>
  <c r="L456" i="55"/>
  <c r="L339" i="55" s="1"/>
  <c r="G423" i="1"/>
  <c r="J423" i="1" s="1"/>
  <c r="M109" i="55"/>
  <c r="AK622" i="55"/>
  <c r="M110" i="55"/>
  <c r="X26" i="54"/>
  <c r="K26" i="54" s="1"/>
  <c r="N637" i="55"/>
  <c r="K478" i="55"/>
  <c r="N672" i="55"/>
  <c r="K513" i="55"/>
  <c r="K394" i="55" s="1"/>
  <c r="K113" i="55" s="1"/>
  <c r="N655" i="55"/>
  <c r="K496" i="55"/>
  <c r="K377" i="55" s="1"/>
  <c r="K91" i="55" s="1"/>
  <c r="N683" i="55"/>
  <c r="K524" i="55"/>
  <c r="N657" i="55"/>
  <c r="K498" i="55"/>
  <c r="N682" i="55"/>
  <c r="K523" i="55"/>
  <c r="N641" i="55"/>
  <c r="K482" i="55"/>
  <c r="K367" i="55" s="1"/>
  <c r="K76" i="55" s="1"/>
  <c r="N685" i="55"/>
  <c r="K526" i="55"/>
  <c r="N689" i="55"/>
  <c r="K530" i="55"/>
  <c r="N625" i="55"/>
  <c r="K466" i="55"/>
  <c r="K346" i="55" s="1"/>
  <c r="K50" i="55" s="1"/>
  <c r="N647" i="55"/>
  <c r="K488" i="55"/>
  <c r="N663" i="55"/>
  <c r="K504" i="55"/>
  <c r="K382" i="55" s="1"/>
  <c r="K96" i="55" s="1"/>
  <c r="K157" i="55" s="1"/>
  <c r="N673" i="55"/>
  <c r="K514" i="55"/>
  <c r="N668" i="55"/>
  <c r="K509" i="55"/>
  <c r="N649" i="55"/>
  <c r="K490" i="55"/>
  <c r="N690" i="55"/>
  <c r="K531" i="55"/>
  <c r="N659" i="55"/>
  <c r="K500" i="55"/>
  <c r="N658" i="55"/>
  <c r="K499" i="55"/>
  <c r="K384" i="55" s="1"/>
  <c r="K98" i="55" s="1"/>
  <c r="N621" i="55"/>
  <c r="K462" i="55"/>
  <c r="N646" i="55"/>
  <c r="K487" i="55"/>
  <c r="K365" i="55" s="1"/>
  <c r="K74" i="55" s="1"/>
  <c r="K155" i="55" s="1"/>
  <c r="N670" i="55"/>
  <c r="K511" i="55"/>
  <c r="N679" i="55"/>
  <c r="K520" i="55"/>
  <c r="N677" i="55"/>
  <c r="K518" i="55"/>
  <c r="N643" i="55"/>
  <c r="K484" i="55"/>
  <c r="N664" i="55"/>
  <c r="K505" i="55"/>
  <c r="N671" i="55"/>
  <c r="K512" i="55"/>
  <c r="N642" i="55"/>
  <c r="K483" i="55"/>
  <c r="N653" i="55"/>
  <c r="K494" i="55"/>
  <c r="N654" i="55"/>
  <c r="K495" i="55"/>
  <c r="N639" i="55"/>
  <c r="K480" i="55"/>
  <c r="N624" i="55"/>
  <c r="K465" i="55"/>
  <c r="N666" i="55"/>
  <c r="K507" i="55"/>
  <c r="N687" i="55"/>
  <c r="K528" i="55"/>
  <c r="N640" i="55"/>
  <c r="K481" i="55"/>
  <c r="N618" i="55"/>
  <c r="K459" i="55"/>
  <c r="K348" i="55" s="1"/>
  <c r="K52" i="55" s="1"/>
  <c r="N52" i="55" s="1"/>
  <c r="N665" i="55"/>
  <c r="K506" i="55"/>
  <c r="N661" i="55"/>
  <c r="K502" i="55"/>
  <c r="K380" i="55" s="1"/>
  <c r="K94" i="55" s="1"/>
  <c r="K146" i="55" s="1"/>
  <c r="N622" i="55"/>
  <c r="K463" i="55"/>
  <c r="K343" i="55" s="1"/>
  <c r="K47" i="55" s="1"/>
  <c r="N634" i="55"/>
  <c r="K475" i="55"/>
  <c r="N688" i="55"/>
  <c r="K529" i="55"/>
  <c r="N656" i="55"/>
  <c r="K497" i="55"/>
  <c r="N662" i="55"/>
  <c r="K503" i="55"/>
  <c r="N676" i="55"/>
  <c r="K517" i="55"/>
  <c r="N623" i="55"/>
  <c r="K464" i="55"/>
  <c r="N631" i="55"/>
  <c r="K472" i="55"/>
  <c r="N645" i="55"/>
  <c r="K486" i="55"/>
  <c r="AK672" i="55"/>
  <c r="AK618" i="55"/>
  <c r="AK641" i="55"/>
  <c r="AK663" i="55"/>
  <c r="AK655" i="55"/>
  <c r="AK658" i="55"/>
  <c r="AK661" i="55"/>
  <c r="AK644" i="55"/>
  <c r="K644" i="55"/>
  <c r="K616" i="55"/>
  <c r="AK615" i="55"/>
  <c r="K615" i="55"/>
  <c r="AK638" i="55"/>
  <c r="K638" i="55"/>
  <c r="AK646" i="55"/>
  <c r="AK625" i="55"/>
  <c r="W392" i="1"/>
  <c r="V392" i="1"/>
  <c r="AB354" i="1"/>
  <c r="AE354" i="1"/>
  <c r="AD354" i="1"/>
  <c r="AC354" i="1"/>
  <c r="Z313" i="1"/>
  <c r="AC313" i="1" s="1"/>
  <c r="AB335" i="1"/>
  <c r="AC335" i="1"/>
  <c r="AD335" i="1"/>
  <c r="AE335" i="1"/>
  <c r="Z169" i="63"/>
  <c r="F243" i="55" s="1"/>
  <c r="AE169" i="63"/>
  <c r="K243" i="55" s="1"/>
  <c r="AD169" i="63"/>
  <c r="J243" i="55" s="1"/>
  <c r="AC169" i="63"/>
  <c r="I243" i="55" s="1"/>
  <c r="AB169" i="63"/>
  <c r="H243" i="55" s="1"/>
  <c r="AA169" i="63"/>
  <c r="G243" i="55" s="1"/>
  <c r="J126" i="55"/>
  <c r="W52" i="54" s="1"/>
  <c r="J104" i="55"/>
  <c r="W51" i="54" s="1"/>
  <c r="M30" i="55"/>
  <c r="M185" i="55" s="1"/>
  <c r="M100" i="55"/>
  <c r="M181" i="55" s="1"/>
  <c r="M28" i="55"/>
  <c r="M174" i="55" s="1"/>
  <c r="M99" i="55"/>
  <c r="M27" i="55"/>
  <c r="M98" i="55"/>
  <c r="M31" i="55"/>
  <c r="M186" i="55" s="1"/>
  <c r="M78" i="55"/>
  <c r="M179" i="55" s="1"/>
  <c r="M25" i="55"/>
  <c r="M77" i="55"/>
  <c r="M121" i="55"/>
  <c r="M24" i="55"/>
  <c r="M76" i="55"/>
  <c r="M122" i="55"/>
  <c r="M183" i="55" s="1"/>
  <c r="M29" i="55"/>
  <c r="M175" i="55" s="1"/>
  <c r="M120" i="55"/>
  <c r="M26" i="55"/>
  <c r="N606" i="55"/>
  <c r="N607" i="55"/>
  <c r="AK606" i="55"/>
  <c r="AK607" i="55"/>
  <c r="AK609" i="55"/>
  <c r="K609" i="55"/>
  <c r="K450" i="55" s="1"/>
  <c r="AK608" i="55"/>
  <c r="K608" i="55"/>
  <c r="K449" i="55" s="1"/>
  <c r="AK612" i="55"/>
  <c r="K612" i="55"/>
  <c r="K453" i="55" s="1"/>
  <c r="AK611" i="55"/>
  <c r="K611" i="55"/>
  <c r="K452" i="55" s="1"/>
  <c r="AK605" i="55"/>
  <c r="K605" i="55"/>
  <c r="K446" i="55" s="1"/>
  <c r="AK610" i="55"/>
  <c r="K610" i="55"/>
  <c r="K451" i="55" s="1"/>
  <c r="G120" i="19"/>
  <c r="E18" i="38" s="1"/>
  <c r="M36" i="58"/>
  <c r="M39" i="58" s="1"/>
  <c r="P246" i="58"/>
  <c r="Q19" i="56"/>
  <c r="R399" i="56"/>
  <c r="M94" i="55"/>
  <c r="H401" i="56"/>
  <c r="H404" i="56" s="1"/>
  <c r="Q31" i="19"/>
  <c r="P210" i="58"/>
  <c r="P277" i="58" s="1"/>
  <c r="M17" i="58"/>
  <c r="M80" i="58" s="1"/>
  <c r="AD170" i="63"/>
  <c r="Z161" i="63"/>
  <c r="AP65" i="19"/>
  <c r="AC147" i="63"/>
  <c r="AC166" i="63"/>
  <c r="Z170" i="63"/>
  <c r="AE138" i="63"/>
  <c r="O138" i="65" s="1"/>
  <c r="AA144" i="63"/>
  <c r="K144" i="65" s="1"/>
  <c r="Z158" i="63"/>
  <c r="AD168" i="63"/>
  <c r="AD173" i="63"/>
  <c r="Z138" i="63"/>
  <c r="J138" i="65" s="1"/>
  <c r="AC146" i="63"/>
  <c r="M146" i="65" s="1"/>
  <c r="AE173" i="63"/>
  <c r="AC161" i="63"/>
  <c r="AB147" i="63"/>
  <c r="AA162" i="63"/>
  <c r="AC157" i="63"/>
  <c r="AD157" i="63"/>
  <c r="Z145" i="63"/>
  <c r="J145" i="65" s="1"/>
  <c r="AA140" i="63"/>
  <c r="K140" i="65" s="1"/>
  <c r="AA163" i="63"/>
  <c r="AC173" i="63"/>
  <c r="AE159" i="63"/>
  <c r="AA141" i="63"/>
  <c r="K141" i="65" s="1"/>
  <c r="AD143" i="63"/>
  <c r="N143" i="65" s="1"/>
  <c r="AA166" i="63"/>
  <c r="AC158" i="63"/>
  <c r="AD159" i="63"/>
  <c r="Z141" i="63"/>
  <c r="J141" i="65" s="1"/>
  <c r="AD146" i="63"/>
  <c r="N146" i="65" s="1"/>
  <c r="AA164" i="63"/>
  <c r="AB170" i="63"/>
  <c r="Z160" i="63"/>
  <c r="AA146" i="63"/>
  <c r="K146" i="65" s="1"/>
  <c r="AC145" i="63"/>
  <c r="M145" i="65" s="1"/>
  <c r="AE144" i="63"/>
  <c r="O144" i="65" s="1"/>
  <c r="AE140" i="63"/>
  <c r="O140" i="65" s="1"/>
  <c r="AA167" i="63"/>
  <c r="AC163" i="63"/>
  <c r="AB143" i="63"/>
  <c r="L143" i="65" s="1"/>
  <c r="AD140" i="63"/>
  <c r="N140" i="65" s="1"/>
  <c r="AA160" i="63"/>
  <c r="AB163" i="63"/>
  <c r="AB140" i="63"/>
  <c r="L140" i="65" s="1"/>
  <c r="AB139" i="63"/>
  <c r="L139" i="65" s="1"/>
  <c r="AB142" i="63"/>
  <c r="L142" i="65" s="1"/>
  <c r="AC144" i="63"/>
  <c r="M144" i="65" s="1"/>
  <c r="AE147" i="63"/>
  <c r="AE145" i="63"/>
  <c r="Z171" i="63"/>
  <c r="AA173" i="63"/>
  <c r="AA158" i="63"/>
  <c r="AC164" i="63"/>
  <c r="AB172" i="63"/>
  <c r="AB160" i="63"/>
  <c r="AE155" i="63"/>
  <c r="AD158" i="63"/>
  <c r="AD163" i="63"/>
  <c r="AB144" i="63"/>
  <c r="L144" i="65" s="1"/>
  <c r="AB141" i="63"/>
  <c r="L141" i="65" s="1"/>
  <c r="Z143" i="63"/>
  <c r="J143" i="65" s="1"/>
  <c r="AE143" i="63"/>
  <c r="AD147" i="63"/>
  <c r="Z155" i="63"/>
  <c r="Z159" i="63"/>
  <c r="AA165" i="63"/>
  <c r="AA159" i="63"/>
  <c r="G233" i="55" s="1"/>
  <c r="AE170" i="63"/>
  <c r="AB173" i="63"/>
  <c r="AB162" i="63"/>
  <c r="AE156" i="63"/>
  <c r="AD172" i="63"/>
  <c r="AE158" i="63"/>
  <c r="Z147" i="63"/>
  <c r="AB145" i="63"/>
  <c r="L145" i="65" s="1"/>
  <c r="AE141" i="63"/>
  <c r="O141" i="65" s="1"/>
  <c r="Z168" i="63"/>
  <c r="Z157" i="63"/>
  <c r="AA156" i="63"/>
  <c r="AC155" i="63"/>
  <c r="AC156" i="63"/>
  <c r="AC160" i="63"/>
  <c r="AB165" i="63"/>
  <c r="AD164" i="63"/>
  <c r="AE172" i="63"/>
  <c r="AE157" i="63"/>
  <c r="Z142" i="63"/>
  <c r="J142" i="65" s="1"/>
  <c r="Z144" i="63"/>
  <c r="J144" i="65" s="1"/>
  <c r="AE139" i="63"/>
  <c r="O139" i="65" s="1"/>
  <c r="AE142" i="63"/>
  <c r="O142" i="65" s="1"/>
  <c r="Z167" i="63"/>
  <c r="Z173" i="63"/>
  <c r="AA172" i="63"/>
  <c r="AE161" i="63"/>
  <c r="AC165" i="63"/>
  <c r="AC162" i="63"/>
  <c r="AB164" i="63"/>
  <c r="AD161" i="63"/>
  <c r="AE171" i="63"/>
  <c r="AD162" i="63"/>
  <c r="AA147" i="63"/>
  <c r="Z140" i="63"/>
  <c r="J140" i="65" s="1"/>
  <c r="AC138" i="63"/>
  <c r="M138" i="65" s="1"/>
  <c r="AC141" i="63"/>
  <c r="M141" i="65" s="1"/>
  <c r="Z166" i="63"/>
  <c r="Z172" i="63"/>
  <c r="AA157" i="63"/>
  <c r="AB155" i="63"/>
  <c r="AB158" i="63"/>
  <c r="H232" i="55" s="1"/>
  <c r="AC168" i="63"/>
  <c r="AD165" i="63"/>
  <c r="AE168" i="63"/>
  <c r="AD171" i="63"/>
  <c r="AA142" i="63"/>
  <c r="K142" i="65" s="1"/>
  <c r="AB138" i="63"/>
  <c r="L138" i="65" s="1"/>
  <c r="AC143" i="63"/>
  <c r="M143" i="65" s="1"/>
  <c r="AD138" i="63"/>
  <c r="N138" i="65" s="1"/>
  <c r="AC142" i="63"/>
  <c r="M142" i="65" s="1"/>
  <c r="Z165" i="63"/>
  <c r="Z156" i="63"/>
  <c r="AA161" i="63"/>
  <c r="AE164" i="63"/>
  <c r="AC159" i="63"/>
  <c r="AB157" i="63"/>
  <c r="AB166" i="63"/>
  <c r="H240" i="55" s="1"/>
  <c r="AD156" i="63"/>
  <c r="AE163" i="63"/>
  <c r="AE165" i="63"/>
  <c r="AA145" i="63"/>
  <c r="K145" i="65" s="1"/>
  <c r="Z146" i="63"/>
  <c r="J146" i="65" s="1"/>
  <c r="AD145" i="63"/>
  <c r="N145" i="65" s="1"/>
  <c r="AD142" i="63"/>
  <c r="N142" i="65" s="1"/>
  <c r="Z164" i="63"/>
  <c r="AC170" i="63"/>
  <c r="AA155" i="63"/>
  <c r="AB161" i="63"/>
  <c r="AB159" i="63"/>
  <c r="AC172" i="63"/>
  <c r="AD155" i="63"/>
  <c r="AE162" i="63"/>
  <c r="AE166" i="63"/>
  <c r="AE133" i="63"/>
  <c r="AA143" i="63"/>
  <c r="K143" i="65" s="1"/>
  <c r="Z139" i="63"/>
  <c r="J139" i="65" s="1"/>
  <c r="AC139" i="63"/>
  <c r="M139" i="65" s="1"/>
  <c r="AE146" i="63"/>
  <c r="AJ699" i="55" s="1"/>
  <c r="K699" i="55" s="1"/>
  <c r="K540" i="55" s="1"/>
  <c r="K419" i="55" s="1"/>
  <c r="AD144" i="63"/>
  <c r="N144" i="65" s="1"/>
  <c r="AD141" i="63"/>
  <c r="N141" i="65" s="1"/>
  <c r="Z163" i="63"/>
  <c r="AA170" i="63"/>
  <c r="AE167" i="63"/>
  <c r="AB156" i="63"/>
  <c r="AB167" i="63"/>
  <c r="AB168" i="63"/>
  <c r="AD166" i="63"/>
  <c r="AD160" i="63"/>
  <c r="AA138" i="63"/>
  <c r="K138" i="65" s="1"/>
  <c r="AB146" i="63"/>
  <c r="L146" i="65" s="1"/>
  <c r="AA139" i="63"/>
  <c r="K139" i="65" s="1"/>
  <c r="AD139" i="63"/>
  <c r="N139" i="65" s="1"/>
  <c r="AC140" i="63"/>
  <c r="M140" i="65" s="1"/>
  <c r="Z162" i="63"/>
  <c r="AA171" i="63"/>
  <c r="AA168" i="63"/>
  <c r="AC171" i="63"/>
  <c r="AB171" i="63"/>
  <c r="AC167" i="63"/>
  <c r="AD167" i="63"/>
  <c r="AE160" i="63"/>
  <c r="Q194" i="56"/>
  <c r="O27" i="53"/>
  <c r="L27" i="53"/>
  <c r="Y776" i="55"/>
  <c r="AF283" i="58"/>
  <c r="AK616" i="55"/>
  <c r="Q163" i="53"/>
  <c r="AK613" i="55"/>
  <c r="N613" i="55"/>
  <c r="S232" i="19"/>
  <c r="AK604" i="55"/>
  <c r="V252" i="58"/>
  <c r="S192" i="56"/>
  <c r="Q248" i="56"/>
  <c r="R286" i="56" s="1"/>
  <c r="N600" i="55"/>
  <c r="S207" i="56"/>
  <c r="AK600" i="55"/>
  <c r="S210" i="19"/>
  <c r="S197" i="56"/>
  <c r="S222" i="19"/>
  <c r="S225" i="19"/>
  <c r="N604" i="55"/>
  <c r="S212" i="56"/>
  <c r="O420" i="58"/>
  <c r="S206" i="56"/>
  <c r="S211" i="19"/>
  <c r="S198" i="56"/>
  <c r="AK601" i="55"/>
  <c r="Q420" i="58"/>
  <c r="S219" i="56"/>
  <c r="S193" i="56"/>
  <c r="X95" i="19"/>
  <c r="AG95" i="19" s="1"/>
  <c r="AJ95" i="19" s="1"/>
  <c r="Q95" i="19"/>
  <c r="K95" i="19"/>
  <c r="R31" i="19"/>
  <c r="N71" i="58"/>
  <c r="Q245" i="58"/>
  <c r="M90" i="58"/>
  <c r="T90" i="58" s="1"/>
  <c r="T72" i="58"/>
  <c r="M86" i="58"/>
  <c r="T34" i="58"/>
  <c r="C18" i="37"/>
  <c r="P62" i="19"/>
  <c r="K88" i="56"/>
  <c r="R88" i="56" s="1"/>
  <c r="R22" i="56"/>
  <c r="L73" i="58"/>
  <c r="O247" i="58"/>
  <c r="H33" i="36"/>
  <c r="D33" i="36" s="1"/>
  <c r="I54" i="19"/>
  <c r="P43" i="19"/>
  <c r="P54" i="19" s="1"/>
  <c r="S54" i="19" s="1"/>
  <c r="N57" i="58"/>
  <c r="Q236" i="58"/>
  <c r="M63" i="58"/>
  <c r="T56" i="58"/>
  <c r="K85" i="56"/>
  <c r="R85" i="56" s="1"/>
  <c r="R47" i="56"/>
  <c r="N36" i="58"/>
  <c r="Q225" i="58"/>
  <c r="J86" i="56"/>
  <c r="Q86" i="56" s="1"/>
  <c r="Q58" i="56"/>
  <c r="N106" i="58"/>
  <c r="Q249" i="58"/>
  <c r="S234" i="19"/>
  <c r="I103" i="56"/>
  <c r="P222" i="56"/>
  <c r="K87" i="56"/>
  <c r="R87" i="56" s="1"/>
  <c r="R69" i="56"/>
  <c r="O132" i="65"/>
  <c r="O14" i="65" s="1"/>
  <c r="R22" i="65"/>
  <c r="R132" i="65" s="1"/>
  <c r="R14" i="65" s="1"/>
  <c r="L17" i="65" s="1"/>
  <c r="Z71" i="56"/>
  <c r="AI71" i="56" s="1"/>
  <c r="Q71" i="56"/>
  <c r="L30" i="49"/>
  <c r="Z30" i="50"/>
  <c r="I18" i="56"/>
  <c r="P188" i="56"/>
  <c r="K598" i="55"/>
  <c r="AJ707" i="55"/>
  <c r="I58" i="56"/>
  <c r="P213" i="56"/>
  <c r="L44" i="58"/>
  <c r="O228" i="58"/>
  <c r="N61" i="58"/>
  <c r="Q240" i="58"/>
  <c r="N19" i="58"/>
  <c r="Q212" i="58"/>
  <c r="I34" i="56"/>
  <c r="P199" i="56"/>
  <c r="N603" i="55"/>
  <c r="T30" i="58"/>
  <c r="J95" i="56"/>
  <c r="Q95" i="56" s="1"/>
  <c r="Q24" i="56"/>
  <c r="L18" i="58"/>
  <c r="O211" i="58"/>
  <c r="L48" i="49"/>
  <c r="Z48" i="50"/>
  <c r="Q111" i="56"/>
  <c r="G114" i="56"/>
  <c r="I59" i="56"/>
  <c r="P214" i="56"/>
  <c r="C54" i="37"/>
  <c r="P76" i="19"/>
  <c r="L601" i="55"/>
  <c r="K71" i="56"/>
  <c r="R221" i="56"/>
  <c r="I439" i="55"/>
  <c r="I318" i="55" s="1"/>
  <c r="T65" i="66"/>
  <c r="N65" i="66" s="1"/>
  <c r="H65" i="66" s="1"/>
  <c r="H70" i="66" s="1"/>
  <c r="L598" i="55"/>
  <c r="K97" i="19"/>
  <c r="R97" i="19" s="1"/>
  <c r="Y33" i="19"/>
  <c r="AH33" i="19" s="1"/>
  <c r="AK33" i="19" s="1"/>
  <c r="R33" i="19"/>
  <c r="L604" i="55"/>
  <c r="L106" i="58"/>
  <c r="O249" i="58"/>
  <c r="M91" i="58"/>
  <c r="T91" i="58" s="1"/>
  <c r="T22" i="58"/>
  <c r="M132" i="65"/>
  <c r="M14" i="65" s="1"/>
  <c r="P22" i="65"/>
  <c r="P132" i="65" s="1"/>
  <c r="P14" i="65" s="1"/>
  <c r="J17" i="65" s="1"/>
  <c r="K92" i="19"/>
  <c r="R92" i="19" s="1"/>
  <c r="R16" i="19"/>
  <c r="AK603" i="55"/>
  <c r="K82" i="56"/>
  <c r="R82" i="56" s="1"/>
  <c r="R21" i="56"/>
  <c r="N35" i="58"/>
  <c r="Q224" i="58"/>
  <c r="I70" i="19"/>
  <c r="P59" i="19"/>
  <c r="P70" i="19" s="1"/>
  <c r="S70" i="19" s="1"/>
  <c r="I66" i="56"/>
  <c r="P216" i="56"/>
  <c r="S203" i="19"/>
  <c r="I15" i="40"/>
  <c r="L61" i="58"/>
  <c r="O240" i="58"/>
  <c r="I80" i="56"/>
  <c r="P80" i="56" s="1"/>
  <c r="P57" i="56"/>
  <c r="K89" i="56"/>
  <c r="R89" i="56" s="1"/>
  <c r="R23" i="56"/>
  <c r="N18" i="58"/>
  <c r="Q211" i="58"/>
  <c r="N34" i="58"/>
  <c r="Q223" i="58"/>
  <c r="N20" i="58"/>
  <c r="Q214" i="58"/>
  <c r="I31" i="56"/>
  <c r="P31" i="56" s="1"/>
  <c r="P196" i="56"/>
  <c r="L20" i="58"/>
  <c r="O214" i="58"/>
  <c r="L58" i="58"/>
  <c r="S58" i="58" s="1"/>
  <c r="O58" i="58" s="1"/>
  <c r="F58" i="58" s="1"/>
  <c r="O237" i="58"/>
  <c r="N31" i="58"/>
  <c r="Q220" i="58"/>
  <c r="L603" i="55"/>
  <c r="H172" i="61"/>
  <c r="K179" i="61"/>
  <c r="K178" i="61"/>
  <c r="S223" i="19"/>
  <c r="V250" i="58"/>
  <c r="N68" i="58"/>
  <c r="Q242" i="58"/>
  <c r="I15" i="19"/>
  <c r="I248" i="19"/>
  <c r="C99" i="38"/>
  <c r="P193" i="19"/>
  <c r="L243" i="19"/>
  <c r="P30" i="19"/>
  <c r="I94" i="19"/>
  <c r="K38" i="56"/>
  <c r="R203" i="56"/>
  <c r="K15" i="54"/>
  <c r="H399" i="19"/>
  <c r="H398" i="19"/>
  <c r="J84" i="56"/>
  <c r="Q35" i="56"/>
  <c r="I48" i="56"/>
  <c r="P208" i="56"/>
  <c r="K37" i="56"/>
  <c r="R202" i="56"/>
  <c r="R109" i="61"/>
  <c r="BQ109" i="61"/>
  <c r="O169" i="61"/>
  <c r="R169" i="61" s="1"/>
  <c r="K55" i="56"/>
  <c r="R210" i="56"/>
  <c r="H120" i="19"/>
  <c r="R117" i="19"/>
  <c r="J393" i="19"/>
  <c r="M355" i="19"/>
  <c r="N355" i="19" s="1"/>
  <c r="L35" i="58"/>
  <c r="O224" i="58"/>
  <c r="K18" i="56"/>
  <c r="R188" i="56"/>
  <c r="L36" i="58"/>
  <c r="O225" i="58"/>
  <c r="I35" i="56"/>
  <c r="P200" i="56"/>
  <c r="N45" i="58"/>
  <c r="Q229" i="58"/>
  <c r="L71" i="58"/>
  <c r="O245" i="58"/>
  <c r="AK599" i="55"/>
  <c r="Y48" i="19"/>
  <c r="K96" i="19"/>
  <c r="R96" i="19" s="1"/>
  <c r="R48" i="19"/>
  <c r="M461" i="58"/>
  <c r="P459" i="58"/>
  <c r="J461" i="58"/>
  <c r="S245" i="19"/>
  <c r="AH283" i="58"/>
  <c r="AG459" i="58"/>
  <c r="H291" i="19"/>
  <c r="H292" i="19"/>
  <c r="G15" i="19" s="1"/>
  <c r="S216" i="19"/>
  <c r="K48" i="56"/>
  <c r="R208" i="56"/>
  <c r="J93" i="56"/>
  <c r="Q93" i="56" s="1"/>
  <c r="Q59" i="56"/>
  <c r="L599" i="55"/>
  <c r="I18" i="62"/>
  <c r="P53" i="62"/>
  <c r="N17" i="58"/>
  <c r="N277" i="58"/>
  <c r="Q210" i="58"/>
  <c r="T66" i="66"/>
  <c r="N66" i="66" s="1"/>
  <c r="H66" i="66" s="1"/>
  <c r="H71" i="66" s="1"/>
  <c r="T69" i="58"/>
  <c r="P69" i="58"/>
  <c r="G69" i="58" s="1"/>
  <c r="S205" i="56"/>
  <c r="L277" i="58"/>
  <c r="L17" i="58"/>
  <c r="O210" i="58"/>
  <c r="R30" i="19"/>
  <c r="K94" i="19"/>
  <c r="M87" i="58"/>
  <c r="T35" i="58"/>
  <c r="AA37" i="19"/>
  <c r="AM37" i="19"/>
  <c r="AP37" i="19" s="1"/>
  <c r="P117" i="19"/>
  <c r="F120" i="19"/>
  <c r="AC37" i="58"/>
  <c r="M94" i="58"/>
  <c r="T94" i="58" s="1"/>
  <c r="T37" i="58"/>
  <c r="K35" i="56"/>
  <c r="R200" i="56"/>
  <c r="H291" i="56"/>
  <c r="H292" i="56"/>
  <c r="G17" i="56" s="1"/>
  <c r="M163" i="53"/>
  <c r="P163" i="53" s="1"/>
  <c r="P155" i="53"/>
  <c r="J22" i="19"/>
  <c r="J91" i="19"/>
  <c r="J102" i="19" s="1"/>
  <c r="J132" i="19" s="1"/>
  <c r="J174" i="19" s="1"/>
  <c r="X65" i="66"/>
  <c r="N614" i="55"/>
  <c r="S194" i="19"/>
  <c r="W48" i="19"/>
  <c r="AF48" i="19" s="1"/>
  <c r="AI48" i="19" s="1"/>
  <c r="I96" i="19"/>
  <c r="P96" i="19" s="1"/>
  <c r="P48" i="19"/>
  <c r="M83" i="58"/>
  <c r="T71" i="58"/>
  <c r="P71" i="58" s="1"/>
  <c r="G71" i="58" s="1"/>
  <c r="AK614" i="55"/>
  <c r="N73" i="58"/>
  <c r="Q247" i="58"/>
  <c r="H112" i="19"/>
  <c r="R109" i="19"/>
  <c r="M92" i="58"/>
  <c r="T92" i="58" s="1"/>
  <c r="T23" i="58"/>
  <c r="M81" i="58"/>
  <c r="P18" i="58"/>
  <c r="G18" i="58" s="1"/>
  <c r="T18" i="58"/>
  <c r="L72" i="58"/>
  <c r="O246" i="58"/>
  <c r="K36" i="56"/>
  <c r="R201" i="56"/>
  <c r="M96" i="58"/>
  <c r="T96" i="58" s="1"/>
  <c r="T61" i="58"/>
  <c r="I49" i="56"/>
  <c r="P209" i="56"/>
  <c r="S217" i="56"/>
  <c r="M88" i="58"/>
  <c r="T88" i="58" s="1"/>
  <c r="T48" i="58"/>
  <c r="J25" i="56"/>
  <c r="J77" i="56"/>
  <c r="J96" i="56" s="1"/>
  <c r="J126" i="56" s="1"/>
  <c r="J168" i="56" s="1"/>
  <c r="I92" i="19"/>
  <c r="P92" i="19" s="1"/>
  <c r="P16" i="19"/>
  <c r="K80" i="56"/>
  <c r="R80" i="56" s="1"/>
  <c r="R57" i="56"/>
  <c r="L614" i="55"/>
  <c r="G27" i="39"/>
  <c r="G31" i="39" s="1"/>
  <c r="E113" i="37"/>
  <c r="J78" i="56"/>
  <c r="Q78" i="56" s="1"/>
  <c r="Q18" i="56"/>
  <c r="I101" i="19"/>
  <c r="P101" i="19" s="1"/>
  <c r="W37" i="19"/>
  <c r="AF37" i="19" s="1"/>
  <c r="AI37" i="19" s="1"/>
  <c r="P37" i="19"/>
  <c r="L57" i="58"/>
  <c r="O236" i="58"/>
  <c r="L56" i="58"/>
  <c r="O235" i="58"/>
  <c r="L115" i="58"/>
  <c r="O251" i="58"/>
  <c r="N60" i="58"/>
  <c r="Q239" i="58"/>
  <c r="J27" i="53"/>
  <c r="M22" i="53"/>
  <c r="M89" i="58"/>
  <c r="T89" i="58" s="1"/>
  <c r="T60" i="58"/>
  <c r="I87" i="56"/>
  <c r="P87" i="56" s="1"/>
  <c r="P69" i="56"/>
  <c r="AJ708" i="55"/>
  <c r="P706" i="55"/>
  <c r="L46" i="58"/>
  <c r="S46" i="58" s="1"/>
  <c r="O46" i="58" s="1"/>
  <c r="F46" i="58" s="1"/>
  <c r="O230" i="58"/>
  <c r="Z49" i="56"/>
  <c r="AI49" i="56" s="1"/>
  <c r="Q49" i="56"/>
  <c r="J203" i="55"/>
  <c r="K24" i="56"/>
  <c r="R194" i="56"/>
  <c r="N115" i="58"/>
  <c r="Q251" i="58"/>
  <c r="M97" i="58"/>
  <c r="T97" i="58" s="1"/>
  <c r="T73" i="58"/>
  <c r="L23" i="58"/>
  <c r="O217" i="58"/>
  <c r="I111" i="56"/>
  <c r="P223" i="56"/>
  <c r="N44" i="58"/>
  <c r="Q228" i="58"/>
  <c r="I17" i="40"/>
  <c r="S206" i="19"/>
  <c r="S244" i="19"/>
  <c r="N21" i="58"/>
  <c r="Q215" i="58"/>
  <c r="N602" i="55"/>
  <c r="K9" i="54"/>
  <c r="O53" i="62"/>
  <c r="S53" i="62" s="1"/>
  <c r="H18" i="62"/>
  <c r="N30" i="58"/>
  <c r="Q219" i="58"/>
  <c r="V753" i="55"/>
  <c r="X753" i="55" s="1"/>
  <c r="S751" i="55"/>
  <c r="V751" i="55" s="1"/>
  <c r="W752" i="55" s="1"/>
  <c r="J90" i="56"/>
  <c r="Q90" i="56" s="1"/>
  <c r="Q36" i="56"/>
  <c r="AA33" i="19"/>
  <c r="AM33" i="19"/>
  <c r="AP33" i="19" s="1"/>
  <c r="J20" i="62"/>
  <c r="Q61" i="62"/>
  <c r="L60" i="58"/>
  <c r="O239" i="58"/>
  <c r="I11" i="40"/>
  <c r="S200" i="19"/>
  <c r="M84" i="58"/>
  <c r="T84" i="58" s="1"/>
  <c r="T20" i="58"/>
  <c r="J172" i="61"/>
  <c r="P170" i="61"/>
  <c r="J83" i="56"/>
  <c r="Q34" i="56"/>
  <c r="M439" i="55"/>
  <c r="M318" i="55" s="1"/>
  <c r="I97" i="19"/>
  <c r="P97" i="19" s="1"/>
  <c r="W33" i="19"/>
  <c r="AF33" i="19" s="1"/>
  <c r="AI33" i="19" s="1"/>
  <c r="P33" i="19"/>
  <c r="L48" i="58"/>
  <c r="O232" i="58"/>
  <c r="F112" i="19"/>
  <c r="P109" i="19"/>
  <c r="Z65" i="19"/>
  <c r="AL65" i="19"/>
  <c r="AO65" i="19" s="1"/>
  <c r="I89" i="56"/>
  <c r="P89" i="56" s="1"/>
  <c r="P23" i="56"/>
  <c r="L613" i="55"/>
  <c r="L45" i="58"/>
  <c r="O229" i="58"/>
  <c r="I88" i="56"/>
  <c r="P88" i="56" s="1"/>
  <c r="P22" i="56"/>
  <c r="K94" i="56"/>
  <c r="R94" i="56" s="1"/>
  <c r="R70" i="56"/>
  <c r="I85" i="56"/>
  <c r="P85" i="56" s="1"/>
  <c r="P47" i="56"/>
  <c r="L32" i="58"/>
  <c r="S32" i="58" s="1"/>
  <c r="O32" i="58" s="1"/>
  <c r="F32" i="58" s="1"/>
  <c r="O221" i="58"/>
  <c r="I9" i="40"/>
  <c r="S199" i="19"/>
  <c r="S191" i="56"/>
  <c r="P361" i="56"/>
  <c r="K111" i="56"/>
  <c r="R223" i="56"/>
  <c r="Z37" i="56"/>
  <c r="AI37" i="56" s="1"/>
  <c r="J91" i="56"/>
  <c r="Q91" i="56" s="1"/>
  <c r="Q37" i="56"/>
  <c r="G64" i="46"/>
  <c r="G94" i="46" s="1"/>
  <c r="I38" i="19"/>
  <c r="H15" i="36"/>
  <c r="D15" i="36" s="1"/>
  <c r="P27" i="19"/>
  <c r="P38" i="19" s="1"/>
  <c r="S38" i="19" s="1"/>
  <c r="U205" i="19" s="1"/>
  <c r="S220" i="56"/>
  <c r="N37" i="58"/>
  <c r="Q226" i="58"/>
  <c r="L33" i="58"/>
  <c r="S33" i="58" s="1"/>
  <c r="O33" i="58" s="1"/>
  <c r="F33" i="58" s="1"/>
  <c r="O222" i="58"/>
  <c r="M85" i="58"/>
  <c r="T85" i="58" s="1"/>
  <c r="T21" i="58"/>
  <c r="P57" i="58"/>
  <c r="G57" i="58" s="1"/>
  <c r="T57" i="58"/>
  <c r="S189" i="56"/>
  <c r="T45" i="58"/>
  <c r="P45" i="58"/>
  <c r="G45" i="58" s="1"/>
  <c r="I37" i="56"/>
  <c r="P202" i="56"/>
  <c r="N599" i="55"/>
  <c r="X94" i="19"/>
  <c r="AG94" i="19" s="1"/>
  <c r="Q94" i="19"/>
  <c r="I8" i="40"/>
  <c r="S195" i="19"/>
  <c r="I94" i="56"/>
  <c r="P94" i="56" s="1"/>
  <c r="P70" i="56"/>
  <c r="N32" i="58"/>
  <c r="U32" i="58" s="1"/>
  <c r="Q32" i="58" s="1"/>
  <c r="H32" i="58" s="1"/>
  <c r="Q221" i="58"/>
  <c r="K25" i="54"/>
  <c r="I79" i="56"/>
  <c r="P79" i="56" s="1"/>
  <c r="P19" i="56"/>
  <c r="N70" i="58"/>
  <c r="U70" i="58" s="1"/>
  <c r="Q70" i="58" s="1"/>
  <c r="H70" i="58" s="1"/>
  <c r="Q244" i="58"/>
  <c r="N49" i="58"/>
  <c r="Q233" i="58"/>
  <c r="I93" i="19"/>
  <c r="P93" i="19" s="1"/>
  <c r="P17" i="19"/>
  <c r="T31" i="58"/>
  <c r="N69" i="58"/>
  <c r="Q243" i="58"/>
  <c r="K103" i="56"/>
  <c r="R222" i="56"/>
  <c r="H8" i="36"/>
  <c r="P21" i="19"/>
  <c r="I82" i="56"/>
  <c r="P82" i="56" s="1"/>
  <c r="P21" i="56"/>
  <c r="J399" i="56"/>
  <c r="M361" i="56"/>
  <c r="N361" i="56" s="1"/>
  <c r="N33" i="58"/>
  <c r="U33" i="58" s="1"/>
  <c r="Q33" i="58" s="1"/>
  <c r="H33" i="58" s="1"/>
  <c r="Q222" i="58"/>
  <c r="N56" i="58"/>
  <c r="Q235" i="58"/>
  <c r="AK598" i="55"/>
  <c r="N22" i="58"/>
  <c r="Q216" i="58"/>
  <c r="I248" i="56"/>
  <c r="I17" i="56"/>
  <c r="P187" i="56"/>
  <c r="L243" i="56"/>
  <c r="M95" i="58"/>
  <c r="T95" i="58" s="1"/>
  <c r="T49" i="58"/>
  <c r="T115" i="58"/>
  <c r="G115" i="58" s="1"/>
  <c r="G119" i="58" s="1"/>
  <c r="J119" i="58"/>
  <c r="L37" i="58"/>
  <c r="O226" i="58"/>
  <c r="N46" i="58"/>
  <c r="U46" i="58" s="1"/>
  <c r="Q46" i="58" s="1"/>
  <c r="H46" i="58" s="1"/>
  <c r="Q230" i="58"/>
  <c r="N72" i="58"/>
  <c r="Q246" i="58"/>
  <c r="L70" i="58"/>
  <c r="S70" i="58" s="1"/>
  <c r="O70" i="58" s="1"/>
  <c r="F70" i="58" s="1"/>
  <c r="O244" i="58"/>
  <c r="K59" i="56"/>
  <c r="R214" i="56"/>
  <c r="K31" i="56"/>
  <c r="R31" i="56" s="1"/>
  <c r="R196" i="56"/>
  <c r="I24" i="56"/>
  <c r="P194" i="56"/>
  <c r="K465" i="58"/>
  <c r="K464" i="58"/>
  <c r="I55" i="56"/>
  <c r="P210" i="56"/>
  <c r="R361" i="56"/>
  <c r="AA412" i="19"/>
  <c r="AC412" i="19" s="1"/>
  <c r="S204" i="19"/>
  <c r="I16" i="40"/>
  <c r="I14" i="40"/>
  <c r="S202" i="19"/>
  <c r="L461" i="58"/>
  <c r="V459" i="58"/>
  <c r="J92" i="56"/>
  <c r="Q92" i="56" s="1"/>
  <c r="Q48" i="56"/>
  <c r="K34" i="56"/>
  <c r="R199" i="56"/>
  <c r="AK602" i="55"/>
  <c r="Q103" i="56"/>
  <c r="G106" i="56"/>
  <c r="N48" i="58"/>
  <c r="Q232" i="58"/>
  <c r="L31" i="58"/>
  <c r="O220" i="58"/>
  <c r="N58" i="58"/>
  <c r="U58" i="58" s="1"/>
  <c r="Q58" i="58" s="1"/>
  <c r="H58" i="58" s="1"/>
  <c r="Q237" i="58"/>
  <c r="M75" i="58"/>
  <c r="T68" i="58"/>
  <c r="AC463" i="58"/>
  <c r="AE463" i="58" s="1"/>
  <c r="Z461" i="58"/>
  <c r="AC461" i="58" s="1"/>
  <c r="AD462" i="58" s="1"/>
  <c r="K79" i="56"/>
  <c r="R79" i="56" s="1"/>
  <c r="R19" i="56"/>
  <c r="L34" i="58"/>
  <c r="O223" i="58"/>
  <c r="K70" i="19"/>
  <c r="R59" i="19"/>
  <c r="R70" i="19" s="1"/>
  <c r="M82" i="58"/>
  <c r="P19" i="58"/>
  <c r="G19" i="58" s="1"/>
  <c r="T19" i="58"/>
  <c r="N332" i="58"/>
  <c r="K334" i="58" s="1"/>
  <c r="AD279" i="58"/>
  <c r="AD282" i="58" s="1"/>
  <c r="AD284" i="58" s="1"/>
  <c r="H423" i="1"/>
  <c r="H425" i="1"/>
  <c r="K49" i="56"/>
  <c r="R209" i="56"/>
  <c r="N601" i="55"/>
  <c r="S399" i="56"/>
  <c r="I401" i="56"/>
  <c r="L600" i="55"/>
  <c r="I95" i="19"/>
  <c r="H24" i="36"/>
  <c r="D24" i="36" s="1"/>
  <c r="P31" i="19"/>
  <c r="L602" i="55"/>
  <c r="I395" i="19"/>
  <c r="S393" i="19"/>
  <c r="J110" i="58"/>
  <c r="T106" i="58"/>
  <c r="G106" i="58" s="1"/>
  <c r="G110" i="58" s="1"/>
  <c r="Z38" i="56"/>
  <c r="AI38" i="56" s="1"/>
  <c r="AL38" i="56" s="1"/>
  <c r="Q38" i="56"/>
  <c r="I71" i="56"/>
  <c r="P221" i="56"/>
  <c r="I36" i="56"/>
  <c r="P201" i="56"/>
  <c r="L19" i="58"/>
  <c r="O212" i="58"/>
  <c r="L47" i="58"/>
  <c r="S47" i="58" s="1"/>
  <c r="O47" i="58" s="1"/>
  <c r="F47" i="58" s="1"/>
  <c r="O231" i="58"/>
  <c r="I38" i="56"/>
  <c r="P203" i="56"/>
  <c r="K58" i="56"/>
  <c r="R213" i="56"/>
  <c r="L22" i="58"/>
  <c r="O216" i="58"/>
  <c r="K17" i="56"/>
  <c r="K248" i="56"/>
  <c r="P286" i="56" s="1"/>
  <c r="I288" i="56" s="1"/>
  <c r="R187" i="56"/>
  <c r="J61" i="56"/>
  <c r="Q55" i="56"/>
  <c r="Q61" i="56" s="1"/>
  <c r="I172" i="61"/>
  <c r="O170" i="61"/>
  <c r="K20" i="54"/>
  <c r="Z64" i="50"/>
  <c r="L64" i="49"/>
  <c r="L85" i="49" s="1"/>
  <c r="L94" i="49" s="1"/>
  <c r="K94" i="46"/>
  <c r="M51" i="58"/>
  <c r="T44" i="58"/>
  <c r="K38" i="19"/>
  <c r="R27" i="19"/>
  <c r="R38" i="19" s="1"/>
  <c r="S214" i="19"/>
  <c r="L68" i="58"/>
  <c r="O242" i="58"/>
  <c r="J66" i="46"/>
  <c r="K15" i="19"/>
  <c r="K248" i="19"/>
  <c r="P286" i="19" s="1"/>
  <c r="I288" i="19" s="1"/>
  <c r="R193" i="19"/>
  <c r="R248" i="19" s="1"/>
  <c r="S286" i="19" s="1"/>
  <c r="L69" i="58"/>
  <c r="O243" i="58"/>
  <c r="N23" i="58"/>
  <c r="Q217" i="58"/>
  <c r="J72" i="56"/>
  <c r="Q66" i="56"/>
  <c r="Q72" i="56" s="1"/>
  <c r="AM48" i="19"/>
  <c r="AA48" i="19"/>
  <c r="AP48" i="19" s="1"/>
  <c r="L49" i="58"/>
  <c r="O233" i="58"/>
  <c r="Y37" i="19"/>
  <c r="AH37" i="19" s="1"/>
  <c r="AK37" i="19" s="1"/>
  <c r="K101" i="19"/>
  <c r="R101" i="19" s="1"/>
  <c r="R37" i="19"/>
  <c r="K46" i="46" s="1"/>
  <c r="K66" i="56"/>
  <c r="R216" i="56"/>
  <c r="K27" i="53"/>
  <c r="N22" i="53"/>
  <c r="N27" i="53" s="1"/>
  <c r="K54" i="19"/>
  <c r="R43" i="19"/>
  <c r="R54" i="19" s="1"/>
  <c r="S213" i="19"/>
  <c r="N47" i="58"/>
  <c r="U47" i="58" s="1"/>
  <c r="Q47" i="58" s="1"/>
  <c r="H47" i="58" s="1"/>
  <c r="Q231" i="58"/>
  <c r="L30" i="58"/>
  <c r="O219" i="58"/>
  <c r="AN65" i="19"/>
  <c r="AQ65" i="19" s="1"/>
  <c r="AB65" i="19"/>
  <c r="K93" i="19"/>
  <c r="R93" i="19" s="1"/>
  <c r="R17" i="19"/>
  <c r="L21" i="58"/>
  <c r="O215" i="58"/>
  <c r="I67" i="46" l="1"/>
  <c r="N57" i="55"/>
  <c r="N187" i="55" s="1"/>
  <c r="K187" i="55"/>
  <c r="N80" i="55"/>
  <c r="N190" i="55" s="1"/>
  <c r="K190" i="55"/>
  <c r="L40" i="55"/>
  <c r="L169" i="55" s="1"/>
  <c r="I169" i="55"/>
  <c r="N40" i="55"/>
  <c r="N169" i="55" s="1"/>
  <c r="K169" i="55"/>
  <c r="N41" i="55"/>
  <c r="N170" i="55" s="1"/>
  <c r="K170" i="55"/>
  <c r="F64" i="46"/>
  <c r="F94" i="46" s="1"/>
  <c r="L101" i="55"/>
  <c r="L182" i="55" s="1"/>
  <c r="I182" i="55"/>
  <c r="L123" i="55"/>
  <c r="L184" i="55" s="1"/>
  <c r="I184" i="55"/>
  <c r="N54" i="55"/>
  <c r="N176" i="55" s="1"/>
  <c r="K176" i="55"/>
  <c r="L56" i="55"/>
  <c r="L178" i="55" s="1"/>
  <c r="I178" i="55"/>
  <c r="L79" i="55"/>
  <c r="L180" i="55" s="1"/>
  <c r="I180" i="55"/>
  <c r="N39" i="55"/>
  <c r="N163" i="55" s="1"/>
  <c r="K163" i="55"/>
  <c r="F66" i="46"/>
  <c r="M165" i="55"/>
  <c r="N38" i="55"/>
  <c r="N162" i="55" s="1"/>
  <c r="K162" i="55"/>
  <c r="F65" i="46"/>
  <c r="M164" i="55"/>
  <c r="F67" i="46"/>
  <c r="M166" i="55"/>
  <c r="O455" i="55"/>
  <c r="O338" i="55" s="1"/>
  <c r="I150" i="55"/>
  <c r="J67" i="46"/>
  <c r="H67" i="49" s="1"/>
  <c r="M159" i="55"/>
  <c r="N50" i="55"/>
  <c r="N153" i="55" s="1"/>
  <c r="K153" i="55"/>
  <c r="J65" i="46"/>
  <c r="M155" i="55"/>
  <c r="M48" i="55"/>
  <c r="M151" i="55" s="1"/>
  <c r="J151" i="55"/>
  <c r="I44" i="62" s="1"/>
  <c r="M149" i="55"/>
  <c r="I149" i="55"/>
  <c r="M150" i="55"/>
  <c r="I33" i="62"/>
  <c r="I66" i="46"/>
  <c r="G66" i="49" s="1"/>
  <c r="M146" i="55"/>
  <c r="M71" i="55"/>
  <c r="M143" i="55" s="1"/>
  <c r="J143" i="55"/>
  <c r="I36" i="62" s="1"/>
  <c r="N45" i="55"/>
  <c r="N140" i="55" s="1"/>
  <c r="K140" i="55"/>
  <c r="M139" i="55"/>
  <c r="N47" i="55"/>
  <c r="N142" i="55" s="1"/>
  <c r="K142" i="55"/>
  <c r="K136" i="55"/>
  <c r="L134" i="55"/>
  <c r="N119" i="55"/>
  <c r="O441" i="55"/>
  <c r="O328" i="55" s="1"/>
  <c r="I134" i="55"/>
  <c r="M137" i="55"/>
  <c r="M133" i="55"/>
  <c r="M135" i="55"/>
  <c r="J134" i="55"/>
  <c r="I27" i="62" s="1"/>
  <c r="M136" i="55"/>
  <c r="I132" i="55"/>
  <c r="E67" i="46"/>
  <c r="E67" i="49" s="1"/>
  <c r="K501" i="55"/>
  <c r="N501" i="55" s="1"/>
  <c r="M44" i="55"/>
  <c r="I64" i="46" s="1"/>
  <c r="U64" i="50" s="1"/>
  <c r="I45" i="62"/>
  <c r="O469" i="55"/>
  <c r="O336" i="55" s="1"/>
  <c r="O442" i="55"/>
  <c r="O324" i="55" s="1"/>
  <c r="O445" i="55"/>
  <c r="O327" i="55" s="1"/>
  <c r="N475" i="55"/>
  <c r="K354" i="55"/>
  <c r="K58" i="55" s="1"/>
  <c r="N530" i="55"/>
  <c r="K409" i="55"/>
  <c r="N476" i="55"/>
  <c r="K355" i="55"/>
  <c r="K59" i="55" s="1"/>
  <c r="N500" i="55"/>
  <c r="K385" i="55"/>
  <c r="K99" i="55" s="1"/>
  <c r="N486" i="55"/>
  <c r="K364" i="55"/>
  <c r="K73" i="55" s="1"/>
  <c r="K154" i="55" s="1"/>
  <c r="O443" i="55"/>
  <c r="O325" i="55" s="1"/>
  <c r="N484" i="55"/>
  <c r="K362" i="55"/>
  <c r="K71" i="55" s="1"/>
  <c r="K143" i="55" s="1"/>
  <c r="N531" i="55"/>
  <c r="K410" i="55"/>
  <c r="O521" i="55"/>
  <c r="O399" i="55" s="1"/>
  <c r="L399" i="55"/>
  <c r="O444" i="55"/>
  <c r="O326" i="55" s="1"/>
  <c r="N465" i="55"/>
  <c r="K345" i="55"/>
  <c r="K49" i="55" s="1"/>
  <c r="N526" i="55"/>
  <c r="K405" i="55"/>
  <c r="K124" i="55" s="1"/>
  <c r="N478" i="55"/>
  <c r="K359" i="55"/>
  <c r="K68" i="55" s="1"/>
  <c r="N68" i="55" s="1"/>
  <c r="G47" i="46" s="1"/>
  <c r="O461" i="55"/>
  <c r="O341" i="55" s="1"/>
  <c r="N341" i="55"/>
  <c r="N451" i="55"/>
  <c r="K330" i="55"/>
  <c r="K29" i="55" s="1"/>
  <c r="K175" i="55" s="1"/>
  <c r="N472" i="55"/>
  <c r="K351" i="55"/>
  <c r="K55" i="55" s="1"/>
  <c r="N518" i="55"/>
  <c r="K396" i="55"/>
  <c r="K115" i="55" s="1"/>
  <c r="N490" i="55"/>
  <c r="K369" i="55"/>
  <c r="K78" i="55" s="1"/>
  <c r="K179" i="55" s="1"/>
  <c r="K491" i="55"/>
  <c r="N480" i="55"/>
  <c r="K361" i="55"/>
  <c r="K70" i="55" s="1"/>
  <c r="N70" i="55" s="1"/>
  <c r="O470" i="55"/>
  <c r="O337" i="55" s="1"/>
  <c r="N337" i="55"/>
  <c r="O460" i="55"/>
  <c r="O349" i="55" s="1"/>
  <c r="N349" i="55"/>
  <c r="N446" i="55"/>
  <c r="K319" i="55"/>
  <c r="K18" i="55" s="1"/>
  <c r="K160" i="55" s="1"/>
  <c r="N464" i="55"/>
  <c r="K344" i="55"/>
  <c r="K48" i="55" s="1"/>
  <c r="N520" i="55"/>
  <c r="K398" i="55"/>
  <c r="K117" i="55" s="1"/>
  <c r="K158" i="55" s="1"/>
  <c r="O440" i="55"/>
  <c r="O323" i="55" s="1"/>
  <c r="N493" i="55"/>
  <c r="K372" i="55"/>
  <c r="K81" i="55" s="1"/>
  <c r="O477" i="55"/>
  <c r="O356" i="55" s="1"/>
  <c r="N356" i="55"/>
  <c r="N495" i="55"/>
  <c r="K376" i="55"/>
  <c r="K90" i="55" s="1"/>
  <c r="N90" i="55" s="1"/>
  <c r="N509" i="55"/>
  <c r="K388" i="55"/>
  <c r="K102" i="55" s="1"/>
  <c r="N523" i="55"/>
  <c r="K392" i="55"/>
  <c r="K111" i="55" s="1"/>
  <c r="O468" i="55"/>
  <c r="O335" i="55" s="1"/>
  <c r="N335" i="55"/>
  <c r="O522" i="55"/>
  <c r="O391" i="55" s="1"/>
  <c r="N391" i="55"/>
  <c r="N452" i="55"/>
  <c r="K331" i="55"/>
  <c r="K30" i="55" s="1"/>
  <c r="K185" i="55" s="1"/>
  <c r="N517" i="55"/>
  <c r="K402" i="55"/>
  <c r="K121" i="55" s="1"/>
  <c r="N506" i="55"/>
  <c r="K375" i="55"/>
  <c r="K89" i="55" s="1"/>
  <c r="N511" i="55"/>
  <c r="K390" i="55"/>
  <c r="K109" i="55" s="1"/>
  <c r="N494" i="55"/>
  <c r="K373" i="55"/>
  <c r="K87" i="55" s="1"/>
  <c r="W20" i="54" s="1"/>
  <c r="N514" i="55"/>
  <c r="K395" i="55"/>
  <c r="K114" i="55" s="1"/>
  <c r="N498" i="55"/>
  <c r="K383" i="55"/>
  <c r="K97" i="55" s="1"/>
  <c r="O454" i="55"/>
  <c r="O333" i="55" s="1"/>
  <c r="N510" i="55"/>
  <c r="K389" i="55"/>
  <c r="K103" i="55" s="1"/>
  <c r="O448" i="55"/>
  <c r="O321" i="55" s="1"/>
  <c r="N321" i="55"/>
  <c r="O492" i="55"/>
  <c r="O371" i="55" s="1"/>
  <c r="N371" i="55"/>
  <c r="N453" i="55"/>
  <c r="K332" i="55"/>
  <c r="K31" i="55" s="1"/>
  <c r="K186" i="55" s="1"/>
  <c r="N519" i="55"/>
  <c r="N397" i="55" s="1"/>
  <c r="K397" i="55"/>
  <c r="K116" i="55" s="1"/>
  <c r="K148" i="55" s="1"/>
  <c r="N505" i="55"/>
  <c r="K374" i="55"/>
  <c r="K88" i="55" s="1"/>
  <c r="N503" i="55"/>
  <c r="K381" i="55"/>
  <c r="K95" i="55" s="1"/>
  <c r="K156" i="55" s="1"/>
  <c r="N483" i="55"/>
  <c r="K368" i="55"/>
  <c r="K77" i="55" s="1"/>
  <c r="N524" i="55"/>
  <c r="K403" i="55"/>
  <c r="K122" i="55" s="1"/>
  <c r="K183" i="55" s="1"/>
  <c r="N527" i="55"/>
  <c r="K406" i="55"/>
  <c r="K125" i="55" s="1"/>
  <c r="O471" i="55"/>
  <c r="O350" i="55" s="1"/>
  <c r="N350" i="55"/>
  <c r="O467" i="55"/>
  <c r="O334" i="55" s="1"/>
  <c r="N334" i="55"/>
  <c r="O515" i="55"/>
  <c r="O400" i="55" s="1"/>
  <c r="N400" i="55"/>
  <c r="N449" i="55"/>
  <c r="K322" i="55"/>
  <c r="K21" i="55" s="1"/>
  <c r="K168" i="55" s="1"/>
  <c r="N481" i="55"/>
  <c r="K366" i="55"/>
  <c r="K75" i="55" s="1"/>
  <c r="N462" i="55"/>
  <c r="K342" i="55"/>
  <c r="K46" i="55" s="1"/>
  <c r="N507" i="55"/>
  <c r="K386" i="55"/>
  <c r="K100" i="55" s="1"/>
  <c r="K181" i="55" s="1"/>
  <c r="N497" i="55"/>
  <c r="K378" i="55"/>
  <c r="K92" i="55" s="1"/>
  <c r="N92" i="55" s="1"/>
  <c r="N488" i="55"/>
  <c r="K357" i="55"/>
  <c r="K66" i="55" s="1"/>
  <c r="K164" i="55" s="1"/>
  <c r="O447" i="55"/>
  <c r="O320" i="55" s="1"/>
  <c r="N320" i="55"/>
  <c r="O474" i="55"/>
  <c r="O353" i="55" s="1"/>
  <c r="N353" i="55"/>
  <c r="N450" i="55"/>
  <c r="K329" i="55"/>
  <c r="K28" i="55" s="1"/>
  <c r="K174" i="55" s="1"/>
  <c r="N528" i="55"/>
  <c r="K407" i="55"/>
  <c r="N512" i="55"/>
  <c r="K393" i="55"/>
  <c r="K112" i="55" s="1"/>
  <c r="N112" i="55" s="1"/>
  <c r="O516" i="55"/>
  <c r="O401" i="55" s="1"/>
  <c r="N401" i="55"/>
  <c r="N529" i="55"/>
  <c r="K408" i="55"/>
  <c r="N489" i="55"/>
  <c r="K358" i="55"/>
  <c r="K67" i="55" s="1"/>
  <c r="K171" i="55" s="1"/>
  <c r="O458" i="55"/>
  <c r="O347" i="55" s="1"/>
  <c r="N347" i="55"/>
  <c r="M14" i="62"/>
  <c r="N684" i="55"/>
  <c r="K525" i="55"/>
  <c r="N667" i="55"/>
  <c r="K508" i="55"/>
  <c r="N632" i="55"/>
  <c r="K473" i="55"/>
  <c r="L119" i="55"/>
  <c r="L519" i="55"/>
  <c r="N91" i="55"/>
  <c r="G48" i="46" s="1"/>
  <c r="L97" i="55"/>
  <c r="L75" i="55"/>
  <c r="I425" i="1"/>
  <c r="I423" i="1"/>
  <c r="L95" i="55"/>
  <c r="L156" i="55" s="1"/>
  <c r="L73" i="55"/>
  <c r="L154" i="55" s="1"/>
  <c r="X24" i="54"/>
  <c r="X57" i="54" s="1"/>
  <c r="X63" i="54" s="1"/>
  <c r="N513" i="55"/>
  <c r="N504" i="55"/>
  <c r="N502" i="55"/>
  <c r="N499" i="55"/>
  <c r="N496" i="55"/>
  <c r="N487" i="55"/>
  <c r="N482" i="55"/>
  <c r="N466" i="55"/>
  <c r="N463" i="55"/>
  <c r="N459" i="55"/>
  <c r="X29" i="54"/>
  <c r="X58" i="54" s="1"/>
  <c r="X64" i="54" s="1"/>
  <c r="K213" i="55"/>
  <c r="N213" i="55" s="1"/>
  <c r="E52" i="46" s="1"/>
  <c r="S52" i="50" s="1"/>
  <c r="N615" i="55"/>
  <c r="K456" i="55"/>
  <c r="K339" i="55" s="1"/>
  <c r="K43" i="55" s="1"/>
  <c r="N43" i="55" s="1"/>
  <c r="N616" i="55"/>
  <c r="K457" i="55"/>
  <c r="N644" i="55"/>
  <c r="K485" i="55"/>
  <c r="K363" i="55" s="1"/>
  <c r="K72" i="55" s="1"/>
  <c r="N638" i="55"/>
  <c r="K479" i="55"/>
  <c r="K360" i="55" s="1"/>
  <c r="K69" i="55" s="1"/>
  <c r="J60" i="55"/>
  <c r="W49" i="54" s="1"/>
  <c r="AD313" i="1"/>
  <c r="AG313" i="1" s="1"/>
  <c r="AJ313" i="1" s="1"/>
  <c r="AE313" i="1"/>
  <c r="AH313" i="1" s="1"/>
  <c r="AK313" i="1" s="1"/>
  <c r="M72" i="55"/>
  <c r="X16" i="54"/>
  <c r="J82" i="55"/>
  <c r="W50" i="54" s="1"/>
  <c r="X10" i="54"/>
  <c r="AB313" i="1"/>
  <c r="AF354" i="1"/>
  <c r="AI354" i="1" s="1"/>
  <c r="AG354" i="1"/>
  <c r="AJ354" i="1" s="1"/>
  <c r="AH354" i="1"/>
  <c r="AK354" i="1" s="1"/>
  <c r="AH335" i="1"/>
  <c r="AK335" i="1" s="1"/>
  <c r="AG335" i="1"/>
  <c r="AJ335" i="1" s="1"/>
  <c r="AF335" i="1"/>
  <c r="AI335" i="1" s="1"/>
  <c r="AF313" i="1"/>
  <c r="AI313" i="1" s="1"/>
  <c r="N243" i="55"/>
  <c r="M243" i="55"/>
  <c r="L243" i="55"/>
  <c r="M166" i="65"/>
  <c r="I241" i="55"/>
  <c r="O166" i="65"/>
  <c r="K241" i="55"/>
  <c r="K154" i="65"/>
  <c r="G229" i="55"/>
  <c r="O155" i="65"/>
  <c r="K230" i="55"/>
  <c r="L159" i="65"/>
  <c r="H234" i="55"/>
  <c r="M162" i="65"/>
  <c r="I237" i="55"/>
  <c r="O158" i="65"/>
  <c r="K233" i="55"/>
  <c r="O159" i="65"/>
  <c r="K234" i="55"/>
  <c r="L160" i="65"/>
  <c r="H235" i="55"/>
  <c r="L169" i="65"/>
  <c r="H245" i="55"/>
  <c r="K168" i="65"/>
  <c r="G244" i="55"/>
  <c r="M168" i="65"/>
  <c r="I244" i="55"/>
  <c r="O156" i="65"/>
  <c r="K231" i="55"/>
  <c r="L161" i="65"/>
  <c r="H236" i="55"/>
  <c r="L170" i="65"/>
  <c r="H246" i="55"/>
  <c r="K166" i="65"/>
  <c r="G241" i="55"/>
  <c r="M171" i="65"/>
  <c r="I247" i="55"/>
  <c r="N166" i="65"/>
  <c r="J241" i="55"/>
  <c r="M169" i="65"/>
  <c r="I245" i="55"/>
  <c r="O170" i="65"/>
  <c r="K246" i="55"/>
  <c r="L171" i="65"/>
  <c r="H247" i="55"/>
  <c r="M163" i="65"/>
  <c r="I238" i="55"/>
  <c r="K162" i="65"/>
  <c r="G237" i="55"/>
  <c r="L155" i="65"/>
  <c r="H230" i="55"/>
  <c r="K167" i="65"/>
  <c r="G242" i="55"/>
  <c r="N161" i="65"/>
  <c r="J236" i="55"/>
  <c r="N163" i="65"/>
  <c r="J238" i="55"/>
  <c r="O168" i="65"/>
  <c r="K244" i="55"/>
  <c r="K157" i="65"/>
  <c r="G232" i="55"/>
  <c r="M165" i="65"/>
  <c r="I240" i="55"/>
  <c r="K171" i="65"/>
  <c r="G247" i="55"/>
  <c r="K169" i="65"/>
  <c r="G245" i="55"/>
  <c r="O169" i="65"/>
  <c r="K245" i="55"/>
  <c r="N160" i="65"/>
  <c r="J235" i="55"/>
  <c r="M159" i="65"/>
  <c r="I234" i="55"/>
  <c r="K164" i="65"/>
  <c r="G239" i="55"/>
  <c r="N156" i="65"/>
  <c r="J231" i="55"/>
  <c r="L164" i="65"/>
  <c r="H239" i="55"/>
  <c r="N169" i="65"/>
  <c r="J245" i="55"/>
  <c r="L163" i="65"/>
  <c r="H238" i="55"/>
  <c r="M155" i="65"/>
  <c r="I230" i="55"/>
  <c r="M156" i="65"/>
  <c r="I231" i="55"/>
  <c r="M154" i="65"/>
  <c r="I229" i="55"/>
  <c r="L168" i="65"/>
  <c r="H244" i="55"/>
  <c r="K161" i="65"/>
  <c r="G236" i="55"/>
  <c r="N168" i="65"/>
  <c r="J244" i="55"/>
  <c r="O164" i="65"/>
  <c r="K239" i="55"/>
  <c r="O167" i="65"/>
  <c r="K242" i="55"/>
  <c r="M161" i="65"/>
  <c r="I236" i="55"/>
  <c r="O162" i="65"/>
  <c r="K237" i="55"/>
  <c r="N164" i="65"/>
  <c r="J239" i="55"/>
  <c r="M164" i="65"/>
  <c r="I239" i="55"/>
  <c r="K155" i="65"/>
  <c r="G230" i="55"/>
  <c r="K163" i="65"/>
  <c r="G238" i="55"/>
  <c r="N155" i="65"/>
  <c r="J230" i="55"/>
  <c r="M167" i="65"/>
  <c r="I242" i="55"/>
  <c r="O160" i="65"/>
  <c r="K235" i="55"/>
  <c r="M160" i="65"/>
  <c r="I235" i="55"/>
  <c r="O165" i="65"/>
  <c r="K240" i="55"/>
  <c r="N240" i="55" s="1"/>
  <c r="K170" i="65"/>
  <c r="G246" i="55"/>
  <c r="O171" i="65"/>
  <c r="K247" i="55"/>
  <c r="O161" i="65"/>
  <c r="K236" i="55"/>
  <c r="L156" i="65"/>
  <c r="H231" i="55"/>
  <c r="L154" i="65"/>
  <c r="H229" i="55"/>
  <c r="N158" i="65"/>
  <c r="J233" i="55"/>
  <c r="M233" i="55" s="1"/>
  <c r="N165" i="65"/>
  <c r="J240" i="55"/>
  <c r="N154" i="65"/>
  <c r="J229" i="55"/>
  <c r="M158" i="65"/>
  <c r="I233" i="55"/>
  <c r="K156" i="65"/>
  <c r="G231" i="55"/>
  <c r="L162" i="65"/>
  <c r="H237" i="55"/>
  <c r="M157" i="65"/>
  <c r="I232" i="55"/>
  <c r="N159" i="65"/>
  <c r="J234" i="55"/>
  <c r="L167" i="65"/>
  <c r="H242" i="55"/>
  <c r="M170" i="65"/>
  <c r="I246" i="55"/>
  <c r="O163" i="65"/>
  <c r="K238" i="55"/>
  <c r="N162" i="65"/>
  <c r="J237" i="55"/>
  <c r="K159" i="65"/>
  <c r="G234" i="55"/>
  <c r="K165" i="65"/>
  <c r="G240" i="55"/>
  <c r="N171" i="65"/>
  <c r="J247" i="55"/>
  <c r="L166" i="65"/>
  <c r="H241" i="55"/>
  <c r="L158" i="65"/>
  <c r="H233" i="55"/>
  <c r="K160" i="65"/>
  <c r="G235" i="55"/>
  <c r="O157" i="65"/>
  <c r="K232" i="55"/>
  <c r="N232" i="55" s="1"/>
  <c r="N157" i="65"/>
  <c r="J232" i="55"/>
  <c r="N167" i="65"/>
  <c r="J242" i="55"/>
  <c r="N170" i="65"/>
  <c r="J246" i="55"/>
  <c r="O154" i="65"/>
  <c r="K229" i="55"/>
  <c r="J164" i="65"/>
  <c r="F239" i="55"/>
  <c r="J162" i="65"/>
  <c r="F237" i="55"/>
  <c r="J163" i="65"/>
  <c r="F238" i="55"/>
  <c r="J168" i="65"/>
  <c r="F244" i="55"/>
  <c r="J169" i="65"/>
  <c r="F245" i="55"/>
  <c r="J158" i="65"/>
  <c r="F233" i="55"/>
  <c r="J159" i="65"/>
  <c r="F234" i="55"/>
  <c r="J160" i="65"/>
  <c r="F235" i="55"/>
  <c r="J156" i="65"/>
  <c r="F231" i="55"/>
  <c r="J161" i="65"/>
  <c r="F236" i="55"/>
  <c r="J167" i="65"/>
  <c r="F242" i="55"/>
  <c r="J171" i="65"/>
  <c r="F247" i="55"/>
  <c r="J166" i="65"/>
  <c r="F241" i="55"/>
  <c r="J170" i="65"/>
  <c r="F246" i="55"/>
  <c r="J165" i="65"/>
  <c r="F240" i="55"/>
  <c r="J155" i="65"/>
  <c r="F230" i="55"/>
  <c r="J157" i="65"/>
  <c r="F232" i="55"/>
  <c r="J154" i="65"/>
  <c r="F229" i="55"/>
  <c r="AH169" i="63"/>
  <c r="AG169" i="63"/>
  <c r="AF169" i="63"/>
  <c r="X169" i="63"/>
  <c r="M126" i="55"/>
  <c r="M104" i="55"/>
  <c r="L28" i="55"/>
  <c r="L174" i="55" s="1"/>
  <c r="L77" i="55"/>
  <c r="L121" i="55"/>
  <c r="L27" i="55"/>
  <c r="L122" i="55"/>
  <c r="L183" i="55" s="1"/>
  <c r="L29" i="55"/>
  <c r="L175" i="55" s="1"/>
  <c r="L76" i="55"/>
  <c r="L30" i="55"/>
  <c r="L185" i="55" s="1"/>
  <c r="L78" i="55"/>
  <c r="L179" i="55" s="1"/>
  <c r="L120" i="55"/>
  <c r="L26" i="55"/>
  <c r="L25" i="55"/>
  <c r="L98" i="55"/>
  <c r="L24" i="55"/>
  <c r="L99" i="55"/>
  <c r="L31" i="55"/>
  <c r="L186" i="55" s="1"/>
  <c r="L100" i="55"/>
  <c r="L181" i="55" s="1"/>
  <c r="H405" i="56"/>
  <c r="T36" i="58"/>
  <c r="T39" i="58" s="1"/>
  <c r="M93" i="58"/>
  <c r="T93" i="58" s="1"/>
  <c r="P31" i="58"/>
  <c r="G31" i="58" s="1"/>
  <c r="N605" i="55"/>
  <c r="N611" i="55"/>
  <c r="N612" i="55"/>
  <c r="N608" i="55"/>
  <c r="N609" i="55"/>
  <c r="N610" i="55"/>
  <c r="G37" i="39"/>
  <c r="G41" i="39" s="1"/>
  <c r="M25" i="58"/>
  <c r="AI693" i="55"/>
  <c r="J693" i="55" s="1"/>
  <c r="J534" i="55" s="1"/>
  <c r="J413" i="55" s="1"/>
  <c r="AF147" i="63"/>
  <c r="AD699" i="55"/>
  <c r="G699" i="55" s="1"/>
  <c r="AE695" i="55"/>
  <c r="H695" i="55" s="1"/>
  <c r="AC699" i="55"/>
  <c r="F699" i="55" s="1"/>
  <c r="AH147" i="63"/>
  <c r="AJ694" i="55"/>
  <c r="K694" i="55" s="1"/>
  <c r="K535" i="55" s="1"/>
  <c r="K414" i="55" s="1"/>
  <c r="AG147" i="63"/>
  <c r="AH142" i="63"/>
  <c r="R142" i="65" s="1"/>
  <c r="AD695" i="55"/>
  <c r="AT695" i="55" s="1"/>
  <c r="AJ692" i="55"/>
  <c r="K692" i="55" s="1"/>
  <c r="K533" i="55" s="1"/>
  <c r="K412" i="55" s="1"/>
  <c r="AF157" i="63"/>
  <c r="P156" i="65" s="1"/>
  <c r="AJ695" i="55"/>
  <c r="K695" i="55" s="1"/>
  <c r="K536" i="55" s="1"/>
  <c r="K415" i="55" s="1"/>
  <c r="AI699" i="55"/>
  <c r="J699" i="55" s="1"/>
  <c r="J540" i="55" s="1"/>
  <c r="J419" i="55" s="1"/>
  <c r="AC694" i="55"/>
  <c r="F694" i="55" s="1"/>
  <c r="AJ691" i="55"/>
  <c r="K691" i="55" s="1"/>
  <c r="AG146" i="63"/>
  <c r="Q146" i="65" s="1"/>
  <c r="AG140" i="63"/>
  <c r="Q140" i="65" s="1"/>
  <c r="AD697" i="55"/>
  <c r="G697" i="55" s="1"/>
  <c r="AG159" i="63"/>
  <c r="Q158" i="65" s="1"/>
  <c r="AE696" i="55"/>
  <c r="AU696" i="55" s="1"/>
  <c r="AC693" i="55"/>
  <c r="F693" i="55" s="1"/>
  <c r="AC698" i="55"/>
  <c r="F698" i="55" s="1"/>
  <c r="AE693" i="55"/>
  <c r="H693" i="55" s="1"/>
  <c r="AF141" i="63"/>
  <c r="P141" i="65" s="1"/>
  <c r="AH141" i="63"/>
  <c r="R141" i="65" s="1"/>
  <c r="AH139" i="63"/>
  <c r="R139" i="65" s="1"/>
  <c r="AG163" i="63"/>
  <c r="Q162" i="65" s="1"/>
  <c r="AI691" i="55"/>
  <c r="J691" i="55" s="1"/>
  <c r="AE692" i="55"/>
  <c r="H692" i="55" s="1"/>
  <c r="AF158" i="63"/>
  <c r="P157" i="65" s="1"/>
  <c r="AG162" i="63"/>
  <c r="Q161" i="65" s="1"/>
  <c r="AH696" i="55"/>
  <c r="I696" i="55" s="1"/>
  <c r="I537" i="55" s="1"/>
  <c r="I416" i="55" s="1"/>
  <c r="AF160" i="63"/>
  <c r="P159" i="65" s="1"/>
  <c r="AF166" i="63"/>
  <c r="P165" i="65" s="1"/>
  <c r="X140" i="63"/>
  <c r="G140" i="65" s="1"/>
  <c r="X158" i="63"/>
  <c r="G157" i="65" s="1"/>
  <c r="AI694" i="55"/>
  <c r="J694" i="55" s="1"/>
  <c r="J535" i="55" s="1"/>
  <c r="J414" i="55" s="1"/>
  <c r="AH694" i="55"/>
  <c r="I694" i="55" s="1"/>
  <c r="I535" i="55" s="1"/>
  <c r="I414" i="55" s="1"/>
  <c r="AG158" i="63"/>
  <c r="Q157" i="65" s="1"/>
  <c r="AD698" i="55"/>
  <c r="G698" i="55" s="1"/>
  <c r="AD693" i="55"/>
  <c r="AF155" i="63"/>
  <c r="P154" i="65" s="1"/>
  <c r="AH162" i="63"/>
  <c r="R161" i="65" s="1"/>
  <c r="AH170" i="63"/>
  <c r="R168" i="65" s="1"/>
  <c r="AC697" i="55"/>
  <c r="F697" i="55" s="1"/>
  <c r="AF173" i="63"/>
  <c r="P171" i="65" s="1"/>
  <c r="AC691" i="55"/>
  <c r="AS691" i="55" s="1"/>
  <c r="AH698" i="55"/>
  <c r="I698" i="55" s="1"/>
  <c r="I539" i="55" s="1"/>
  <c r="I418" i="55" s="1"/>
  <c r="AG145" i="63"/>
  <c r="Q145" i="65" s="1"/>
  <c r="AH695" i="55"/>
  <c r="I695" i="55" s="1"/>
  <c r="I536" i="55" s="1"/>
  <c r="I415" i="55" s="1"/>
  <c r="AI696" i="55"/>
  <c r="J696" i="55" s="1"/>
  <c r="J537" i="55" s="1"/>
  <c r="J416" i="55" s="1"/>
  <c r="AF164" i="63"/>
  <c r="P163" i="65" s="1"/>
  <c r="X164" i="63"/>
  <c r="G163" i="65" s="1"/>
  <c r="L157" i="65"/>
  <c r="AH140" i="63"/>
  <c r="R140" i="65" s="1"/>
  <c r="AH158" i="63"/>
  <c r="R157" i="65" s="1"/>
  <c r="AC696" i="55"/>
  <c r="AS696" i="55" s="1"/>
  <c r="AH173" i="63"/>
  <c r="R171" i="65" s="1"/>
  <c r="AH161" i="63"/>
  <c r="R160" i="65" s="1"/>
  <c r="AH172" i="63"/>
  <c r="R170" i="65" s="1"/>
  <c r="AJ698" i="55"/>
  <c r="K698" i="55" s="1"/>
  <c r="K539" i="55" s="1"/>
  <c r="K418" i="55" s="1"/>
  <c r="AJ693" i="55"/>
  <c r="K693" i="55" s="1"/>
  <c r="K534" i="55" s="1"/>
  <c r="K413" i="55" s="1"/>
  <c r="AF143" i="63"/>
  <c r="P143" i="65" s="1"/>
  <c r="X161" i="63"/>
  <c r="G160" i="65" s="1"/>
  <c r="AH168" i="63"/>
  <c r="R167" i="65" s="1"/>
  <c r="AH692" i="55"/>
  <c r="I692" i="55" s="1"/>
  <c r="I533" i="55" s="1"/>
  <c r="I412" i="55" s="1"/>
  <c r="AF163" i="63"/>
  <c r="P162" i="65" s="1"/>
  <c r="O145" i="65"/>
  <c r="AD691" i="55"/>
  <c r="G691" i="55" s="1"/>
  <c r="X172" i="63"/>
  <c r="G170" i="65" s="1"/>
  <c r="AG161" i="63"/>
  <c r="Q160" i="65" s="1"/>
  <c r="AH157" i="63"/>
  <c r="R156" i="65" s="1"/>
  <c r="AF161" i="63"/>
  <c r="P160" i="65" s="1"/>
  <c r="AJ696" i="55"/>
  <c r="K696" i="55" s="1"/>
  <c r="K537" i="55" s="1"/>
  <c r="K416" i="55" s="1"/>
  <c r="AF168" i="63"/>
  <c r="P167" i="65" s="1"/>
  <c r="AE699" i="55"/>
  <c r="AU699" i="55" s="1"/>
  <c r="O146" i="65"/>
  <c r="AH143" i="63"/>
  <c r="R143" i="65" s="1"/>
  <c r="X146" i="63"/>
  <c r="G146" i="65" s="1"/>
  <c r="AF170" i="63"/>
  <c r="P168" i="65" s="1"/>
  <c r="AH164" i="63"/>
  <c r="R163" i="65" s="1"/>
  <c r="O143" i="65"/>
  <c r="AD694" i="55"/>
  <c r="G694" i="55" s="1"/>
  <c r="AI698" i="55"/>
  <c r="AI695" i="55"/>
  <c r="J695" i="55" s="1"/>
  <c r="J536" i="55" s="1"/>
  <c r="J415" i="55" s="1"/>
  <c r="AF144" i="63"/>
  <c r="P144" i="65" s="1"/>
  <c r="AF165" i="63"/>
  <c r="P164" i="65" s="1"/>
  <c r="AG160" i="63"/>
  <c r="Q159" i="65" s="1"/>
  <c r="AJ697" i="55"/>
  <c r="AG141" i="63"/>
  <c r="Q141" i="65" s="1"/>
  <c r="X165" i="63"/>
  <c r="G164" i="65" s="1"/>
  <c r="AH156" i="63"/>
  <c r="R155" i="65" s="1"/>
  <c r="X143" i="63"/>
  <c r="G143" i="65" s="1"/>
  <c r="AC692" i="55"/>
  <c r="F692" i="55" s="1"/>
  <c r="AH699" i="55"/>
  <c r="AF156" i="63"/>
  <c r="P155" i="65" s="1"/>
  <c r="AE697" i="55"/>
  <c r="X144" i="63"/>
  <c r="G144" i="65" s="1"/>
  <c r="AH144" i="63"/>
  <c r="R144" i="65" s="1"/>
  <c r="AG172" i="63"/>
  <c r="Q170" i="65" s="1"/>
  <c r="X141" i="63"/>
  <c r="G141" i="65" s="1"/>
  <c r="AF162" i="63"/>
  <c r="P161" i="65" s="1"/>
  <c r="AH165" i="63"/>
  <c r="R164" i="65" s="1"/>
  <c r="AD696" i="55"/>
  <c r="G696" i="55" s="1"/>
  <c r="AE148" i="63"/>
  <c r="AF145" i="63"/>
  <c r="P145" i="65" s="1"/>
  <c r="AH155" i="63"/>
  <c r="R154" i="65" s="1"/>
  <c r="AH146" i="63"/>
  <c r="R146" i="65" s="1"/>
  <c r="AG157" i="63"/>
  <c r="Q156" i="65" s="1"/>
  <c r="AH697" i="55"/>
  <c r="I697" i="55" s="1"/>
  <c r="I538" i="55" s="1"/>
  <c r="I417" i="55" s="1"/>
  <c r="AF139" i="63"/>
  <c r="P139" i="65" s="1"/>
  <c r="AG164" i="63"/>
  <c r="Q163" i="65" s="1"/>
  <c r="AG142" i="63"/>
  <c r="Q142" i="65" s="1"/>
  <c r="AE694" i="55"/>
  <c r="H694" i="55" s="1"/>
  <c r="AI692" i="55"/>
  <c r="AF146" i="63"/>
  <c r="P146" i="65" s="1"/>
  <c r="X157" i="63"/>
  <c r="G156" i="65" s="1"/>
  <c r="AG143" i="63"/>
  <c r="Q143" i="65" s="1"/>
  <c r="AG138" i="63"/>
  <c r="Q138" i="65" s="1"/>
  <c r="K148" i="65"/>
  <c r="AG166" i="63"/>
  <c r="Q165" i="65" s="1"/>
  <c r="L148" i="65"/>
  <c r="M148" i="65"/>
  <c r="AH166" i="63"/>
  <c r="R165" i="65" s="1"/>
  <c r="X162" i="63"/>
  <c r="G161" i="65" s="1"/>
  <c r="AG167" i="63"/>
  <c r="Q166" i="65" s="1"/>
  <c r="AC148" i="63"/>
  <c r="AH693" i="55"/>
  <c r="X160" i="63"/>
  <c r="G159" i="65" s="1"/>
  <c r="AG168" i="63"/>
  <c r="Q167" i="65" s="1"/>
  <c r="N148" i="65"/>
  <c r="J148" i="65"/>
  <c r="X166" i="63"/>
  <c r="G165" i="65" s="1"/>
  <c r="AG156" i="63"/>
  <c r="Q155" i="65" s="1"/>
  <c r="L165" i="65"/>
  <c r="AH159" i="63"/>
  <c r="R158" i="65" s="1"/>
  <c r="X156" i="63"/>
  <c r="G155" i="65" s="1"/>
  <c r="AF140" i="63"/>
  <c r="P140" i="65" s="1"/>
  <c r="K158" i="65"/>
  <c r="X159" i="63"/>
  <c r="G158" i="65" s="1"/>
  <c r="X163" i="63"/>
  <c r="G162" i="65" s="1"/>
  <c r="AF159" i="63"/>
  <c r="P158" i="65" s="1"/>
  <c r="X173" i="63"/>
  <c r="G171" i="65" s="1"/>
  <c r="AD175" i="63"/>
  <c r="N173" i="65" s="1"/>
  <c r="AG155" i="63"/>
  <c r="Q154" i="65" s="1"/>
  <c r="AH691" i="55"/>
  <c r="I691" i="55" s="1"/>
  <c r="AD148" i="63"/>
  <c r="AC175" i="63"/>
  <c r="M173" i="65" s="1"/>
  <c r="X168" i="63"/>
  <c r="G167" i="65" s="1"/>
  <c r="X170" i="63"/>
  <c r="G168" i="65" s="1"/>
  <c r="AD692" i="55"/>
  <c r="G692" i="55" s="1"/>
  <c r="AE691" i="55"/>
  <c r="AU691" i="55" s="1"/>
  <c r="AB175" i="63"/>
  <c r="L173" i="65" s="1"/>
  <c r="AG171" i="63"/>
  <c r="Q169" i="65" s="1"/>
  <c r="AB148" i="63"/>
  <c r="Z175" i="63"/>
  <c r="J173" i="65" s="1"/>
  <c r="AF171" i="63"/>
  <c r="P169" i="65" s="1"/>
  <c r="X171" i="63"/>
  <c r="G169" i="65" s="1"/>
  <c r="AH171" i="63"/>
  <c r="R169" i="65" s="1"/>
  <c r="X145" i="63"/>
  <c r="G145" i="65" s="1"/>
  <c r="Z148" i="63"/>
  <c r="AA148" i="63"/>
  <c r="AE175" i="63"/>
  <c r="O173" i="65" s="1"/>
  <c r="AH145" i="63"/>
  <c r="R145" i="65" s="1"/>
  <c r="AG139" i="63"/>
  <c r="Q139" i="65" s="1"/>
  <c r="X155" i="63"/>
  <c r="G154" i="65" s="1"/>
  <c r="X139" i="63"/>
  <c r="G139" i="65" s="1"/>
  <c r="X138" i="63"/>
  <c r="G138" i="65" s="1"/>
  <c r="AH138" i="63"/>
  <c r="R138" i="65" s="1"/>
  <c r="AF172" i="63"/>
  <c r="P170" i="65" s="1"/>
  <c r="AG144" i="63"/>
  <c r="Q144" i="65" s="1"/>
  <c r="AG170" i="63"/>
  <c r="Q168" i="65" s="1"/>
  <c r="AI697" i="55"/>
  <c r="J697" i="55" s="1"/>
  <c r="J538" i="55" s="1"/>
  <c r="J417" i="55" s="1"/>
  <c r="AF138" i="63"/>
  <c r="P138" i="65" s="1"/>
  <c r="X167" i="63"/>
  <c r="G166" i="65" s="1"/>
  <c r="AH163" i="63"/>
  <c r="R162" i="65" s="1"/>
  <c r="AG165" i="63"/>
  <c r="Q164" i="65" s="1"/>
  <c r="X142" i="63"/>
  <c r="G142" i="65" s="1"/>
  <c r="AE698" i="55"/>
  <c r="H698" i="55" s="1"/>
  <c r="AH167" i="63"/>
  <c r="R166" i="65" s="1"/>
  <c r="AF167" i="63"/>
  <c r="P166" i="65" s="1"/>
  <c r="AF142" i="63"/>
  <c r="P142" i="65" s="1"/>
  <c r="AH160" i="63"/>
  <c r="R159" i="65" s="1"/>
  <c r="AC695" i="55"/>
  <c r="AG173" i="63"/>
  <c r="Q171" i="65" s="1"/>
  <c r="AA175" i="63"/>
  <c r="K173" i="65" s="1"/>
  <c r="M17" i="65"/>
  <c r="V220" i="58"/>
  <c r="V245" i="58"/>
  <c r="AK708" i="55"/>
  <c r="V225" i="58"/>
  <c r="V236" i="58"/>
  <c r="V212" i="58"/>
  <c r="S210" i="56"/>
  <c r="S203" i="56"/>
  <c r="S202" i="56"/>
  <c r="S221" i="56"/>
  <c r="V242" i="58"/>
  <c r="K28" i="46"/>
  <c r="L28" i="49" s="1"/>
  <c r="V233" i="58"/>
  <c r="R248" i="56"/>
  <c r="S286" i="56" s="1"/>
  <c r="P288" i="56" s="1"/>
  <c r="V240" i="58"/>
  <c r="V216" i="58"/>
  <c r="S201" i="56"/>
  <c r="V226" i="58"/>
  <c r="V215" i="58"/>
  <c r="V223" i="58"/>
  <c r="M27" i="53"/>
  <c r="V249" i="58"/>
  <c r="V239" i="58"/>
  <c r="S188" i="56"/>
  <c r="Q277" i="58"/>
  <c r="V332" i="58" s="1"/>
  <c r="V222" i="58"/>
  <c r="S117" i="19"/>
  <c r="V219" i="58"/>
  <c r="V231" i="58"/>
  <c r="V221" i="58"/>
  <c r="S223" i="56"/>
  <c r="V229" i="58"/>
  <c r="S194" i="56"/>
  <c r="M99" i="58"/>
  <c r="M131" i="58" s="1"/>
  <c r="M191" i="58" s="1"/>
  <c r="Z46" i="50"/>
  <c r="K93" i="46"/>
  <c r="L46" i="49"/>
  <c r="L84" i="49" s="1"/>
  <c r="L93" i="49" s="1"/>
  <c r="AI39" i="56"/>
  <c r="AL37" i="56"/>
  <c r="AL39" i="56" s="1"/>
  <c r="AI72" i="56"/>
  <c r="AL71" i="56"/>
  <c r="AL72" i="56" s="1"/>
  <c r="U69" i="58"/>
  <c r="Q69" i="58"/>
  <c r="H69" i="58" s="1"/>
  <c r="L85" i="58"/>
  <c r="S85" i="58" s="1"/>
  <c r="S21" i="58"/>
  <c r="L75" i="58"/>
  <c r="S68" i="58"/>
  <c r="P396" i="19"/>
  <c r="I398" i="19"/>
  <c r="I399" i="19"/>
  <c r="AK707" i="55"/>
  <c r="AD37" i="58"/>
  <c r="AM37" i="58" s="1"/>
  <c r="N94" i="58"/>
  <c r="U94" i="58" s="1"/>
  <c r="U37" i="58"/>
  <c r="S115" i="58"/>
  <c r="F115" i="58" s="1"/>
  <c r="F119" i="58" s="1"/>
  <c r="I119" i="58"/>
  <c r="S209" i="56"/>
  <c r="N80" i="58"/>
  <c r="N25" i="58"/>
  <c r="AB48" i="19"/>
  <c r="K78" i="56"/>
  <c r="R78" i="56" s="1"/>
  <c r="R18" i="56"/>
  <c r="L68" i="55"/>
  <c r="G29" i="46" s="1"/>
  <c r="H179" i="61"/>
  <c r="H178" i="61"/>
  <c r="E65" i="49"/>
  <c r="S65" i="50"/>
  <c r="K204" i="55"/>
  <c r="N204" i="55" s="1"/>
  <c r="E51" i="46" s="1"/>
  <c r="S222" i="56"/>
  <c r="AB37" i="58"/>
  <c r="L94" i="58"/>
  <c r="S94" i="58" s="1"/>
  <c r="S37" i="58"/>
  <c r="K95" i="56"/>
  <c r="R95" i="56" s="1"/>
  <c r="R24" i="56"/>
  <c r="V235" i="58"/>
  <c r="Y49" i="56"/>
  <c r="AH49" i="56" s="1"/>
  <c r="P49" i="56"/>
  <c r="AC39" i="58"/>
  <c r="AF37" i="58"/>
  <c r="AF39" i="58" s="1"/>
  <c r="N81" i="58"/>
  <c r="U18" i="58"/>
  <c r="Q18" i="58"/>
  <c r="H18" i="58" s="1"/>
  <c r="W15" i="54"/>
  <c r="N65" i="55"/>
  <c r="N82" i="58"/>
  <c r="Q19" i="58"/>
  <c r="H19" i="58" s="1"/>
  <c r="U19" i="58"/>
  <c r="P103" i="56"/>
  <c r="F106" i="56"/>
  <c r="L71" i="55"/>
  <c r="L143" i="55" s="1"/>
  <c r="L89" i="58"/>
  <c r="S89" i="58" s="1"/>
  <c r="S60" i="58"/>
  <c r="L63" i="58"/>
  <c r="S56" i="58"/>
  <c r="AL37" i="58"/>
  <c r="W9" i="54"/>
  <c r="N37" i="55"/>
  <c r="V224" i="58"/>
  <c r="AA37" i="56"/>
  <c r="K91" i="56"/>
  <c r="R91" i="56" s="1"/>
  <c r="R37" i="56"/>
  <c r="AA38" i="56"/>
  <c r="AJ38" i="56" s="1"/>
  <c r="AM38" i="56" s="1"/>
  <c r="R38" i="56"/>
  <c r="V211" i="58"/>
  <c r="I78" i="56"/>
  <c r="P78" i="56" s="1"/>
  <c r="P18" i="56"/>
  <c r="I405" i="56"/>
  <c r="P402" i="56"/>
  <c r="I404" i="56"/>
  <c r="K25" i="56"/>
  <c r="K77" i="56"/>
  <c r="K96" i="56" s="1"/>
  <c r="K126" i="56" s="1"/>
  <c r="K168" i="56" s="1"/>
  <c r="L90" i="55"/>
  <c r="O31" i="58"/>
  <c r="F31" i="58" s="1"/>
  <c r="S31" i="58"/>
  <c r="K83" i="56"/>
  <c r="R34" i="56"/>
  <c r="I95" i="56"/>
  <c r="P95" i="56" s="1"/>
  <c r="P24" i="56"/>
  <c r="AA49" i="56"/>
  <c r="AJ49" i="56" s="1"/>
  <c r="R49" i="56"/>
  <c r="P68" i="58"/>
  <c r="T75" i="58"/>
  <c r="D8" i="36"/>
  <c r="H43" i="36"/>
  <c r="D43" i="36" s="1"/>
  <c r="L113" i="55"/>
  <c r="X31" i="54"/>
  <c r="K31" i="54" s="1"/>
  <c r="M203" i="55"/>
  <c r="F69" i="46" s="1"/>
  <c r="G207" i="55"/>
  <c r="D18" i="38"/>
  <c r="F37" i="39"/>
  <c r="F41" i="39" s="1"/>
  <c r="I120" i="19"/>
  <c r="C18" i="38" s="1"/>
  <c r="C103" i="38" s="1"/>
  <c r="C110" i="38" s="1"/>
  <c r="C112" i="38" s="1"/>
  <c r="W66" i="66"/>
  <c r="C11" i="14"/>
  <c r="G91" i="19"/>
  <c r="G22" i="19"/>
  <c r="Q15" i="19"/>
  <c r="Q22" i="19" s="1"/>
  <c r="F6" i="36"/>
  <c r="F41" i="36" s="1"/>
  <c r="F45" i="36" s="1"/>
  <c r="L87" i="58"/>
  <c r="S35" i="58"/>
  <c r="S208" i="56"/>
  <c r="W94" i="19"/>
  <c r="AF94" i="19" s="1"/>
  <c r="P94" i="19"/>
  <c r="S216" i="56"/>
  <c r="AN33" i="19"/>
  <c r="AQ33" i="19" s="1"/>
  <c r="AB33" i="19"/>
  <c r="L81" i="58"/>
  <c r="O18" i="58"/>
  <c r="F18" i="58" s="1"/>
  <c r="S18" i="58"/>
  <c r="N96" i="58"/>
  <c r="U96" i="58" s="1"/>
  <c r="U61" i="58"/>
  <c r="Q57" i="58"/>
  <c r="H57" i="58" s="1"/>
  <c r="U57" i="58"/>
  <c r="S57" i="58"/>
  <c r="O57" i="58"/>
  <c r="F57" i="58" s="1"/>
  <c r="I92" i="56"/>
  <c r="P92" i="56" s="1"/>
  <c r="P48" i="56"/>
  <c r="I72" i="56"/>
  <c r="P66" i="56"/>
  <c r="P72" i="56" s="1"/>
  <c r="S72" i="56" s="1"/>
  <c r="V228" i="58"/>
  <c r="S66" i="50"/>
  <c r="E66" i="49"/>
  <c r="K110" i="58"/>
  <c r="U106" i="58"/>
  <c r="H106" i="58" s="1"/>
  <c r="H110" i="58" s="1"/>
  <c r="C99" i="37"/>
  <c r="C106" i="37" s="1"/>
  <c r="C108" i="37" s="1"/>
  <c r="H65" i="49"/>
  <c r="V65" i="50"/>
  <c r="N88" i="58"/>
  <c r="U88" i="58" s="1"/>
  <c r="U48" i="58"/>
  <c r="L82" i="58"/>
  <c r="O19" i="58"/>
  <c r="F19" i="58" s="1"/>
  <c r="S19" i="58"/>
  <c r="R103" i="56"/>
  <c r="H106" i="56"/>
  <c r="S109" i="19"/>
  <c r="N51" i="58"/>
  <c r="U44" i="58"/>
  <c r="Z50" i="56"/>
  <c r="AO49" i="56"/>
  <c r="AO50" i="56" s="1"/>
  <c r="AC49" i="56"/>
  <c r="AC50" i="56" s="1"/>
  <c r="H27" i="39"/>
  <c r="H31" i="39" s="1"/>
  <c r="F113" i="37"/>
  <c r="W6" i="54"/>
  <c r="J6" i="54" s="1"/>
  <c r="N19" i="55"/>
  <c r="N161" i="55" s="1"/>
  <c r="I203" i="55"/>
  <c r="J395" i="19"/>
  <c r="Q393" i="19"/>
  <c r="G395" i="19"/>
  <c r="Q31" i="58"/>
  <c r="H31" i="58" s="1"/>
  <c r="U31" i="58"/>
  <c r="L51" i="58"/>
  <c r="S44" i="58"/>
  <c r="L86" i="58"/>
  <c r="S34" i="58"/>
  <c r="I61" i="56"/>
  <c r="P55" i="56"/>
  <c r="P61" i="56" s="1"/>
  <c r="S61" i="56" s="1"/>
  <c r="L465" i="58"/>
  <c r="O462" i="58"/>
  <c r="L464" i="58"/>
  <c r="N95" i="58"/>
  <c r="U95" i="58" s="1"/>
  <c r="U49" i="58"/>
  <c r="F27" i="39"/>
  <c r="F31" i="39" s="1"/>
  <c r="D113" i="37"/>
  <c r="I112" i="19"/>
  <c r="Z83" i="56"/>
  <c r="Q83" i="56"/>
  <c r="AL49" i="56"/>
  <c r="AL50" i="56" s="1"/>
  <c r="AI50" i="56"/>
  <c r="L83" i="58"/>
  <c r="S71" i="58"/>
  <c r="O71" i="58" s="1"/>
  <c r="F71" i="58" s="1"/>
  <c r="Z84" i="56"/>
  <c r="AI84" i="56" s="1"/>
  <c r="AL84" i="56" s="1"/>
  <c r="Q84" i="56"/>
  <c r="P248" i="19"/>
  <c r="S193" i="19"/>
  <c r="T243" i="19" s="1"/>
  <c r="T248" i="19" s="1"/>
  <c r="W65" i="66"/>
  <c r="S214" i="56"/>
  <c r="L102" i="49"/>
  <c r="L144" i="49" s="1"/>
  <c r="AC86" i="58"/>
  <c r="AL86" i="58" s="1"/>
  <c r="T86" i="58"/>
  <c r="G67" i="49"/>
  <c r="U67" i="50"/>
  <c r="N97" i="58"/>
  <c r="U97" i="58" s="1"/>
  <c r="U73" i="58"/>
  <c r="I20" i="62"/>
  <c r="P61" i="62"/>
  <c r="F18" i="38"/>
  <c r="H37" i="39"/>
  <c r="H41" i="39" s="1"/>
  <c r="I93" i="56"/>
  <c r="P93" i="56" s="1"/>
  <c r="P59" i="56"/>
  <c r="V247" i="58"/>
  <c r="H66" i="49"/>
  <c r="V66" i="50"/>
  <c r="I292" i="56"/>
  <c r="H17" i="56" s="1"/>
  <c r="I291" i="56"/>
  <c r="I90" i="56"/>
  <c r="P90" i="56" s="1"/>
  <c r="P36" i="56"/>
  <c r="K337" i="58"/>
  <c r="K338" i="58"/>
  <c r="J17" i="58" s="1"/>
  <c r="S187" i="56"/>
  <c r="P248" i="56"/>
  <c r="L112" i="55"/>
  <c r="L39" i="58"/>
  <c r="S30" i="58"/>
  <c r="V243" i="58"/>
  <c r="I77" i="56"/>
  <c r="I96" i="56" s="1"/>
  <c r="I126" i="56" s="1"/>
  <c r="I168" i="56" s="1"/>
  <c r="L169" i="56" s="1"/>
  <c r="L170" i="56" s="1"/>
  <c r="I25" i="56"/>
  <c r="X102" i="19"/>
  <c r="AM94" i="19"/>
  <c r="AM102" i="19" s="1"/>
  <c r="AA94" i="19"/>
  <c r="AA102" i="19" s="1"/>
  <c r="S45" i="58"/>
  <c r="O45" i="58"/>
  <c r="F45" i="58" s="1"/>
  <c r="AL37" i="19"/>
  <c r="AO37" i="19" s="1"/>
  <c r="Z37" i="19"/>
  <c r="AC87" i="58"/>
  <c r="AL87" i="58" s="1"/>
  <c r="AO87" i="58" s="1"/>
  <c r="T87" i="58"/>
  <c r="J464" i="58"/>
  <c r="J465" i="58"/>
  <c r="M465" i="58" s="1"/>
  <c r="U45" i="58"/>
  <c r="Q45" i="58"/>
  <c r="H45" i="58" s="1"/>
  <c r="M248" i="19"/>
  <c r="F20" i="34"/>
  <c r="F109" i="34" s="1"/>
  <c r="F116" i="34" s="1"/>
  <c r="F118" i="34" s="1"/>
  <c r="J286" i="19"/>
  <c r="G288" i="19" s="1"/>
  <c r="V214" i="58"/>
  <c r="N87" i="58"/>
  <c r="U35" i="58"/>
  <c r="S213" i="56"/>
  <c r="N93" i="58"/>
  <c r="U93" i="58" s="1"/>
  <c r="U36" i="58"/>
  <c r="L97" i="58"/>
  <c r="S97" i="58" s="1"/>
  <c r="S73" i="58"/>
  <c r="P111" i="56"/>
  <c r="F114" i="56"/>
  <c r="K72" i="56"/>
  <c r="R66" i="56"/>
  <c r="R72" i="56" s="1"/>
  <c r="O69" i="58"/>
  <c r="F69" i="58" s="1"/>
  <c r="S69" i="58"/>
  <c r="K86" i="56"/>
  <c r="R86" i="56" s="1"/>
  <c r="R58" i="56"/>
  <c r="Y71" i="56"/>
  <c r="AH71" i="56" s="1"/>
  <c r="P71" i="56"/>
  <c r="W95" i="19"/>
  <c r="AF95" i="19" s="1"/>
  <c r="AI95" i="19" s="1"/>
  <c r="P95" i="19"/>
  <c r="K93" i="56"/>
  <c r="R93" i="56" s="1"/>
  <c r="R59" i="56"/>
  <c r="J286" i="56"/>
  <c r="G288" i="56" s="1"/>
  <c r="M248" i="56"/>
  <c r="L115" i="55"/>
  <c r="L147" i="55" s="1"/>
  <c r="AG102" i="19"/>
  <c r="AJ94" i="19"/>
  <c r="AJ102" i="19" s="1"/>
  <c r="V232" i="58"/>
  <c r="N85" i="58"/>
  <c r="U85" i="58" s="1"/>
  <c r="U21" i="58"/>
  <c r="K90" i="56"/>
  <c r="R90" i="56" s="1"/>
  <c r="R36" i="56"/>
  <c r="Y94" i="19"/>
  <c r="AH94" i="19" s="1"/>
  <c r="R94" i="19"/>
  <c r="S200" i="56"/>
  <c r="K61" i="56"/>
  <c r="R55" i="56"/>
  <c r="R61" i="56" s="1"/>
  <c r="H6" i="36"/>
  <c r="I22" i="19"/>
  <c r="I91" i="19"/>
  <c r="I102" i="19" s="1"/>
  <c r="I132" i="19" s="1"/>
  <c r="I174" i="19" s="1"/>
  <c r="L175" i="19" s="1"/>
  <c r="L176" i="19" s="1"/>
  <c r="L84" i="58"/>
  <c r="S84" i="58" s="1"/>
  <c r="S20" i="58"/>
  <c r="L439" i="55"/>
  <c r="L318" i="55" s="1"/>
  <c r="I86" i="56"/>
  <c r="P86" i="56" s="1"/>
  <c r="P58" i="56"/>
  <c r="Z72" i="56"/>
  <c r="AC71" i="56"/>
  <c r="AC72" i="56" s="1"/>
  <c r="AO71" i="56"/>
  <c r="AO72" i="56" s="1"/>
  <c r="J43" i="62"/>
  <c r="N23" i="55"/>
  <c r="I213" i="55"/>
  <c r="L213" i="55" s="1"/>
  <c r="L91" i="58"/>
  <c r="S91" i="58" s="1"/>
  <c r="S22" i="58"/>
  <c r="I204" i="55"/>
  <c r="L204" i="55" s="1"/>
  <c r="F172" i="61"/>
  <c r="I178" i="61"/>
  <c r="I179" i="61"/>
  <c r="L172" i="61"/>
  <c r="T82" i="58"/>
  <c r="P82" i="58"/>
  <c r="G82" i="58" s="1"/>
  <c r="Q332" i="58"/>
  <c r="AG279" i="58"/>
  <c r="AG282" i="58" s="1"/>
  <c r="AG284" i="58" s="1"/>
  <c r="Z39" i="56"/>
  <c r="AO37" i="56"/>
  <c r="AC37" i="56"/>
  <c r="L88" i="58"/>
  <c r="S88" i="58" s="1"/>
  <c r="S48" i="58"/>
  <c r="G172" i="61"/>
  <c r="J179" i="61"/>
  <c r="J178" i="61"/>
  <c r="V217" i="58"/>
  <c r="V246" i="58"/>
  <c r="T83" i="58"/>
  <c r="P83" i="58"/>
  <c r="G83" i="58" s="1"/>
  <c r="G77" i="56"/>
  <c r="G25" i="56"/>
  <c r="Q17" i="56"/>
  <c r="Q25" i="56" s="1"/>
  <c r="I84" i="56"/>
  <c r="P35" i="56"/>
  <c r="P30" i="58"/>
  <c r="N83" i="58"/>
  <c r="U71" i="58"/>
  <c r="Q71" i="58" s="1"/>
  <c r="H71" i="58" s="1"/>
  <c r="N91" i="58"/>
  <c r="U91" i="58" s="1"/>
  <c r="U22" i="58"/>
  <c r="N63" i="58"/>
  <c r="U56" i="58"/>
  <c r="L92" i="58"/>
  <c r="S92" i="58" s="1"/>
  <c r="S23" i="58"/>
  <c r="V66" i="66"/>
  <c r="O66" i="66" s="1"/>
  <c r="I66" i="66" s="1"/>
  <c r="I71" i="66" s="1"/>
  <c r="Y66" i="66"/>
  <c r="L90" i="58"/>
  <c r="S90" i="58" s="1"/>
  <c r="S72" i="58"/>
  <c r="O277" i="58"/>
  <c r="V210" i="58"/>
  <c r="N75" i="58"/>
  <c r="U68" i="58"/>
  <c r="N84" i="58"/>
  <c r="U84" i="58" s="1"/>
  <c r="U20" i="58"/>
  <c r="K22" i="19"/>
  <c r="K91" i="19"/>
  <c r="K102" i="19" s="1"/>
  <c r="K132" i="19" s="1"/>
  <c r="K174" i="19" s="1"/>
  <c r="L93" i="55"/>
  <c r="L145" i="55" s="1"/>
  <c r="Z33" i="19"/>
  <c r="AL33" i="19"/>
  <c r="AO33" i="19" s="1"/>
  <c r="N89" i="58"/>
  <c r="U89" i="58" s="1"/>
  <c r="U60" i="58"/>
  <c r="L80" i="58"/>
  <c r="L25" i="58"/>
  <c r="L93" i="58"/>
  <c r="S93" i="58" s="1"/>
  <c r="S36" i="58"/>
  <c r="I110" i="58"/>
  <c r="S106" i="58"/>
  <c r="F106" i="58" s="1"/>
  <c r="F110" i="58" s="1"/>
  <c r="V65" i="66"/>
  <c r="O65" i="66" s="1"/>
  <c r="I65" i="66" s="1"/>
  <c r="I70" i="66" s="1"/>
  <c r="K439" i="55"/>
  <c r="K318" i="55" s="1"/>
  <c r="N598" i="55"/>
  <c r="Y95" i="19"/>
  <c r="AH95" i="19" s="1"/>
  <c r="AK95" i="19" s="1"/>
  <c r="R95" i="19"/>
  <c r="N92" i="58"/>
  <c r="U92" i="58" s="1"/>
  <c r="U23" i="58"/>
  <c r="I292" i="19"/>
  <c r="H15" i="19" s="1"/>
  <c r="I291" i="19"/>
  <c r="P288" i="19"/>
  <c r="Y38" i="56"/>
  <c r="AH38" i="56" s="1"/>
  <c r="AK38" i="56" s="1"/>
  <c r="P38" i="56"/>
  <c r="AC38" i="56"/>
  <c r="AO38" i="56"/>
  <c r="AR38" i="56" s="1"/>
  <c r="AN37" i="19"/>
  <c r="AQ37" i="19" s="1"/>
  <c r="AB37" i="19"/>
  <c r="N90" i="58"/>
  <c r="U90" i="58" s="1"/>
  <c r="U72" i="58"/>
  <c r="L91" i="55"/>
  <c r="G30" i="46" s="1"/>
  <c r="Y37" i="56"/>
  <c r="AH37" i="56" s="1"/>
  <c r="I91" i="56"/>
  <c r="P91" i="56" s="1"/>
  <c r="P37" i="56"/>
  <c r="AC279" i="58"/>
  <c r="AC282" i="58" s="1"/>
  <c r="AC284" i="58" s="1"/>
  <c r="M332" i="58"/>
  <c r="J334" i="58" s="1"/>
  <c r="K212" i="55"/>
  <c r="N86" i="58"/>
  <c r="U34" i="58"/>
  <c r="AA71" i="56"/>
  <c r="R71" i="56"/>
  <c r="P56" i="58"/>
  <c r="T63" i="58"/>
  <c r="T81" i="58"/>
  <c r="AL48" i="19"/>
  <c r="Z48" i="19"/>
  <c r="AO48" i="19" s="1"/>
  <c r="K84" i="56"/>
  <c r="R35" i="56"/>
  <c r="S196" i="56"/>
  <c r="L96" i="58"/>
  <c r="S96" i="58" s="1"/>
  <c r="S61" i="58"/>
  <c r="S199" i="56"/>
  <c r="H114" i="56"/>
  <c r="R111" i="56"/>
  <c r="N39" i="58"/>
  <c r="U30" i="58"/>
  <c r="L95" i="58"/>
  <c r="S95" i="58" s="1"/>
  <c r="S49" i="58"/>
  <c r="P44" i="58"/>
  <c r="T51" i="58"/>
  <c r="J401" i="56"/>
  <c r="G401" i="56"/>
  <c r="Q399" i="56"/>
  <c r="N113" i="55"/>
  <c r="I212" i="55"/>
  <c r="O61" i="62"/>
  <c r="S61" i="62" s="1"/>
  <c r="H20" i="62"/>
  <c r="K119" i="58"/>
  <c r="U115" i="58"/>
  <c r="H115" i="58" s="1"/>
  <c r="H119" i="58" s="1"/>
  <c r="V251" i="58"/>
  <c r="O332" i="58"/>
  <c r="L334" i="58" s="1"/>
  <c r="AE279" i="58"/>
  <c r="AE282" i="58" s="1"/>
  <c r="AE284" i="58" s="1"/>
  <c r="K92" i="56"/>
  <c r="R92" i="56" s="1"/>
  <c r="R48" i="56"/>
  <c r="AH48" i="19"/>
  <c r="AK48" i="19" s="1"/>
  <c r="I83" i="56"/>
  <c r="P34" i="56"/>
  <c r="AM95" i="19"/>
  <c r="AP95" i="19" s="1"/>
  <c r="AA95" i="19"/>
  <c r="U66" i="50" l="1"/>
  <c r="N102" i="55"/>
  <c r="N192" i="55" s="1"/>
  <c r="K192" i="55"/>
  <c r="N124" i="55"/>
  <c r="N194" i="55" s="1"/>
  <c r="K194" i="55"/>
  <c r="N59" i="55"/>
  <c r="N189" i="55" s="1"/>
  <c r="K189" i="55"/>
  <c r="N81" i="55"/>
  <c r="N191" i="55" s="1"/>
  <c r="K191" i="55"/>
  <c r="N58" i="55"/>
  <c r="N188" i="55" s="1"/>
  <c r="K188" i="55"/>
  <c r="N125" i="55"/>
  <c r="N195" i="55" s="1"/>
  <c r="K195" i="55"/>
  <c r="N103" i="55"/>
  <c r="N193" i="55" s="1"/>
  <c r="K193" i="55"/>
  <c r="V67" i="50"/>
  <c r="N111" i="55"/>
  <c r="N173" i="55" s="1"/>
  <c r="K173" i="55"/>
  <c r="N89" i="55"/>
  <c r="N172" i="55" s="1"/>
  <c r="K172" i="55"/>
  <c r="N66" i="55"/>
  <c r="F47" i="46" s="1"/>
  <c r="N55" i="55"/>
  <c r="N177" i="55" s="1"/>
  <c r="K177" i="55"/>
  <c r="S67" i="50"/>
  <c r="N88" i="55"/>
  <c r="K165" i="55"/>
  <c r="N48" i="55"/>
  <c r="N151" i="55" s="1"/>
  <c r="K151" i="55"/>
  <c r="J44" i="62" s="1"/>
  <c r="L149" i="55"/>
  <c r="L150" i="55"/>
  <c r="N49" i="55"/>
  <c r="N152" i="55" s="1"/>
  <c r="K152" i="55"/>
  <c r="J45" i="62" s="1"/>
  <c r="G64" i="49"/>
  <c r="N46" i="55"/>
  <c r="N141" i="55" s="1"/>
  <c r="K141" i="55"/>
  <c r="J34" i="62" s="1"/>
  <c r="M82" i="55"/>
  <c r="M144" i="55"/>
  <c r="L139" i="55"/>
  <c r="N71" i="55"/>
  <c r="N143" i="55" s="1"/>
  <c r="N138" i="55"/>
  <c r="J36" i="62"/>
  <c r="K144" i="55"/>
  <c r="N115" i="55"/>
  <c r="N147" i="55" s="1"/>
  <c r="K147" i="55"/>
  <c r="J40" i="62" s="1"/>
  <c r="M134" i="55"/>
  <c r="K135" i="55"/>
  <c r="J28" i="62" s="1"/>
  <c r="K379" i="55"/>
  <c r="K93" i="55" s="1"/>
  <c r="K133" i="55"/>
  <c r="L136" i="55"/>
  <c r="L135" i="55"/>
  <c r="K137" i="55"/>
  <c r="J30" i="62" s="1"/>
  <c r="G31" i="46"/>
  <c r="G49" i="46"/>
  <c r="K132" i="55"/>
  <c r="J25" i="62" s="1"/>
  <c r="L137" i="55"/>
  <c r="N114" i="55"/>
  <c r="N109" i="55"/>
  <c r="E49" i="46" s="1"/>
  <c r="K24" i="54"/>
  <c r="O504" i="55"/>
  <c r="O382" i="55" s="1"/>
  <c r="N382" i="55"/>
  <c r="O497" i="55"/>
  <c r="O378" i="55" s="1"/>
  <c r="N378" i="55"/>
  <c r="O527" i="55"/>
  <c r="O406" i="55" s="1"/>
  <c r="N406" i="55"/>
  <c r="O463" i="55"/>
  <c r="O343" i="55" s="1"/>
  <c r="N343" i="55"/>
  <c r="O452" i="55"/>
  <c r="O331" i="55" s="1"/>
  <c r="N331" i="55"/>
  <c r="O518" i="55"/>
  <c r="O396" i="55" s="1"/>
  <c r="N396" i="55"/>
  <c r="N457" i="55"/>
  <c r="K340" i="55"/>
  <c r="K44" i="55" s="1"/>
  <c r="K134" i="55" s="1"/>
  <c r="O513" i="55"/>
  <c r="O394" i="55" s="1"/>
  <c r="N394" i="55"/>
  <c r="N473" i="55"/>
  <c r="K352" i="55"/>
  <c r="K56" i="55" s="1"/>
  <c r="K178" i="55" s="1"/>
  <c r="O512" i="55"/>
  <c r="O393" i="55" s="1"/>
  <c r="N393" i="55"/>
  <c r="O507" i="55"/>
  <c r="O386" i="55" s="1"/>
  <c r="N386" i="55"/>
  <c r="O524" i="55"/>
  <c r="O403" i="55" s="1"/>
  <c r="N403" i="55"/>
  <c r="O510" i="55"/>
  <c r="O389" i="55" s="1"/>
  <c r="N389" i="55"/>
  <c r="O520" i="55"/>
  <c r="O398" i="55" s="1"/>
  <c r="N398" i="55"/>
  <c r="O531" i="55"/>
  <c r="O410" i="55" s="1"/>
  <c r="N410" i="55"/>
  <c r="O466" i="55"/>
  <c r="O346" i="55" s="1"/>
  <c r="N346" i="55"/>
  <c r="O472" i="55"/>
  <c r="O351" i="55" s="1"/>
  <c r="N351" i="55"/>
  <c r="N508" i="55"/>
  <c r="K387" i="55"/>
  <c r="K101" i="55" s="1"/>
  <c r="O528" i="55"/>
  <c r="O407" i="55" s="1"/>
  <c r="N407" i="55"/>
  <c r="O462" i="55"/>
  <c r="O342" i="55" s="1"/>
  <c r="N342" i="55"/>
  <c r="O483" i="55"/>
  <c r="O368" i="55" s="1"/>
  <c r="N368" i="55"/>
  <c r="O464" i="55"/>
  <c r="O344" i="55" s="1"/>
  <c r="N344" i="55"/>
  <c r="O484" i="55"/>
  <c r="O362" i="55" s="1"/>
  <c r="N362" i="55"/>
  <c r="O482" i="55"/>
  <c r="O367" i="55" s="1"/>
  <c r="N367" i="55"/>
  <c r="O498" i="55"/>
  <c r="O383" i="55" s="1"/>
  <c r="N383" i="55"/>
  <c r="O451" i="55"/>
  <c r="O330" i="55" s="1"/>
  <c r="N330" i="55"/>
  <c r="N525" i="55"/>
  <c r="K404" i="55"/>
  <c r="K123" i="55" s="1"/>
  <c r="O450" i="55"/>
  <c r="O329" i="55" s="1"/>
  <c r="N329" i="55"/>
  <c r="O481" i="55"/>
  <c r="O366" i="55" s="1"/>
  <c r="N366" i="55"/>
  <c r="O503" i="55"/>
  <c r="O381" i="55" s="1"/>
  <c r="N381" i="55"/>
  <c r="O446" i="55"/>
  <c r="O319" i="55" s="1"/>
  <c r="N319" i="55"/>
  <c r="O487" i="55"/>
  <c r="O365" i="55" s="1"/>
  <c r="N365" i="55"/>
  <c r="O514" i="55"/>
  <c r="O395" i="55" s="1"/>
  <c r="N395" i="55"/>
  <c r="O523" i="55"/>
  <c r="O392" i="55" s="1"/>
  <c r="N392" i="55"/>
  <c r="O486" i="55"/>
  <c r="O364" i="55" s="1"/>
  <c r="N364" i="55"/>
  <c r="O449" i="55"/>
  <c r="O322" i="55" s="1"/>
  <c r="N322" i="55"/>
  <c r="O505" i="55"/>
  <c r="O374" i="55" s="1"/>
  <c r="N374" i="55"/>
  <c r="O496" i="55"/>
  <c r="O377" i="55" s="1"/>
  <c r="N377" i="55"/>
  <c r="O494" i="55"/>
  <c r="O373" i="55" s="1"/>
  <c r="N373" i="55"/>
  <c r="O509" i="55"/>
  <c r="O388" i="55" s="1"/>
  <c r="N388" i="55"/>
  <c r="O478" i="55"/>
  <c r="O359" i="55" s="1"/>
  <c r="N359" i="55"/>
  <c r="O500" i="55"/>
  <c r="O385" i="55" s="1"/>
  <c r="N385" i="55"/>
  <c r="O519" i="55"/>
  <c r="O397" i="55" s="1"/>
  <c r="L397" i="55"/>
  <c r="O511" i="55"/>
  <c r="O390" i="55" s="1"/>
  <c r="N390" i="55"/>
  <c r="O495" i="55"/>
  <c r="O376" i="55" s="1"/>
  <c r="N376" i="55"/>
  <c r="O526" i="55"/>
  <c r="O405" i="55" s="1"/>
  <c r="N405" i="55"/>
  <c r="O476" i="55"/>
  <c r="O355" i="55" s="1"/>
  <c r="N355" i="55"/>
  <c r="O499" i="55"/>
  <c r="O384" i="55" s="1"/>
  <c r="N384" i="55"/>
  <c r="N117" i="55"/>
  <c r="N158" i="55" s="1"/>
  <c r="O489" i="55"/>
  <c r="O358" i="55" s="1"/>
  <c r="N358" i="55"/>
  <c r="O501" i="55"/>
  <c r="O379" i="55" s="1"/>
  <c r="N379" i="55"/>
  <c r="O453" i="55"/>
  <c r="O332" i="55" s="1"/>
  <c r="N332" i="55"/>
  <c r="O480" i="55"/>
  <c r="O361" i="55" s="1"/>
  <c r="N361" i="55"/>
  <c r="O506" i="55"/>
  <c r="O375" i="55" s="1"/>
  <c r="N375" i="55"/>
  <c r="N491" i="55"/>
  <c r="K370" i="55"/>
  <c r="K79" i="55" s="1"/>
  <c r="O465" i="55"/>
  <c r="O345" i="55" s="1"/>
  <c r="N345" i="55"/>
  <c r="O530" i="55"/>
  <c r="O409" i="55" s="1"/>
  <c r="N409" i="55"/>
  <c r="O502" i="55"/>
  <c r="O380" i="55" s="1"/>
  <c r="N380" i="55"/>
  <c r="O529" i="55"/>
  <c r="O408" i="55" s="1"/>
  <c r="N408" i="55"/>
  <c r="O488" i="55"/>
  <c r="O357" i="55" s="1"/>
  <c r="N357" i="55"/>
  <c r="O459" i="55"/>
  <c r="O348" i="55" s="1"/>
  <c r="N348" i="55"/>
  <c r="O517" i="55"/>
  <c r="O402" i="55" s="1"/>
  <c r="N402" i="55"/>
  <c r="O493" i="55"/>
  <c r="O372" i="55" s="1"/>
  <c r="N372" i="55"/>
  <c r="O490" i="55"/>
  <c r="O369" i="55" s="1"/>
  <c r="N369" i="55"/>
  <c r="O475" i="55"/>
  <c r="O354" i="55" s="1"/>
  <c r="N354" i="55"/>
  <c r="L117" i="55"/>
  <c r="L158" i="55" s="1"/>
  <c r="K29" i="54"/>
  <c r="E52" i="49"/>
  <c r="N87" i="55"/>
  <c r="E48" i="46" s="1"/>
  <c r="W25" i="54"/>
  <c r="J25" i="54" s="1"/>
  <c r="N97" i="55"/>
  <c r="N75" i="55"/>
  <c r="N95" i="55"/>
  <c r="N156" i="55" s="1"/>
  <c r="N72" i="55"/>
  <c r="N144" i="55" s="1"/>
  <c r="N485" i="55"/>
  <c r="N479" i="55"/>
  <c r="N67" i="55"/>
  <c r="N171" i="55" s="1"/>
  <c r="M231" i="55"/>
  <c r="N456" i="55"/>
  <c r="M60" i="55"/>
  <c r="L234" i="55"/>
  <c r="K10" i="54"/>
  <c r="X14" i="54"/>
  <c r="J64" i="46"/>
  <c r="K16" i="54"/>
  <c r="X19" i="54"/>
  <c r="I65" i="46"/>
  <c r="L236" i="55"/>
  <c r="AL335" i="1"/>
  <c r="L241" i="55"/>
  <c r="L247" i="55"/>
  <c r="AM354" i="1"/>
  <c r="AN354" i="1"/>
  <c r="AO354" i="1"/>
  <c r="AL354" i="1"/>
  <c r="AM335" i="1"/>
  <c r="AN335" i="1"/>
  <c r="AO335" i="1"/>
  <c r="N244" i="55"/>
  <c r="AM313" i="1"/>
  <c r="AN313" i="1"/>
  <c r="AO313" i="1"/>
  <c r="AL313" i="1"/>
  <c r="M236" i="55"/>
  <c r="M238" i="55"/>
  <c r="L230" i="55"/>
  <c r="AT699" i="55"/>
  <c r="N241" i="55"/>
  <c r="L245" i="55"/>
  <c r="M240" i="55"/>
  <c r="N237" i="55"/>
  <c r="L246" i="55"/>
  <c r="M235" i="55"/>
  <c r="L231" i="55"/>
  <c r="L235" i="55"/>
  <c r="L240" i="55"/>
  <c r="L232" i="55"/>
  <c r="L233" i="55"/>
  <c r="L244" i="55"/>
  <c r="L239" i="55"/>
  <c r="H248" i="55"/>
  <c r="K248" i="55"/>
  <c r="M232" i="55"/>
  <c r="J248" i="55"/>
  <c r="I248" i="55"/>
  <c r="G248" i="55"/>
  <c r="F248" i="55"/>
  <c r="F256" i="55" s="1"/>
  <c r="N239" i="55"/>
  <c r="M234" i="55"/>
  <c r="M230" i="55"/>
  <c r="N234" i="55"/>
  <c r="L242" i="55"/>
  <c r="N233" i="55"/>
  <c r="N242" i="55"/>
  <c r="N236" i="55"/>
  <c r="N247" i="55"/>
  <c r="M246" i="55"/>
  <c r="M239" i="55"/>
  <c r="M244" i="55"/>
  <c r="L238" i="55"/>
  <c r="N245" i="55"/>
  <c r="L237" i="55"/>
  <c r="M242" i="55"/>
  <c r="N235" i="55"/>
  <c r="N238" i="55"/>
  <c r="M245" i="55"/>
  <c r="N230" i="55"/>
  <c r="M241" i="55"/>
  <c r="N231" i="55"/>
  <c r="M247" i="55"/>
  <c r="M237" i="55"/>
  <c r="N246" i="55"/>
  <c r="I126" i="55"/>
  <c r="V52" i="54" s="1"/>
  <c r="I104" i="55"/>
  <c r="V51" i="54" s="1"/>
  <c r="I82" i="55"/>
  <c r="V50" i="54" s="1"/>
  <c r="I60" i="55"/>
  <c r="V49" i="54" s="1"/>
  <c r="P81" i="58"/>
  <c r="G81" i="58" s="1"/>
  <c r="N121" i="55"/>
  <c r="N26" i="55"/>
  <c r="N25" i="55"/>
  <c r="N77" i="55"/>
  <c r="AS699" i="55"/>
  <c r="AU695" i="55"/>
  <c r="H696" i="55"/>
  <c r="H537" i="55" s="1"/>
  <c r="G695" i="55"/>
  <c r="G536" i="55" s="1"/>
  <c r="AT697" i="55"/>
  <c r="AU692" i="55"/>
  <c r="AT698" i="55"/>
  <c r="AK699" i="55"/>
  <c r="AS694" i="55"/>
  <c r="AS693" i="55"/>
  <c r="N229" i="55"/>
  <c r="AF693" i="55"/>
  <c r="AS698" i="55"/>
  <c r="F691" i="55"/>
  <c r="F532" i="55" s="1"/>
  <c r="F411" i="55" s="1"/>
  <c r="AK695" i="55"/>
  <c r="AS692" i="55"/>
  <c r="AT696" i="55"/>
  <c r="AT693" i="55"/>
  <c r="AU693" i="55"/>
  <c r="Q148" i="65"/>
  <c r="AT694" i="55"/>
  <c r="AS697" i="55"/>
  <c r="L229" i="55"/>
  <c r="AF698" i="55"/>
  <c r="AK692" i="55"/>
  <c r="AK696" i="55"/>
  <c r="AU694" i="55"/>
  <c r="AK694" i="55"/>
  <c r="AU698" i="55"/>
  <c r="AF699" i="55"/>
  <c r="H699" i="55"/>
  <c r="N699" i="55" s="1"/>
  <c r="J692" i="55"/>
  <c r="J533" i="55" s="1"/>
  <c r="J412" i="55" s="1"/>
  <c r="M229" i="55"/>
  <c r="F696" i="55"/>
  <c r="L696" i="55" s="1"/>
  <c r="AF696" i="55"/>
  <c r="G693" i="55"/>
  <c r="I699" i="55"/>
  <c r="I540" i="55" s="1"/>
  <c r="I419" i="55" s="1"/>
  <c r="AK691" i="55"/>
  <c r="AC709" i="55"/>
  <c r="AK698" i="55"/>
  <c r="AF694" i="55"/>
  <c r="O148" i="65"/>
  <c r="R148" i="65" s="1"/>
  <c r="AK693" i="55"/>
  <c r="J698" i="55"/>
  <c r="J539" i="55" s="1"/>
  <c r="J418" i="55" s="1"/>
  <c r="AE706" i="55"/>
  <c r="AU706" i="55" s="1"/>
  <c r="AT691" i="55"/>
  <c r="AF697" i="55"/>
  <c r="AC176" i="63"/>
  <c r="AU697" i="55"/>
  <c r="H697" i="55"/>
  <c r="H538" i="55" s="1"/>
  <c r="H417" i="55" s="1"/>
  <c r="AJ706" i="55"/>
  <c r="K697" i="55"/>
  <c r="K538" i="55" s="1"/>
  <c r="K417" i="55" s="1"/>
  <c r="AJ709" i="55"/>
  <c r="AK697" i="55"/>
  <c r="AH148" i="63"/>
  <c r="P148" i="65"/>
  <c r="AB176" i="63"/>
  <c r="AF148" i="63"/>
  <c r="AH706" i="55"/>
  <c r="AH709" i="55"/>
  <c r="I693" i="55"/>
  <c r="I534" i="55" s="1"/>
  <c r="I413" i="55" s="1"/>
  <c r="AS695" i="55"/>
  <c r="AF695" i="55"/>
  <c r="F695" i="55"/>
  <c r="AC706" i="55"/>
  <c r="AS706" i="55" s="1"/>
  <c r="Z176" i="63"/>
  <c r="AG148" i="63"/>
  <c r="AI709" i="55"/>
  <c r="G148" i="65"/>
  <c r="AI706" i="55"/>
  <c r="AF175" i="63"/>
  <c r="P173" i="65" s="1"/>
  <c r="AD176" i="63"/>
  <c r="AH175" i="63"/>
  <c r="R173" i="65" s="1"/>
  <c r="H691" i="55"/>
  <c r="AE176" i="63"/>
  <c r="AG175" i="63"/>
  <c r="Q173" i="65" s="1"/>
  <c r="AD706" i="55"/>
  <c r="AT706" i="55" s="1"/>
  <c r="AD709" i="55"/>
  <c r="AA176" i="63"/>
  <c r="AF691" i="55"/>
  <c r="AF692" i="55"/>
  <c r="AT692" i="55"/>
  <c r="X175" i="63"/>
  <c r="G173" i="65" s="1"/>
  <c r="AE709" i="55"/>
  <c r="X148" i="63"/>
  <c r="W16" i="54"/>
  <c r="J16" i="54" s="1"/>
  <c r="N74" i="55"/>
  <c r="N155" i="55" s="1"/>
  <c r="J47" i="62"/>
  <c r="J532" i="55"/>
  <c r="J411" i="55" s="1"/>
  <c r="T243" i="56"/>
  <c r="T248" i="56" s="1"/>
  <c r="AH279" i="58"/>
  <c r="AH282" i="58" s="1"/>
  <c r="AH284" i="58" s="1"/>
  <c r="K92" i="46"/>
  <c r="K95" i="46" s="1"/>
  <c r="Z28" i="50"/>
  <c r="L110" i="58"/>
  <c r="J31" i="39"/>
  <c r="L31" i="39" s="1"/>
  <c r="M31" i="39" s="1"/>
  <c r="S111" i="56"/>
  <c r="AR49" i="56"/>
  <c r="AR50" i="56" s="1"/>
  <c r="AQ48" i="19"/>
  <c r="AP94" i="19"/>
  <c r="L99" i="58"/>
  <c r="L131" i="58" s="1"/>
  <c r="L191" i="58" s="1"/>
  <c r="J41" i="39"/>
  <c r="L41" i="39" s="1"/>
  <c r="M41" i="39" s="1"/>
  <c r="AO86" i="58"/>
  <c r="AO99" i="58" s="1"/>
  <c r="AL99" i="58"/>
  <c r="AM39" i="58"/>
  <c r="AP37" i="58"/>
  <c r="AP39" i="58" s="1"/>
  <c r="AH102" i="19"/>
  <c r="AK94" i="19"/>
  <c r="AK102" i="19" s="1"/>
  <c r="Y65" i="66"/>
  <c r="V5" i="54"/>
  <c r="H25" i="62"/>
  <c r="L18" i="55"/>
  <c r="L160" i="55" s="1"/>
  <c r="S248" i="19"/>
  <c r="Q286" i="19"/>
  <c r="W11" i="54"/>
  <c r="J11" i="54" s="1"/>
  <c r="G46" i="46"/>
  <c r="AM49" i="56"/>
  <c r="AM50" i="56" s="1"/>
  <c r="AJ50" i="56"/>
  <c r="AO37" i="58"/>
  <c r="AO39" i="58" s="1"/>
  <c r="AL39" i="58"/>
  <c r="L119" i="58"/>
  <c r="J32" i="62"/>
  <c r="N21" i="55"/>
  <c r="N168" i="55" s="1"/>
  <c r="AR71" i="56"/>
  <c r="AR72" i="56" s="1"/>
  <c r="W26" i="54"/>
  <c r="J26" i="54" s="1"/>
  <c r="N110" i="55"/>
  <c r="S81" i="58"/>
  <c r="O81" i="58"/>
  <c r="F81" i="58" s="1"/>
  <c r="AB87" i="58"/>
  <c r="AK87" i="58" s="1"/>
  <c r="AN87" i="58" s="1"/>
  <c r="S87" i="58"/>
  <c r="AA50" i="56"/>
  <c r="AD49" i="56"/>
  <c r="AD50" i="56" s="1"/>
  <c r="AP49" i="56"/>
  <c r="AP50" i="56" s="1"/>
  <c r="J20" i="54"/>
  <c r="V15" i="54"/>
  <c r="L65" i="55"/>
  <c r="I532" i="55"/>
  <c r="I411" i="55" s="1"/>
  <c r="F535" i="55"/>
  <c r="F414" i="55" s="1"/>
  <c r="L694" i="55"/>
  <c r="H47" i="62"/>
  <c r="L74" i="55"/>
  <c r="L155" i="55" s="1"/>
  <c r="Y83" i="56"/>
  <c r="AH83" i="56" s="1"/>
  <c r="P83" i="56"/>
  <c r="AA72" i="56"/>
  <c r="AD71" i="56"/>
  <c r="AD72" i="56" s="1"/>
  <c r="W272" i="58"/>
  <c r="W277" i="58" s="1"/>
  <c r="G96" i="56"/>
  <c r="Q77" i="56"/>
  <c r="Q96" i="56" s="1"/>
  <c r="Q126" i="56" s="1"/>
  <c r="Q168" i="56" s="1"/>
  <c r="H38" i="62"/>
  <c r="L94" i="55"/>
  <c r="L146" i="55" s="1"/>
  <c r="AC84" i="56"/>
  <c r="AO84" i="56"/>
  <c r="AR84" i="56" s="1"/>
  <c r="I106" i="56"/>
  <c r="H539" i="55"/>
  <c r="N698" i="55"/>
  <c r="V9" i="54"/>
  <c r="L37" i="55"/>
  <c r="S75" i="58"/>
  <c r="O68" i="58"/>
  <c r="H43" i="62"/>
  <c r="L23" i="55"/>
  <c r="K532" i="55"/>
  <c r="K411" i="55" s="1"/>
  <c r="V32" i="54"/>
  <c r="F216" i="55"/>
  <c r="L212" i="55"/>
  <c r="Q30" i="58"/>
  <c r="U39" i="58"/>
  <c r="G533" i="55"/>
  <c r="G412" i="55" s="1"/>
  <c r="V277" i="58"/>
  <c r="P332" i="58"/>
  <c r="AF279" i="58"/>
  <c r="AF282" i="58" s="1"/>
  <c r="AF284" i="58" s="1"/>
  <c r="F178" i="61"/>
  <c r="F179" i="61"/>
  <c r="Z95" i="19"/>
  <c r="AL95" i="19"/>
  <c r="AO95" i="19" s="1"/>
  <c r="AF87" i="58"/>
  <c r="AR87" i="58"/>
  <c r="AU87" i="58" s="1"/>
  <c r="H536" i="55"/>
  <c r="N695" i="55"/>
  <c r="F534" i="55"/>
  <c r="F413" i="55" s="1"/>
  <c r="S103" i="56"/>
  <c r="AD86" i="58"/>
  <c r="AM86" i="58" s="1"/>
  <c r="U86" i="58"/>
  <c r="S83" i="58"/>
  <c r="O83" i="58"/>
  <c r="F83" i="58" s="1"/>
  <c r="G102" i="19"/>
  <c r="Q91" i="19"/>
  <c r="Q102" i="19" s="1"/>
  <c r="Q132" i="19" s="1"/>
  <c r="Q174" i="19" s="1"/>
  <c r="AP38" i="56"/>
  <c r="AS38" i="56" s="1"/>
  <c r="AD38" i="56"/>
  <c r="AR37" i="58"/>
  <c r="AB39" i="58"/>
  <c r="AE37" i="58"/>
  <c r="AE39" i="58" s="1"/>
  <c r="Q56" i="58"/>
  <c r="U63" i="58"/>
  <c r="J49" i="62"/>
  <c r="N96" i="55"/>
  <c r="N157" i="55" s="1"/>
  <c r="H30" i="62"/>
  <c r="Q286" i="56"/>
  <c r="S248" i="56"/>
  <c r="G404" i="56"/>
  <c r="G405" i="56"/>
  <c r="G538" i="55"/>
  <c r="M697" i="55"/>
  <c r="H40" i="62"/>
  <c r="L116" i="55"/>
  <c r="L148" i="55" s="1"/>
  <c r="M699" i="55"/>
  <c r="G540" i="55"/>
  <c r="AC39" i="56"/>
  <c r="E33" i="46"/>
  <c r="O204" i="55"/>
  <c r="Y72" i="56"/>
  <c r="AN71" i="56"/>
  <c r="AN72" i="56" s="1"/>
  <c r="AB71" i="56"/>
  <c r="AB72" i="56" s="1"/>
  <c r="N692" i="55"/>
  <c r="H533" i="55"/>
  <c r="W17" i="54"/>
  <c r="J17" i="54" s="1"/>
  <c r="N69" i="55"/>
  <c r="H47" i="46" s="1"/>
  <c r="F8" i="13"/>
  <c r="F14" i="13" s="1"/>
  <c r="F15" i="13" s="1"/>
  <c r="C13" i="14"/>
  <c r="F540" i="55"/>
  <c r="F419" i="55" s="1"/>
  <c r="N94" i="55"/>
  <c r="N146" i="55" s="1"/>
  <c r="AK37" i="58"/>
  <c r="V26" i="54"/>
  <c r="L110" i="55"/>
  <c r="V6" i="54"/>
  <c r="H28" i="62"/>
  <c r="L19" i="55"/>
  <c r="L161" i="55" s="1"/>
  <c r="V25" i="54"/>
  <c r="L109" i="55"/>
  <c r="V20" i="54"/>
  <c r="L87" i="55"/>
  <c r="AO39" i="56"/>
  <c r="AK71" i="56"/>
  <c r="AK72" i="56" s="1"/>
  <c r="AH72" i="56"/>
  <c r="J80" i="58"/>
  <c r="T17" i="58"/>
  <c r="J25" i="58"/>
  <c r="M691" i="55"/>
  <c r="G532" i="55"/>
  <c r="G411" i="55" s="1"/>
  <c r="G537" i="55"/>
  <c r="M696" i="55"/>
  <c r="S63" i="58"/>
  <c r="O56" i="58"/>
  <c r="U82" i="58"/>
  <c r="Q82" i="58"/>
  <c r="H82" i="58" s="1"/>
  <c r="AD39" i="58"/>
  <c r="AS37" i="58"/>
  <c r="AG37" i="58"/>
  <c r="AG39" i="58" s="1"/>
  <c r="G292" i="56"/>
  <c r="K288" i="56"/>
  <c r="G291" i="56"/>
  <c r="U83" i="58"/>
  <c r="Q83" i="58"/>
  <c r="H83" i="58" s="1"/>
  <c r="Y102" i="19"/>
  <c r="AN94" i="19"/>
  <c r="AN102" i="19" s="1"/>
  <c r="AB94" i="19"/>
  <c r="AB102" i="19" s="1"/>
  <c r="AD87" i="58"/>
  <c r="AM87" i="58" s="1"/>
  <c r="AP87" i="58" s="1"/>
  <c r="U87" i="58"/>
  <c r="W21" i="54"/>
  <c r="J21" i="54" s="1"/>
  <c r="N694" i="55"/>
  <c r="H535" i="55"/>
  <c r="AA83" i="56"/>
  <c r="AJ83" i="56" s="1"/>
  <c r="R83" i="56"/>
  <c r="AA39" i="56"/>
  <c r="AD37" i="56"/>
  <c r="J31" i="62"/>
  <c r="N20" i="55"/>
  <c r="N167" i="55" s="1"/>
  <c r="AN48" i="19"/>
  <c r="AK37" i="56"/>
  <c r="AK39" i="56" s="1"/>
  <c r="AH39" i="56"/>
  <c r="G178" i="61"/>
  <c r="G179" i="61"/>
  <c r="N116" i="55"/>
  <c r="N148" i="55" s="1"/>
  <c r="AC99" i="58"/>
  <c r="AR86" i="58"/>
  <c r="AF86" i="58"/>
  <c r="AF99" i="58" s="1"/>
  <c r="H534" i="55"/>
  <c r="N693" i="55"/>
  <c r="AJ37" i="56"/>
  <c r="AP37" i="56" s="1"/>
  <c r="AS37" i="56" s="1"/>
  <c r="H31" i="62"/>
  <c r="L20" i="55"/>
  <c r="L167" i="55" s="1"/>
  <c r="AJ71" i="56"/>
  <c r="AP71" i="56" s="1"/>
  <c r="P63" i="58"/>
  <c r="G63" i="58" s="1"/>
  <c r="G56" i="58"/>
  <c r="H49" i="62"/>
  <c r="L96" i="55"/>
  <c r="L157" i="55" s="1"/>
  <c r="G292" i="19"/>
  <c r="K288" i="19"/>
  <c r="G291" i="19"/>
  <c r="G398" i="19"/>
  <c r="G399" i="19"/>
  <c r="O82" i="58"/>
  <c r="F82" i="58" s="1"/>
  <c r="S82" i="58"/>
  <c r="L697" i="55"/>
  <c r="F538" i="55"/>
  <c r="F417" i="55" s="1"/>
  <c r="E47" i="46"/>
  <c r="AK49" i="56"/>
  <c r="AK50" i="56" s="1"/>
  <c r="AH50" i="56"/>
  <c r="N439" i="55"/>
  <c r="N318" i="55" s="1"/>
  <c r="O334" i="58"/>
  <c r="L338" i="58"/>
  <c r="K17" i="58" s="1"/>
  <c r="L337" i="58"/>
  <c r="J338" i="58"/>
  <c r="J337" i="58"/>
  <c r="N334" i="58"/>
  <c r="H44" i="62"/>
  <c r="J42" i="62"/>
  <c r="N22" i="55"/>
  <c r="N132" i="55" s="1"/>
  <c r="O213" i="55"/>
  <c r="E34" i="46"/>
  <c r="V17" i="54"/>
  <c r="L69" i="55"/>
  <c r="H29" i="46" s="1"/>
  <c r="Q44" i="58"/>
  <c r="U51" i="58"/>
  <c r="H42" i="62"/>
  <c r="L22" i="55"/>
  <c r="L132" i="55" s="1"/>
  <c r="J15" i="54"/>
  <c r="Y50" i="56"/>
  <c r="AN49" i="56"/>
  <c r="AN50" i="56" s="1"/>
  <c r="AB49" i="56"/>
  <c r="AB50" i="56" s="1"/>
  <c r="Y84" i="56"/>
  <c r="AH84" i="56" s="1"/>
  <c r="AK84" i="56" s="1"/>
  <c r="P84" i="56"/>
  <c r="W32" i="54"/>
  <c r="J32" i="54" s="1"/>
  <c r="H216" i="55"/>
  <c r="N212" i="55"/>
  <c r="F52" i="46" s="1"/>
  <c r="K203" i="55"/>
  <c r="H45" i="62"/>
  <c r="AN95" i="19"/>
  <c r="AQ95" i="19" s="1"/>
  <c r="AB95" i="19"/>
  <c r="H34" i="62"/>
  <c r="P39" i="58"/>
  <c r="G39" i="58" s="1"/>
  <c r="G30" i="58"/>
  <c r="S39" i="58"/>
  <c r="O30" i="58"/>
  <c r="H77" i="56"/>
  <c r="R17" i="56"/>
  <c r="R25" i="56" s="1"/>
  <c r="H25" i="56"/>
  <c r="AB86" i="58"/>
  <c r="AK86" i="58" s="1"/>
  <c r="S86" i="58"/>
  <c r="H27" i="62"/>
  <c r="H32" i="62"/>
  <c r="L21" i="55"/>
  <c r="L168" i="55" s="1"/>
  <c r="J9" i="54"/>
  <c r="N99" i="58"/>
  <c r="N131" i="58" s="1"/>
  <c r="N191" i="58" s="1"/>
  <c r="G44" i="58"/>
  <c r="P51" i="58"/>
  <c r="G51" i="58" s="1"/>
  <c r="G539" i="55"/>
  <c r="G418" i="55" s="1"/>
  <c r="V11" i="54"/>
  <c r="H51" i="62"/>
  <c r="L118" i="55"/>
  <c r="L159" i="55" s="1"/>
  <c r="M694" i="55"/>
  <c r="G535" i="55"/>
  <c r="F539" i="55"/>
  <c r="F418" i="55" s="1"/>
  <c r="L698" i="55"/>
  <c r="Z96" i="56"/>
  <c r="AC83" i="56"/>
  <c r="O44" i="58"/>
  <c r="S51" i="58"/>
  <c r="AF102" i="19"/>
  <c r="AI94" i="19"/>
  <c r="AI102" i="19" s="1"/>
  <c r="E51" i="49"/>
  <c r="S51" i="50"/>
  <c r="H36" i="62"/>
  <c r="L72" i="55"/>
  <c r="L144" i="55" s="1"/>
  <c r="H91" i="19"/>
  <c r="R15" i="19"/>
  <c r="R22" i="19" s="1"/>
  <c r="H22" i="19"/>
  <c r="D11" i="14"/>
  <c r="G6" i="36"/>
  <c r="G41" i="36" s="1"/>
  <c r="G45" i="36" s="1"/>
  <c r="AA84" i="56"/>
  <c r="AJ84" i="56" s="1"/>
  <c r="AM84" i="56" s="1"/>
  <c r="R84" i="56"/>
  <c r="Q68" i="58"/>
  <c r="U75" i="58"/>
  <c r="Y39" i="56"/>
  <c r="AN37" i="56"/>
  <c r="AB37" i="56"/>
  <c r="AN38" i="56"/>
  <c r="AQ38" i="56" s="1"/>
  <c r="AB38" i="56"/>
  <c r="J51" i="62"/>
  <c r="N118" i="55"/>
  <c r="N159" i="55" s="1"/>
  <c r="W5" i="54"/>
  <c r="J5" i="54" s="1"/>
  <c r="N18" i="55"/>
  <c r="N160" i="55" s="1"/>
  <c r="H33" i="62"/>
  <c r="H41" i="36"/>
  <c r="D6" i="36"/>
  <c r="I114" i="56"/>
  <c r="V16" i="54"/>
  <c r="L66" i="55"/>
  <c r="AR37" i="56"/>
  <c r="AI83" i="56"/>
  <c r="AO83" i="56" s="1"/>
  <c r="W102" i="19"/>
  <c r="AL94" i="19"/>
  <c r="AL102" i="19" s="1"/>
  <c r="Z94" i="19"/>
  <c r="Z102" i="19" s="1"/>
  <c r="P75" i="58"/>
  <c r="G75" i="58" s="1"/>
  <c r="G68" i="58"/>
  <c r="L692" i="55"/>
  <c r="F533" i="55"/>
  <c r="F412" i="55" s="1"/>
  <c r="V31" i="54"/>
  <c r="F207" i="55"/>
  <c r="L203" i="55"/>
  <c r="M13" i="62"/>
  <c r="I56" i="62"/>
  <c r="M56" i="62" s="1"/>
  <c r="V21" i="54"/>
  <c r="L88" i="55"/>
  <c r="L83" i="49"/>
  <c r="L98" i="49"/>
  <c r="U81" i="58"/>
  <c r="Q81" i="58"/>
  <c r="H81" i="58" s="1"/>
  <c r="V10" i="54"/>
  <c r="N164" i="55" l="1"/>
  <c r="N101" i="55"/>
  <c r="N182" i="55" s="1"/>
  <c r="K182" i="55"/>
  <c r="N79" i="55"/>
  <c r="N180" i="55" s="1"/>
  <c r="K180" i="55"/>
  <c r="N123" i="55"/>
  <c r="N184" i="55" s="1"/>
  <c r="K184" i="55"/>
  <c r="F49" i="46"/>
  <c r="N166" i="55"/>
  <c r="F29" i="46"/>
  <c r="L164" i="55"/>
  <c r="F30" i="46"/>
  <c r="L165" i="55"/>
  <c r="F31" i="46"/>
  <c r="L166" i="55"/>
  <c r="F48" i="46"/>
  <c r="N165" i="55"/>
  <c r="N149" i="55"/>
  <c r="N150" i="55"/>
  <c r="G93" i="46"/>
  <c r="N93" i="55"/>
  <c r="N145" i="55" s="1"/>
  <c r="K145" i="55"/>
  <c r="J38" i="62" s="1"/>
  <c r="L138" i="55"/>
  <c r="N133" i="55"/>
  <c r="L133" i="55"/>
  <c r="J33" i="62"/>
  <c r="N44" i="55"/>
  <c r="I46" i="46" s="1"/>
  <c r="N56" i="55"/>
  <c r="W10" i="54"/>
  <c r="J10" i="54" s="1"/>
  <c r="M537" i="55"/>
  <c r="M416" i="55" s="1"/>
  <c r="G416" i="55"/>
  <c r="N536" i="55"/>
  <c r="N415" i="55" s="1"/>
  <c r="H415" i="55"/>
  <c r="M540" i="55"/>
  <c r="M419" i="55" s="1"/>
  <c r="G419" i="55"/>
  <c r="N537" i="55"/>
  <c r="N416" i="55" s="1"/>
  <c r="H416" i="55"/>
  <c r="O457" i="55"/>
  <c r="O340" i="55" s="1"/>
  <c r="N340" i="55"/>
  <c r="M535" i="55"/>
  <c r="M414" i="55" s="1"/>
  <c r="G414" i="55"/>
  <c r="O456" i="55"/>
  <c r="O339" i="55" s="1"/>
  <c r="N339" i="55"/>
  <c r="O491" i="55"/>
  <c r="O370" i="55" s="1"/>
  <c r="N370" i="55"/>
  <c r="M536" i="55"/>
  <c r="M415" i="55" s="1"/>
  <c r="G415" i="55"/>
  <c r="O479" i="55"/>
  <c r="O360" i="55" s="1"/>
  <c r="N360" i="55"/>
  <c r="N534" i="55"/>
  <c r="N413" i="55" s="1"/>
  <c r="H413" i="55"/>
  <c r="O485" i="55"/>
  <c r="O363" i="55" s="1"/>
  <c r="N363" i="55"/>
  <c r="M538" i="55"/>
  <c r="M417" i="55" s="1"/>
  <c r="G417" i="55"/>
  <c r="N533" i="55"/>
  <c r="N412" i="55" s="1"/>
  <c r="H412" i="55"/>
  <c r="O525" i="55"/>
  <c r="O404" i="55" s="1"/>
  <c r="N404" i="55"/>
  <c r="N535" i="55"/>
  <c r="N414" i="55" s="1"/>
  <c r="H414" i="55"/>
  <c r="N539" i="55"/>
  <c r="N418" i="55" s="1"/>
  <c r="H418" i="55"/>
  <c r="O508" i="55"/>
  <c r="O387" i="55" s="1"/>
  <c r="N387" i="55"/>
  <c r="O473" i="55"/>
  <c r="O352" i="55" s="1"/>
  <c r="N352" i="55"/>
  <c r="I47" i="46"/>
  <c r="U47" i="50" s="1"/>
  <c r="N73" i="55"/>
  <c r="N154" i="55" s="1"/>
  <c r="J27" i="62"/>
  <c r="Q538" i="55"/>
  <c r="Q539" i="55"/>
  <c r="Q535" i="55"/>
  <c r="Q533" i="55"/>
  <c r="U65" i="50"/>
  <c r="G65" i="49"/>
  <c r="G85" i="49" s="1"/>
  <c r="G94" i="49" s="1"/>
  <c r="I94" i="46"/>
  <c r="X56" i="54"/>
  <c r="X62" i="54" s="1"/>
  <c r="K19" i="54"/>
  <c r="H64" i="49"/>
  <c r="H85" i="49" s="1"/>
  <c r="H94" i="49" s="1"/>
  <c r="J94" i="46"/>
  <c r="V64" i="50"/>
  <c r="K14" i="54"/>
  <c r="X55" i="54"/>
  <c r="X61" i="54" s="1"/>
  <c r="AR354" i="1"/>
  <c r="AU354" i="1" s="1"/>
  <c r="AQ354" i="1"/>
  <c r="AT354" i="1" s="1"/>
  <c r="AP354" i="1"/>
  <c r="AS354" i="1" s="1"/>
  <c r="AR335" i="1"/>
  <c r="AU335" i="1" s="1"/>
  <c r="AQ335" i="1"/>
  <c r="AT335" i="1" s="1"/>
  <c r="AP335" i="1"/>
  <c r="AS335" i="1" s="1"/>
  <c r="AR313" i="1"/>
  <c r="AU313" i="1" s="1"/>
  <c r="AQ313" i="1"/>
  <c r="AT313" i="1" s="1"/>
  <c r="AP313" i="1"/>
  <c r="AS313" i="1" s="1"/>
  <c r="L248" i="55"/>
  <c r="M248" i="55"/>
  <c r="N248" i="55"/>
  <c r="L126" i="55"/>
  <c r="K126" i="55"/>
  <c r="X52" i="54" s="1"/>
  <c r="Y52" i="54" s="1"/>
  <c r="L104" i="55"/>
  <c r="K104" i="55"/>
  <c r="X51" i="54" s="1"/>
  <c r="Y51" i="54" s="1"/>
  <c r="L82" i="55"/>
  <c r="K82" i="55"/>
  <c r="X50" i="54" s="1"/>
  <c r="Y50" i="54" s="1"/>
  <c r="L60" i="55"/>
  <c r="K60" i="55"/>
  <c r="X49" i="54" s="1"/>
  <c r="Y49" i="54" s="1"/>
  <c r="N27" i="55"/>
  <c r="N78" i="55"/>
  <c r="N179" i="55" s="1"/>
  <c r="N120" i="55"/>
  <c r="N28" i="55"/>
  <c r="N174" i="55" s="1"/>
  <c r="N76" i="55"/>
  <c r="N98" i="55"/>
  <c r="N29" i="55"/>
  <c r="N175" i="55" s="1"/>
  <c r="N24" i="55"/>
  <c r="N99" i="55"/>
  <c r="N30" i="55"/>
  <c r="N185" i="55" s="1"/>
  <c r="N100" i="55"/>
  <c r="N181" i="55" s="1"/>
  <c r="N31" i="55"/>
  <c r="N186" i="55" s="1"/>
  <c r="N122" i="55"/>
  <c r="N183" i="55" s="1"/>
  <c r="N696" i="55"/>
  <c r="M695" i="55"/>
  <c r="H540" i="55"/>
  <c r="G706" i="55"/>
  <c r="H749" i="55" s="1"/>
  <c r="L699" i="55"/>
  <c r="L691" i="55"/>
  <c r="F706" i="55"/>
  <c r="G749" i="55" s="1"/>
  <c r="M698" i="55"/>
  <c r="G534" i="55"/>
  <c r="M693" i="55"/>
  <c r="R67" i="66"/>
  <c r="M67" i="66" s="1"/>
  <c r="M539" i="55"/>
  <c r="M418" i="55" s="1"/>
  <c r="H251" i="55"/>
  <c r="U67" i="66"/>
  <c r="P67" i="66" s="1"/>
  <c r="J546" i="55"/>
  <c r="M692" i="55"/>
  <c r="M533" i="55"/>
  <c r="M412" i="55" s="1"/>
  <c r="F537" i="55"/>
  <c r="F416" i="55" s="1"/>
  <c r="Q67" i="66"/>
  <c r="K67" i="66" s="1"/>
  <c r="F251" i="55"/>
  <c r="AK709" i="55"/>
  <c r="AK706" i="55"/>
  <c r="J706" i="55"/>
  <c r="K749" i="55" s="1"/>
  <c r="N538" i="55"/>
  <c r="N417" i="55" s="1"/>
  <c r="N697" i="55"/>
  <c r="I706" i="55"/>
  <c r="J749" i="55" s="1"/>
  <c r="I546" i="55"/>
  <c r="T67" i="66"/>
  <c r="N67" i="66" s="1"/>
  <c r="L693" i="55"/>
  <c r="K706" i="55"/>
  <c r="V52" i="66" s="1"/>
  <c r="O52" i="66" s="1"/>
  <c r="K546" i="55"/>
  <c r="V67" i="66"/>
  <c r="O67" i="66" s="1"/>
  <c r="AH176" i="63"/>
  <c r="H706" i="55"/>
  <c r="I749" i="55" s="1"/>
  <c r="G251" i="55"/>
  <c r="G256" i="55"/>
  <c r="G299" i="55" s="1"/>
  <c r="S67" i="66"/>
  <c r="L67" i="66" s="1"/>
  <c r="L695" i="55"/>
  <c r="N691" i="55"/>
  <c r="F536" i="55"/>
  <c r="H532" i="55"/>
  <c r="AF709" i="55"/>
  <c r="H256" i="55"/>
  <c r="H299" i="55" s="1"/>
  <c r="AF706" i="55"/>
  <c r="AF176" i="63"/>
  <c r="X176" i="63"/>
  <c r="AG176" i="63"/>
  <c r="J47" i="46"/>
  <c r="H47" i="49" s="1"/>
  <c r="AC96" i="56"/>
  <c r="AD39" i="56"/>
  <c r="W29" i="54"/>
  <c r="J29" i="54" s="1"/>
  <c r="W19" i="54"/>
  <c r="W56" i="54" s="1"/>
  <c r="AN39" i="56"/>
  <c r="AQ71" i="56"/>
  <c r="AQ72" i="56" s="1"/>
  <c r="AP72" i="56"/>
  <c r="AS71" i="56"/>
  <c r="AS72" i="56" s="1"/>
  <c r="AO96" i="56"/>
  <c r="AR83" i="56"/>
  <c r="U17" i="58"/>
  <c r="K80" i="58"/>
  <c r="K25" i="58"/>
  <c r="AN37" i="58"/>
  <c r="AN39" i="58" s="1"/>
  <c r="AK39" i="58"/>
  <c r="AQ37" i="58"/>
  <c r="L534" i="55"/>
  <c r="L413" i="55" s="1"/>
  <c r="I29" i="46"/>
  <c r="AN84" i="56"/>
  <c r="AQ84" i="56" s="1"/>
  <c r="AB84" i="56"/>
  <c r="I48" i="46"/>
  <c r="G126" i="56"/>
  <c r="G99" i="56"/>
  <c r="H44" i="58"/>
  <c r="Q51" i="58"/>
  <c r="H51" i="58" s="1"/>
  <c r="F28" i="46"/>
  <c r="F92" i="46" s="1"/>
  <c r="F95" i="46" s="1"/>
  <c r="Y16" i="54"/>
  <c r="L16" i="54" s="1"/>
  <c r="I16" i="54"/>
  <c r="L13" i="62"/>
  <c r="H56" i="62"/>
  <c r="L56" i="62" s="1"/>
  <c r="J31" i="46"/>
  <c r="AO94" i="19"/>
  <c r="O63" i="58"/>
  <c r="F56" i="58"/>
  <c r="AU37" i="58"/>
  <c r="AR39" i="58"/>
  <c r="E29" i="46"/>
  <c r="I17" i="54"/>
  <c r="Y17" i="54"/>
  <c r="L17" i="54" s="1"/>
  <c r="AR99" i="58"/>
  <c r="AU86" i="58"/>
  <c r="F299" i="55"/>
  <c r="E30" i="46"/>
  <c r="L540" i="55"/>
  <c r="L419" i="55" s="1"/>
  <c r="V14" i="54"/>
  <c r="Y9" i="54"/>
  <c r="I9" i="54"/>
  <c r="V19" i="54"/>
  <c r="Y15" i="54"/>
  <c r="I15" i="54"/>
  <c r="I5" i="54"/>
  <c r="Y5" i="54"/>
  <c r="L5" i="54" s="1"/>
  <c r="H68" i="58"/>
  <c r="Q75" i="58"/>
  <c r="H75" i="58" s="1"/>
  <c r="E48" i="49"/>
  <c r="S48" i="50"/>
  <c r="L532" i="55"/>
  <c r="L411" i="55" s="1"/>
  <c r="S34" i="50"/>
  <c r="E34" i="49"/>
  <c r="E110" i="49" s="1"/>
  <c r="V24" i="54"/>
  <c r="Y20" i="54"/>
  <c r="I20" i="54"/>
  <c r="AQ94" i="19"/>
  <c r="J292" i="19"/>
  <c r="F15" i="19"/>
  <c r="I49" i="46"/>
  <c r="AP39" i="56"/>
  <c r="AB99" i="58"/>
  <c r="AQ86" i="58"/>
  <c r="AE86" i="58"/>
  <c r="AE99" i="58" s="1"/>
  <c r="E31" i="46"/>
  <c r="E33" i="49"/>
  <c r="E108" i="49" s="1"/>
  <c r="S33" i="50"/>
  <c r="Y96" i="56"/>
  <c r="AB83" i="56"/>
  <c r="AN83" i="56"/>
  <c r="W24" i="54"/>
  <c r="F33" i="46"/>
  <c r="Y25" i="54"/>
  <c r="I25" i="54"/>
  <c r="V29" i="54"/>
  <c r="H30" i="58"/>
  <c r="Q39" i="58"/>
  <c r="H39" i="58" s="1"/>
  <c r="AH96" i="56"/>
  <c r="AK83" i="56"/>
  <c r="AK96" i="56" s="1"/>
  <c r="Y11" i="54"/>
  <c r="L11" i="54" s="1"/>
  <c r="I11" i="54"/>
  <c r="O51" i="58"/>
  <c r="F44" i="58"/>
  <c r="AQ49" i="56"/>
  <c r="AQ50" i="56" s="1"/>
  <c r="E47" i="49"/>
  <c r="S47" i="50"/>
  <c r="AA96" i="56"/>
  <c r="AD83" i="56"/>
  <c r="AP83" i="56"/>
  <c r="AS83" i="56" s="1"/>
  <c r="O439" i="55"/>
  <c r="O318" i="55" s="1"/>
  <c r="G132" i="19"/>
  <c r="G105" i="19"/>
  <c r="G7" i="39" s="1"/>
  <c r="G11" i="39" s="1"/>
  <c r="G85" i="39" s="1"/>
  <c r="O212" i="55"/>
  <c r="F34" i="46"/>
  <c r="J29" i="46"/>
  <c r="I10" i="54"/>
  <c r="AM83" i="56"/>
  <c r="AM96" i="56" s="1"/>
  <c r="AJ96" i="56"/>
  <c r="G28" i="46"/>
  <c r="G92" i="46" s="1"/>
  <c r="G95" i="46" s="1"/>
  <c r="H57" i="62"/>
  <c r="L57" i="62" s="1"/>
  <c r="L14" i="62"/>
  <c r="I216" i="55"/>
  <c r="AD84" i="56"/>
  <c r="AP84" i="56"/>
  <c r="AS84" i="56" s="1"/>
  <c r="AN86" i="58"/>
  <c r="AN99" i="58" s="1"/>
  <c r="AK99" i="58"/>
  <c r="J49" i="46"/>
  <c r="L538" i="55"/>
  <c r="L417" i="55" s="1"/>
  <c r="I32" i="54"/>
  <c r="Y32" i="54"/>
  <c r="L32" i="54" s="1"/>
  <c r="AS49" i="56"/>
  <c r="AS50" i="56" s="1"/>
  <c r="D41" i="36"/>
  <c r="H45" i="36"/>
  <c r="D45" i="36" s="1"/>
  <c r="P17" i="58"/>
  <c r="T25" i="58"/>
  <c r="I6" i="54"/>
  <c r="Y6" i="54"/>
  <c r="L6" i="54" s="1"/>
  <c r="E49" i="49"/>
  <c r="S49" i="50"/>
  <c r="J48" i="46"/>
  <c r="L535" i="55"/>
  <c r="AQ37" i="56"/>
  <c r="J46" i="46"/>
  <c r="M532" i="55"/>
  <c r="M411" i="55" s="1"/>
  <c r="L140" i="49"/>
  <c r="L117" i="49"/>
  <c r="L159" i="49" s="1"/>
  <c r="J292" i="56"/>
  <c r="F17" i="56"/>
  <c r="T80" i="58"/>
  <c r="T99" i="58" s="1"/>
  <c r="J99" i="58"/>
  <c r="P80" i="58"/>
  <c r="I31" i="46"/>
  <c r="AP86" i="58"/>
  <c r="AP99" i="58" s="1"/>
  <c r="AM99" i="58"/>
  <c r="L533" i="55"/>
  <c r="L412" i="55" s="1"/>
  <c r="J30" i="46"/>
  <c r="H96" i="56"/>
  <c r="R77" i="56"/>
  <c r="R96" i="56" s="1"/>
  <c r="R126" i="56" s="1"/>
  <c r="R168" i="56" s="1"/>
  <c r="I28" i="46"/>
  <c r="J57" i="62"/>
  <c r="N57" i="62" s="1"/>
  <c r="N14" i="62"/>
  <c r="M338" i="58"/>
  <c r="I17" i="58"/>
  <c r="AD99" i="58"/>
  <c r="AS86" i="58"/>
  <c r="AG86" i="58"/>
  <c r="AG99" i="58" s="1"/>
  <c r="I30" i="46"/>
  <c r="AQ87" i="58"/>
  <c r="AT87" i="58" s="1"/>
  <c r="AE87" i="58"/>
  <c r="I31" i="54"/>
  <c r="F46" i="46"/>
  <c r="F93" i="46" s="1"/>
  <c r="L86" i="49"/>
  <c r="L92" i="49"/>
  <c r="L95" i="49" s="1"/>
  <c r="Y21" i="54"/>
  <c r="L21" i="54" s="1"/>
  <c r="I21" i="54"/>
  <c r="G8" i="13"/>
  <c r="G14" i="13" s="1"/>
  <c r="G15" i="13" s="1"/>
  <c r="D13" i="14"/>
  <c r="W31" i="54"/>
  <c r="J31" i="54" s="1"/>
  <c r="H207" i="55"/>
  <c r="N203" i="55"/>
  <c r="F51" i="46" s="1"/>
  <c r="AM71" i="56"/>
  <c r="AM72" i="56" s="1"/>
  <c r="AJ72" i="56"/>
  <c r="O39" i="58"/>
  <c r="F30" i="58"/>
  <c r="AI96" i="56"/>
  <c r="AL83" i="56"/>
  <c r="AL96" i="56" s="1"/>
  <c r="AB39" i="56"/>
  <c r="H102" i="19"/>
  <c r="R91" i="19"/>
  <c r="R102" i="19" s="1"/>
  <c r="R132" i="19" s="1"/>
  <c r="R174" i="19" s="1"/>
  <c r="L539" i="55"/>
  <c r="L418" i="55" s="1"/>
  <c r="J28" i="46"/>
  <c r="AM37" i="56"/>
  <c r="AM39" i="56" s="1"/>
  <c r="AJ39" i="56"/>
  <c r="AS87" i="58"/>
  <c r="AV87" i="58" s="1"/>
  <c r="AG87" i="58"/>
  <c r="AV37" i="58"/>
  <c r="AS39" i="58"/>
  <c r="Y26" i="54"/>
  <c r="L26" i="54" s="1"/>
  <c r="I26" i="54"/>
  <c r="Q63" i="58"/>
  <c r="H63" i="58" s="1"/>
  <c r="H56" i="58"/>
  <c r="O75" i="58"/>
  <c r="F68" i="58"/>
  <c r="N178" i="55" l="1"/>
  <c r="Y10" i="54"/>
  <c r="L10" i="54" s="1"/>
  <c r="W14" i="54"/>
  <c r="N139" i="55"/>
  <c r="N136" i="55"/>
  <c r="N135" i="55"/>
  <c r="N137" i="55"/>
  <c r="N134" i="55"/>
  <c r="G47" i="49"/>
  <c r="S535" i="55"/>
  <c r="S414" i="55" s="1"/>
  <c r="Q414" i="55"/>
  <c r="S538" i="55"/>
  <c r="S417" i="55" s="1"/>
  <c r="Q417" i="55"/>
  <c r="S533" i="55"/>
  <c r="S412" i="55" s="1"/>
  <c r="Q412" i="55"/>
  <c r="S539" i="55"/>
  <c r="S418" i="55" s="1"/>
  <c r="Q418" i="55"/>
  <c r="J584" i="55"/>
  <c r="I425" i="55"/>
  <c r="I427" i="55" s="1"/>
  <c r="Q532" i="55"/>
  <c r="H411" i="55"/>
  <c r="M534" i="55"/>
  <c r="M413" i="55" s="1"/>
  <c r="G413" i="55"/>
  <c r="Q536" i="55"/>
  <c r="F415" i="55"/>
  <c r="O535" i="55"/>
  <c r="O414" i="55" s="1"/>
  <c r="L414" i="55"/>
  <c r="N540" i="55"/>
  <c r="N419" i="55" s="1"/>
  <c r="H419" i="55"/>
  <c r="L584" i="55"/>
  <c r="K425" i="55"/>
  <c r="K427" i="55" s="1"/>
  <c r="K584" i="55"/>
  <c r="J425" i="55"/>
  <c r="J427" i="55" s="1"/>
  <c r="L537" i="55"/>
  <c r="Q537" i="55"/>
  <c r="Q534" i="55"/>
  <c r="Q540" i="55"/>
  <c r="AY354" i="1"/>
  <c r="AX354" i="1"/>
  <c r="AW354" i="1"/>
  <c r="AV354" i="1"/>
  <c r="AY335" i="1"/>
  <c r="AW335" i="1"/>
  <c r="AX335" i="1"/>
  <c r="AV335" i="1"/>
  <c r="AY313" i="1"/>
  <c r="AW313" i="1"/>
  <c r="AX313" i="1"/>
  <c r="AV313" i="1"/>
  <c r="W62" i="54"/>
  <c r="N126" i="55"/>
  <c r="O126" i="55" s="1"/>
  <c r="N104" i="55"/>
  <c r="O104" i="55" s="1"/>
  <c r="N82" i="55"/>
  <c r="N60" i="55"/>
  <c r="O60" i="55" s="1"/>
  <c r="F546" i="55"/>
  <c r="G546" i="55"/>
  <c r="R52" i="66"/>
  <c r="M52" i="66" s="1"/>
  <c r="G707" i="55"/>
  <c r="F67" i="66"/>
  <c r="C67" i="66" s="1"/>
  <c r="J67" i="66"/>
  <c r="J72" i="66" s="1"/>
  <c r="Q52" i="66"/>
  <c r="K52" i="66" s="1"/>
  <c r="F707" i="55"/>
  <c r="H67" i="66"/>
  <c r="H72" i="66" s="1"/>
  <c r="O539" i="55"/>
  <c r="O418" i="55" s="1"/>
  <c r="M706" i="55"/>
  <c r="X52" i="66" s="1"/>
  <c r="O538" i="55"/>
  <c r="O417" i="55" s="1"/>
  <c r="X67" i="66"/>
  <c r="V47" i="50"/>
  <c r="N706" i="55"/>
  <c r="Y52" i="66" s="1"/>
  <c r="O533" i="55"/>
  <c r="O412" i="55" s="1"/>
  <c r="L536" i="55"/>
  <c r="J707" i="55"/>
  <c r="L749" i="55"/>
  <c r="O749" i="55" s="1"/>
  <c r="I251" i="55"/>
  <c r="W67" i="66"/>
  <c r="I707" i="55"/>
  <c r="T52" i="66"/>
  <c r="N52" i="66" s="1"/>
  <c r="U52" i="66"/>
  <c r="P52" i="66" s="1"/>
  <c r="Y67" i="66"/>
  <c r="N532" i="55"/>
  <c r="K707" i="55"/>
  <c r="H546" i="55"/>
  <c r="L706" i="55"/>
  <c r="W52" i="66" s="1"/>
  <c r="S52" i="66"/>
  <c r="L52" i="66" s="1"/>
  <c r="I52" i="66" s="1"/>
  <c r="I59" i="66" s="1"/>
  <c r="H707" i="55"/>
  <c r="I67" i="66"/>
  <c r="I72" i="66" s="1"/>
  <c r="J19" i="54"/>
  <c r="J751" i="55"/>
  <c r="W58" i="54"/>
  <c r="W64" i="54" s="1"/>
  <c r="AN96" i="56"/>
  <c r="AB96" i="56"/>
  <c r="R57" i="62"/>
  <c r="T57" i="62" s="1"/>
  <c r="AP96" i="56"/>
  <c r="U30" i="50"/>
  <c r="G30" i="49"/>
  <c r="P25" i="58"/>
  <c r="G25" i="58" s="1"/>
  <c r="G17" i="58"/>
  <c r="V28" i="50"/>
  <c r="H28" i="49"/>
  <c r="J92" i="46"/>
  <c r="G90" i="39"/>
  <c r="G89" i="39"/>
  <c r="P108" i="49"/>
  <c r="E150" i="49"/>
  <c r="G49" i="49"/>
  <c r="U49" i="50"/>
  <c r="S30" i="50"/>
  <c r="E30" i="49"/>
  <c r="E102" i="49" s="1"/>
  <c r="B11" i="14"/>
  <c r="E6" i="36"/>
  <c r="E41" i="36" s="1"/>
  <c r="E45" i="36" s="1"/>
  <c r="P15" i="19"/>
  <c r="P22" i="19" s="1"/>
  <c r="S22" i="19" s="1"/>
  <c r="F22" i="19"/>
  <c r="F91" i="19"/>
  <c r="G29" i="49"/>
  <c r="U29" i="50"/>
  <c r="S31" i="50"/>
  <c r="E31" i="49"/>
  <c r="E104" i="49" s="1"/>
  <c r="F63" i="58"/>
  <c r="V63" i="58"/>
  <c r="H99" i="56"/>
  <c r="H126" i="56"/>
  <c r="J93" i="46"/>
  <c r="H46" i="49"/>
  <c r="V46" i="50"/>
  <c r="G751" i="55"/>
  <c r="M749" i="55"/>
  <c r="AQ39" i="58"/>
  <c r="AT37" i="58"/>
  <c r="N749" i="55"/>
  <c r="H751" i="55"/>
  <c r="K751" i="55"/>
  <c r="F75" i="58"/>
  <c r="V75" i="58"/>
  <c r="G174" i="19"/>
  <c r="G134" i="19"/>
  <c r="U31" i="50"/>
  <c r="G31" i="49"/>
  <c r="V58" i="54"/>
  <c r="V64" i="54" s="1"/>
  <c r="I29" i="54"/>
  <c r="F39" i="58"/>
  <c r="V39" i="58"/>
  <c r="Z226" i="58" s="1"/>
  <c r="Y31" i="54"/>
  <c r="L31" i="54" s="1"/>
  <c r="AQ99" i="58"/>
  <c r="AT86" i="58"/>
  <c r="V31" i="50"/>
  <c r="H31" i="49"/>
  <c r="H105" i="19"/>
  <c r="H7" i="39" s="1"/>
  <c r="H11" i="39" s="1"/>
  <c r="H85" i="39" s="1"/>
  <c r="H132" i="19"/>
  <c r="U28" i="50"/>
  <c r="I92" i="46"/>
  <c r="G28" i="49"/>
  <c r="G80" i="58"/>
  <c r="P99" i="58"/>
  <c r="G99" i="58" s="1"/>
  <c r="H48" i="49"/>
  <c r="V48" i="50"/>
  <c r="AD96" i="56"/>
  <c r="L25" i="54"/>
  <c r="Y29" i="54"/>
  <c r="Y19" i="54"/>
  <c r="L15" i="54"/>
  <c r="U80" i="58"/>
  <c r="U99" i="58" s="1"/>
  <c r="Q80" i="58"/>
  <c r="K99" i="58"/>
  <c r="I80" i="58"/>
  <c r="DQ17" i="58"/>
  <c r="R17" i="58"/>
  <c r="S17" i="58"/>
  <c r="I25" i="58"/>
  <c r="DQ25" i="58" s="1"/>
  <c r="J131" i="58"/>
  <c r="J102" i="58"/>
  <c r="AQ83" i="56"/>
  <c r="Y24" i="54"/>
  <c r="L20" i="54"/>
  <c r="I19" i="54"/>
  <c r="V56" i="54"/>
  <c r="V62" i="54" s="1"/>
  <c r="E29" i="49"/>
  <c r="E100" i="49" s="1"/>
  <c r="S29" i="50"/>
  <c r="G128" i="56"/>
  <c r="G168" i="56"/>
  <c r="Q17" i="58"/>
  <c r="U25" i="58"/>
  <c r="V57" i="54"/>
  <c r="V63" i="54" s="1"/>
  <c r="I24" i="54"/>
  <c r="O203" i="55"/>
  <c r="N13" i="62"/>
  <c r="J56" i="62"/>
  <c r="N56" i="62" s="1"/>
  <c r="R56" i="62" s="1"/>
  <c r="T56" i="62" s="1"/>
  <c r="F25" i="56"/>
  <c r="DN25" i="56" s="1"/>
  <c r="DN17" i="56"/>
  <c r="P17" i="56"/>
  <c r="P25" i="56" s="1"/>
  <c r="S25" i="56" s="1"/>
  <c r="F77" i="56"/>
  <c r="O17" i="56"/>
  <c r="V49" i="50"/>
  <c r="H49" i="49"/>
  <c r="W57" i="54"/>
  <c r="W63" i="54" s="1"/>
  <c r="J24" i="54"/>
  <c r="E152" i="49"/>
  <c r="P110" i="49"/>
  <c r="L9" i="54"/>
  <c r="Y14" i="54"/>
  <c r="I207" i="55"/>
  <c r="G48" i="49"/>
  <c r="U48" i="50"/>
  <c r="I14" i="54"/>
  <c r="V55" i="54"/>
  <c r="V61" i="54" s="1"/>
  <c r="H29" i="49"/>
  <c r="H100" i="49" s="1"/>
  <c r="H142" i="49" s="1"/>
  <c r="V29" i="50"/>
  <c r="G46" i="49"/>
  <c r="I93" i="46"/>
  <c r="U46" i="50"/>
  <c r="W55" i="54"/>
  <c r="W61" i="54" s="1"/>
  <c r="J14" i="54"/>
  <c r="AV86" i="58"/>
  <c r="AS99" i="58"/>
  <c r="H30" i="49"/>
  <c r="V30" i="50"/>
  <c r="V51" i="58"/>
  <c r="F51" i="58"/>
  <c r="G100" i="49" l="1"/>
  <c r="G142" i="49" s="1"/>
  <c r="O540" i="55"/>
  <c r="O419" i="55" s="1"/>
  <c r="O534" i="55"/>
  <c r="O413" i="55" s="1"/>
  <c r="M546" i="55"/>
  <c r="M425" i="55" s="1"/>
  <c r="M427" i="55" s="1"/>
  <c r="S536" i="55"/>
  <c r="S415" i="55" s="1"/>
  <c r="Q415" i="55"/>
  <c r="S540" i="55"/>
  <c r="S419" i="55" s="1"/>
  <c r="Q419" i="55"/>
  <c r="S534" i="55"/>
  <c r="S413" i="55" s="1"/>
  <c r="Q413" i="55"/>
  <c r="S532" i="55"/>
  <c r="S411" i="55" s="1"/>
  <c r="Q411" i="55"/>
  <c r="S537" i="55"/>
  <c r="S416" i="55" s="1"/>
  <c r="Q416" i="55"/>
  <c r="O536" i="55"/>
  <c r="O415" i="55" s="1"/>
  <c r="L415" i="55"/>
  <c r="H584" i="55"/>
  <c r="H586" i="55" s="1"/>
  <c r="H589" i="55" s="1"/>
  <c r="G425" i="55"/>
  <c r="G427" i="55" s="1"/>
  <c r="G584" i="55"/>
  <c r="M584" i="55" s="1"/>
  <c r="F425" i="55"/>
  <c r="F427" i="55" s="1"/>
  <c r="I584" i="55"/>
  <c r="O584" i="55" s="1"/>
  <c r="H425" i="55"/>
  <c r="H427" i="55" s="1"/>
  <c r="N546" i="55"/>
  <c r="N425" i="55" s="1"/>
  <c r="N427" i="55" s="1"/>
  <c r="N411" i="55"/>
  <c r="O537" i="55"/>
  <c r="O416" i="55" s="1"/>
  <c r="L416" i="55"/>
  <c r="AZ354" i="1"/>
  <c r="BC354" i="1" s="1"/>
  <c r="BA354" i="1"/>
  <c r="BD354" i="1" s="1"/>
  <c r="BB354" i="1"/>
  <c r="BE354" i="1" s="1"/>
  <c r="BA335" i="1"/>
  <c r="BD335" i="1" s="1"/>
  <c r="AZ335" i="1"/>
  <c r="BC335" i="1" s="1"/>
  <c r="BB335" i="1"/>
  <c r="BE335" i="1" s="1"/>
  <c r="BA313" i="1"/>
  <c r="BD313" i="1" s="1"/>
  <c r="AZ313" i="1"/>
  <c r="BC313" i="1" s="1"/>
  <c r="BB313" i="1"/>
  <c r="BE313" i="1" s="1"/>
  <c r="J52" i="66"/>
  <c r="J53" i="66" s="1"/>
  <c r="J54" i="66" s="1"/>
  <c r="H52" i="66"/>
  <c r="H53" i="66" s="1"/>
  <c r="H54" i="66" s="1"/>
  <c r="L546" i="55"/>
  <c r="L425" i="55" s="1"/>
  <c r="L427" i="55" s="1"/>
  <c r="I751" i="55"/>
  <c r="I754" i="55" s="1"/>
  <c r="I53" i="66"/>
  <c r="I54" i="66" s="1"/>
  <c r="O532" i="55"/>
  <c r="F52" i="66"/>
  <c r="G104" i="49"/>
  <c r="G146" i="49" s="1"/>
  <c r="G84" i="49"/>
  <c r="G93" i="49" s="1"/>
  <c r="H17" i="58"/>
  <c r="Q25" i="58"/>
  <c r="H25" i="58" s="1"/>
  <c r="DS17" i="58"/>
  <c r="DP17" i="58"/>
  <c r="P104" i="49"/>
  <c r="E146" i="49"/>
  <c r="H174" i="19"/>
  <c r="H134" i="19"/>
  <c r="K102" i="58"/>
  <c r="K131" i="58"/>
  <c r="H90" i="39"/>
  <c r="H89" i="39"/>
  <c r="P749" i="55"/>
  <c r="P752" i="55" s="1"/>
  <c r="O80" i="58"/>
  <c r="R80" i="58"/>
  <c r="I99" i="58"/>
  <c r="S80" i="58"/>
  <c r="S99" i="58" s="1"/>
  <c r="Q99" i="58"/>
  <c r="H99" i="58" s="1"/>
  <c r="H80" i="58"/>
  <c r="H104" i="49"/>
  <c r="H146" i="49" s="1"/>
  <c r="G754" i="55"/>
  <c r="G755" i="55"/>
  <c r="P100" i="49"/>
  <c r="E142" i="49"/>
  <c r="Q175" i="19"/>
  <c r="G177" i="19"/>
  <c r="L19" i="54"/>
  <c r="Y56" i="54"/>
  <c r="Y62" i="54" s="1"/>
  <c r="L29" i="54"/>
  <c r="Y58" i="54"/>
  <c r="Y64" i="54" s="1"/>
  <c r="P91" i="19"/>
  <c r="P102" i="19" s="1"/>
  <c r="F102" i="19"/>
  <c r="J95" i="46"/>
  <c r="DM17" i="56"/>
  <c r="DP17" i="56"/>
  <c r="H84" i="49"/>
  <c r="H93" i="49" s="1"/>
  <c r="H98" i="49"/>
  <c r="H83" i="49"/>
  <c r="F96" i="56"/>
  <c r="P77" i="56"/>
  <c r="P96" i="56" s="1"/>
  <c r="Y57" i="54"/>
  <c r="Y63" i="54" s="1"/>
  <c r="L24" i="54"/>
  <c r="H754" i="55"/>
  <c r="H755" i="55"/>
  <c r="Q169" i="56"/>
  <c r="G171" i="56"/>
  <c r="E11" i="14"/>
  <c r="E13" i="14" s="1"/>
  <c r="E8" i="13"/>
  <c r="B13" i="14"/>
  <c r="H168" i="56"/>
  <c r="H128" i="56"/>
  <c r="T131" i="58"/>
  <c r="G131" i="58" s="1"/>
  <c r="G133" i="58" s="1"/>
  <c r="G198" i="58" s="1"/>
  <c r="G202" i="58" s="1"/>
  <c r="J191" i="58"/>
  <c r="J133" i="58"/>
  <c r="Y55" i="54"/>
  <c r="Y61" i="54" s="1"/>
  <c r="L14" i="54"/>
  <c r="P102" i="49"/>
  <c r="E144" i="49"/>
  <c r="H102" i="49"/>
  <c r="H144" i="49" s="1"/>
  <c r="S25" i="58"/>
  <c r="O17" i="58"/>
  <c r="G98" i="49"/>
  <c r="G83" i="49"/>
  <c r="G102" i="49"/>
  <c r="G144" i="49" s="1"/>
  <c r="I95" i="46"/>
  <c r="I586" i="55" l="1"/>
  <c r="I589" i="55" s="1"/>
  <c r="H590" i="55"/>
  <c r="G586" i="55"/>
  <c r="Q584" i="55"/>
  <c r="S584" i="55" s="1"/>
  <c r="N584" i="55"/>
  <c r="O546" i="55"/>
  <c r="O411" i="55"/>
  <c r="BG354" i="1"/>
  <c r="BH354" i="1"/>
  <c r="BI354" i="1"/>
  <c r="BF354" i="1"/>
  <c r="H59" i="66"/>
  <c r="BI335" i="1"/>
  <c r="BG335" i="1"/>
  <c r="BH335" i="1"/>
  <c r="BF335" i="1"/>
  <c r="BF313" i="1"/>
  <c r="BI313" i="1"/>
  <c r="BH313" i="1"/>
  <c r="BG313" i="1"/>
  <c r="J59" i="66"/>
  <c r="I590" i="55"/>
  <c r="K6" i="55" s="1"/>
  <c r="L752" i="55"/>
  <c r="I755" i="55"/>
  <c r="J755" i="55" s="1"/>
  <c r="J6" i="55"/>
  <c r="F80" i="58"/>
  <c r="O99" i="58"/>
  <c r="E63" i="38"/>
  <c r="E103" i="38" s="1"/>
  <c r="E110" i="38" s="1"/>
  <c r="E112" i="38" s="1"/>
  <c r="G183" i="19"/>
  <c r="G184" i="19"/>
  <c r="K191" i="58"/>
  <c r="U131" i="58"/>
  <c r="H131" i="58" s="1"/>
  <c r="H133" i="58" s="1"/>
  <c r="H198" i="58" s="1"/>
  <c r="H202" i="58" s="1"/>
  <c r="K133" i="58"/>
  <c r="F99" i="56"/>
  <c r="I99" i="56" s="1"/>
  <c r="F126" i="56"/>
  <c r="H171" i="56"/>
  <c r="R169" i="56"/>
  <c r="J194" i="58"/>
  <c r="P192" i="58"/>
  <c r="R175" i="19"/>
  <c r="H177" i="19"/>
  <c r="G117" i="49"/>
  <c r="G159" i="49" s="1"/>
  <c r="G140" i="49"/>
  <c r="H92" i="49"/>
  <c r="H95" i="49" s="1"/>
  <c r="H86" i="49"/>
  <c r="O25" i="58"/>
  <c r="F17" i="58"/>
  <c r="F105" i="19"/>
  <c r="F132" i="19"/>
  <c r="P126" i="56"/>
  <c r="S96" i="56"/>
  <c r="BR96" i="56"/>
  <c r="BP102" i="19"/>
  <c r="P132" i="19"/>
  <c r="S102" i="19"/>
  <c r="E14" i="13"/>
  <c r="E15" i="13" s="1"/>
  <c r="H8" i="13"/>
  <c r="H14" i="13" s="1"/>
  <c r="H15" i="13" s="1"/>
  <c r="G177" i="56"/>
  <c r="G178" i="56"/>
  <c r="I131" i="58"/>
  <c r="I102" i="58"/>
  <c r="L102" i="58" s="1"/>
  <c r="H117" i="49"/>
  <c r="H159" i="49" s="1"/>
  <c r="H140" i="49"/>
  <c r="G86" i="49"/>
  <c r="G92" i="49"/>
  <c r="G95" i="49" s="1"/>
  <c r="J17" i="55" l="1"/>
  <c r="J131" i="55" s="1"/>
  <c r="K17" i="55"/>
  <c r="K131" i="55" s="1"/>
  <c r="G589" i="55"/>
  <c r="G590" i="55"/>
  <c r="I6" i="55" s="1"/>
  <c r="J258" i="55"/>
  <c r="O425" i="55"/>
  <c r="O427" i="55" s="1"/>
  <c r="BL354" i="1"/>
  <c r="BO354" i="1" s="1"/>
  <c r="BK354" i="1"/>
  <c r="BN354" i="1" s="1"/>
  <c r="BJ354" i="1"/>
  <c r="BM354" i="1" s="1"/>
  <c r="BK335" i="1"/>
  <c r="BN335" i="1" s="1"/>
  <c r="BJ335" i="1"/>
  <c r="BM335" i="1" s="1"/>
  <c r="BL335" i="1"/>
  <c r="BO335" i="1" s="1"/>
  <c r="BJ313" i="1"/>
  <c r="BM313" i="1" s="1"/>
  <c r="BK313" i="1"/>
  <c r="BN313" i="1" s="1"/>
  <c r="BL313" i="1"/>
  <c r="BO313" i="1" s="1"/>
  <c r="I105" i="19"/>
  <c r="F7" i="39"/>
  <c r="F11" i="39" s="1"/>
  <c r="Q192" i="58"/>
  <c r="K194" i="58"/>
  <c r="V25" i="58"/>
  <c r="F25" i="58"/>
  <c r="F168" i="56"/>
  <c r="F128" i="56"/>
  <c r="I128" i="56" s="1"/>
  <c r="J200" i="58"/>
  <c r="J201" i="58"/>
  <c r="F63" i="38"/>
  <c r="F103" i="38" s="1"/>
  <c r="F110" i="38" s="1"/>
  <c r="F112" i="38" s="1"/>
  <c r="H183" i="19"/>
  <c r="H184" i="19"/>
  <c r="BP132" i="19"/>
  <c r="S132" i="19"/>
  <c r="P174" i="19"/>
  <c r="S174" i="19" s="1"/>
  <c r="H177" i="56"/>
  <c r="H178" i="56"/>
  <c r="I133" i="58"/>
  <c r="L133" i="58" s="1"/>
  <c r="S131" i="58"/>
  <c r="I191" i="58"/>
  <c r="BR126" i="56"/>
  <c r="S126" i="56"/>
  <c r="P168" i="56"/>
  <c r="S168" i="56" s="1"/>
  <c r="V99" i="58"/>
  <c r="F99" i="58"/>
  <c r="BU99" i="58"/>
  <c r="F174" i="19"/>
  <c r="F134" i="19"/>
  <c r="I134" i="19" s="1"/>
  <c r="N17" i="55" l="1"/>
  <c r="N131" i="55" s="1"/>
  <c r="M17" i="55"/>
  <c r="M131" i="55" s="1"/>
  <c r="X4" i="54"/>
  <c r="K4" i="54" s="1"/>
  <c r="N32" i="55"/>
  <c r="K32" i="55"/>
  <c r="X48" i="54" s="1"/>
  <c r="J32" i="55"/>
  <c r="W48" i="54" s="1"/>
  <c r="W4" i="54"/>
  <c r="J4" i="54" s="1"/>
  <c r="I17" i="55"/>
  <c r="I131" i="55" s="1"/>
  <c r="J590" i="55"/>
  <c r="BQ354" i="1"/>
  <c r="BR354" i="1"/>
  <c r="BS354" i="1"/>
  <c r="BP354" i="1"/>
  <c r="BS335" i="1"/>
  <c r="BQ335" i="1"/>
  <c r="BR335" i="1"/>
  <c r="BP335" i="1"/>
  <c r="BS313" i="1"/>
  <c r="BQ313" i="1"/>
  <c r="BR313" i="1"/>
  <c r="BP313" i="1"/>
  <c r="E64" i="46"/>
  <c r="S64" i="50" s="1"/>
  <c r="M32" i="55"/>
  <c r="J24" i="62"/>
  <c r="N53" i="62" s="1"/>
  <c r="N61" i="62" s="1"/>
  <c r="K196" i="55"/>
  <c r="W42" i="54" s="1"/>
  <c r="I24" i="62"/>
  <c r="M53" i="62" s="1"/>
  <c r="M61" i="62" s="1"/>
  <c r="J196" i="55"/>
  <c r="G199" i="55" s="1"/>
  <c r="X8" i="54"/>
  <c r="K8" i="54" s="1"/>
  <c r="E46" i="46"/>
  <c r="E84" i="46" s="1"/>
  <c r="E93" i="46" s="1"/>
  <c r="L93" i="46" s="1"/>
  <c r="M93" i="46" s="1"/>
  <c r="F177" i="19"/>
  <c r="P175" i="19"/>
  <c r="K200" i="58"/>
  <c r="K201" i="58"/>
  <c r="J11" i="39"/>
  <c r="F85" i="39"/>
  <c r="F131" i="58"/>
  <c r="F133" i="58" s="1"/>
  <c r="F198" i="58" s="1"/>
  <c r="F202" i="58" s="1"/>
  <c r="BU131" i="58"/>
  <c r="I194" i="58"/>
  <c r="O192" i="58"/>
  <c r="P169" i="56"/>
  <c r="F171" i="56"/>
  <c r="W8" i="54" l="1"/>
  <c r="W54" i="54" s="1"/>
  <c r="W60" i="54" s="1"/>
  <c r="T17" i="55"/>
  <c r="L17" i="55"/>
  <c r="L131" i="55" s="1"/>
  <c r="V4" i="54"/>
  <c r="I32" i="55"/>
  <c r="V48" i="54" s="1"/>
  <c r="Y48" i="54" s="1"/>
  <c r="BV354" i="1"/>
  <c r="BY354" i="1" s="1"/>
  <c r="BU354" i="1"/>
  <c r="BX354" i="1" s="1"/>
  <c r="BT354" i="1"/>
  <c r="BW354" i="1" s="1"/>
  <c r="E64" i="49"/>
  <c r="E85" i="49" s="1"/>
  <c r="P85" i="49" s="1"/>
  <c r="BU335" i="1"/>
  <c r="BX335" i="1" s="1"/>
  <c r="BT335" i="1"/>
  <c r="BW335" i="1" s="1"/>
  <c r="J61" i="62"/>
  <c r="J63" i="62" s="1"/>
  <c r="BV335" i="1"/>
  <c r="BY335" i="1" s="1"/>
  <c r="E85" i="46"/>
  <c r="E94" i="46" s="1"/>
  <c r="L94" i="46" s="1"/>
  <c r="M94" i="46" s="1"/>
  <c r="BU313" i="1"/>
  <c r="BX313" i="1" s="1"/>
  <c r="BT313" i="1"/>
  <c r="BW313" i="1" s="1"/>
  <c r="BV313" i="1"/>
  <c r="BY313" i="1" s="1"/>
  <c r="I61" i="62"/>
  <c r="I63" i="62" s="1"/>
  <c r="X43" i="54"/>
  <c r="X54" i="54"/>
  <c r="X60" i="54" s="1"/>
  <c r="X37" i="54"/>
  <c r="K37" i="54" s="1"/>
  <c r="N5" i="62"/>
  <c r="Q5" i="62" s="1"/>
  <c r="N196" i="55"/>
  <c r="N256" i="55" s="1"/>
  <c r="N299" i="55" s="1"/>
  <c r="M5" i="62"/>
  <c r="P5" i="62" s="1"/>
  <c r="M196" i="55"/>
  <c r="M256" i="55" s="1"/>
  <c r="M299" i="55" s="1"/>
  <c r="E46" i="49"/>
  <c r="E84" i="49" s="1"/>
  <c r="P84" i="49" s="1"/>
  <c r="S46" i="50"/>
  <c r="J256" i="55"/>
  <c r="G258" i="55" s="1"/>
  <c r="X42" i="54"/>
  <c r="W37" i="54"/>
  <c r="J37" i="54" s="1"/>
  <c r="K256" i="55"/>
  <c r="K299" i="55" s="1"/>
  <c r="J8" i="54"/>
  <c r="H199" i="55"/>
  <c r="W43" i="54"/>
  <c r="W44" i="54" s="1"/>
  <c r="F90" i="39"/>
  <c r="F89" i="39"/>
  <c r="I200" i="58"/>
  <c r="I201" i="58"/>
  <c r="L194" i="58"/>
  <c r="J85" i="39"/>
  <c r="L11" i="39"/>
  <c r="F178" i="56"/>
  <c r="F177" i="56"/>
  <c r="D63" i="38"/>
  <c r="D103" i="38" s="1"/>
  <c r="D110" i="38" s="1"/>
  <c r="D112" i="38" s="1"/>
  <c r="F183" i="19"/>
  <c r="F184" i="19"/>
  <c r="I4" i="54" l="1"/>
  <c r="V8" i="54"/>
  <c r="Y4" i="54"/>
  <c r="L32" i="55"/>
  <c r="O32" i="55" s="1"/>
  <c r="E28" i="46"/>
  <c r="I196" i="55"/>
  <c r="H24" i="62"/>
  <c r="E94" i="49"/>
  <c r="P94" i="49" s="1"/>
  <c r="BZ354" i="1"/>
  <c r="CC354" i="1"/>
  <c r="CA354" i="1"/>
  <c r="CB354" i="1"/>
  <c r="BZ335" i="1"/>
  <c r="CA335" i="1"/>
  <c r="CB335" i="1"/>
  <c r="CC335" i="1"/>
  <c r="BZ313" i="1"/>
  <c r="CB313" i="1"/>
  <c r="CC313" i="1"/>
  <c r="CA313" i="1"/>
  <c r="X44" i="54"/>
  <c r="T39" i="54"/>
  <c r="T41" i="54" s="1"/>
  <c r="E93" i="49"/>
  <c r="P93" i="49" s="1"/>
  <c r="J299" i="55"/>
  <c r="G302" i="55" s="1"/>
  <c r="H258" i="55"/>
  <c r="S39" i="54"/>
  <c r="S41" i="54" s="1"/>
  <c r="L85" i="39"/>
  <c r="M85" i="39" s="1"/>
  <c r="M11" i="39"/>
  <c r="N300" i="55"/>
  <c r="H302" i="55"/>
  <c r="L196" i="55" l="1"/>
  <c r="L5" i="62"/>
  <c r="O5" i="62" s="1"/>
  <c r="E28" i="49"/>
  <c r="S28" i="50"/>
  <c r="E83" i="46"/>
  <c r="H61" i="62"/>
  <c r="H63" i="62" s="1"/>
  <c r="L53" i="62"/>
  <c r="Y8" i="54"/>
  <c r="L4" i="54"/>
  <c r="V42" i="54"/>
  <c r="F199" i="55"/>
  <c r="I199" i="55" s="1"/>
  <c r="I256" i="55"/>
  <c r="V43" i="54"/>
  <c r="V54" i="54"/>
  <c r="V60" i="54" s="1"/>
  <c r="I8" i="54"/>
  <c r="V37" i="54"/>
  <c r="CE354" i="1"/>
  <c r="CH354" i="1" s="1"/>
  <c r="CD354" i="1"/>
  <c r="CG354" i="1" s="1"/>
  <c r="CF354" i="1"/>
  <c r="CI354" i="1" s="1"/>
  <c r="CF335" i="1"/>
  <c r="CI335" i="1" s="1"/>
  <c r="CE335" i="1"/>
  <c r="CH335" i="1" s="1"/>
  <c r="M300" i="55"/>
  <c r="CD335" i="1"/>
  <c r="CG335" i="1" s="1"/>
  <c r="CD313" i="1"/>
  <c r="CG313" i="1" s="1"/>
  <c r="CF313" i="1"/>
  <c r="CI313" i="1" s="1"/>
  <c r="CE313" i="1"/>
  <c r="CH313" i="1" s="1"/>
  <c r="H309" i="55"/>
  <c r="N10" i="55" s="1"/>
  <c r="H308" i="55"/>
  <c r="G309" i="55"/>
  <c r="M10" i="55" s="1"/>
  <c r="G308" i="55"/>
  <c r="F258" i="55" l="1"/>
  <c r="I258" i="55" s="1"/>
  <c r="K258" i="55" s="1"/>
  <c r="I299" i="55"/>
  <c r="R53" i="62"/>
  <c r="T53" i="62" s="1"/>
  <c r="L61" i="62"/>
  <c r="R61" i="62" s="1"/>
  <c r="T61" i="62" s="1"/>
  <c r="L8" i="54"/>
  <c r="Y37" i="54"/>
  <c r="Y43" i="54"/>
  <c r="Y54" i="54"/>
  <c r="Y60" i="54" s="1"/>
  <c r="E83" i="49"/>
  <c r="E98" i="49"/>
  <c r="I37" i="54"/>
  <c r="R39" i="54"/>
  <c r="R41" i="54" s="1"/>
  <c r="Y42" i="54"/>
  <c r="V44" i="54"/>
  <c r="E92" i="46"/>
  <c r="E86" i="46"/>
  <c r="L256" i="55"/>
  <c r="O196" i="55"/>
  <c r="BR196" i="55"/>
  <c r="CJ354" i="1"/>
  <c r="CK354" i="1"/>
  <c r="CL354" i="1"/>
  <c r="CM354" i="1"/>
  <c r="CJ335" i="1"/>
  <c r="CK335" i="1"/>
  <c r="CL335" i="1"/>
  <c r="CM335" i="1"/>
  <c r="CM313" i="1"/>
  <c r="CL313" i="1"/>
  <c r="CK313" i="1"/>
  <c r="CJ313" i="1"/>
  <c r="Y44" i="54" l="1"/>
  <c r="P98" i="49"/>
  <c r="E117" i="49"/>
  <c r="E140" i="49"/>
  <c r="L92" i="46"/>
  <c r="E95" i="46"/>
  <c r="E92" i="49"/>
  <c r="P83" i="49"/>
  <c r="E86" i="49"/>
  <c r="P86" i="49" s="1"/>
  <c r="F302" i="55"/>
  <c r="L300" i="55"/>
  <c r="L37" i="54"/>
  <c r="Z37" i="54"/>
  <c r="O256" i="55"/>
  <c r="BR256" i="55" s="1"/>
  <c r="L299" i="55"/>
  <c r="O299" i="55" s="1"/>
  <c r="CP354" i="1"/>
  <c r="CS354" i="1" s="1"/>
  <c r="CO354" i="1"/>
  <c r="CR354" i="1" s="1"/>
  <c r="CN354" i="1"/>
  <c r="CQ354" i="1" s="1"/>
  <c r="CP335" i="1"/>
  <c r="CS335" i="1" s="1"/>
  <c r="CO335" i="1"/>
  <c r="CR335" i="1" s="1"/>
  <c r="CN335" i="1"/>
  <c r="CQ335" i="1" s="1"/>
  <c r="CN313" i="1"/>
  <c r="CQ313" i="1" s="1"/>
  <c r="CO313" i="1"/>
  <c r="CR313" i="1" s="1"/>
  <c r="CP313" i="1"/>
  <c r="CS313" i="1" s="1"/>
  <c r="I302" i="55" l="1"/>
  <c r="F309" i="55"/>
  <c r="L10" i="55" s="1"/>
  <c r="F308" i="55"/>
  <c r="P117" i="49"/>
  <c r="E159" i="49"/>
  <c r="P92" i="49"/>
  <c r="E95" i="49"/>
  <c r="P95" i="49" s="1"/>
  <c r="M92" i="46"/>
  <c r="L95" i="46"/>
  <c r="CT354" i="1"/>
  <c r="CU354" i="1"/>
  <c r="CX354" i="1" s="1"/>
  <c r="CV354" i="1"/>
  <c r="CY354" i="1" s="1"/>
  <c r="CW354" i="1"/>
  <c r="CZ354" i="1" s="1"/>
  <c r="CT335" i="1"/>
  <c r="CU335" i="1"/>
  <c r="CX335" i="1" s="1"/>
  <c r="CV335" i="1"/>
  <c r="CY335" i="1" s="1"/>
  <c r="CW335" i="1"/>
  <c r="CZ335" i="1" s="1"/>
  <c r="CT313" i="1"/>
  <c r="CU313" i="1"/>
  <c r="CX313" i="1" s="1"/>
  <c r="CV313" i="1"/>
  <c r="CY313" i="1" s="1"/>
  <c r="CW313" i="1"/>
  <c r="CZ3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ING. M.H.O. JOSE</author>
    <author>Osvaldo VAIO</author>
  </authors>
  <commentList>
    <comment ref="E27" authorId="0" shapeId="0" xr:uid="{00000000-0006-0000-0100-000001000000}">
      <text>
        <r>
          <rPr>
            <b/>
            <sz val="16"/>
            <color indexed="81"/>
            <rFont val="Tahoma"/>
            <family val="2"/>
          </rPr>
          <t>KWH DE USUARIOS RESIDENCIALES QUE CONSUMEN MAS DE 2999 KWH MENSUALES, NO ESTAN INCLUIDOS EN EL PLAN ESTIMULO O TIENEN TARIFA SOCIAL Y NO HAN AHORRADO RESPECTO DE IGUAL MES DE 2015</t>
        </r>
      </text>
    </comment>
    <comment ref="E56" authorId="0" shapeId="0" xr:uid="{00000000-0006-0000-0100-000002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E57" authorId="1" shapeId="0" xr:uid="{00000000-0006-0000-0100-000003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E79" authorId="0" shapeId="0" xr:uid="{00000000-0006-0000-0100-000004000000}">
      <text>
        <r>
          <rPr>
            <b/>
            <sz val="16"/>
            <color indexed="81"/>
            <rFont val="Tahoma"/>
            <family val="2"/>
          </rPr>
          <t>KWH DE USUARIOS RESIDENCIALES QUE CONSUMEN MAS DE 2999 KWH MENSUALES, NO ESTAN INCLUIDOS EN EL PLAN ESTIMULO O TIENEN TARIFA SOCIAL Y NO HAN AHORRADO RESPECTO DE IGUAL MES DE 2015</t>
        </r>
      </text>
    </comment>
    <comment ref="E108" authorId="0" shapeId="0" xr:uid="{00000000-0006-0000-0100-000005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E109" authorId="1" shapeId="0" xr:uid="{00000000-0006-0000-0100-000006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  <author>OSVALDO JOSE</author>
    <author>I.J.</author>
  </authors>
  <commentList>
    <comment ref="D2" authorId="0" shapeId="0" xr:uid="{00000000-0006-0000-0200-000001000000}">
      <text>
        <r>
          <rPr>
            <b/>
            <sz val="18"/>
            <color indexed="81"/>
            <rFont val="Tahoma"/>
            <family val="2"/>
          </rPr>
          <t>NOMBRE DE LA COOPERATIVA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" authorId="0" shapeId="0" xr:uid="{00000000-0006-0000-0200-000002000000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20"/>
            <color indexed="81"/>
            <rFont val="Tahoma"/>
            <family val="2"/>
          </rPr>
          <t xml:space="preserve">INDICAR NIVEL DE TENSION DE COMPRA A EPEC DE LA COOPERATIVA
</t>
        </r>
      </text>
    </comment>
    <comment ref="G10" authorId="1" shapeId="0" xr:uid="{00000000-0006-0000-0200-000003000000}">
      <text>
        <r>
          <rPr>
            <b/>
            <sz val="8"/>
            <color indexed="81"/>
            <rFont val="Tahoma"/>
            <family val="2"/>
          </rPr>
          <t>TOMAR DATOS DE COMPRA DE ENERGIA SUMINISTRADOS POR EPEC U OTRA COOPERATIVA.
ESTOS DATOS ESTARAN DISPONIBLES EN CADA  EN LA PAGINA WWW.EPEC.COM.AR A LA CUAL ACCEDE CON CLAVE AUTORIZADA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10" authorId="1" shapeId="0" xr:uid="{00000000-0006-0000-0200-000004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  <comment ref="I10" authorId="1" shapeId="0" xr:uid="{00000000-0006-0000-0200-000005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  <comment ref="G24" authorId="1" shapeId="0" xr:uid="{00000000-0006-0000-0200-000006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24" authorId="1" shapeId="0" xr:uid="{00000000-0006-0000-0200-000007000000}">
      <text>
        <r>
          <rPr>
            <b/>
            <sz val="8"/>
            <color indexed="81"/>
            <rFont val="Tahoma"/>
            <family val="2"/>
          </rPr>
          <t>ESTOS DATOS SURGEN DE LLENAR LA HOJA Nº2.</t>
        </r>
      </text>
    </comment>
    <comment ref="I24" authorId="1" shapeId="0" xr:uid="{00000000-0006-0000-0200-000008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G27" authorId="1" shapeId="0" xr:uid="{00000000-0006-0000-0200-000009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27" authorId="1" shapeId="0" xr:uid="{00000000-0006-0000-0200-00000A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27" authorId="1" shapeId="0" xr:uid="{00000000-0006-0000-0200-00000B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36" authorId="1" shapeId="0" xr:uid="{00000000-0006-0000-0200-00000C000000}">
      <text>
        <r>
          <rPr>
            <b/>
            <sz val="22"/>
            <color indexed="81"/>
            <rFont val="Tahoma"/>
            <family val="2"/>
          </rPr>
          <t xml:space="preserve">CONSIGNAR EN ESTA CELDA LA SUMATORIA DE LOS CONSUMOS DE USUARIOS INCLUIDOS EN ESTA FRANJA QUE TENGAN </t>
        </r>
        <r>
          <rPr>
            <b/>
            <i/>
            <u/>
            <sz val="22"/>
            <color indexed="10"/>
            <rFont val="Tahoma"/>
            <family val="2"/>
          </rPr>
          <t>MEDICION DE DEMANDA</t>
        </r>
      </text>
    </comment>
    <comment ref="J36" authorId="1" shapeId="0" xr:uid="{00000000-0006-0000-0200-00000D000000}">
      <text>
        <r>
          <rPr>
            <b/>
            <sz val="22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36" authorId="1" shapeId="0" xr:uid="{00000000-0006-0000-0200-00000E000000}">
      <text>
        <r>
          <rPr>
            <b/>
            <sz val="22"/>
            <color indexed="81"/>
            <rFont val="Tahoma"/>
            <family val="2"/>
          </rPr>
          <t>CONSIGNAR LA SUMA TOTAL DE LOS USUARIOS INCLUIDOS EN ESTE SEGMENTO</t>
        </r>
        <r>
          <rPr>
            <b/>
            <sz val="8"/>
            <color indexed="81"/>
            <rFont val="Tahoma"/>
            <family val="2"/>
          </rPr>
          <t>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37" authorId="1" shapeId="0" xr:uid="{00000000-0006-0000-0200-00000F000000}">
      <text>
        <r>
          <rPr>
            <b/>
            <sz val="20"/>
            <color indexed="81"/>
            <rFont val="Tahoma"/>
            <family val="2"/>
          </rPr>
          <t xml:space="preserve">CONSIGNAR EN ESTA CELDA LA SUMATORIA DE LOS CONSUMOS DE USUARIOS INCLUIDOS EN ESTA FRANJA QUE TENGAN </t>
        </r>
        <r>
          <rPr>
            <b/>
            <i/>
            <u/>
            <sz val="20"/>
            <color indexed="10"/>
            <rFont val="Tahoma"/>
            <family val="2"/>
          </rPr>
          <t>MEDICION DE DEMANDA</t>
        </r>
      </text>
    </comment>
    <comment ref="J37" authorId="1" shapeId="0" xr:uid="{00000000-0006-0000-0200-000010000000}">
      <text>
        <r>
          <rPr>
            <b/>
            <sz val="22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37" authorId="1" shapeId="0" xr:uid="{00000000-0006-0000-0200-000011000000}">
      <text>
        <r>
          <rPr>
            <b/>
            <sz val="22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40" authorId="1" shapeId="0" xr:uid="{00000000-0006-0000-0200-000012000000}">
      <text>
        <r>
          <rPr>
            <b/>
            <sz val="8"/>
            <color indexed="81"/>
            <rFont val="Tahoma"/>
            <family val="2"/>
          </rPr>
          <t>CONSUMOS MAYORES A 15000 KWH RESIDENCIAL Y OTROS USUARIOS 9000 KWH QUE NO TIENEN MEDICION DE DEMANDA.
SUGERIMOS COLOCAR MEDIDORES CON MEDICION DE DEMANDA.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48" authorId="1" shapeId="0" xr:uid="{00000000-0006-0000-0200-000013000000}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USUARIOS CON CONSUMOS RESIDENCIALES MAYORES A 5000 KWH Y MENORES QUE 15000 Y RESTOS USUARIOS MAYOR A 3000 Y MENOR QUE 9000 KWH</t>
        </r>
      </text>
    </comment>
    <comment ref="N78" authorId="2" shapeId="0" xr:uid="{00000000-0006-0000-0200-000014000000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8"/>
            <color indexed="81"/>
            <rFont val="Tahoma"/>
            <family val="2"/>
          </rPr>
          <t>A DISTRIBUIR EN RES+NR+PSUM</t>
        </r>
      </text>
    </comment>
    <comment ref="H82" authorId="0" shapeId="0" xr:uid="{00000000-0006-0000-0200-000015000000}">
      <text>
        <r>
          <rPr>
            <b/>
            <sz val="18"/>
            <color indexed="81"/>
            <rFont val="Tahoma"/>
            <family val="2"/>
          </rPr>
          <t>ESTA CELDA VERIFICA SI ES CORRECTA LA ASIGNACION DE LA SECCION ANALIZANDO CONSUMO POR USUARIO.
O.K= CORRECTO
VERIFICAR=DATOS INCORRECTOS
S.D.=SIN DATOS DE USUARIOS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F281" authorId="1" shapeId="0" xr:uid="{00000000-0006-0000-0200-000016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F283" authorId="0" shapeId="0" xr:uid="{00000000-0006-0000-0200-000017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F379" authorId="1" shapeId="0" xr:uid="{00000000-0006-0000-0200-000018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F381" authorId="0" shapeId="0" xr:uid="{00000000-0006-0000-0200-000019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A383" authorId="2" shapeId="0" xr:uid="{00000000-0006-0000-0200-00001A000000}">
      <text>
        <r>
          <rPr>
            <b/>
            <sz val="28"/>
            <color indexed="81"/>
            <rFont val="Tahoma"/>
            <family val="2"/>
          </rPr>
          <t>PUNTOS DE SUMINISTROS-600-6500-N2</t>
        </r>
        <r>
          <rPr>
            <sz val="28"/>
            <color indexed="81"/>
            <rFont val="Tahoma"/>
            <family val="2"/>
          </rPr>
          <t xml:space="preserve">
DE DATOS CARGADOS EN HOJA Nº 3</t>
        </r>
      </text>
    </comment>
    <comment ref="H383" authorId="2" shapeId="0" xr:uid="{00000000-0006-0000-0200-00001B000000}">
      <text>
        <r>
          <rPr>
            <b/>
            <sz val="28"/>
            <color indexed="81"/>
            <rFont val="Tahoma"/>
            <family val="2"/>
          </rPr>
          <t>PUNTOS DE SUMINISTROS-600-6500-N2</t>
        </r>
        <r>
          <rPr>
            <sz val="28"/>
            <color indexed="81"/>
            <rFont val="Tahoma"/>
            <family val="2"/>
          </rPr>
          <t xml:space="preserve">
DE DATOS CARGADOS EN HOJA Nº 3</t>
        </r>
      </text>
    </comment>
    <comment ref="G392" authorId="0" shapeId="0" xr:uid="{00000000-0006-0000-0200-00001C000000}">
      <text>
        <r>
          <rPr>
            <b/>
            <sz val="22"/>
            <color indexed="81"/>
            <rFont val="Tahoma"/>
            <family val="2"/>
          </rPr>
          <t>CANTIDAD DE USUARIOS A SOCIADOS A CODIGOS DISTINTO TOTAL DE USUARIOS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97" authorId="0" shapeId="0" xr:uid="{00000000-0006-0000-0200-00001D000000}">
      <text>
        <r>
          <rPr>
            <b/>
            <sz val="22"/>
            <color indexed="81"/>
            <rFont val="Tahoma"/>
            <family val="2"/>
          </rPr>
          <t>SI DA ERROR ES PORQUE LOS KWH FACTURADOS CON MAYORES QUE LO SKWH COMPRADOS A EPEC-CORREGIR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97" authorId="0" shapeId="0" xr:uid="{00000000-0006-0000-0200-00001E000000}">
      <text>
        <r>
          <rPr>
            <b/>
            <sz val="18"/>
            <color indexed="81"/>
            <rFont val="Tahoma"/>
            <family val="2"/>
          </rPr>
          <t>SI DA ERROR ES PORQUE LOS KWH FACTURADOS CON MAYORES QUE LO SKWH COMPRADOS A EPEC-CORREGIR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K397" authorId="3" shapeId="0" xr:uid="{00000000-0006-0000-0200-00001F000000}">
      <text>
        <r>
          <rPr>
            <b/>
            <sz val="12"/>
            <color indexed="81"/>
            <rFont val="Tahoma"/>
            <family val="2"/>
          </rPr>
          <t xml:space="preserve">SI DA ERROR VERIFICAR SI EL MISMO ES POR LA ASIGNACION DEL 55 % DE LA ENERGIA DEL ALUMBRADO PUBLICO EN VALLE .
</t>
        </r>
        <r>
          <rPr>
            <b/>
            <u/>
            <sz val="12"/>
            <color indexed="81"/>
            <rFont val="Tahoma"/>
            <family val="2"/>
          </rPr>
          <t>PRUEBE ELIMINAR EL VALOR DE LA CELDA E88</t>
        </r>
        <r>
          <rPr>
            <b/>
            <sz val="12"/>
            <color indexed="81"/>
            <rFont val="Tahoma"/>
            <family val="2"/>
          </rPr>
          <t xml:space="preserve"> DE ALUMBRADO PUBLICO, SI EL ERROR DESAPARECE Y DA O.K. ENTONCES EL ERROR QUE SE PRODUCE ES DE LA ASIGNACION DE LOS FACTORES DE UTILIZACION.
EN ESTE CASO Y SOLO ESTE CASO NO TENER EN CUENTA EL ERROR, YA QUE SE CORRIGE AL PROPORCIONAR LAS PERDIDAS EN CADA CATEGORIA.
VUELVA A COLOCAR EL CONSUMO DEL ALUMBRADO PUBLICO EN LA CELDA E48
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ING. M.H.O. JOSE</author>
    <author>OSVALDO JOSE</author>
  </authors>
  <commentList>
    <comment ref="P7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INDICAR ENERGIA CONSUMIDA EN CADA UNA DE LAS BANDAS HORARIAS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9" authorId="0" shapeId="0" xr:uid="{00000000-0006-0000-0300-000002000000}">
      <text>
        <r>
          <rPr>
            <b/>
            <sz val="8"/>
            <color indexed="81"/>
            <rFont val="Tahoma"/>
            <family val="2"/>
          </rPr>
          <t>ESTA CELDA CORRESPONDE A C7 DE LA HOJA ENVIAR A EPEC LA CUAL DEBE SER LLENADA EN ESA HOJA, AQUÍ ESTA BLOQUEADA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9" authorId="1" shapeId="0" xr:uid="{00000000-0006-0000-0300-000003000000}">
      <text>
        <r>
          <rPr>
            <b/>
            <sz val="9"/>
            <color indexed="81"/>
            <rFont val="Tahoma"/>
            <family val="2"/>
          </rPr>
          <t>DESIGNACION DE GUDI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" authorId="1" shapeId="0" xr:uid="{00000000-0006-0000-0300-000004000000}">
      <text>
        <r>
          <rPr>
            <b/>
            <sz val="9"/>
            <color indexed="81"/>
            <rFont val="Tahoma"/>
            <family val="2"/>
          </rPr>
          <t xml:space="preserve">INDENTIFICACION DE  SUMINISTRO DE LA COOPERATIVA 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</authors>
  <commentList>
    <comment ref="A22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COLOCAR CODIGO DE SUMINISTRO DE LA COOPERATIVA 
QUE SE OBTIENE DE LA PLANILLA EXCEL DEL MES DE AGOSTO SEGÚN RES SE 92/2024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2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Seleccionar TIPO DE USUARIO , de acuerdo a DESCRIPCION (Celdas (F14-F19) y MODALIDAD DE CONSUMO -"Residencial" o "No Residencial" en CLUBES DE BARRIO Y ENTIDADES DE BIEN PUBLICO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22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INDICAR KWH CONSUMIDOS EN EL MES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</authors>
  <commentList>
    <comment ref="E17" authorId="0" shapeId="0" xr:uid="{00000000-0006-0000-0500-000001000000}">
      <text>
        <r>
          <rPr>
            <sz val="18"/>
            <color indexed="81"/>
            <rFont val="Tahoma"/>
            <family val="2"/>
          </rPr>
          <t xml:space="preserve">LOS DATOS DE LAS CELDAS EN AMARILLO SON LO QUE HAY QUE CARGAR EN LA PAGINA DE EPEC
</t>
        </r>
      </text>
    </comment>
    <comment ref="F17" authorId="0" shapeId="0" xr:uid="{00000000-0006-0000-0500-000002000000}">
      <text>
        <r>
          <rPr>
            <b/>
            <sz val="18"/>
            <color indexed="81"/>
            <rFont val="Tahoma"/>
            <family val="2"/>
          </rPr>
          <t>LOS DATOS DE LAS CELDAS EN AMARILLO SON LO QUE HAY QUE CARGAR EN LA PAGINA DE EPEC</t>
        </r>
      </text>
    </comment>
    <comment ref="E32" authorId="0" shapeId="0" xr:uid="{00000000-0006-0000-0500-000003000000}">
      <text>
        <r>
          <rPr>
            <b/>
            <sz val="18"/>
            <color indexed="81"/>
            <rFont val="Tahoma"/>
            <family val="2"/>
          </rPr>
          <t xml:space="preserve">LOS DATOS DE LAS CELDAS EN NARANJA U OTRO COLOR QUE NO SEA 
 AMARILLO SON DE VERIFICACION Y CONTROL
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AA63" authorId="0" shapeId="0" xr:uid="{00000000-0006-0000-0500-000004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A85" authorId="0" shapeId="0" xr:uid="{00000000-0006-0000-0500-000005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A107" authorId="0" shapeId="0" xr:uid="{00000000-0006-0000-0500-000006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A129" authorId="0" shapeId="0" xr:uid="{00000000-0006-0000-0500-000007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Y722" authorId="1" shapeId="0" xr:uid="{00000000-0006-0000-0500-000008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Y723" authorId="1" shapeId="0" xr:uid="{00000000-0006-0000-0500-000009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Y724" authorId="1" shapeId="0" xr:uid="{00000000-0006-0000-0500-00000A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Y727" authorId="1" shapeId="0" xr:uid="{00000000-0006-0000-0500-00000B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Y728" authorId="1" shapeId="0" xr:uid="{00000000-0006-0000-0500-00000C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Y729" authorId="1" shapeId="0" xr:uid="{00000000-0006-0000-0500-00000D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ING. M.H.O. JOSE</author>
  </authors>
  <commentList>
    <comment ref="H3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36" authorId="0" shapeId="0" xr:uid="{00000000-0006-0000-0600-000002000000}">
      <text>
        <r>
          <rPr>
            <b/>
            <sz val="8"/>
            <color indexed="81"/>
            <rFont val="Tahoma"/>
            <family val="2"/>
          </rPr>
          <t>ESTOS DATOS SURGEN DE LLENAR LA HOJA Nº2.</t>
        </r>
      </text>
    </comment>
    <comment ref="J36" authorId="0" shapeId="0" xr:uid="{00000000-0006-0000-0600-000003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38" authorId="0" shapeId="0" xr:uid="{00000000-0006-0000-0600-000004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38" authorId="0" shapeId="0" xr:uid="{00000000-0006-0000-0600-000005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J38" authorId="0" shapeId="0" xr:uid="{00000000-0006-0000-0600-000006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46" authorId="0" shapeId="0" xr:uid="{00000000-0006-0000-0600-000007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46" authorId="0" shapeId="0" xr:uid="{00000000-0006-0000-0600-000008000000}">
      <text>
        <r>
          <rPr>
            <b/>
            <sz val="8"/>
            <color indexed="81"/>
            <rFont val="Tahoma"/>
            <family val="2"/>
          </rPr>
          <t>ESTOS DATOS SURGEN DE LLENAR LA HOJA Nº2.</t>
        </r>
      </text>
    </comment>
    <comment ref="J46" authorId="0" shapeId="0" xr:uid="{00000000-0006-0000-0600-000009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48" authorId="0" shapeId="0" xr:uid="{00000000-0006-0000-0600-00000A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48" authorId="0" shapeId="0" xr:uid="{00000000-0006-0000-0600-00000B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J48" authorId="0" shapeId="0" xr:uid="{00000000-0006-0000-0600-00000C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</authors>
  <commentList>
    <comment ref="I14" authorId="0" shapeId="0" xr:uid="{00000000-0006-0000-0700-000001000000}">
      <text>
        <r>
          <rPr>
            <b/>
            <sz val="14"/>
            <color indexed="81"/>
            <rFont val="Tahoma"/>
            <family val="2"/>
          </rPr>
          <t>VER EN EN FILAS
 133 A 171 TOTALES POR SEGMENTO Y TIPO DE USUARIO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  <author>mario</author>
    <author>I.J.</author>
  </authors>
  <commentList>
    <comment ref="D2" authorId="0" shapeId="0" xr:uid="{00000000-0006-0000-0800-000001000000}">
      <text>
        <r>
          <rPr>
            <b/>
            <sz val="18"/>
            <color indexed="81"/>
            <rFont val="Tahoma"/>
            <family val="2"/>
          </rPr>
          <t>NOMBRE DE LA COOPERATIVA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" authorId="0" shapeId="0" xr:uid="{00000000-0006-0000-0800-000002000000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20"/>
            <color indexed="81"/>
            <rFont val="Tahoma"/>
            <family val="2"/>
          </rPr>
          <t xml:space="preserve">INDICAR NIVEL DE TENSION DE COMPRA A EPEC DE LA COOPERATIVA
</t>
        </r>
      </text>
    </comment>
    <comment ref="G10" authorId="1" shapeId="0" xr:uid="{00000000-0006-0000-0800-000003000000}">
      <text>
        <r>
          <rPr>
            <b/>
            <sz val="8"/>
            <color indexed="81"/>
            <rFont val="Tahoma"/>
            <family val="2"/>
          </rPr>
          <t>TOMAR DATOS DE COMPRA DE ENERGIA SUMINISTRADOS POR EPEC U OTRA COOPERATIVA.
ESTOS DATOS ESTARAN DISPONIBLES EN CADA  EN LA PAGINA WWW.EPEC.COM.AR A LA CUAL ACCEDE CON CLAVE AUTORIZADA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10" authorId="1" shapeId="0" xr:uid="{00000000-0006-0000-0800-000004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  <comment ref="I10" authorId="1" shapeId="0" xr:uid="{00000000-0006-0000-0800-000005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  <comment ref="G14" authorId="1" shapeId="0" xr:uid="{00000000-0006-0000-0800-000006000000}">
      <text>
        <r>
          <rPr>
            <b/>
            <sz val="8"/>
            <color indexed="81"/>
            <rFont val="Tahoma"/>
            <family val="2"/>
          </rPr>
          <t>ESTOS DATOS SOLO DEBEN LLENARSE EN CASO DE QUE VENDA ENERGIA A OTRA COOPERATIVA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14" authorId="1" shapeId="0" xr:uid="{00000000-0006-0000-0800-000007000000}">
      <text>
        <r>
          <rPr>
            <b/>
            <sz val="8"/>
            <color indexed="81"/>
            <rFont val="Tahoma"/>
            <family val="2"/>
          </rPr>
          <t xml:space="preserve">
ESTOS DATOS SOLO DEBEN LLENARSE EN CASO DE QUE VENDA ENERGIA A OTRA COOPERATIVA
</t>
        </r>
      </text>
    </comment>
    <comment ref="I14" authorId="1" shapeId="0" xr:uid="{00000000-0006-0000-0800-000008000000}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ESTOS DATOS SOLO DEBEN LLENARSE EN CASO DE QUE VENDA ENERGIA A OTRA COOPERATIVA
</t>
        </r>
      </text>
    </comment>
    <comment ref="C17" authorId="2" shapeId="0" xr:uid="{00000000-0006-0000-0800-000009000000}">
      <text>
        <r>
          <rPr>
            <b/>
            <sz val="20"/>
            <color indexed="81"/>
            <rFont val="Tahoma"/>
            <family val="2"/>
          </rPr>
          <t>Deben indicarse los codigos de las actividades que pierden el subsidio del Estado Nacional</t>
        </r>
      </text>
    </comment>
    <comment ref="E17" authorId="2" shapeId="0" xr:uid="{00000000-0006-0000-0800-00000A000000}">
      <text>
        <r>
          <rPr>
            <sz val="18"/>
            <color indexed="81"/>
            <rFont val="Tahoma"/>
            <family val="2"/>
          </rPr>
          <t>Seleccionar las actividades que correspondan a los usuarios de la Cooperativa que pierden el 100 % del Subsidio del Estado Nacional.
Maximo previsto 6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8" authorId="2" shapeId="0" xr:uid="{00000000-0006-0000-0800-00000B000000}">
      <text>
        <r>
          <rPr>
            <b/>
            <sz val="16"/>
            <color indexed="81"/>
            <rFont val="Tahoma"/>
            <family val="2"/>
          </rPr>
          <t xml:space="preserve">SI NO CONOCE ESTE VALOR EL PROGRAMA LE ASIGNA UNA POTENCIA POR LAMPARA DE .2 kW
</t>
        </r>
      </text>
    </comment>
    <comment ref="G28" authorId="2" shapeId="0" xr:uid="{00000000-0006-0000-0800-00000C000000}">
      <text>
        <r>
          <rPr>
            <sz val="16"/>
            <color indexed="81"/>
            <rFont val="Tahoma"/>
            <family val="2"/>
          </rPr>
          <t xml:space="preserve">SI NO CONOCE ESTE VALOR EL PROGRAMA LE ASIGNA UN USO DE 330 HORAS MENSUALES PARA CALCULAR LA POTENCIA
</t>
        </r>
      </text>
    </comment>
    <comment ref="I28" authorId="2" shapeId="0" xr:uid="{00000000-0006-0000-0800-00000D000000}">
      <text>
        <r>
          <rPr>
            <sz val="16"/>
            <color indexed="81"/>
            <rFont val="Tahoma"/>
            <family val="2"/>
          </rPr>
          <t>A= Distribuidoras que facturan del Alumbrado Público
B=Distribuidoras que recuperan el Alumbrado Público por medio de un cargo a otros usuarios (residenciales, generales, etc) o Recupero por medio de un Cargo Fijo por usuario:
C= A través de un porcentaje sobre el monto facturado a los usuarios:
D=Otro método:</t>
        </r>
      </text>
    </comment>
    <comment ref="G44" authorId="1" shapeId="0" xr:uid="{00000000-0006-0000-0800-00000E000000}">
      <text>
        <r>
          <rPr>
            <b/>
            <sz val="20"/>
            <color indexed="81"/>
            <rFont val="Tahoma"/>
            <family val="2"/>
          </rPr>
          <t xml:space="preserve">CONSIGNAR EN ESTA CELDA LA SUMATORIA DE LOS CONSUMOS DE USUARIOS INCLUIDOS EN ESTA FRANJA QUE TENGAN </t>
        </r>
        <r>
          <rPr>
            <b/>
            <i/>
            <u/>
            <sz val="20"/>
            <color indexed="10"/>
            <rFont val="Tahoma"/>
            <family val="2"/>
          </rPr>
          <t>MEDICION DE DEMANDA</t>
        </r>
      </text>
    </comment>
    <comment ref="H44" authorId="1" shapeId="0" xr:uid="{00000000-0006-0000-0800-00000F000000}">
      <text>
        <r>
          <rPr>
            <b/>
            <sz val="8"/>
            <color indexed="81"/>
            <rFont val="Tahoma"/>
            <family val="2"/>
          </rPr>
          <t>CONSIGNAR EN ESTA CELDA LA SUMATORIA DE LOS CONSUMOS DE USUARIOS INCLUIDOS EN ESTA FRANJA QUE TENGAN</t>
        </r>
        <r>
          <rPr>
            <u/>
            <sz val="8"/>
            <color indexed="10"/>
            <rFont val="Tahoma"/>
            <family val="2"/>
          </rPr>
          <t xml:space="preserve"> MEDICION DE DEMANDA</t>
        </r>
      </text>
    </comment>
    <comment ref="I44" authorId="1" shapeId="0" xr:uid="{00000000-0006-0000-0800-000010000000}">
      <text>
        <r>
          <rPr>
            <b/>
            <sz val="8"/>
            <color indexed="81"/>
            <rFont val="Tahoma"/>
            <family val="2"/>
          </rPr>
          <t>CONSIGNAR EN ESTA CELDA LA SUMATORIA DE LOS CONSUMOS DE USUARIOS INCLUIDOS EN ESTA FRANJA QUE TENGAN MEDICION DE DEMANDA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44" authorId="1" shapeId="0" xr:uid="{00000000-0006-0000-0800-000011000000}">
      <text>
        <r>
          <rPr>
            <b/>
            <sz val="8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44" authorId="1" shapeId="0" xr:uid="{00000000-0006-0000-0800-000012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45" authorId="1" shapeId="0" xr:uid="{00000000-0006-0000-0800-000013000000}">
      <text>
        <r>
          <rPr>
            <b/>
            <sz val="18"/>
            <color indexed="81"/>
            <rFont val="Tahoma"/>
            <family val="2"/>
          </rPr>
          <t>CONSIGNAR EN ESTA CELDA LA SUMATORIA DE LOS CONSUMOS DE USUARIOS INCLUIDOS EN ESTA FRANJA QUE TENGAN MEDICION DE DEMANDA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45" authorId="1" shapeId="0" xr:uid="{00000000-0006-0000-0800-000014000000}">
      <text>
        <r>
          <rPr>
            <b/>
            <sz val="8"/>
            <color indexed="81"/>
            <rFont val="Tahoma"/>
            <family val="2"/>
          </rPr>
          <t>CONSIGNAR EN ESTA CELDA LA SUMATORIA DE LOS CONSUMOS DE USUARIOS INCLUIDOS EN ESTA FRANJA QUE TENGAN MEDICION DE DEMANDA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45" authorId="1" shapeId="0" xr:uid="{00000000-0006-0000-0800-000015000000}">
      <text>
        <r>
          <rPr>
            <b/>
            <sz val="8"/>
            <color indexed="81"/>
            <rFont val="Tahoma"/>
            <family val="2"/>
          </rPr>
          <t>CONSIGNAR EN ESTA CELDA LA SUMATORIA DE LOS CONSUMOS DE USUARIOS INCLUIDOS EN ESTA FRANJA QUE TENGAN MEDICION DE DEMANDA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45" authorId="1" shapeId="0" xr:uid="{00000000-0006-0000-0800-000016000000}">
      <text>
        <r>
          <rPr>
            <b/>
            <sz val="8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45" authorId="1" shapeId="0" xr:uid="{00000000-0006-0000-0800-000017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52" authorId="1" shapeId="0" xr:uid="{00000000-0006-0000-0800-000018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52" authorId="1" shapeId="0" xr:uid="{00000000-0006-0000-0800-000019000000}">
      <text>
        <r>
          <rPr>
            <b/>
            <sz val="8"/>
            <color indexed="81"/>
            <rFont val="Tahoma"/>
            <family val="2"/>
          </rPr>
          <t>ESTOS DATOS SURGEN DE LLENAR LA HOJA Nº2.</t>
        </r>
      </text>
    </comment>
    <comment ref="I52" authorId="1" shapeId="0" xr:uid="{00000000-0006-0000-0800-00001A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G53" authorId="1" shapeId="0" xr:uid="{00000000-0006-0000-0800-00001B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53" authorId="1" shapeId="0" xr:uid="{00000000-0006-0000-0800-00001C000000}">
      <text>
        <r>
          <rPr>
            <b/>
            <sz val="8"/>
            <color indexed="81"/>
            <rFont val="Tahoma"/>
            <family val="2"/>
          </rPr>
          <t>ESTOS DATOS SURGEN DE LLENAR LA HOJA Nº2.</t>
        </r>
      </text>
    </comment>
    <comment ref="I53" authorId="1" shapeId="0" xr:uid="{00000000-0006-0000-0800-00001D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G67" authorId="1" shapeId="0" xr:uid="{00000000-0006-0000-0800-00001E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67" authorId="1" shapeId="0" xr:uid="{00000000-0006-0000-0800-00001F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67" authorId="1" shapeId="0" xr:uid="{00000000-0006-0000-0800-000020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68" authorId="1" shapeId="0" xr:uid="{00000000-0006-0000-0800-000021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H68" authorId="1" shapeId="0" xr:uid="{00000000-0006-0000-0800-000022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</text>
    </comment>
    <comment ref="I68" authorId="1" shapeId="0" xr:uid="{00000000-0006-0000-0800-000023000000}">
      <text>
        <r>
          <rPr>
            <b/>
            <sz val="8"/>
            <color indexed="81"/>
            <rFont val="Tahoma"/>
            <family val="2"/>
          </rPr>
          <t>ESTOS DATOS SURGEN DE LLENAR LA HOJA Nº2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90" authorId="1" shapeId="0" xr:uid="{00000000-0006-0000-0800-000024000000}">
      <text>
        <r>
          <rPr>
            <b/>
            <sz val="22"/>
            <color indexed="81"/>
            <rFont val="Tahoma"/>
            <family val="2"/>
          </rPr>
          <t xml:space="preserve">CONSIGNAR EN ESTA CELDA LA SUMATORIA DE LOS CONSUMOS DE USUARIOS INCLUIDOS EN ESTA FRANJA QUE TENGAN </t>
        </r>
        <r>
          <rPr>
            <b/>
            <i/>
            <u/>
            <sz val="22"/>
            <color indexed="10"/>
            <rFont val="Tahoma"/>
            <family val="2"/>
          </rPr>
          <t>MEDICION DE DEMANDA</t>
        </r>
      </text>
    </comment>
    <comment ref="J90" authorId="1" shapeId="0" xr:uid="{00000000-0006-0000-0800-000025000000}">
      <text>
        <r>
          <rPr>
            <b/>
            <sz val="22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90" authorId="1" shapeId="0" xr:uid="{00000000-0006-0000-0800-000026000000}">
      <text>
        <r>
          <rPr>
            <b/>
            <sz val="22"/>
            <color indexed="81"/>
            <rFont val="Tahoma"/>
            <family val="2"/>
          </rPr>
          <t>CONSIGNAR LA SUMA TOTAL DE LOS USUARIOS INCLUIDOS EN ESTE SEGMENTO</t>
        </r>
        <r>
          <rPr>
            <b/>
            <sz val="8"/>
            <color indexed="81"/>
            <rFont val="Tahoma"/>
            <family val="2"/>
          </rPr>
          <t>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101" authorId="1" shapeId="0" xr:uid="{00000000-0006-0000-0800-000027000000}">
      <text>
        <r>
          <rPr>
            <b/>
            <sz val="20"/>
            <color indexed="81"/>
            <rFont val="Tahoma"/>
            <family val="2"/>
          </rPr>
          <t xml:space="preserve">CONSIGNAR EN ESTA CELDA LA SUMATORIA DE LOS CONSUMOS DE USUARIOS INCLUIDOS EN ESTA FRANJA QUE TENGAN </t>
        </r>
        <r>
          <rPr>
            <b/>
            <i/>
            <u/>
            <sz val="20"/>
            <color indexed="10"/>
            <rFont val="Tahoma"/>
            <family val="2"/>
          </rPr>
          <t>MEDICION DE DEMANDA</t>
        </r>
      </text>
    </comment>
    <comment ref="J101" authorId="1" shapeId="0" xr:uid="{00000000-0006-0000-0800-000028000000}">
      <text>
        <r>
          <rPr>
            <b/>
            <sz val="22"/>
            <color indexed="81"/>
            <rFont val="Tahoma"/>
            <family val="2"/>
          </rPr>
          <t>CONSIGNAR LA SUMA TOTAL DE LOS KW DE DEMANDA MAXIMA REGISTRADA DE TODOS LOS USUARIOS INCLUIDOS EN ESTE SEGMENTO.</t>
        </r>
      </text>
    </comment>
    <comment ref="K101" authorId="1" shapeId="0" xr:uid="{00000000-0006-0000-0800-000029000000}">
      <text>
        <r>
          <rPr>
            <b/>
            <sz val="22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116" authorId="1" shapeId="0" xr:uid="{00000000-0006-0000-0800-00002A000000}">
      <text>
        <r>
          <rPr>
            <b/>
            <sz val="8"/>
            <color indexed="81"/>
            <rFont val="Tahoma"/>
            <family val="2"/>
          </rPr>
          <t>CONSUMOS MAYORES A 15000 KWH RESIDENCIAL Y OTROS USUARIOS 9000 KWH QUE NO TIENEN MEDICION DE DEMANDA.
SUGERIMOS COLOCAR MEDIDORES CON MEDICION DE DEMANDA.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K162" authorId="1" shapeId="0" xr:uid="{00000000-0006-0000-0800-00002B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171" authorId="1" shapeId="0" xr:uid="{00000000-0006-0000-0800-00002C000000}">
      <text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USUARIOS CON CONSUMOS RESIDENCIALES MAYORES A 5000 KWH Y MENORES QUE 15000 Y RESTOS USUARIOS MAYOR A 3000 Y MENOR QUE 9000 KWH</t>
        </r>
      </text>
    </comment>
    <comment ref="F217" authorId="1" shapeId="0" xr:uid="{00000000-0006-0000-0800-00002D000000}">
      <text>
        <r>
          <rPr>
            <b/>
            <sz val="8"/>
            <color indexed="81"/>
            <rFont val="Tahoma"/>
            <family val="2"/>
          </rPr>
          <t>INSERTAR KWH TOTALES MENSUALES DE USUARIOS QUE CONSUMAN MAS DE 5000 Kwh/mes</t>
        </r>
      </text>
    </comment>
    <comment ref="K217" authorId="1" shapeId="0" xr:uid="{00000000-0006-0000-0800-00002E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363" authorId="0" shapeId="0" xr:uid="{00000000-0006-0000-0800-00002F000000}">
      <text>
        <r>
          <rPr>
            <b/>
            <sz val="18"/>
            <color indexed="81"/>
            <rFont val="Tahoma"/>
            <family val="2"/>
          </rPr>
          <t>ESTA CELDA VERIFICA SI ES CORRECTA LA ASIGNACION DE LA SECCION ANALIZANDO CONSUMO POR USUARIO.
O.K= CORRECTO
VERIFICAR=DATOS INCORRECTOS
S.D.=SIN DATOS DE USUARIOS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F512" authorId="1" shapeId="0" xr:uid="{00000000-0006-0000-0800-000030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F515" authorId="0" shapeId="0" xr:uid="{00000000-0006-0000-0800-000031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F586" authorId="1" shapeId="0" xr:uid="{00000000-0006-0000-0800-000032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F589" authorId="0" shapeId="0" xr:uid="{00000000-0006-0000-0800-000033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G592" authorId="0" shapeId="0" xr:uid="{00000000-0006-0000-0800-000034000000}">
      <text>
        <r>
          <rPr>
            <b/>
            <sz val="22"/>
            <color indexed="81"/>
            <rFont val="Tahoma"/>
            <family val="2"/>
          </rPr>
          <t>CANTIDAD DE USUARIOS A SOCIADOS A CODIGOS DISTINTO TOTAL DE USUARIOS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97" authorId="0" shapeId="0" xr:uid="{00000000-0006-0000-0800-000035000000}">
      <text>
        <r>
          <rPr>
            <b/>
            <sz val="22"/>
            <color indexed="81"/>
            <rFont val="Tahoma"/>
            <family val="2"/>
          </rPr>
          <t>SI DA ERROR ES PORQUE LOS KWH FACTURADOS CON MAYORES QUE LO SKWH COMPRADOS A EPEC-CORREGIR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97" authorId="0" shapeId="0" xr:uid="{00000000-0006-0000-0800-000036000000}">
      <text>
        <r>
          <rPr>
            <b/>
            <sz val="18"/>
            <color indexed="81"/>
            <rFont val="Tahoma"/>
            <family val="2"/>
          </rPr>
          <t>SI DA ERROR ES PORQUE LOS KWH FACTURADOS CON MAYORES QUE LO SKWH COMPRADOS A EPEC-CORREGIR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K597" authorId="3" shapeId="0" xr:uid="{00000000-0006-0000-0800-000037000000}">
      <text>
        <r>
          <rPr>
            <b/>
            <sz val="12"/>
            <color indexed="81"/>
            <rFont val="Tahoma"/>
            <family val="2"/>
          </rPr>
          <t xml:space="preserve">SI DA ERROR VERIFICAR SI EL MISMO ES POR LA ASIGNACION DEL 55 % DE LA ENERGIA DEL ALUMBRADO PUBLICO EN VALLE .
</t>
        </r>
        <r>
          <rPr>
            <b/>
            <u/>
            <sz val="12"/>
            <color indexed="81"/>
            <rFont val="Tahoma"/>
            <family val="2"/>
          </rPr>
          <t>PRUEBE ELIMINAR EL VALOR DE LA CELDA E88</t>
        </r>
        <r>
          <rPr>
            <b/>
            <sz val="12"/>
            <color indexed="81"/>
            <rFont val="Tahoma"/>
            <family val="2"/>
          </rPr>
          <t xml:space="preserve"> DE ALUMBRADO PUBLICO, SI EL ERROR DESAPARECE Y DA O.K. ENTONCES EL ERROR QUE SE PRODUCE ES DE LA ASIGNACION DE LOS FACTORES DE UTILIZACION.
EN ESTE CASO Y SOLO ESTE CASO NO TENER EN CUENTA EL ERROR, YA QUE SE CORRIGE AL PROPORCIONAR LAS PERDIDAS EN CADA CATEGORIA.
VUELVA A COLOCAR EL CONSUMO DEL ALUMBRADO PUBLICO EN LA CELDA E48
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F643" authorId="1" shapeId="0" xr:uid="{00000000-0006-0000-0800-000038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MENOS DE 1999 KWH MENSUALES 
</t>
        </r>
      </text>
    </comment>
    <comment ref="F646" authorId="0" shapeId="0" xr:uid="{00000000-0006-0000-0800-000039000000}">
      <text>
        <r>
          <rPr>
            <b/>
            <sz val="16"/>
            <color indexed="81"/>
            <rFont val="Tahoma"/>
            <family val="2"/>
          </rPr>
          <t xml:space="preserve">KWH CONSUMIDOS POR OTROS USUARIOS (NO RESIDENCIALES), COMERCIALES, OFICIALES, Y OTROS ESPECIALES QUE CONSUMAN MAS DE 1999 KWH  Y MENOS DE 3000 KWH MENSUALES </t>
        </r>
      </text>
    </comment>
    <comment ref="H702" authorId="1" shapeId="0" xr:uid="{00000000-0006-0000-0800-00003A000000}">
      <text>
        <r>
          <rPr>
            <b/>
            <sz val="8"/>
            <color indexed="81"/>
            <rFont val="Tahoma"/>
            <family val="2"/>
          </rPr>
          <t>INDICAR ENERGIA CONSUMIDA EN CADA UNA DE LAS BANDAS HORARIAS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03" authorId="1" shapeId="0" xr:uid="{00000000-0006-0000-0800-00003B000000}">
      <text>
        <r>
          <rPr>
            <b/>
            <sz val="8"/>
            <color indexed="81"/>
            <rFont val="Tahoma"/>
            <family val="2"/>
          </rPr>
          <t xml:space="preserve">ESTAS CELDAS CORRESPONDEN A C7 DE LA HOJA ENVIAR A EPEC LA CUAL DEBE SER LLENADA EN ESA HOJA, AQUÍ ESTA BLOQUEADA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703" authorId="1" shapeId="0" xr:uid="{00000000-0006-0000-0800-00003C000000}">
      <text>
        <r>
          <rPr>
            <b/>
            <sz val="8"/>
            <color indexed="81"/>
            <rFont val="Tahoma"/>
            <family val="2"/>
          </rPr>
          <t xml:space="preserve">DEBE INDICARSE: </t>
        </r>
        <r>
          <rPr>
            <b/>
            <u/>
            <sz val="8"/>
            <color indexed="81"/>
            <rFont val="Tahoma"/>
            <family val="2"/>
          </rPr>
          <t xml:space="preserve">SI ES USUARIO PROPIO </t>
        </r>
        <r>
          <rPr>
            <b/>
            <sz val="8"/>
            <color indexed="81"/>
            <rFont val="Tahoma"/>
            <family val="2"/>
          </rPr>
          <t xml:space="preserve">EL NUMERO DE CUENTA U OTRO DATO IDENTIFICATORIO QUE QUEDARA DE MANERA DEFINITIVA Y SIEMPRE QUE SE RELACIONE AL USUARIO DEBE RESPETARSE.
SI LA COOPERATIVA SOLO LE </t>
        </r>
        <r>
          <rPr>
            <b/>
            <u/>
            <sz val="8"/>
            <color indexed="81"/>
            <rFont val="Tahoma"/>
            <family val="2"/>
          </rPr>
          <t>PRESTA LA FTT</t>
        </r>
        <r>
          <rPr>
            <b/>
            <sz val="8"/>
            <color indexed="81"/>
            <rFont val="Tahoma"/>
            <family val="2"/>
          </rPr>
          <t>(FUNCION TECNICA DE TRANSPORTE) INDICAR EL CODIGO DE USUARIO QUE TIENE FIJADO POR CAMMESA.</t>
        </r>
      </text>
    </comment>
    <comment ref="F703" authorId="1" shapeId="0" xr:uid="{00000000-0006-0000-0800-00003D000000}">
      <text>
        <r>
          <rPr>
            <b/>
            <sz val="8"/>
            <color indexed="81"/>
            <rFont val="Tahoma"/>
            <family val="2"/>
          </rPr>
          <t>INDICAR SI ES MEDIA TENSION(33-13.2)=MT
INDICAR SI ES BAJA TENSION(BORNES DE TRAFO O LINEA DE BT)=BT</t>
        </r>
      </text>
    </comment>
    <comment ref="G703" authorId="1" shapeId="0" xr:uid="{00000000-0006-0000-0800-00003E000000}">
      <text>
        <r>
          <rPr>
            <b/>
            <sz val="8"/>
            <color indexed="81"/>
            <rFont val="Tahoma"/>
            <family val="2"/>
          </rPr>
          <t>INDICAR LA POTENCIA MAXIMA REGISTRADA EN KW DE CADA USUARIO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L703" authorId="1" shapeId="0" xr:uid="{00000000-0006-0000-0800-00003F000000}">
      <text>
        <r>
          <rPr>
            <b/>
            <sz val="8"/>
            <color indexed="81"/>
            <rFont val="Tahoma"/>
            <family val="2"/>
          </rPr>
          <t>DIRECCION DEL PUNTO DE SUMINISTRO</t>
        </r>
      </text>
    </comment>
    <comment ref="R703" authorId="1" shapeId="0" xr:uid="{00000000-0006-0000-0800-000040000000}">
      <text>
        <r>
          <rPr>
            <b/>
            <sz val="8"/>
            <color indexed="81"/>
            <rFont val="Tahoma"/>
            <family val="2"/>
          </rPr>
          <t>NOMBRE DE LA EMPRESA O TITULAR QUE ES ABASTECIDA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3" authorId="1" shapeId="0" xr:uid="{00000000-0006-0000-0800-000041000000}">
      <text>
        <r>
          <rPr>
            <b/>
            <sz val="8"/>
            <color indexed="81"/>
            <rFont val="Tahoma"/>
            <family val="2"/>
          </rPr>
          <t>CUIT DE LA EMPRESA O TITULAR QUE ES ABASTECIDA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04" authorId="1" shapeId="0" xr:uid="{00000000-0006-0000-0800-000042000000}">
      <text>
        <r>
          <rPr>
            <b/>
            <sz val="8"/>
            <color indexed="81"/>
            <rFont val="Tahoma"/>
            <family val="2"/>
          </rPr>
          <t>ESTA CELDA CORRESPONDE A C7 DE LA HOJA ENVIAR A EPEC LA CUAL DEBE SER LLENADA EN ESA HOJA, AQUÍ ESTA BLOQUEADA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704" authorId="1" shapeId="0" xr:uid="{00000000-0006-0000-0800-000043000000}">
      <text>
        <r>
          <rPr>
            <b/>
            <sz val="8"/>
            <color indexed="81"/>
            <rFont val="Tahoma"/>
            <family val="2"/>
          </rPr>
          <t>DEBE INDICARSE, SI ES USUARIO PROPIO EL NUMERO DE CUENTA U OTRO DATO IDENTIFICATORIO QUE QUEDARA DE MANERA DEFINITIVA Y SIEMPRE QUE SE RELACIONE AL USUARIO DEBE RESPETARSE.
SI LA COOPERATIVA SOLO LE PRESTA LA FTT(FUNCION TECNICA DE TRANSPORTE) INDICAR EL CODIGO DE USUARIO QUE TIENE FIJADO POR CAMMESA.</t>
        </r>
      </text>
    </comment>
    <comment ref="H724" authorId="1" shapeId="0" xr:uid="{00000000-0006-0000-0800-000044000000}">
      <text>
        <r>
          <rPr>
            <b/>
            <sz val="8"/>
            <color indexed="81"/>
            <rFont val="Tahoma"/>
            <family val="2"/>
          </rPr>
          <t>INDICAR ENERGIA CONSUMIDA EN CADA UNA DE LAS BANDAS HORARIAS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25" authorId="1" shapeId="0" xr:uid="{00000000-0006-0000-0800-000045000000}">
      <text>
        <r>
          <rPr>
            <b/>
            <sz val="8"/>
            <color indexed="81"/>
            <rFont val="Tahoma"/>
            <family val="2"/>
          </rPr>
          <t xml:space="preserve">ESTAS CELDAS CORRESPONDEN A C7 DE LA HOJA ENVIAR A EPEC LA CUAL DEBE SER LLENADA EN ESA HOJA, AQUÍ ESTA BLOQUEADA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725" authorId="1" shapeId="0" xr:uid="{00000000-0006-0000-0800-000046000000}">
      <text>
        <r>
          <rPr>
            <b/>
            <sz val="8"/>
            <color indexed="81"/>
            <rFont val="Tahoma"/>
            <family val="2"/>
          </rPr>
          <t>INDICAR SI ES MEDIA TENSION(33-13.2)=MT
INDICAR SI ES BAJA TENSION(BORNES DE TRAFO O LINEA DE BT)=BT</t>
        </r>
      </text>
    </comment>
    <comment ref="G725" authorId="1" shapeId="0" xr:uid="{00000000-0006-0000-0800-000047000000}">
      <text>
        <r>
          <rPr>
            <b/>
            <sz val="8"/>
            <color indexed="81"/>
            <rFont val="Tahoma"/>
            <family val="2"/>
          </rPr>
          <t>INDICAR LA POTENCIA MAXIMA REGISTRADA EN KW DE CADA USUARIO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L725" authorId="1" shapeId="0" xr:uid="{00000000-0006-0000-0800-000048000000}">
      <text>
        <r>
          <rPr>
            <b/>
            <sz val="8"/>
            <color indexed="81"/>
            <rFont val="Tahoma"/>
            <family val="2"/>
          </rPr>
          <t>DIRECCION DEL PUNTO DE SUMINISTRO</t>
        </r>
      </text>
    </comment>
    <comment ref="R725" authorId="1" shapeId="0" xr:uid="{00000000-0006-0000-0800-000049000000}">
      <text>
        <r>
          <rPr>
            <b/>
            <sz val="8"/>
            <color indexed="81"/>
            <rFont val="Tahoma"/>
            <family val="2"/>
          </rPr>
          <t>NOMBRE DE LA EMPRESA O TITULAR QUE ES ABASTECIDA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25" authorId="1" shapeId="0" xr:uid="{00000000-0006-0000-0800-00004A000000}">
      <text>
        <r>
          <rPr>
            <b/>
            <sz val="8"/>
            <color indexed="81"/>
            <rFont val="Tahoma"/>
            <family val="2"/>
          </rPr>
          <t>CUIT DE LA EMPRESA O TITULAR QUE ES ABASTECIDA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726" authorId="1" shapeId="0" xr:uid="{00000000-0006-0000-0800-00004B000000}">
      <text>
        <r>
          <rPr>
            <b/>
            <sz val="8"/>
            <color indexed="81"/>
            <rFont val="Tahoma"/>
            <family val="2"/>
          </rPr>
          <t>ESTA CELDA CORRESPONDE A C7 DE LA HOJA ENVIAR A EPEC LA CUAL DEBE SER LLENADA EN ESA HOJA, AQUÍ ESTA BLOQUEADA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726" authorId="1" shapeId="0" xr:uid="{00000000-0006-0000-0800-00004C000000}">
      <text>
        <r>
          <rPr>
            <b/>
            <sz val="8"/>
            <color indexed="81"/>
            <rFont val="Tahoma"/>
            <family val="2"/>
          </rPr>
          <t>DEBE INDICARSE, SI ES USUARIO PROPIO EL NUMERO DE CUENTA U OTRO DATO IDENTIFICATORIO QUE QUEDARA DE MANERA DEFINITIVA Y SIEMPRE QUE SE RELACIONE AL USUARIO DEBE RESPETARSE.
SI LA COOPERATIVA SOLO LE PRESTA LA FTT(FUNCION TECNICA DE TRANSPORTE) INDICAR EL CODIGO DE USUARIO QUE TIENE FIJADO POR CAMMESA.</t>
        </r>
      </text>
    </comment>
    <comment ref="F792" authorId="3" shapeId="0" xr:uid="{00000000-0006-0000-0800-00004D000000}">
      <text>
        <r>
          <rPr>
            <b/>
            <sz val="8"/>
            <color indexed="81"/>
            <rFont val="Tahoma"/>
            <family val="2"/>
          </rPr>
          <t>Kwh CONSUMIDOS POR EL ALUMBRADO PUBLICO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</authors>
  <commentList>
    <comment ref="D2" authorId="0" shapeId="0" xr:uid="{00000000-0006-0000-0A00-000001000000}">
      <text>
        <r>
          <rPr>
            <b/>
            <sz val="18"/>
            <color indexed="81"/>
            <rFont val="Tahoma"/>
            <family val="2"/>
          </rPr>
          <t>NOMBRE DE LA COOPERATIVA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8" authorId="0" shapeId="0" xr:uid="{00000000-0006-0000-0A00-000002000000}">
      <text>
        <r>
          <rPr>
            <b/>
            <sz val="18"/>
            <color indexed="81"/>
            <rFont val="Tahoma"/>
            <family val="2"/>
          </rPr>
          <t>ESTA CELDA VERIFICA SI ES CORRECTA LA ASIGNACION DE LA SECCION ANALIZANDO CONSUMO POR USUARIO.
O.K= CORRECTO
VERIFICAR=DATOS INCORRECTOS
S.D.=SIN DATOS DE USUARIOS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H46" authorId="0" shapeId="0" xr:uid="{00000000-0006-0000-0A00-000003000000}">
      <text>
        <r>
          <rPr>
            <b/>
            <sz val="18"/>
            <color indexed="81"/>
            <rFont val="Tahoma"/>
            <family val="2"/>
          </rPr>
          <t>ESTA CELDA VERIFICA SI ES CORRECTA LA ASIGNACION DE LA SECCION ANALIZANDO CONSUMO POR USUARIO.
O.K= CORRECTO
VERIFICAR=DATOS INCORRECTOS
S.D.=SIN DATOS DE USUARIOS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G293" authorId="0" shapeId="0" xr:uid="{00000000-0006-0000-0A00-000004000000}">
      <text>
        <r>
          <rPr>
            <b/>
            <sz val="22"/>
            <color indexed="81"/>
            <rFont val="Tahoma"/>
            <family val="2"/>
          </rPr>
          <t>CANTIDAD DE USUARIOS A SOCIADOS A CODIGOS DISTINTO TOTAL DE USUARIOS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  <author>ING. M.H.O. JOSE</author>
  </authors>
  <commentList>
    <comment ref="G18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MODIFICAR EN PROXIMA HOJA</t>
        </r>
      </text>
    </comment>
    <comment ref="I192" authorId="1" shapeId="0" xr:uid="{00000000-0006-0000-0900-000002000000}">
      <text>
        <r>
          <rPr>
            <b/>
            <sz val="16"/>
            <color indexed="81"/>
            <rFont val="Tahoma"/>
            <family val="2"/>
          </rPr>
          <t>KWH DE USUARIOS RESIDENCIALES QUE CONSUMEN MAS DE 2999 KWH MENSUALES, NO ESTAN INCLUIDOS EN EL PLAN ESTIMULO O TIENEN TARIFA SOCIAL Y NO HAN AHORRADO RESPECTO DE IGUAL MES DE 2015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ING. M.H.O. JOSE</author>
  </authors>
  <commentList>
    <comment ref="D5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TOMAR DATOS DE COMPRA DE ENERGIA SUMINISTRADOS POR EPEC U OTRA COOPERATIVA.
ESTOS DATOS ESTARAN DISPONIBLES EN CADA  EN LA PAGINA WWW.EPEC.COM.AR A LA CUAL ACCEDE CON CLAVE AUTORIZADA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5" authorId="0" shapeId="0" xr:uid="{00000000-0006-0000-0B00-000002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  <comment ref="F5" authorId="0" shapeId="0" xr:uid="{00000000-0006-0000-0B00-000003000000}">
      <text>
        <r>
          <rPr>
            <b/>
            <sz val="8"/>
            <color indexed="81"/>
            <rFont val="Tahoma"/>
            <family val="2"/>
          </rPr>
          <t xml:space="preserve">TOMAR DATOS DE COMPRA DE ENERGIA SUMINISTRADOS POR EPEC U OTRA COOPERATIVA.
ESTOS DATOS ESTARAN DISPONIBLES EN CADA  EN LA PAGINA WWW.EPEC.COM.AR A LA CUAL ACCEDE CON CLAVE AUTORIZADA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</authors>
  <commentList>
    <comment ref="E17" authorId="0" shapeId="0" xr:uid="{00000000-0006-0000-0C00-000001000000}">
      <text>
        <r>
          <rPr>
            <sz val="18"/>
            <color indexed="81"/>
            <rFont val="Tahoma"/>
            <family val="2"/>
          </rPr>
          <t xml:space="preserve">LOS DATOS DE LAS CELDAS EN AMARILLO SON LO QUE HAY QUE CARGAR EN LA PAGINA DE EPEC
</t>
        </r>
      </text>
    </comment>
    <comment ref="I17" authorId="0" shapeId="0" xr:uid="{00000000-0006-0000-0C00-000002000000}">
      <text>
        <r>
          <rPr>
            <b/>
            <sz val="18"/>
            <color indexed="81"/>
            <rFont val="Tahoma"/>
            <family val="2"/>
          </rPr>
          <t>LOS DATOS DE LAS CELDAS EN AMARILLO SON LO QUE HAY QUE CARGAR EN LA PAGINA DE EPEC</t>
        </r>
      </text>
    </comment>
    <comment ref="E21" authorId="0" shapeId="0" xr:uid="{00000000-0006-0000-0C00-000003000000}">
      <text>
        <r>
          <rPr>
            <b/>
            <sz val="18"/>
            <color indexed="81"/>
            <rFont val="Tahoma"/>
            <family val="2"/>
          </rPr>
          <t xml:space="preserve">LOS DATOS DE LAS CELDAS EN NARANJA U OTRO COLOR QUE NO SEA 
 AMARILLO SON DE VERIFICACION Y CONTROL
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AD24" authorId="0" shapeId="0" xr:uid="{00000000-0006-0000-0C00-000004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D35" authorId="0" shapeId="0" xr:uid="{00000000-0006-0000-0C00-000005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D46" authorId="0" shapeId="0" xr:uid="{00000000-0006-0000-0C00-000006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D57" authorId="0" shapeId="0" xr:uid="{00000000-0006-0000-0C00-000007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D68" authorId="0" shapeId="0" xr:uid="{00000000-0006-0000-0C00-000008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B406" authorId="1" shapeId="0" xr:uid="{00000000-0006-0000-0C00-000009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B407" authorId="1" shapeId="0" xr:uid="{00000000-0006-0000-0C00-00000A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B408" authorId="1" shapeId="0" xr:uid="{00000000-0006-0000-0C00-00000B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B411" authorId="1" shapeId="0" xr:uid="{00000000-0006-0000-0C00-00000C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B412" authorId="1" shapeId="0" xr:uid="{00000000-0006-0000-0C00-00000D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B413" authorId="1" shapeId="0" xr:uid="{00000000-0006-0000-0C00-00000E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</authors>
  <commentList>
    <comment ref="O15" authorId="0" shapeId="0" xr:uid="{00000000-0006-0000-0E00-000001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E17" authorId="0" shapeId="0" xr:uid="{00000000-0006-0000-0E00-000002000000}">
      <text>
        <r>
          <rPr>
            <sz val="18"/>
            <color indexed="81"/>
            <rFont val="Tahoma"/>
            <family val="2"/>
          </rPr>
          <t xml:space="preserve">LOS DATOS DE LAS CELDAS EN AMARILLO SON LO QUE HAY QUE CARGAR EN LA PAGINA DE EPEC
</t>
        </r>
      </text>
    </comment>
    <comment ref="I17" authorId="0" shapeId="0" xr:uid="{00000000-0006-0000-0E00-000003000000}">
      <text>
        <r>
          <rPr>
            <b/>
            <sz val="18"/>
            <color indexed="81"/>
            <rFont val="Tahoma"/>
            <family val="2"/>
          </rPr>
          <t>LOS DATOS DE LAS CELDAS EN AMARILLO SON LO QUE HAY QUE CARGAR EN LA PAGINA DE EPEC</t>
        </r>
      </text>
    </comment>
    <comment ref="E25" authorId="0" shapeId="0" xr:uid="{00000000-0006-0000-0E00-000004000000}">
      <text>
        <r>
          <rPr>
            <b/>
            <sz val="18"/>
            <color indexed="81"/>
            <rFont val="Tahoma"/>
            <family val="2"/>
          </rPr>
          <t xml:space="preserve">LOS DATOS DE LAS CELDAS EN NARANJA U OTRO COLOR QUE NO SEA 
 AMARILLO SON DE VERIFICACION Y CONTROL
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O28" authorId="0" shapeId="0" xr:uid="{00000000-0006-0000-0E00-000005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H28" authorId="0" shapeId="0" xr:uid="{00000000-0006-0000-0E00-000006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O42" authorId="0" shapeId="0" xr:uid="{00000000-0006-0000-0E00-000007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H42" authorId="0" shapeId="0" xr:uid="{00000000-0006-0000-0E00-000008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O54" authorId="0" shapeId="0" xr:uid="{00000000-0006-0000-0E00-000009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H54" authorId="0" shapeId="0" xr:uid="{00000000-0006-0000-0E00-00000A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O66" authorId="0" shapeId="0" xr:uid="{00000000-0006-0000-0E00-00000B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H66" authorId="0" shapeId="0" xr:uid="{00000000-0006-0000-0E00-00000C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O78" authorId="0" shapeId="0" xr:uid="{00000000-0006-0000-0E00-00000D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H78" authorId="0" shapeId="0" xr:uid="{00000000-0006-0000-0E00-00000E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F432" authorId="1" shapeId="0" xr:uid="{00000000-0006-0000-0E00-00000F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F433" authorId="1" shapeId="0" xr:uid="{00000000-0006-0000-0E00-000010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F434" authorId="1" shapeId="0" xr:uid="{00000000-0006-0000-0E00-000011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F437" authorId="1" shapeId="0" xr:uid="{00000000-0006-0000-0E00-000012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F438" authorId="1" shapeId="0" xr:uid="{00000000-0006-0000-0E00-000013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F439" authorId="1" shapeId="0" xr:uid="{00000000-0006-0000-0E00-000014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</authors>
  <commentList>
    <comment ref="L13" authorId="0" shapeId="0" xr:uid="{00000000-0006-0000-0F00-000001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E15" authorId="0" shapeId="0" xr:uid="{00000000-0006-0000-0F00-000002000000}">
      <text>
        <r>
          <rPr>
            <sz val="18"/>
            <color indexed="81"/>
            <rFont val="Tahoma"/>
            <family val="2"/>
          </rPr>
          <t xml:space="preserve">LOS DATOS DE LAS CELDAS EN AMARILLO SON LO QUE HAY QUE CARGAR EN LA PAGINA DE EPEC
</t>
        </r>
      </text>
    </comment>
    <comment ref="F15" authorId="0" shapeId="0" xr:uid="{00000000-0006-0000-0F00-000003000000}">
      <text>
        <r>
          <rPr>
            <b/>
            <sz val="18"/>
            <color indexed="81"/>
            <rFont val="Tahoma"/>
            <family val="2"/>
          </rPr>
          <t>LOS DATOS DE LAS CELDAS EN AMARILLO SON LO QUE HAY QUE CARGAR EN LA PAGINA DE EPEC</t>
        </r>
      </text>
    </comment>
    <comment ref="E22" authorId="0" shapeId="0" xr:uid="{00000000-0006-0000-0F00-000004000000}">
      <text>
        <r>
          <rPr>
            <b/>
            <sz val="18"/>
            <color indexed="81"/>
            <rFont val="Tahoma"/>
            <family val="2"/>
          </rPr>
          <t xml:space="preserve">LOS DATOS DE LAS CELDAS EN NARANJA U OTRO COLOR QUE NO SEA 
 AMARILLO SON DE VERIFICACION Y CONTROL
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L25" authorId="0" shapeId="0" xr:uid="{00000000-0006-0000-0F00-000005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25" authorId="0" shapeId="0" xr:uid="{00000000-0006-0000-0F00-000006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41" authorId="0" shapeId="0" xr:uid="{00000000-0006-0000-0F00-000007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41" authorId="0" shapeId="0" xr:uid="{00000000-0006-0000-0F00-000008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57" authorId="0" shapeId="0" xr:uid="{00000000-0006-0000-0F00-000009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57" authorId="0" shapeId="0" xr:uid="{00000000-0006-0000-0F00-00000A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73" authorId="0" shapeId="0" xr:uid="{00000000-0006-0000-0F00-00000B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73" authorId="0" shapeId="0" xr:uid="{00000000-0006-0000-0F00-00000C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89" authorId="0" shapeId="0" xr:uid="{00000000-0006-0000-0F00-00000D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89" authorId="0" shapeId="0" xr:uid="{00000000-0006-0000-0F00-00000E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A366" authorId="1" shapeId="0" xr:uid="{00000000-0006-0000-0F00-00000F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67" authorId="1" shapeId="0" xr:uid="{00000000-0006-0000-0F00-000010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68" authorId="1" shapeId="0" xr:uid="{00000000-0006-0000-0F00-000011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69" authorId="1" shapeId="0" xr:uid="{00000000-0006-0000-0F00-000012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70" authorId="1" shapeId="0" xr:uid="{00000000-0006-0000-0F00-000013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71" authorId="1" shapeId="0" xr:uid="{00000000-0006-0000-0F00-000014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72" authorId="1" shapeId="0" xr:uid="{00000000-0006-0000-0F00-000015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73" authorId="1" shapeId="0" xr:uid="{00000000-0006-0000-0F00-000016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A374" authorId="1" shapeId="0" xr:uid="{00000000-0006-0000-0F00-000017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VAIO</author>
    <author>ING. M.H.O. JOSE</author>
  </authors>
  <commentList>
    <comment ref="L15" authorId="0" shapeId="0" xr:uid="{00000000-0006-0000-1000-000001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E17" authorId="0" shapeId="0" xr:uid="{00000000-0006-0000-1000-000002000000}">
      <text>
        <r>
          <rPr>
            <sz val="18"/>
            <color indexed="81"/>
            <rFont val="Tahoma"/>
            <family val="2"/>
          </rPr>
          <t xml:space="preserve">LOS DATOS DE LAS CELDAS EN AMARILLO SON LO QUE HAY QUE CARGAR EN LA PAGINA DE EPEC
</t>
        </r>
      </text>
    </comment>
    <comment ref="F17" authorId="0" shapeId="0" xr:uid="{00000000-0006-0000-1000-000003000000}">
      <text>
        <r>
          <rPr>
            <b/>
            <sz val="18"/>
            <color indexed="81"/>
            <rFont val="Tahoma"/>
            <family val="2"/>
          </rPr>
          <t>LOS DATOS DE LAS CELDAS EN AMARILLO SON LO QUE HAY QUE CARGAR EN LA PAGINA DE EPEC</t>
        </r>
      </text>
    </comment>
    <comment ref="E25" authorId="0" shapeId="0" xr:uid="{00000000-0006-0000-1000-000004000000}">
      <text>
        <r>
          <rPr>
            <b/>
            <sz val="18"/>
            <color indexed="81"/>
            <rFont val="Tahoma"/>
            <family val="2"/>
          </rPr>
          <t xml:space="preserve">LOS DATOS DE LAS CELDAS EN NARANJA U OTRO COLOR QUE NO SEA 
 AMARILLO SON DE VERIFICACION Y CONTROL
</t>
        </r>
        <r>
          <rPr>
            <sz val="18"/>
            <color indexed="81"/>
            <rFont val="Tahoma"/>
            <family val="2"/>
          </rPr>
          <t xml:space="preserve">
</t>
        </r>
      </text>
    </comment>
    <comment ref="L28" authorId="0" shapeId="0" xr:uid="{00000000-0006-0000-1000-000005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E28" authorId="0" shapeId="0" xr:uid="{00000000-0006-0000-1000-000006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42" authorId="0" shapeId="0" xr:uid="{00000000-0006-0000-1000-000007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E42" authorId="0" shapeId="0" xr:uid="{00000000-0006-0000-1000-000008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53" authorId="0" shapeId="0" xr:uid="{00000000-0006-0000-1000-000009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E53" authorId="0" shapeId="0" xr:uid="{00000000-0006-0000-1000-00000A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64" authorId="0" shapeId="0" xr:uid="{00000000-0006-0000-1000-00000B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E64" authorId="0" shapeId="0" xr:uid="{00000000-0006-0000-1000-00000C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L75" authorId="0" shapeId="0" xr:uid="{00000000-0006-0000-1000-00000D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E75" authorId="0" shapeId="0" xr:uid="{00000000-0006-0000-1000-00000E000000}">
      <text>
        <r>
          <rPr>
            <sz val="14"/>
            <color indexed="81"/>
            <rFont val="Tahoma"/>
            <family val="2"/>
          </rPr>
          <t>Se asignan 150 kWh total por cada usuario</t>
        </r>
      </text>
    </comment>
    <comment ref="AC372" authorId="1" shapeId="0" xr:uid="{00000000-0006-0000-1000-00000F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3" authorId="1" shapeId="0" xr:uid="{00000000-0006-0000-1000-000010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4" authorId="1" shapeId="0" xr:uid="{00000000-0006-0000-1000-000011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5" authorId="1" shapeId="0" xr:uid="{00000000-0006-0000-1000-000012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6" authorId="1" shapeId="0" xr:uid="{00000000-0006-0000-1000-000013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7" authorId="1" shapeId="0" xr:uid="{00000000-0006-0000-1000-000014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8" authorId="1" shapeId="0" xr:uid="{00000000-0006-0000-1000-000015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79" authorId="1" shapeId="0" xr:uid="{00000000-0006-0000-1000-000016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C380" authorId="1" shapeId="0" xr:uid="{00000000-0006-0000-1000-000017000000}">
      <text>
        <r>
          <rPr>
            <b/>
            <sz val="8"/>
            <color indexed="81"/>
            <rFont val="Tahoma"/>
            <family val="2"/>
          </rPr>
          <t>CONSIGNAR LA SUMA TOTAL DE LOS USUARIOS INCLUIDOS EN ESTE SEGMENTO.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ING. M.H.O. JOSE</author>
  </authors>
  <commentList>
    <comment ref="E15" authorId="0" shapeId="0" xr:uid="{00000000-0006-0000-1900-000001000000}">
      <text>
        <r>
          <rPr>
            <b/>
            <sz val="8"/>
            <color indexed="81"/>
            <rFont val="Tahoma"/>
            <family val="2"/>
          </rPr>
          <t>SI EL RESULTADO ES DISTINTO DE CERO HAY ERROR EN LOS DATOS REVISAR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5" authorId="0" shapeId="0" xr:uid="{00000000-0006-0000-1900-000002000000}">
      <text>
        <r>
          <rPr>
            <b/>
            <sz val="8"/>
            <color indexed="81"/>
            <rFont val="Tahoma"/>
            <family val="2"/>
          </rPr>
          <t>SI EL RESULTADO ES DISTINTO DE CERO HAY ERROR EN LOS DATOS REVISAR</t>
        </r>
      </text>
    </comment>
    <comment ref="G15" authorId="0" shapeId="0" xr:uid="{00000000-0006-0000-1900-000003000000}">
      <text>
        <r>
          <rPr>
            <b/>
            <sz val="8"/>
            <color indexed="81"/>
            <rFont val="Tahoma"/>
            <family val="2"/>
          </rPr>
          <t>SI EL RESULTADO ES DISTINTO DE CERO HAY ERROR EN LOS DATOS REVISAR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  <author>Osvaldo VAIO</author>
    <author>Windows User</author>
  </authors>
  <commentList>
    <comment ref="E5" authorId="0" shapeId="0" xr:uid="{00000000-0006-0000-2200-000001000000}">
      <text>
        <r>
          <rPr>
            <sz val="9"/>
            <color indexed="81"/>
            <rFont val="Tahoma"/>
            <family val="2"/>
          </rPr>
          <t xml:space="preserve">LLENAR EN HOJA NOTA SSEE 870-2011
</t>
        </r>
      </text>
    </comment>
    <comment ref="E8" authorId="1" shapeId="0" xr:uid="{00000000-0006-0000-2200-000002000000}">
      <text>
        <r>
          <rPr>
            <b/>
            <sz val="9"/>
            <color indexed="81"/>
            <rFont val="Tahoma"/>
            <family val="2"/>
          </rPr>
          <t>LLENAR CON DATOS MAXIMOS REGISTRADOS EN HOJA CALCULO NOTA SSEE 870-2011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" authorId="0" shapeId="0" xr:uid="{00000000-0006-0000-2200-000003000000}">
      <text>
        <r>
          <rPr>
            <b/>
            <sz val="9"/>
            <color indexed="81"/>
            <rFont val="Tahoma"/>
            <family val="2"/>
          </rPr>
          <t>LLENAR CON DATOS MAXIMOS REGISTRADOS EN HOJA CALCULO NOTA SSEE 870-2011</t>
        </r>
      </text>
    </comment>
    <comment ref="E18" authorId="0" shapeId="0" xr:uid="{00000000-0006-0000-2200-000004000000}">
      <text>
        <r>
          <rPr>
            <b/>
            <sz val="9"/>
            <color indexed="81"/>
            <rFont val="Tahoma"/>
            <family val="2"/>
          </rPr>
          <t>LLENAR CON DATOS MAXIMOS REGISTRADOS EN HOJA CALCULO NOTA SSEE 870-2011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" authorId="0" shapeId="0" xr:uid="{00000000-0006-0000-2200-000005000000}">
      <text>
        <r>
          <rPr>
            <b/>
            <sz val="9"/>
            <color indexed="81"/>
            <rFont val="Tahoma"/>
            <family val="2"/>
          </rPr>
          <t xml:space="preserve">LLENAR CON DATOS MAXIMOS REGISTRADOS EN HOJA CALCULO NOTA SSEE 870-2011
</t>
        </r>
      </text>
    </comment>
    <comment ref="R22" authorId="2" shapeId="0" xr:uid="{00000000-0006-0000-2200-000006000000}">
      <text>
        <r>
          <rPr>
            <sz val="14"/>
            <color indexed="81"/>
            <rFont val="Tahoma"/>
            <family val="2"/>
          </rPr>
          <t>INFORMACION DE ASIGNACION DE CONSUMO DE CLUBES QUE ESTA SUMADO AL DE   RESIDENCIAL N2 POR TENER EL MISMO PRECO DE COMPRA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mario</author>
    <author>Osvaldo VAIO</author>
  </authors>
  <commentList>
    <comment ref="E3" authorId="0" shapeId="0" xr:uid="{00000000-0006-0000-2300-000001000000}">
      <text>
        <r>
          <rPr>
            <b/>
            <sz val="9"/>
            <color indexed="81"/>
            <rFont val="Tahoma"/>
            <family val="2"/>
          </rPr>
          <t>DESDE MES DE FEBRERO DE 2016 REGUN RES MEYM 6-2016</t>
        </r>
      </text>
    </comment>
    <comment ref="E8" authorId="1" shapeId="0" xr:uid="{00000000-0006-0000-2300-000002000000}">
      <text>
        <r>
          <rPr>
            <b/>
            <sz val="9"/>
            <color indexed="81"/>
            <rFont val="Tahoma"/>
            <family val="2"/>
          </rPr>
          <t xml:space="preserve">COLOCAR VALORES FACTURADOS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" authorId="1" shapeId="0" xr:uid="{00000000-0006-0000-2300-000003000000}">
      <text>
        <r>
          <rPr>
            <b/>
            <sz val="9"/>
            <color indexed="81"/>
            <rFont val="Tahoma"/>
            <family val="2"/>
          </rPr>
          <t xml:space="preserve">COLOCAR VALORES FACTURADOS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mario</author>
    <author>Osvaldo VAIO</author>
  </authors>
  <commentList>
    <comment ref="E3" authorId="0" shapeId="0" xr:uid="{00000000-0006-0000-2500-000001000000}">
      <text>
        <r>
          <rPr>
            <b/>
            <sz val="9"/>
            <color indexed="81"/>
            <rFont val="Tahoma"/>
            <family val="2"/>
          </rPr>
          <t>DESDE MES DE FEBRERO DE 2016 REGUN RES MEYM 6-2016</t>
        </r>
      </text>
    </comment>
    <comment ref="E8" authorId="1" shapeId="0" xr:uid="{00000000-0006-0000-2500-000002000000}">
      <text>
        <r>
          <rPr>
            <b/>
            <sz val="9"/>
            <color indexed="81"/>
            <rFont val="Tahoma"/>
            <family val="2"/>
          </rPr>
          <t xml:space="preserve">COLOCAR VALORES FACTURADOS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" authorId="1" shapeId="0" xr:uid="{00000000-0006-0000-2500-000003000000}">
      <text>
        <r>
          <rPr>
            <b/>
            <sz val="9"/>
            <color indexed="81"/>
            <rFont val="Tahoma"/>
            <family val="2"/>
          </rPr>
          <t xml:space="preserve">COLOCAR VALORES FACTURADOS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<sst xmlns="http://schemas.openxmlformats.org/spreadsheetml/2006/main" count="12154" uniqueCount="1376">
  <si>
    <t>ENERGIA COMPRADA</t>
  </si>
  <si>
    <t>ENERGIA FACTURADA</t>
  </si>
  <si>
    <t>PERDIDAS EST.</t>
  </si>
  <si>
    <t>COEFICIENTES</t>
  </si>
  <si>
    <t>TOTAL</t>
  </si>
  <si>
    <t>PICO</t>
  </si>
  <si>
    <t>RESTO</t>
  </si>
  <si>
    <t>VALLE</t>
  </si>
  <si>
    <t>COMPRA TOTAL DE LA COOPERATIVA</t>
  </si>
  <si>
    <t>LECTURAS POR BANDAS</t>
  </si>
  <si>
    <t>VENTA A OTRA COOPERATIVA</t>
  </si>
  <si>
    <t>S9 CON LECTURAS POR BANDAS</t>
  </si>
  <si>
    <t>S8 CON LECTURAS POR BANDAS</t>
  </si>
  <si>
    <t>S5 ESTIMADO ALUMBRADO PUBLICO</t>
  </si>
  <si>
    <t>TOTAL LECTURAS POR BANDAS</t>
  </si>
  <si>
    <t>SALDO ENERGIA A PRORRATEAR COEF</t>
  </si>
  <si>
    <t>CONTROL HOJA 1</t>
  </si>
  <si>
    <t>VENTA A COOPERATIVAS</t>
  </si>
  <si>
    <t>S9</t>
  </si>
  <si>
    <t>Gud MT</t>
  </si>
  <si>
    <t>A.P.</t>
  </si>
  <si>
    <t>NR1</t>
  </si>
  <si>
    <t>AP</t>
  </si>
  <si>
    <t>MT</t>
  </si>
  <si>
    <t>BT</t>
  </si>
  <si>
    <t>KWH</t>
  </si>
  <si>
    <t>USUARIOS</t>
  </si>
  <si>
    <t>%(KWH)</t>
  </si>
  <si>
    <t>USUARIOS CON MEDICION DE DEMANDA</t>
  </si>
  <si>
    <t>TENSION</t>
  </si>
  <si>
    <t>KW</t>
  </si>
  <si>
    <t xml:space="preserve">COMERCIALES CON CONSUMOS MAYORES  9000 KWH </t>
  </si>
  <si>
    <r>
      <t>INDUSTRIALES</t>
    </r>
    <r>
      <rPr>
        <sz val="12"/>
        <rFont val="Arial"/>
        <family val="2"/>
      </rPr>
      <t xml:space="preserve"> CON CONSUMOS MAYORES A  9000 KWH </t>
    </r>
    <r>
      <rPr>
        <b/>
        <sz val="12"/>
        <rFont val="Arial"/>
        <family val="2"/>
      </rPr>
      <t>CON SUBISIDIO</t>
    </r>
  </si>
  <si>
    <t xml:space="preserve">RURALES CON CONSUMOS MAYORES A  9000 KWH </t>
  </si>
  <si>
    <t xml:space="preserve">OTROS USUARIOS CON CONSUMOS MAYORES A  9000 KWH </t>
  </si>
  <si>
    <t xml:space="preserve">RESIDENCIALES CON CONSUMOS MAYORES A 5000 KWH Y MENORES O IGUALES A 15000 KWH </t>
  </si>
  <si>
    <t xml:space="preserve">COMERCIALES CON CONSUMOS MAYORES A 3000 Kwh Y MENORES O IGUALES QUE 9000 KWH </t>
  </si>
  <si>
    <t xml:space="preserve">INDUSTRIALES CON CONSUMOS MAYORES A 3000 KWH Y MENORES O IGUALES QUE 9000 KWH </t>
  </si>
  <si>
    <t xml:space="preserve">RURALES CON CONSUMOS MAYORES A 3000 KWH Y MENORES O IGUALES QUE 9000 KWH </t>
  </si>
  <si>
    <t xml:space="preserve">OTROS USUARIOS CON CONSUMOS MAYORES A 3000 KWH Y MENORES O IGUALES QUE 9000 KWH </t>
  </si>
  <si>
    <t>kWh FACTURADOS ALUMBRADO PUBLICO</t>
  </si>
  <si>
    <t>UR1 &lt;=150 kWh/mes</t>
  </si>
  <si>
    <t>Consumo demanda Residencial</t>
  </si>
  <si>
    <t>Plan
Estímulo</t>
  </si>
  <si>
    <t>Consumo c/ Ahorro &gt; 20%</t>
  </si>
  <si>
    <t>Tarifa
Social</t>
  </si>
  <si>
    <t>HOGARES POBRES O CARENCIADOS- Consumo &lt;= 120 kWh/mes</t>
  </si>
  <si>
    <t>HOGARES POBRES O CARENCIADOS &gt; 120 kWh/mes y &lt;= 150 kWh/mes</t>
  </si>
  <si>
    <t xml:space="preserve">HOGARES INDIGENTES: &lt;120 kWh/mes </t>
  </si>
  <si>
    <t>HOGARES INDIGENTES:- Consumo &gt; 120 kWh/mes y &lt;= 150 kWh/mes</t>
  </si>
  <si>
    <t>Tarifa Electrodependientes</t>
  </si>
  <si>
    <t xml:space="preserve">TARIFA ELECTRODEPENDIENTE
</t>
  </si>
  <si>
    <t>UR2 &gt;150 y &lt;= 500 kWh/mes</t>
  </si>
  <si>
    <t>HOGARES POBRES O CARENCIADOS - Consumo &gt; 150 y &lt; =300  kWh/mes</t>
  </si>
  <si>
    <t xml:space="preserve">HOGARES POBRES O CARENCIADOS - Consumo &gt;300 y &lt; =500  kWh/mes </t>
  </si>
  <si>
    <t xml:space="preserve">HOGARES INDIGENTES: - Consumo &gt;150  y &lt;= 300 kWh/mes </t>
  </si>
  <si>
    <t xml:space="preserve">HOGARES INDIGENTES:- Consumo &gt;300  y &lt;= 500 kWh/mes </t>
  </si>
  <si>
    <t>UR3 &gt;500 y &lt;= 700 kWh/mes</t>
  </si>
  <si>
    <t>Tarifa Social</t>
  </si>
  <si>
    <t xml:space="preserve">HOGARES POBRES O CARENCIADOS  - Consumo &gt; 500 y &lt;=700  kWh/mes </t>
  </si>
  <si>
    <t xml:space="preserve">HOGARES INDIGENTES - Consumo &gt; 500 y &lt;= 700 kWh/mes </t>
  </si>
  <si>
    <t>Tarifa Electrodependiente</t>
  </si>
  <si>
    <t>UR4 &gt;700y &lt;= 1400 kWh/mes</t>
  </si>
  <si>
    <t>Consumo c/ Ahorro &gt;= 20%</t>
  </si>
  <si>
    <t xml:space="preserve">HOGARES POBRES O CARENCIADOS  - Consumo &gt; 700  y &lt;= 1400 kWh/mes </t>
  </si>
  <si>
    <t xml:space="preserve">HOGARES INDIGENTES- Consumo &gt; 700 y &lt;= 1400  kWh/mes </t>
  </si>
  <si>
    <t>Tarifa  Electrodependiente</t>
  </si>
  <si>
    <t>UR5 &gt;1400 kWh/mes</t>
  </si>
  <si>
    <t xml:space="preserve">HOGARES POBRES O CARENCIADOS- Consumo &gt; 1400 kWh/mes </t>
  </si>
  <si>
    <t xml:space="preserve">HOGARES INDIGENTES- - Consumo &gt; 1400  kWh/mes </t>
  </si>
  <si>
    <t xml:space="preserve">(NR1) -No Residencial de 0 a 3999 KWh/bim-(0-1999 kWh/mes) </t>
  </si>
  <si>
    <t>NR2</t>
  </si>
  <si>
    <t xml:space="preserve">(NR2) -No Residencial de 4000 KWh/bim en adelante (2000 kWh/mes en adelante) </t>
  </si>
  <si>
    <t>CARGAR DATOS DE FACTURACION MENSUAL</t>
  </si>
  <si>
    <t>PLANILLA DE TRABAJO INTERNA DTO. NAC. 332-2022 SEGMENTACION DE TARIFAS RESIDENCIALES-RES SE 90-2024  Y DTO PCIAL 43-2019 TARIFA SOCIAL   -USO EXCLUSIVO ASOCIADAS FACE-FECESCOR HOJA Nº1-</t>
  </si>
  <si>
    <t>SALDO ENERGIA COMPRADA (kWh)</t>
  </si>
  <si>
    <t>COOPERATIVA:</t>
  </si>
  <si>
    <t>A</t>
  </si>
  <si>
    <t>DIRECCION:</t>
  </si>
  <si>
    <t>B</t>
  </si>
  <si>
    <t>DECLARACION JURADA CORRESPONDIENTE AL MES DE:</t>
  </si>
  <si>
    <t>C</t>
  </si>
  <si>
    <t>AT</t>
  </si>
  <si>
    <t>D</t>
  </si>
  <si>
    <t>TENSION DE COMPRA</t>
  </si>
  <si>
    <t>COEFICIENTES COMPRA ENERGIA</t>
  </si>
  <si>
    <t>LECTURA DEL MEDIDOR EN EL PUNTO DE COMPRA</t>
  </si>
  <si>
    <t>ENERGIA COMPRADA (kWh)</t>
  </si>
  <si>
    <t>CONTROL FINAL</t>
  </si>
  <si>
    <t>FCP</t>
  </si>
  <si>
    <t>FCR</t>
  </si>
  <si>
    <t>FCV</t>
  </si>
  <si>
    <t>ENERGIA COMPRADA POR LA COOPERATIVA</t>
  </si>
  <si>
    <t>VENTA DE ENERGIA A OTRO DISTRIBUIDOR</t>
  </si>
  <si>
    <t>ENERGIA VENDIDA (kWh)</t>
  </si>
  <si>
    <t>ENERGIA VENDIDA POR LA COOPERATIVA A OTRO DISTRIBUIDOR</t>
  </si>
  <si>
    <t>COEFICIENTES DE SALDO ENERGIA</t>
  </si>
  <si>
    <t xml:space="preserve">PERDIDAS RECONOCIDAS </t>
  </si>
  <si>
    <t>USUARIOS &gt;= 300 kW DE DEMANDA</t>
  </si>
  <si>
    <t>USUARIOS DE MAS DE 300 kW DE DEMANDA</t>
  </si>
  <si>
    <r>
      <t xml:space="preserve">SUMATORIA  POT MAX REG. INDIVIDUAL </t>
    </r>
    <r>
      <rPr>
        <b/>
        <u/>
        <sz val="14"/>
        <rFont val="Arial"/>
        <family val="2"/>
      </rPr>
      <t>KW</t>
    </r>
  </si>
  <si>
    <t>CANTIDAD TOTAL DE USUARIOS</t>
  </si>
  <si>
    <t>ENERGIA TOTAL COMPRADA</t>
  </si>
  <si>
    <t>Guc</t>
  </si>
  <si>
    <t xml:space="preserve">LECTURA A USUARIOS EN MT </t>
  </si>
  <si>
    <t>TOTAL FACTURADO MT</t>
  </si>
  <si>
    <t>E</t>
  </si>
  <si>
    <t xml:space="preserve">LECTURA A USUARIOS EN BT </t>
  </si>
  <si>
    <t>TOTAL FACTURADO EN BT</t>
  </si>
  <si>
    <t>TOTAL FACTURADO Guc</t>
  </si>
  <si>
    <t>USUARIOS CON DEMANDA MAYOR DE 10 Kw Y MENOR QUE 300  kW</t>
  </si>
  <si>
    <t>USUARIOS CON DEMANDA MAYOR DE 10 kW Y MENOR QUE  300 kW</t>
  </si>
  <si>
    <t>Gud (&gt;= 30 y &lt;300 Kw)</t>
  </si>
  <si>
    <t>H</t>
  </si>
  <si>
    <t>J</t>
  </si>
  <si>
    <t>TOTAL ENERGIA   CON MEDICION CON BANDAS HORARIAS Gud</t>
  </si>
  <si>
    <t>L</t>
  </si>
  <si>
    <t>USUARIOS SIN MEDICION DE DEMANDA CONSUMOS RESIDENCIALES MAYOR O IGUAL A 15000 Y COMERCIALES-RURALES-OTROS USUARIOS MAYOR O IGUAL A 9000 Kwh------  SIN MEDIDICON DE DEMANDA EN BAJA TENSION</t>
  </si>
  <si>
    <t xml:space="preserve">COMERCIALES CON CONSUMOS IGUALES O MAYORES  9000 KWH </t>
  </si>
  <si>
    <t>M</t>
  </si>
  <si>
    <t xml:space="preserve">INDUSTRIALES CON CONSUMOS IGUALES O MAYORES A  9000 KWH </t>
  </si>
  <si>
    <t>N</t>
  </si>
  <si>
    <t xml:space="preserve">RURALES CON CONSUMOS IGUALES O MAYORES A  9000 KWH </t>
  </si>
  <si>
    <t>N'</t>
  </si>
  <si>
    <t xml:space="preserve">OTROS USUARIOS CON CONSUMOS IGUALES O MAYORES A  9000 KWH </t>
  </si>
  <si>
    <t>O</t>
  </si>
  <si>
    <t>P</t>
  </si>
  <si>
    <t>TOTAL ENERGIA   CON MEDICION SIN BANDAS HORARIAS Gud</t>
  </si>
  <si>
    <t xml:space="preserve">TOTAL ENERGIA Gud </t>
  </si>
  <si>
    <t>U30 (=&gt; 10 y &lt; 30 Kw)</t>
  </si>
  <si>
    <t>L1</t>
  </si>
  <si>
    <t>USUARIOS SIN MEDICION DE DEMANDA CONSUMOS RESIDENCIALES MAYOR A 5000 Y MENOR A 15000 Y COMERCIALES-RURALES-OTROS USUARIOS IGUALES O MAYOR A 3000 kWh y MENOR  A 9000 kWh</t>
  </si>
  <si>
    <t xml:space="preserve">COMERCIALES CON CONSUMOS MAYORES A 3000 Kwh Y MENORES  QUE 9000 KWH </t>
  </si>
  <si>
    <t>M1</t>
  </si>
  <si>
    <t xml:space="preserve">INDUSTRIALES CON CONSUMOS MAYORES A 3000 KWH Y  MENORES QUE 9000 KWH </t>
  </si>
  <si>
    <t>N1</t>
  </si>
  <si>
    <t xml:space="preserve">RURALES CON CONSUMOS MAYORES A 3000 KWH Y MENORES  QUE 9000 KWH </t>
  </si>
  <si>
    <t>N´1</t>
  </si>
  <si>
    <t xml:space="preserve">OTROS USUARIOS CON CONSUMOS MAYORES A 3000 KWH Y MENORES  QUE 9000 KWH </t>
  </si>
  <si>
    <t>O1</t>
  </si>
  <si>
    <t xml:space="preserve">RESIDENCIALES CON CONSUMOS MAYORES A 5000 KWH Y MENORES QUE 15000 KWH </t>
  </si>
  <si>
    <t>P2</t>
  </si>
  <si>
    <t>TOTAL ENERGIA U30</t>
  </si>
  <si>
    <r>
      <t xml:space="preserve">SUMATORIA  POT MAX REG. INDIVIDUAL </t>
    </r>
    <r>
      <rPr>
        <b/>
        <u/>
        <sz val="8"/>
        <rFont val="Arial"/>
        <family val="2"/>
      </rPr>
      <t>KW</t>
    </r>
  </si>
  <si>
    <t>S8-Gud</t>
  </si>
  <si>
    <t>TOTAL FACTURADO   S8-MT</t>
  </si>
  <si>
    <t xml:space="preserve">TOTAL FACTURADO   S8-BT </t>
  </si>
  <si>
    <t>S8 U30</t>
  </si>
  <si>
    <t>TOTAL Gud+ U30</t>
  </si>
  <si>
    <t>USUARIOS  ALUMBRADO PUBLICO</t>
  </si>
  <si>
    <t>A.P</t>
  </si>
  <si>
    <t>KWH FACTURADO</t>
  </si>
  <si>
    <t>PERDIDAS</t>
  </si>
  <si>
    <t>TOTAL SALDO PARA UR1+UR2+UR3+UR4+UR5+NR1+NR2+PSUM</t>
  </si>
  <si>
    <t>FACTURADO</t>
  </si>
  <si>
    <t>COMPRA ENERGIA</t>
  </si>
  <si>
    <t>OTRA COOP</t>
  </si>
  <si>
    <t>S8</t>
  </si>
  <si>
    <t>S5</t>
  </si>
  <si>
    <t xml:space="preserve"> USUARIOS CON DEMANDA HASTA 10 kW (NO INCLUYE AºPº)</t>
  </si>
  <si>
    <t>USUARIOS CON DEMANDA HASTA 10 kW (NO INCLUYE AºPº)</t>
  </si>
  <si>
    <t>VERIFICADOR (KWH/USUARIO)</t>
  </si>
  <si>
    <t>VERIFICADOR DATOS</t>
  </si>
  <si>
    <t>RESIDENCIAL</t>
  </si>
  <si>
    <t>Consumo demanda Residencial NIVEL 1</t>
  </si>
  <si>
    <t xml:space="preserve">Consumo demanda Residencial NIVEL 2 (SIN TARIFA SOCIAL PROVINCIAL) </t>
  </si>
  <si>
    <t xml:space="preserve">Consumo demanda Residencial NIVEL 3 - </t>
  </si>
  <si>
    <t>Tarifa
Social Provincial Decreto 43-2019</t>
  </si>
  <si>
    <t>HOGARES POBRES O CARENCIADOS &gt; 120 kWh/mes y &lt;= 150 kWh/mes -</t>
  </si>
  <si>
    <t xml:space="preserve">HOGARES INDIGENTES: &lt;=120 kWh/mes </t>
  </si>
  <si>
    <t>Consumo demanda Residencial NIVEL 2-(S.T. SOCIAL PCIAL) -&gt; 150 Y  &lt; =350  kWh/mes</t>
  </si>
  <si>
    <t>Consumo demanda Residencial NIVEL 2- &gt;350  y  &lt;=500  kWh/mes</t>
  </si>
  <si>
    <t>Consumo demanda Residencial NIVEL 3- &gt; 150 Y  =&lt; 250  kWh/mes</t>
  </si>
  <si>
    <t>Consumo demanda Residencial NIVEL 3- &gt; 250 Y = &lt; 500  kWh/mes</t>
  </si>
  <si>
    <t>HOGARES POBRES O CARENCIADOS -- Consumo &gt; 150 y &lt; =300  kWh/mes</t>
  </si>
  <si>
    <t xml:space="preserve">HOGARES POBRES O CARENCIADOS -  -Consumo &gt;300 y &lt; =350  kWh/mes </t>
  </si>
  <si>
    <t xml:space="preserve">HOGARES POBRES O CARENCIADOS -  -Consumo &gt;350 y &lt; =500  kWh/mes </t>
  </si>
  <si>
    <t>HOGARES INDIGENTES:- Consumo &gt;300  y &lt;= 350 kWh/mes</t>
  </si>
  <si>
    <t>HOGARES INDIGENTES:- Consumo &gt;350  y &lt;= 500 kWh/mes</t>
  </si>
  <si>
    <t>Consumo demanda Residencial NIVEL 2 (SIN TARIFA SOCIAL PROVINCIAL)</t>
  </si>
  <si>
    <t xml:space="preserve">Consumo demanda Residencial NIVEL 3 </t>
  </si>
  <si>
    <t>HOGARES INDIGENTES - Consumo &gt; 500 y &lt;= 700 kWh/mes</t>
  </si>
  <si>
    <t>Consumo demanda Residencial NIVEL 3</t>
  </si>
  <si>
    <t>HOGARES INDIGENTES- Consumo &gt; 700 y &lt;= 1400  kWh/mes</t>
  </si>
  <si>
    <t>HOGARES POBRES O CARENCIADOS- Consumo &gt; 1400 kWh/mes</t>
  </si>
  <si>
    <t>HOGARES INDIGENTES- - Consumo &gt; 1400  kWh/mes</t>
  </si>
  <si>
    <t>NO RESIDENCIAL</t>
  </si>
  <si>
    <t>(NR1) -No Residencial de 0 a 3999 KWh/bim-(0-1999 kWh/mes) CONSUMOS HASTA 800 KWH</t>
  </si>
  <si>
    <t>(NR1) -No Residencial de 0 a 3999 KWh/bim-(0-1999 kWh/mes) CONSUMOS MAS DE  800 KWH</t>
  </si>
  <si>
    <t xml:space="preserve">(NR2) -No Residencial de 4000 KWh/bim en adelante- (2000 kWh/mes en adelante Hasta 3000 kWh) </t>
  </si>
  <si>
    <t>TOTAL UR1+UR2+UR3+U4+UR5+NR1+NR2</t>
  </si>
  <si>
    <t>KWH FACTURADOS</t>
  </si>
  <si>
    <t>ENERGIA FACTURADA (kWh)</t>
  </si>
  <si>
    <t>PERDIDAS (kWh)</t>
  </si>
  <si>
    <t>TOTAL ENERGIA COMPRADA</t>
  </si>
  <si>
    <t>Consumo demanda Residencial NIVEL 3 HASTA 400 KWH</t>
  </si>
  <si>
    <t>Consumo demanda Residencial NIVEL 2 BASE H 350 (SIN TARIFA SOCIAL PROVINCIAL)</t>
  </si>
  <si>
    <t>Consumo demanda Residencial NIVEL 2-EXCEDENTE</t>
  </si>
  <si>
    <t>Consumo demanda Residencial NIVEL 3 HASTA 250 KWH</t>
  </si>
  <si>
    <t>Consumo demanda Residencial NIVEL 3 EXCEDENTE DE MAS DE 250 KWH</t>
  </si>
  <si>
    <t xml:space="preserve">HOGARES POBRES O CARENCIADOS - Consumo &gt;300 y &lt; =350  kWh/mes </t>
  </si>
  <si>
    <t xml:space="preserve">HOGARES POBRES O CARENCIADOS - Consumo &gt;350 y &lt; =500  kWh/mes </t>
  </si>
  <si>
    <t xml:space="preserve">HOGARES INDIGENTES:- Consumo &gt;300  y &lt;= 350 kWh/mes </t>
  </si>
  <si>
    <t xml:space="preserve">HOGARES INDIGENTES:- Consumo &gt;350  y &lt;= 500 kWh/mes </t>
  </si>
  <si>
    <t>Consumo demanda Residencial NIVEL 2 (SIN TARIFA SOCIAL PROVINCIAL)-EXCEDENTE</t>
  </si>
  <si>
    <t>Consumo demanda Residencial NIVEL 3 HASTA 250-BASE</t>
  </si>
  <si>
    <t>Consumo demanda Residencial NIVEL 3 -EXCEDENTE</t>
  </si>
  <si>
    <t>Consumo demanda Residencial NIVEL 2 (SIN TARIFA SOCIAL PROVINCIAL)BASE H 350 KWH</t>
  </si>
  <si>
    <t>Consumo demanda Residencial NIVEL 3 EXCEDNETE-</t>
  </si>
  <si>
    <t>Consumo demanda Residencial NIVEL 3 EXCEDNETE</t>
  </si>
  <si>
    <t>(NR1) -No Residencial de 0 a 3999 KWh/bim-(0-1999 kWh/mes) PRIMEROS 800 KWH</t>
  </si>
  <si>
    <t>(NR1) -No Residencial de 0 a 3999 KWh/bim-(0-1999 kWh/mes) EXCEDENTE DE 800 KWH</t>
  </si>
  <si>
    <t>(NR2) -No Residencial de 4000 KWh/bim en adelante (2000 kWh/mes en adelante) PRIMEROS 800 KWH</t>
  </si>
  <si>
    <t>(NR2) -No Residencial de 4000 KWh/bim en adelante (2000 kWh/mes en adelante) EXCEDENTE DE 800 KWH</t>
  </si>
  <si>
    <t xml:space="preserve">DECLARACION SECCION II </t>
  </si>
  <si>
    <t>facturado</t>
  </si>
  <si>
    <t>perdidas</t>
  </si>
  <si>
    <t>Nivel 1-Ingresos altos</t>
  </si>
  <si>
    <t>Nivel 2 Base- Ingresos bajos</t>
  </si>
  <si>
    <t>Nivel 3 Base- Ingresos Medios</t>
  </si>
  <si>
    <t>TARIFA SOCIAL PROVINCIAL</t>
  </si>
  <si>
    <t>Nivel 2 Base- Excedente</t>
  </si>
  <si>
    <t>Nivel 3 Base- Ingresos Medios-Excedente</t>
  </si>
  <si>
    <t xml:space="preserve">TARIFA SOCIAL PROVINCIAL 
</t>
  </si>
  <si>
    <t>(NR2) -No Residencial de 4000 KWh/bim en adelante (2000 kWh/mes en adelante) -CONSUMOS HASTA 800 KWH</t>
  </si>
  <si>
    <t>(NR2) -No Residencial de 4000 KWh/bim en adelante (2000 kWh/mes en adelante) -CONSUMOS MAS DE 800 KWH</t>
  </si>
  <si>
    <t>PUNTOS DE SUMINISTRO</t>
  </si>
  <si>
    <t>Residencial</t>
  </si>
  <si>
    <t>Residencial (UR1)</t>
  </si>
  <si>
    <t>Residencial (UR2)</t>
  </si>
  <si>
    <t>Residencial (UR3)</t>
  </si>
  <si>
    <t>Residencial (UR4)</t>
  </si>
  <si>
    <t>Residencial (UR5)</t>
  </si>
  <si>
    <t>No Residencial</t>
  </si>
  <si>
    <t>No Residencial (NR1)</t>
  </si>
  <si>
    <t>No Residencial (NR2)</t>
  </si>
  <si>
    <t>No Residencial (U30)</t>
  </si>
  <si>
    <t>No Residencial (Gud)</t>
  </si>
  <si>
    <t>TOTAL UR1+UR2+UR3+U4+UR5+NR1+NR2+P. SUMIN</t>
  </si>
  <si>
    <t xml:space="preserve">PERDIDAS (ASIGNADAS AL SECTOR </t>
  </si>
  <si>
    <t>TOTAL RES+NO RES SIN P SUM</t>
  </si>
  <si>
    <t>CONTROL</t>
  </si>
  <si>
    <t xml:space="preserve">VERIFICACION DE PERDIDAS </t>
  </si>
  <si>
    <t>ANALISIS DE LAS PERDIDAS POR SEGMENTO</t>
  </si>
  <si>
    <t>Segmento de Demanda</t>
  </si>
  <si>
    <t>COMPRADO</t>
  </si>
  <si>
    <t>%PERDIDAS DE COMPRADO</t>
  </si>
  <si>
    <t>%PERDIDAS DE FACTURADO</t>
  </si>
  <si>
    <t>Consumo demanda Residencial Nivel 1</t>
  </si>
  <si>
    <t>Consumo demanda Residencial Nivel 2-S.T. SOCIAL PCIAL.&lt;=350 kWh</t>
  </si>
  <si>
    <t>Consumo demanda Residencial Nivel 2-S.T. SOCIAL PCIAL. EXCEDENTE</t>
  </si>
  <si>
    <t>Consumo demanda Residencial Nivel 3 &lt;= 250 kwh</t>
  </si>
  <si>
    <t>Consumo demanda Residencial Nivel 3 &gt; 400 kwh</t>
  </si>
  <si>
    <t>T. SOCIAL PCIAL.</t>
  </si>
  <si>
    <t>HOGARES POBRES O CARENCIADOS</t>
  </si>
  <si>
    <t>HOGARES INDIGENTES:</t>
  </si>
  <si>
    <t>ALUMBRADO PUBLICO</t>
  </si>
  <si>
    <t>P. SUM.</t>
  </si>
  <si>
    <t>U30</t>
  </si>
  <si>
    <t xml:space="preserve">TOTAL ENERGIA U30 </t>
  </si>
  <si>
    <t>Gud</t>
  </si>
  <si>
    <t>TOTAL ENERGIA Guc</t>
  </si>
  <si>
    <t>O.COOP</t>
  </si>
  <si>
    <t>% PERDIDAS</t>
  </si>
  <si>
    <t>DECLARAMOS QUE LOS VALORES ARRIBA CONSIGNADOS SON CORRECTOS</t>
  </si>
  <si>
    <t>(Aclarar firmas con los sellos correspondientes y sello de la Cooperativa)</t>
  </si>
  <si>
    <t xml:space="preserve">PLANILLA DE TRABAJO INTERNA  -USO EXCLUSIVO ASOCIADAS FACE-FECESCOR HOJA Nº 2- PROVISORIA </t>
  </si>
  <si>
    <t>USUARIOS DE DEMANDA IGUAL O MAYOR A 300 KW DE DEMANDA (NO OFICIALES)</t>
  </si>
  <si>
    <t>Jurisdiccion</t>
  </si>
  <si>
    <t>GUDI DESIGNACION</t>
  </si>
  <si>
    <t>Ident Suministro:</t>
  </si>
  <si>
    <t>Nombre Empresa</t>
  </si>
  <si>
    <t>Direccion</t>
  </si>
  <si>
    <t>CUIT</t>
  </si>
  <si>
    <t>Actividad</t>
  </si>
  <si>
    <t>Categoria</t>
  </si>
  <si>
    <t>Nivel de Tensión kV</t>
  </si>
  <si>
    <t>Demandas (kW)</t>
  </si>
  <si>
    <t>Energia Facturada kWh</t>
  </si>
  <si>
    <t>PERDIDAS kWh</t>
  </si>
  <si>
    <t>KWH FACTURADOS kWh</t>
  </si>
  <si>
    <t>DP REGISTRADA</t>
  </si>
  <si>
    <t>DP CONTRATADA</t>
  </si>
  <si>
    <t>DFP REGISTRADA</t>
  </si>
  <si>
    <t>DFP CONTRATADA</t>
  </si>
  <si>
    <t>Pot Máxima Kw registrada</t>
  </si>
  <si>
    <t>Pot Máxima Kw contratada</t>
  </si>
  <si>
    <t>Pico</t>
  </si>
  <si>
    <t>Resto</t>
  </si>
  <si>
    <t>Valle</t>
  </si>
  <si>
    <t>Total</t>
  </si>
  <si>
    <t>COEF PERDIDAS</t>
  </si>
  <si>
    <t xml:space="preserve">PLANILLA DE TRABAJO INTERNA  -USO EXCLUSIVO ASOCIADAS FACE-FECESCOR HOJA Nº 3- PROVISORIA </t>
  </si>
  <si>
    <t>Electrodependientes</t>
  </si>
  <si>
    <t>Bomberos Voluntarios</t>
  </si>
  <si>
    <t>Clubes de Barrio y Pueblo</t>
  </si>
  <si>
    <t>Entidades de Bien Público</t>
  </si>
  <si>
    <t>N2</t>
  </si>
  <si>
    <t>Medidores comunitarios de complejos habitacionales</t>
  </si>
  <si>
    <t>Asentamientos residenciales</t>
  </si>
  <si>
    <t>"GESTION DE PUNTOS DE SUMINISTRO "</t>
  </si>
  <si>
    <t xml:space="preserve">USUARIOS: Electrodependientes - Bomberos voluntarios - Clubes de barrio y pueblo - Medidores comunitarios de complejos habitacionales </t>
  </si>
  <si>
    <t>Descripción</t>
  </si>
  <si>
    <t>Categoria de Usuario</t>
  </si>
  <si>
    <t>Energia Facturada (kWh)</t>
  </si>
  <si>
    <t>Perdidas en la red (kWh)</t>
  </si>
  <si>
    <t>CODIGO-SUMINISTRO</t>
  </si>
  <si>
    <t>SUMINISTRO</t>
  </si>
  <si>
    <t>RAZON SOCIAL</t>
  </si>
  <si>
    <t>DIRECCION</t>
  </si>
  <si>
    <t>LOCALIDAD</t>
  </si>
  <si>
    <t>PROVINCIA</t>
  </si>
  <si>
    <t>TIPO DE USUARIO Y DE CONSUMO</t>
  </si>
  <si>
    <t>CODIGO</t>
  </si>
  <si>
    <t>TIPO CONSUMO</t>
  </si>
  <si>
    <t>SEGMENTO</t>
  </si>
  <si>
    <t>CODIGO-SEGMENTO</t>
  </si>
  <si>
    <t>Segmento</t>
  </si>
  <si>
    <t>TOTAL COMPRA</t>
  </si>
  <si>
    <t>kwh</t>
  </si>
  <si>
    <t>CANT</t>
  </si>
  <si>
    <t>TIPO</t>
  </si>
  <si>
    <t>UR1</t>
  </si>
  <si>
    <t>UR2</t>
  </si>
  <si>
    <t>UR3</t>
  </si>
  <si>
    <t>UR4</t>
  </si>
  <si>
    <t>UR5</t>
  </si>
  <si>
    <t>6000-UR1</t>
  </si>
  <si>
    <t>6000-UR2</t>
  </si>
  <si>
    <t>6000-UR3</t>
  </si>
  <si>
    <t>6000-UR4</t>
  </si>
  <si>
    <t>6000-UR5</t>
  </si>
  <si>
    <t>Electrod.-B.Volunt.-Residencial</t>
  </si>
  <si>
    <t>6500-UR1</t>
  </si>
  <si>
    <t>6500-UR2</t>
  </si>
  <si>
    <t>6500-UR3</t>
  </si>
  <si>
    <t>6500-UR4</t>
  </si>
  <si>
    <t>6500-NR1</t>
  </si>
  <si>
    <t>Club-Ent. B. Pub.-Residencial</t>
  </si>
  <si>
    <t>6500-NR2</t>
  </si>
  <si>
    <t>6500-U30</t>
  </si>
  <si>
    <t>6500-Gud</t>
  </si>
  <si>
    <t>N2-UR1</t>
  </si>
  <si>
    <t>6500-UR5</t>
  </si>
  <si>
    <t>N2-UR2</t>
  </si>
  <si>
    <t>Club-Ent. B. Pub.-No Residencial</t>
  </si>
  <si>
    <t>N2-UR3</t>
  </si>
  <si>
    <t>N2-UR4</t>
  </si>
  <si>
    <t>N2-UR5</t>
  </si>
  <si>
    <t>Med. Comun.-Asent. Res-Residencial</t>
  </si>
  <si>
    <t>total</t>
  </si>
  <si>
    <t>PLANILLA DE TRABAJO INTERNA DTO.  NAC. 332-2022 SEGMENTACION DE TARIFAS RESIDENCIALES -RES SE 90-2024  Y DTO PCIAL 43-2019 TARIFA SOCIAL   -USO EXCLUSIVO ASOCIADAS FACE-FECESCOR HOJA Nº1-  JUNIO 2024</t>
  </si>
  <si>
    <r>
      <t>SECCION II-LOS DATOS INGRESADOS SE CORRESPONDEN CON LA LECTURA DE EPEC</t>
    </r>
    <r>
      <rPr>
        <sz val="28"/>
        <color indexed="17"/>
        <rFont val="Verdana"/>
        <family val="2"/>
      </rPr>
      <t xml:space="preserve"> </t>
    </r>
  </si>
  <si>
    <t>RESIDENCIAL CON UR1</t>
  </si>
  <si>
    <t>CANTIDAD USUARIOS CARENCIADOS</t>
  </si>
  <si>
    <t>DIF POR REDONDEO</t>
  </si>
  <si>
    <t>ASIGNACION DIF</t>
  </si>
  <si>
    <t>NO RESIDENCIAL NR1</t>
  </si>
  <si>
    <t>CANTIDAD DE USUARIOS INDIGENTES</t>
  </si>
  <si>
    <t>MONTO TOTAL DEL SUBSIDIO</t>
  </si>
  <si>
    <t>MONTO CARENCIADOS</t>
  </si>
  <si>
    <t>MONTO INDIGENTES</t>
  </si>
  <si>
    <t>FONDO SOLIDARIO IIBB</t>
  </si>
  <si>
    <r>
      <t>Cooperativa</t>
    </r>
    <r>
      <rPr>
        <b/>
        <sz val="28"/>
        <rFont val="Verdana"/>
        <family val="2"/>
      </rPr>
      <t>:</t>
    </r>
  </si>
  <si>
    <r>
      <t>Período</t>
    </r>
    <r>
      <rPr>
        <b/>
        <sz val="28"/>
        <rFont val="Verdana"/>
        <family val="2"/>
      </rPr>
      <t>:</t>
    </r>
  </si>
  <si>
    <t xml:space="preserve">SECCION II </t>
  </si>
  <si>
    <t>RESIDENCIALES-Demanda Total a Facturar por bandas en kWh</t>
  </si>
  <si>
    <t>UR1 &lt;=300 kWh bimestre</t>
  </si>
  <si>
    <t>Perdidas en la Red (kWh)</t>
  </si>
  <si>
    <t>TOTAL KWH COMPRADOS                              (FACT +PERD)</t>
  </si>
  <si>
    <t>KWH CALC/US</t>
  </si>
  <si>
    <t>USUARIO</t>
  </si>
  <si>
    <t>CONTROL ASIG PERD</t>
  </si>
  <si>
    <t>Nivel 2 Base- Ingresos bajos-</t>
  </si>
  <si>
    <t xml:space="preserve">Nivel 3 Base- Ingresos medios- </t>
  </si>
  <si>
    <t>SUBTOTAL SEGMENTO UR1</t>
  </si>
  <si>
    <t>UR2 &gt;300 y &lt;= 1000 kWh bimestre</t>
  </si>
  <si>
    <t>TOTAL KWH COMPRADOS</t>
  </si>
  <si>
    <t>Nivel 2 -Ingresos bajos- Excedente</t>
  </si>
  <si>
    <t>Nivel 3 Base- Ingresos medios</t>
  </si>
  <si>
    <t>W</t>
  </si>
  <si>
    <t>X</t>
  </si>
  <si>
    <t>Y</t>
  </si>
  <si>
    <t>Z</t>
  </si>
  <si>
    <t>AA</t>
  </si>
  <si>
    <t>AB</t>
  </si>
  <si>
    <t>AC</t>
  </si>
  <si>
    <t>Nivel 3 Base- Ingresos medios-Excedente</t>
  </si>
  <si>
    <t>TOPE</t>
  </si>
  <si>
    <t>Base N2 5040</t>
  </si>
  <si>
    <t>Base N2 ZF 5041</t>
  </si>
  <si>
    <t>Excedente 5045</t>
  </si>
  <si>
    <t>SUBTOTAL SEGMENTO UR2</t>
  </si>
  <si>
    <t>UR3 &gt;1000 y &lt;= 1400 kWh bimestre</t>
  </si>
  <si>
    <t>UR3 &gt;1000 y &lt;= 1400 kWh bimest</t>
  </si>
  <si>
    <t>SUBTOTAL SEGMENTO UR3</t>
  </si>
  <si>
    <t>UR4 &gt;1400 y &lt;= 2800 kWh bimest</t>
  </si>
  <si>
    <t>Nivel 2 - Excedente-Zona No Fria y Fria</t>
  </si>
  <si>
    <t>Nivel 3 Base- Ingresos medios-Zona No Fria</t>
  </si>
  <si>
    <t>Nivel 3 - Ingresos medios-Excedente--Zona No Fria y Fria</t>
  </si>
  <si>
    <t>SUBTOTAL SEGMENTO UR4</t>
  </si>
  <si>
    <t>UR5 &gt;2800 kWh bimestre</t>
  </si>
  <si>
    <t>UR5 &gt;2800 kWh bimest</t>
  </si>
  <si>
    <t>SUB TOTAL SEGMENTO UR5</t>
  </si>
  <si>
    <t>TOTAL  RESIDENCIALES</t>
  </si>
  <si>
    <t>Nivel 3 - Ingresos medios-Excedente</t>
  </si>
  <si>
    <r>
      <t xml:space="preserve">TARIFA SOCIAL PROVINCIAL DECRETO 43-2019 </t>
    </r>
    <r>
      <rPr>
        <b/>
        <sz val="48"/>
        <rFont val="Arial Narrow"/>
        <family val="2"/>
      </rPr>
      <t>(N2)</t>
    </r>
  </si>
  <si>
    <r>
      <t>TARIFA SOCIAL PROVINCIAL DECRETO 43-2019</t>
    </r>
    <r>
      <rPr>
        <b/>
        <sz val="48"/>
        <rFont val="Arial Narrow"/>
        <family val="2"/>
      </rPr>
      <t xml:space="preserve"> (N1)</t>
    </r>
  </si>
  <si>
    <r>
      <t xml:space="preserve">TARIFA SOCIAL PROVINCIAL DECRETO 43-2019 </t>
    </r>
    <r>
      <rPr>
        <b/>
        <sz val="48"/>
        <rFont val="Arial Narrow"/>
        <family val="2"/>
      </rPr>
      <t>(N3)</t>
    </r>
  </si>
  <si>
    <t>RESIDENCIAL UR1+UR2+UR3+UR4+UR5</t>
  </si>
  <si>
    <r>
      <t xml:space="preserve">(NR1) </t>
    </r>
    <r>
      <rPr>
        <sz val="22"/>
        <color indexed="9"/>
        <rFont val="Verdana"/>
        <family val="2"/>
      </rPr>
      <t>-No Residencial de 0 a 3999 KWh/bim</t>
    </r>
  </si>
  <si>
    <r>
      <t xml:space="preserve">(NR1) -No Residencial de 0 a 3999 KWh/bim-(0-1999 kWh/mes) </t>
    </r>
    <r>
      <rPr>
        <b/>
        <sz val="28"/>
        <color theme="0"/>
        <rFont val="Arial Narrow"/>
        <family val="2"/>
      </rPr>
      <t>PRIMEROS 800 KWH</t>
    </r>
  </si>
  <si>
    <r>
      <t xml:space="preserve">(NR1) -No Residencial de 0 a 3999 KWh/bim-(0-1999 kWh/mes) </t>
    </r>
    <r>
      <rPr>
        <b/>
        <sz val="28"/>
        <color theme="0"/>
        <rFont val="Arial Narrow"/>
        <family val="2"/>
      </rPr>
      <t>EXCEDENTE DE 800 KWH</t>
    </r>
  </si>
  <si>
    <r>
      <t xml:space="preserve">(NR2) </t>
    </r>
    <r>
      <rPr>
        <b/>
        <sz val="22"/>
        <color indexed="9"/>
        <rFont val="Verdana"/>
        <family val="2"/>
      </rPr>
      <t>-No Residencial de 4000 KWh/bim en adelante</t>
    </r>
  </si>
  <si>
    <t>KWH F/US</t>
  </si>
  <si>
    <r>
      <t xml:space="preserve">(NR2) -No Residencial de 4000 KWh/bim en adelante (2000 kWh/mes en adelante) </t>
    </r>
    <r>
      <rPr>
        <b/>
        <sz val="28"/>
        <color theme="0"/>
        <rFont val="Arial Narrow"/>
        <family val="2"/>
      </rPr>
      <t>PRIMEROS 800 KWH</t>
    </r>
  </si>
  <si>
    <r>
      <t xml:space="preserve">(NR2) -No Residencial de 4000 KWh/bim en adelante (2000 kWh/mes en adelante) </t>
    </r>
    <r>
      <rPr>
        <b/>
        <sz val="28"/>
        <color theme="0"/>
        <rFont val="Arial Narrow"/>
        <family val="2"/>
      </rPr>
      <t>EXCEDENTE DE 800 KWH</t>
    </r>
  </si>
  <si>
    <t>(AP)- Alumbrado Publico</t>
  </si>
  <si>
    <t>(P. SUM) PUNTOS DE SUMINISTRO (6000-6500-N2)</t>
  </si>
  <si>
    <t>TOTAL UR1+UR2+UR3+UR4+UR5+NR1+NR2+AP+PSUM</t>
  </si>
  <si>
    <t>USUARIOS NO RESIDENCIALES  (U30) Demandas totales a facturar por banda en kWh Usuarios entre 10 y 29 kW de demanda</t>
  </si>
  <si>
    <r>
      <t xml:space="preserve">USUARIOS NO RESIDENCIALES </t>
    </r>
    <r>
      <rPr>
        <b/>
        <u/>
        <sz val="22"/>
        <color indexed="19"/>
        <rFont val="Arial Narrow"/>
        <family val="2"/>
      </rPr>
      <t xml:space="preserve"> (U30)</t>
    </r>
    <r>
      <rPr>
        <b/>
        <sz val="22"/>
        <color indexed="8"/>
        <rFont val="Arial Narrow"/>
        <family val="2"/>
      </rPr>
      <t xml:space="preserve"> Demandas totales a facturar por banda en kWh Usuarios entre 10 y 29 kW de demanda</t>
    </r>
  </si>
  <si>
    <t>POTENCIA MAXIMA PROMEDIO(KW)</t>
  </si>
  <si>
    <t>BAJA</t>
  </si>
  <si>
    <t>USUARIOS NO RESIDENCIALES  (Gud) Demandas totales a facturar por banda en kWh Usuarios que califican como GUME Y GUPA entre 30 y 299 kW de demanda</t>
  </si>
  <si>
    <r>
      <t xml:space="preserve">USUARIOS NO RESIDENCIALES </t>
    </r>
    <r>
      <rPr>
        <b/>
        <sz val="22"/>
        <color indexed="19"/>
        <rFont val="Arial Narrow"/>
        <family val="2"/>
      </rPr>
      <t xml:space="preserve"> (Gud)</t>
    </r>
    <r>
      <rPr>
        <b/>
        <sz val="22"/>
        <color indexed="8"/>
        <rFont val="Arial Narrow"/>
        <family val="2"/>
      </rPr>
      <t xml:space="preserve"> Demandas totales a facturar por banda en kWh Usuarios que califican como GUME Y GUPA entre 30 y 299 kW de demanda</t>
    </r>
  </si>
  <si>
    <t>MEDIA</t>
  </si>
  <si>
    <t>USUARIOS NO RESIDENCIALES  (GuC) Demandas totales a facturar por banda en kWh Usuarios que califican como GUDI&gt;=  300 kW de demanda</t>
  </si>
  <si>
    <r>
      <t xml:space="preserve">USUARIOS NO RESIDENCIALES </t>
    </r>
    <r>
      <rPr>
        <b/>
        <sz val="22"/>
        <color indexed="19"/>
        <rFont val="Arial Narrow"/>
        <family val="2"/>
      </rPr>
      <t xml:space="preserve"> (GuC)</t>
    </r>
    <r>
      <rPr>
        <b/>
        <sz val="22"/>
        <color indexed="8"/>
        <rFont val="Arial Narrow"/>
        <family val="2"/>
      </rPr>
      <t xml:space="preserve"> Demandas totales a facturar por banda en kWh Usuarios que califican como GUDI&gt;=  300 kW de demanda</t>
    </r>
  </si>
  <si>
    <t>UFTT</t>
  </si>
  <si>
    <t>VENDIDA A OTRAS COOPERATIVAS</t>
  </si>
  <si>
    <t>Totales según datos ingresados:</t>
  </si>
  <si>
    <t>TOTAL KWH DECLARADOS</t>
  </si>
  <si>
    <t>Totales según datos EPEC:</t>
  </si>
  <si>
    <t>TOTAL KWH COMPRADOS EPEC</t>
  </si>
  <si>
    <t>VERIFICACION</t>
  </si>
  <si>
    <r>
      <t>Cooperativa</t>
    </r>
    <r>
      <rPr>
        <b/>
        <sz val="22"/>
        <rFont val="Verdana"/>
        <family val="2"/>
      </rPr>
      <t>:</t>
    </r>
  </si>
  <si>
    <r>
      <t>Período</t>
    </r>
    <r>
      <rPr>
        <b/>
        <sz val="22"/>
        <rFont val="Verdana"/>
        <family val="2"/>
      </rPr>
      <t>:</t>
    </r>
  </si>
  <si>
    <r>
      <t>Tipo Usuario</t>
    </r>
    <r>
      <rPr>
        <b/>
        <sz val="22"/>
        <rFont val="Verdana"/>
        <family val="2"/>
      </rPr>
      <t>:</t>
    </r>
  </si>
  <si>
    <t>Perdida en la red (kWh)</t>
  </si>
  <si>
    <t>Residencial&lt;= 10kW</t>
  </si>
  <si>
    <t>cantidad usuarios</t>
  </si>
  <si>
    <t>SUMA FACT</t>
  </si>
  <si>
    <t>DATOS HOJA 1</t>
  </si>
  <si>
    <t xml:space="preserve"> Gud</t>
  </si>
  <si>
    <t xml:space="preserve">Nivel de Tensión </t>
  </si>
  <si>
    <t>Cantidad de Usuarios</t>
  </si>
  <si>
    <t>Potencia Máxima Promedio kW</t>
  </si>
  <si>
    <t>Perdida en la Red (kWh)</t>
  </si>
  <si>
    <t>Total Comprados (kWh)</t>
  </si>
  <si>
    <t xml:space="preserve">Valle </t>
  </si>
  <si>
    <t>Totales Gud</t>
  </si>
  <si>
    <r>
      <t>Tipo Usuario</t>
    </r>
    <r>
      <rPr>
        <b/>
        <sz val="28"/>
        <rFont val="Verdana"/>
        <family val="2"/>
      </rPr>
      <t xml:space="preserve">: </t>
    </r>
    <r>
      <rPr>
        <b/>
        <sz val="28"/>
        <color indexed="19"/>
        <rFont val="Verdana"/>
        <family val="2"/>
      </rPr>
      <t>(U30) 10 a 30 KW </t>
    </r>
  </si>
  <si>
    <t>Perdida en la Red  (kWh)</t>
  </si>
  <si>
    <t>C. SUBSIDIO</t>
  </si>
  <si>
    <t>Totales U30</t>
  </si>
  <si>
    <r>
      <t>Tipo Usuario</t>
    </r>
    <r>
      <rPr>
        <b/>
        <sz val="28"/>
        <rFont val="Verdana"/>
        <family val="2"/>
      </rPr>
      <t xml:space="preserve">: </t>
    </r>
    <r>
      <rPr>
        <b/>
        <sz val="28"/>
        <color indexed="19"/>
        <rFont val="Verdana"/>
        <family val="2"/>
      </rPr>
      <t>(GUc) que califican como GUMA y GUME &gt;= 300 KW  </t>
    </r>
  </si>
  <si>
    <t xml:space="preserve">Identidad Suministro </t>
  </si>
  <si>
    <t>Potencia Máxima KW</t>
  </si>
  <si>
    <t>Totales Guc</t>
  </si>
  <si>
    <t>TOTAL UFTT Y VENTA A OTRAS COOPERATIVAS</t>
  </si>
  <si>
    <t>DATOS DE HOJA 1</t>
  </si>
  <si>
    <t>DATOS REDONDEAR(*;0)</t>
  </si>
  <si>
    <r>
      <t>Tipo Usuario</t>
    </r>
    <r>
      <rPr>
        <b/>
        <sz val="28"/>
        <rFont val="Verdana"/>
        <family val="2"/>
      </rPr>
      <t>:</t>
    </r>
  </si>
  <si>
    <t>KWH PERDIDAS</t>
  </si>
  <si>
    <t>KWH TOTALES</t>
  </si>
  <si>
    <t>SUMA</t>
  </si>
  <si>
    <t>TOTAL REAL</t>
  </si>
  <si>
    <t>de compra shoja 1</t>
  </si>
  <si>
    <t>dif</t>
  </si>
  <si>
    <t>APUBLICO</t>
  </si>
  <si>
    <t>Totales</t>
  </si>
  <si>
    <t>RES</t>
  </si>
  <si>
    <t>NR</t>
  </si>
  <si>
    <t>PSUM</t>
  </si>
  <si>
    <r>
      <t>Tipo Usuario</t>
    </r>
    <r>
      <rPr>
        <b/>
        <sz val="48"/>
        <rFont val="Verdana"/>
        <family val="2"/>
      </rPr>
      <t xml:space="preserve">: </t>
    </r>
    <r>
      <rPr>
        <b/>
        <sz val="48"/>
        <color indexed="19"/>
        <rFont val="Verdana"/>
        <family val="2"/>
      </rPr>
      <t xml:space="preserve">(GUd) que califican como GUMA y GUPA entre 30 y 300 KW </t>
    </r>
  </si>
  <si>
    <r>
      <t>Tipo Usuario</t>
    </r>
    <r>
      <rPr>
        <b/>
        <sz val="48"/>
        <rFont val="Verdana"/>
        <family val="2"/>
      </rPr>
      <t xml:space="preserve">: </t>
    </r>
    <r>
      <rPr>
        <b/>
        <sz val="48"/>
        <color indexed="19"/>
        <rFont val="Verdana"/>
        <family val="2"/>
      </rPr>
      <t>(U30) 10 a 30 KW </t>
    </r>
  </si>
  <si>
    <t>control total</t>
  </si>
  <si>
    <t>SI  RESULTA EN ALGUNA CELDA VERIFICAR ES POSIBLE QUE FOR FALLA DE EXCEL TENGA QUE AGREGAR O QUITAR 1 O 2 KWH EN ALGUNA CELDA ANTERIOR</t>
  </si>
  <si>
    <t>(Ante cualquier duda en el Ingreso de Datos, consulte a su Federación)</t>
  </si>
  <si>
    <t>datos reales de hoja 1</t>
  </si>
  <si>
    <t>5000-nr1-nr2</t>
  </si>
  <si>
    <t xml:space="preserve">PLANILLA DE TRABAJO INTERNA   -USO EXCLUSIVO ASOCIADAS FACE-FECESCOR HOJA Nº2-  </t>
  </si>
  <si>
    <r>
      <rPr>
        <b/>
        <sz val="14"/>
        <color rgb="FF008000"/>
        <rFont val="Verdana"/>
        <family val="2"/>
      </rPr>
      <t>SECCION I- II- Guc&gt;=300 kW-LOS DATOS INGRESADOS SE CORRESPONDEN CON LA LECTURA DE EPEC</t>
    </r>
    <r>
      <rPr>
        <sz val="14"/>
        <color rgb="FF008000"/>
        <rFont val="Verdana"/>
        <family val="2"/>
      </rPr>
      <t xml:space="preserve"> </t>
    </r>
  </si>
  <si>
    <r>
      <t>Cooperativa</t>
    </r>
    <r>
      <rPr>
        <b/>
        <sz val="12"/>
        <rFont val="Verdana"/>
        <family val="2"/>
      </rPr>
      <t>:</t>
    </r>
  </si>
  <si>
    <r>
      <t>Período</t>
    </r>
    <r>
      <rPr>
        <b/>
        <sz val="12"/>
        <rFont val="Verdana"/>
        <family val="2"/>
      </rPr>
      <t>:</t>
    </r>
  </si>
  <si>
    <t>DATOS INDIVIDUALES A CARGAR</t>
  </si>
  <si>
    <t>ENERGIA FACTURADA (KWH)</t>
  </si>
  <si>
    <t>PERDIDAS (KWH)</t>
  </si>
  <si>
    <t>TOTAL KWH</t>
  </si>
  <si>
    <t>GUDI</t>
  </si>
  <si>
    <r>
      <t xml:space="preserve">SUMATORIA  POT MAX REG. INDIVIDUAL </t>
    </r>
    <r>
      <rPr>
        <b/>
        <u/>
        <sz val="11"/>
        <rFont val="Arial"/>
        <family val="2"/>
      </rPr>
      <t>KW</t>
    </r>
  </si>
  <si>
    <t>DIF MT</t>
  </si>
  <si>
    <t>DIF BT</t>
  </si>
  <si>
    <t>DATOS INDIVIDUALES A CARGAR PUNTOS DE SUMINISTRO</t>
  </si>
  <si>
    <t>PLANILLA DE TRABAJO INTERNA DTO. NAC. 332-2022 SEGMENTACION DE TARIFAS RESIDENCIALES Y DTO PCIAL 43-2019 TARIFA SOCIAL   -USO EXCLUSIVO ASOCIADAS FACE-FECESCOR HOJA Nº1-</t>
  </si>
  <si>
    <t>CODIGO DE ACTIVIDAD SIN SUBSIDIO</t>
  </si>
  <si>
    <t>642020   Servicios de comunicación por medio de teléfono, telégrafo y téfex f"J</t>
  </si>
  <si>
    <t>652130   Servicios de la banca minorista</t>
  </si>
  <si>
    <t>Luminarias</t>
  </si>
  <si>
    <t>NOTA 1825 A.PUBLICO</t>
  </si>
  <si>
    <t>Municipio</t>
  </si>
  <si>
    <t>Cantidad</t>
  </si>
  <si>
    <t>Potencia Total Instalada (kW)</t>
  </si>
  <si>
    <t>Porcentaje de Energía de AP con Medición</t>
  </si>
  <si>
    <t>Método de Recaudación</t>
  </si>
  <si>
    <t xml:space="preserve">GUMA QUE SE LE PRESTA LA FTT (PEAJE) </t>
  </si>
  <si>
    <t>TOTAL FACTURADO</t>
  </si>
  <si>
    <t>PAFTT</t>
  </si>
  <si>
    <r>
      <t xml:space="preserve">LECTURA A USUARIOS UFTT EN </t>
    </r>
    <r>
      <rPr>
        <b/>
        <sz val="16"/>
        <rFont val="Arial"/>
        <family val="2"/>
      </rPr>
      <t xml:space="preserve">MT </t>
    </r>
  </si>
  <si>
    <t>PEAJE EN MEDIA TENSION</t>
  </si>
  <si>
    <r>
      <t xml:space="preserve">LECTURA A USUARIOS  UFTT EN </t>
    </r>
    <r>
      <rPr>
        <b/>
        <sz val="16"/>
        <rFont val="Arial"/>
        <family val="2"/>
      </rPr>
      <t>BT</t>
    </r>
    <r>
      <rPr>
        <sz val="16"/>
        <rFont val="Arial"/>
        <family val="2"/>
      </rPr>
      <t xml:space="preserve"> </t>
    </r>
  </si>
  <si>
    <t>PEAJE EN BAJA TENSION</t>
  </si>
  <si>
    <t>TOTAL ENERGIA FACTURADA EN CONCEPTO DE PAFTT-PEAJE</t>
  </si>
  <si>
    <t>C1</t>
  </si>
  <si>
    <r>
      <t>LECTURA A USUARIOS EN</t>
    </r>
    <r>
      <rPr>
        <b/>
        <sz val="16"/>
        <rFont val="Arial"/>
        <family val="2"/>
      </rPr>
      <t xml:space="preserve"> MT SIN SUBISIDIO</t>
    </r>
  </si>
  <si>
    <t>TOTAL FACTURADO  MT</t>
  </si>
  <si>
    <t>TOTAL FACTURADO SIN SUBSIDIO MT</t>
  </si>
  <si>
    <t>E1</t>
  </si>
  <si>
    <r>
      <t xml:space="preserve">LECTURA A USUARIOS EN </t>
    </r>
    <r>
      <rPr>
        <b/>
        <sz val="16"/>
        <rFont val="Arial"/>
        <family val="2"/>
      </rPr>
      <t>BT SIN SUBSIDIO</t>
    </r>
  </si>
  <si>
    <t>TOTAL FACTURADO  BT</t>
  </si>
  <si>
    <t>G</t>
  </si>
  <si>
    <t xml:space="preserve">TOTAL DE ENERGIA FACTURADA </t>
  </si>
  <si>
    <t>G1</t>
  </si>
  <si>
    <t>TOTAL ENERGIA SIN SUBSIDIO</t>
  </si>
  <si>
    <t>H1</t>
  </si>
  <si>
    <r>
      <t xml:space="preserve">LECTURA A USUARIOS EN </t>
    </r>
    <r>
      <rPr>
        <b/>
        <sz val="12"/>
        <rFont val="Arial"/>
        <family val="2"/>
      </rPr>
      <t>MT SIN SUBISIDIO</t>
    </r>
  </si>
  <si>
    <t>J1</t>
  </si>
  <si>
    <r>
      <t>LECTURA A USUARIOS EN</t>
    </r>
    <r>
      <rPr>
        <b/>
        <sz val="12"/>
        <rFont val="Arial"/>
        <family val="2"/>
      </rPr>
      <t xml:space="preserve"> BT SIN SUBSIDIO</t>
    </r>
  </si>
  <si>
    <t xml:space="preserve">TOTAL ENERGIA   </t>
  </si>
  <si>
    <t>TOTAL ENERGIA   SIN SUBISIDO</t>
  </si>
  <si>
    <t>COMERCIALES CON CONSUMOS MAYORES  9000 KWH SIN SUBISIDIO</t>
  </si>
  <si>
    <t>INDUSTRIALES CON CONSUMOS MAYORES A  9000 KWH SIN SUBSIDIO</t>
  </si>
  <si>
    <t>RURALES CON CONSUMOS MAYORES A  9000 KWH SIN SUBISIDIO</t>
  </si>
  <si>
    <t>OTROS USUARIOS CON CONSUMOS MAYORES A  9000 KWH SIN SUBSIDIO</t>
  </si>
  <si>
    <t>CLUBES DE BARRIO Y DE PUEBLO (RES SE 742-2022)</t>
  </si>
  <si>
    <r>
      <t>RESIDENCIALES</t>
    </r>
    <r>
      <rPr>
        <sz val="14"/>
        <rFont val="Arial"/>
        <family val="2"/>
      </rPr>
      <t xml:space="preserve"> CON CONSUMOS MAYORES A 5000 KWH Y MENORES O IGUALES A 15000 KWH </t>
    </r>
    <r>
      <rPr>
        <b/>
        <sz val="14"/>
        <rFont val="Arial"/>
        <family val="2"/>
      </rPr>
      <t>SIN SUBSIDIO</t>
    </r>
  </si>
  <si>
    <t>TOTAL ENERGIA     SIN BANDAS HORARIAS Gud</t>
  </si>
  <si>
    <t>TOTAL ENERGIA   CLUBES DE BARRIO  SIN BANDAS HORARIAS Gud</t>
  </si>
  <si>
    <t xml:space="preserve">SUBTOTAL ENERGIA    Gud </t>
  </si>
  <si>
    <t>P1</t>
  </si>
  <si>
    <t>TOTAL ENERGIA   CLUBES DE BARRIO Y PUEBLO (RES 742-2022)</t>
  </si>
  <si>
    <t>U30 (&gt; 10 y &lt; 30 Kw)</t>
  </si>
  <si>
    <t>USUARIOS SIN MEDICION DE DEMANDA CONSUMOS RESIDENCIALES MAYOR A 5000 Y MENOR A 15000 Y COMERCIALES-RURALES-OTROS USUARIOS MAYOR A 3000 kWh y MENOR  A 9000 kWh</t>
  </si>
  <si>
    <t>L2</t>
  </si>
  <si>
    <r>
      <t>COMERCIALES</t>
    </r>
    <r>
      <rPr>
        <sz val="14"/>
        <rFont val="Arial"/>
        <family val="2"/>
      </rPr>
      <t xml:space="preserve"> CON CONSUMOS MAYORES A 3000 Kwh Y MENORES O IGUALES QUE 9000 KWH </t>
    </r>
    <r>
      <rPr>
        <b/>
        <sz val="14"/>
        <rFont val="Arial"/>
        <family val="2"/>
      </rPr>
      <t>SIN SUBSIDIO</t>
    </r>
  </si>
  <si>
    <t>POTENCIA</t>
  </si>
  <si>
    <t>M2</t>
  </si>
  <si>
    <r>
      <t>INDUSTRIALES</t>
    </r>
    <r>
      <rPr>
        <sz val="14"/>
        <rFont val="Arial"/>
        <family val="2"/>
      </rPr>
      <t xml:space="preserve"> CON CONSUMOS MAYORES A 3000 KWH Y MENORES O IGUALES QUE 9000 KWH</t>
    </r>
    <r>
      <rPr>
        <b/>
        <sz val="14"/>
        <rFont val="Arial"/>
        <family val="2"/>
      </rPr>
      <t xml:space="preserve"> SIN SUBSIDIO</t>
    </r>
  </si>
  <si>
    <r>
      <t xml:space="preserve">RURALES </t>
    </r>
    <r>
      <rPr>
        <sz val="14"/>
        <rFont val="Arial"/>
        <family val="2"/>
      </rPr>
      <t xml:space="preserve">CON CONSUMOS MAYORES A 3000 KWH Y MENORES O IGUALES QUE 9000 KWH </t>
    </r>
    <r>
      <rPr>
        <b/>
        <sz val="14"/>
        <rFont val="Arial"/>
        <family val="2"/>
      </rPr>
      <t>SIN SUBISDIO</t>
    </r>
  </si>
  <si>
    <t>N'2</t>
  </si>
  <si>
    <r>
      <t>OTROS USUARIOS</t>
    </r>
    <r>
      <rPr>
        <sz val="14"/>
        <rFont val="Arial"/>
        <family val="2"/>
      </rPr>
      <t xml:space="preserve"> CON CONSUMOS MAYORES A 3000 KWH Y MENORES O IGUALES QUE 9000 KWH </t>
    </r>
    <r>
      <rPr>
        <b/>
        <sz val="14"/>
        <rFont val="Arial"/>
        <family val="2"/>
      </rPr>
      <t>SIN SUBSIDIO</t>
    </r>
  </si>
  <si>
    <t>O2</t>
  </si>
  <si>
    <t>SUBTOTAL  ENERGIA    U30</t>
  </si>
  <si>
    <t>TOTAL FACTURADO SIN SUBSIDIO  S8-MT</t>
  </si>
  <si>
    <t>TOTAL FACTURADO   S8-BT SIN CLUBES DE BARRIO</t>
  </si>
  <si>
    <t>TOTAL FACTURADO   S8-BT  CLUBES DE BARRIO</t>
  </si>
  <si>
    <t>TOTAL FACTURADO SIN SUBSIDIO  S8-BT</t>
  </si>
  <si>
    <t>TOTAL FACTURADO S8-GUD CON SUBISIDO</t>
  </si>
  <si>
    <t>TOTAL FACTURADO S8-GUD SIN SUBSIDIO</t>
  </si>
  <si>
    <t>TOTAL FACTURADO S8-GUD</t>
  </si>
  <si>
    <t xml:space="preserve">TOTAL FACTURADO  SIN SUBSIDIO S8-BT  </t>
  </si>
  <si>
    <t>TOTAL FACTURADO S8 -U30CON SUBISIDO</t>
  </si>
  <si>
    <t>TOTAL FACTURADO S8-U30 SIN SUBSIDIO</t>
  </si>
  <si>
    <t>FACTOR  DE PERDIDAS A.P</t>
  </si>
  <si>
    <t>A. PUBLICO</t>
  </si>
  <si>
    <t>SIN SUBSIDIO ESTADO NACIONAL</t>
  </si>
  <si>
    <t xml:space="preserve">  %</t>
  </si>
  <si>
    <t>MUNICIPIO O COMUNA</t>
  </si>
  <si>
    <t>TOTAL ALUMBRADO PUBLICO</t>
  </si>
  <si>
    <t>USUARIOS  TARIFA SOCIAL 5500</t>
  </si>
  <si>
    <t>FACOTR DE PERDIDAS A.P</t>
  </si>
  <si>
    <t>kWh FACTURADOS TARIFA SOCIAL</t>
  </si>
  <si>
    <r>
      <t xml:space="preserve">Consumo demanda Residencial NIVEL 2 (SIN TARIFA SOCIAL PROVINCIAL) (ZONA NO FRIA Y </t>
    </r>
    <r>
      <rPr>
        <b/>
        <i/>
        <sz val="26"/>
        <color rgb="FF0070C0"/>
        <rFont val="Arial Black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</si>
  <si>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r>
      <t xml:space="preserve">Consumo demanda Residencial </t>
    </r>
    <r>
      <rPr>
        <b/>
        <u/>
        <sz val="26"/>
        <color theme="1"/>
        <rFont val="Arial Narrow"/>
        <family val="2"/>
      </rPr>
      <t>CLUBES DE BARRIO Y DE PUEBLO (RES SE 742-2022)</t>
    </r>
  </si>
  <si>
    <r>
      <t xml:space="preserve">Consumo demanda Residencial NIVEL 3 (ZONA NO FRIA Y </t>
    </r>
    <r>
      <rPr>
        <b/>
        <i/>
        <sz val="26"/>
        <color rgb="FF0070C0"/>
        <rFont val="Arial Black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</si>
  <si>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r>
      <t xml:space="preserve">HOGARES POBRES O CARENCIADOS- Consumo &lt;= 120 kWh/mes (ZONA NO FRIA Y </t>
    </r>
    <r>
      <rPr>
        <b/>
        <i/>
        <sz val="26"/>
        <color rgb="FF0070C0"/>
        <rFont val="Arial Narrow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</si>
  <si>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r>
      <t xml:space="preserve">HOGARES POBRES O CARENCIADOS &gt; 120 kWh/mes y &lt;= 150 kWh/mes (ZONA NO FRIA Y </t>
    </r>
    <r>
      <rPr>
        <b/>
        <i/>
        <sz val="26"/>
        <color rgb="FF0070C0"/>
        <rFont val="Arial Narrow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</si>
  <si>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r>
      <t xml:space="preserve">HOGARES INDIGENTES: &lt;=120 kWh/mes  (ZONA NO FRIA Y </t>
    </r>
    <r>
      <rPr>
        <b/>
        <i/>
        <sz val="26"/>
        <color rgb="FF0070C0"/>
        <rFont val="Arial Narrow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</si>
  <si>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r>
      <t xml:space="preserve">HOGARES INDIGENTES:- Consumo &gt; 120 kWh/mes y &lt;= 150 kWh/mes (ZONA NO FRIA Y </t>
    </r>
    <r>
      <rPr>
        <b/>
        <i/>
        <sz val="26"/>
        <color rgb="FF0070C0"/>
        <rFont val="Arial Narrow"/>
        <family val="2"/>
      </rPr>
      <t>ZONA FRIA</t>
    </r>
    <r>
      <rPr>
        <b/>
        <sz val="26"/>
        <color rgb="FF000000"/>
        <rFont val="Arial Narrow"/>
        <family val="2"/>
      </rPr>
      <t>)</t>
    </r>
  </si>
  <si>
    <t xml:space="preserve">TARIFA ELECTRODEPENDIENTE Y BOMBEROS VOLUNTARIOS
</t>
  </si>
  <si>
    <t>Consumo demanda Residencial NIVEL 2- &gt;150  y  &lt;=500  kWh/mes-ZONA FRIA</t>
  </si>
  <si>
    <t>Consumo demanda Residencial NIVEL 3- &gt; 150 Y  &lt;= 500  kWh/mes ZONA FRIA</t>
  </si>
  <si>
    <r>
      <t xml:space="preserve">HOGARES POBRES O CARENCIADOS -- Consumo &gt; 150 y &lt; =300  kWh/mes (ZONA NO FRIA </t>
    </r>
    <r>
      <rPr>
        <b/>
        <i/>
        <sz val="26"/>
        <color rgb="FF0070C0"/>
        <rFont val="Arial Black"/>
        <family val="2"/>
      </rPr>
      <t>Y ZONA FRIA</t>
    </r>
    <r>
      <rPr>
        <b/>
        <sz val="26"/>
        <color rgb="FF000000"/>
        <rFont val="Arial Narrow"/>
        <family val="2"/>
      </rPr>
      <t>)</t>
    </r>
  </si>
  <si>
    <t xml:space="preserve">HOGARES POBRES O CARENCIADOS -  -Consumo &gt;300 y &lt; =500  kWh/mes </t>
  </si>
  <si>
    <t>HOGARES POBRES O CARENCIADOS - -Consumo &gt;300 y &lt; =500  kWh/mes -ZONA FRIA</t>
  </si>
  <si>
    <r>
      <t>HOGARES INDIGENTES: - Consumo &gt;150  y &lt;= 300 kWh/mes (ZONA NO FRIA Y</t>
    </r>
    <r>
      <rPr>
        <b/>
        <i/>
        <sz val="26"/>
        <color rgb="FF0070C0"/>
        <rFont val="Arial Black"/>
        <family val="2"/>
      </rPr>
      <t xml:space="preserve"> ZONA FRIA</t>
    </r>
    <r>
      <rPr>
        <b/>
        <sz val="26"/>
        <color rgb="FF000000"/>
        <rFont val="Arial Narrow"/>
        <family val="2"/>
      </rPr>
      <t>)</t>
    </r>
  </si>
  <si>
    <t>HOGARES INDIGENTES - -Consumo &gt;300 y &lt; =500  kWh/mes -ZONA FRIA</t>
  </si>
  <si>
    <t>Consumo demanda Residencial NIVEL 2-- (SIN T.S. PROVINCIAL)-ZONA FRIA</t>
  </si>
  <si>
    <t>Consumo demanda Residencial NIVEL 3-ZONA FRIA</t>
  </si>
  <si>
    <t>HOGARES POBRES O CARENCIADOS  - Consumo &gt; 500 y &lt;=700  kWh/mes -ZONA FRIA</t>
  </si>
  <si>
    <t>HOGARES INDIGENTES - Consumo &gt; 500 y &lt;= 700 kWh/mes -ZONA FRIA</t>
  </si>
  <si>
    <t>HOGARES POBRES O CARENCIADOS  - Consumo &gt; 700  y &lt;= 1400 kWh/mes -Z. FRIA</t>
  </si>
  <si>
    <t>HOGARES INDIGENTES- Consumo &gt; 700 y &lt;= 1400  kWh/mes -Z. FRIA</t>
  </si>
  <si>
    <t>HOGARES POBRES O CARENCIADOS- Consumo &gt; 1400 kWh/mes -ZONA  FRIA</t>
  </si>
  <si>
    <t>HOGARES INDIGENTES- - Consumo &gt; 1400  kWh/mes -ZONA FRIA</t>
  </si>
  <si>
    <r>
      <t xml:space="preserve">Consumo demanda Residencial </t>
    </r>
    <r>
      <rPr>
        <b/>
        <u/>
        <sz val="20"/>
        <color theme="1"/>
        <rFont val="Arial Narrow"/>
        <family val="2"/>
      </rPr>
      <t>CLUBES DE BARRIO Y DE PUEBLO (RES SE 742-2022)</t>
    </r>
  </si>
  <si>
    <t>PRUEBA</t>
  </si>
  <si>
    <r>
      <t xml:space="preserve">6500-Consumo demanda Residencial </t>
    </r>
    <r>
      <rPr>
        <b/>
        <u/>
        <sz val="20"/>
        <color theme="1"/>
        <rFont val="Arial Narrow"/>
        <family val="2"/>
      </rPr>
      <t>CLUBES DE BARRIO Y DE PUEBLO (RES SE 742-2022)</t>
    </r>
  </si>
  <si>
    <t>Consumo demanda Residencial NIVEL 2 BASE H 350 (SIN TARIFA SOCIAL PROVINCIAL)-ZONA FIRA</t>
  </si>
  <si>
    <t>Consumo demanda Residencial NIVEL 3 HASTA 500  KWH-ZONA FIRA</t>
  </si>
  <si>
    <t>NIVEL 2 BASE</t>
  </si>
  <si>
    <t>NIVEL 2 BASE ZONA FRIA</t>
  </si>
  <si>
    <t>NIVEL 2 EXCEDENTE</t>
  </si>
  <si>
    <t>HOGARES POBRES O CARENCIADOS - Consumo &gt;300 y &lt; =500  kWh/mes -ZONA FRIA</t>
  </si>
  <si>
    <t>HOGARES INDIGENTES:- Consumo &gt;300  y &lt;= 500 kWh/mes -ZONA FRIA</t>
  </si>
  <si>
    <t>Consumo demanda Residencial NIVEL 2 (SIN TARIFA SOCIAL PROVINCIAL)-ZONA FRIA</t>
  </si>
  <si>
    <t>Consumo demanda Residencial NIVEL 3 HASTA 500-BASE-ZONA FRIA</t>
  </si>
  <si>
    <t>Consumo demanda Residencial NIVEL 3 -EXCEDENTE-ZONA FRIA</t>
  </si>
  <si>
    <t>Consumo demanda Residencial NIVEL 2 (SIN TARIFA SOCIAL PROVINCIAL)-BASE HASTA 700 KWH</t>
  </si>
  <si>
    <t>Consumo demanda Residencial NIVEL 2 (SIN TARIFA SOCIAL PROVINCIAL)-EXCEDENTE ZONA FRIA</t>
  </si>
  <si>
    <t>Consumo demanda Residencial NIVEL 3 HASTA 500 KWH</t>
  </si>
  <si>
    <t>Consumo demanda Residencial NIVEL 3 EXCEDNETE-ZONA FRIA</t>
  </si>
  <si>
    <t>HOGARES POBRES O CARENCIADOS  - Consumo &gt; 700  y &lt;= 1400 kWh/mes -Z FRIA</t>
  </si>
  <si>
    <t>HOGARES INDIGENTES- Consumo &gt; 700 y &lt;= 1400  kWh/mes -Z FRIA</t>
  </si>
  <si>
    <t>Consumo demanda Residencial NIVEL 2 (SIN TARIFA SOCIAL PROVINCIAL)-EXCEDENTE-ZONA FIRA</t>
  </si>
  <si>
    <t>Consumo demanda Residencial NIVEL 3 EXCEDNETE-ZONA FIRA</t>
  </si>
  <si>
    <t>HOGARES POBRES O CARENCIADOS- Consumo &gt; 1400 kWh/mes -ZONA FIRA</t>
  </si>
  <si>
    <t>HOGARES INDIGENTES- - Consumo &gt; 1400  kWh/mes -ZONA FIRA</t>
  </si>
  <si>
    <r>
      <t xml:space="preserve">6500-Consumo demanda No Residencial </t>
    </r>
    <r>
      <rPr>
        <b/>
        <u/>
        <sz val="20"/>
        <color theme="1"/>
        <rFont val="Arial Narrow"/>
        <family val="2"/>
      </rPr>
      <t>CLUBES DE BARRIO Y DE PUEBLO (RES SE 742-2022)</t>
    </r>
  </si>
  <si>
    <t>Nivel 2 Base- Ingresos bajos- Zona Fria</t>
  </si>
  <si>
    <t>Nivel 3 Base- Ingresos Medios-Zona Fria</t>
  </si>
  <si>
    <t>HOGARES POBRES O CARENCIADOS - Consumo &gt;300 y &lt; =500  kWh/mes -Z.F.</t>
  </si>
  <si>
    <t>HOGARES INDIGENTES:- Consumo &gt;300  y &lt;= 500 kWh/mes -ZF</t>
  </si>
  <si>
    <t>HOGARES POBRES O CARENCIADOS  - Consumo &gt; 700  y &lt;= 1400 kWh/mes -ZONA FRIA</t>
  </si>
  <si>
    <t>HOGARES INDIGENTES- Consumo &gt; 700 y &lt;= 1400  kWh/mes -ZONA FRIA</t>
  </si>
  <si>
    <t>HOGARES POBRES O CARENCIADOS- Consumo &gt; 1400 kWh/mes-ZONA FRIA</t>
  </si>
  <si>
    <t>CLUBES</t>
  </si>
  <si>
    <r>
      <t xml:space="preserve">Consumo demanda No Residencial </t>
    </r>
    <r>
      <rPr>
        <b/>
        <u/>
        <sz val="20"/>
        <color theme="1"/>
        <rFont val="Arial Narrow"/>
        <family val="2"/>
      </rPr>
      <t>CLUBES DE BARRIO Y DE PUEBLO (RES SE 742-2022)</t>
    </r>
  </si>
  <si>
    <t xml:space="preserve">TOTAL DE ENERGIA DISTRIBUIDA EN EL SECTOR </t>
  </si>
  <si>
    <t>DDJJ SECCION I</t>
  </si>
  <si>
    <t>UR5 &gt; 1400 kWh/mes</t>
  </si>
  <si>
    <t>Consumo demanda Residencial Nivel 2-S.T. SOCIAL PCIAL.</t>
  </si>
  <si>
    <t>6500-Consumo demanda  Residencial CLUBES DE BARRIO Y DE PUEBLO (RES SE 742-2022)</t>
  </si>
  <si>
    <t>Consumo demanda Residencial Nivel 3 &lt;= 400 kwh</t>
  </si>
  <si>
    <t>HOGARES POBRES O CARENCIADOS Excedente hasta 150 kWh</t>
  </si>
  <si>
    <t>HOGARES POBRES O CARENCIADOS Excedente superior a 150 kWh</t>
  </si>
  <si>
    <t>HOGARES INDIGENTES: &gt; 120 kWh/mes y &lt;= 150 kWh/mes</t>
  </si>
  <si>
    <t xml:space="preserve">HOGARES INDIGENTES Excedente hasta 150 kWh </t>
  </si>
  <si>
    <t xml:space="preserve">HOGARES INDIGENTES Excedente superior a 150 kWh </t>
  </si>
  <si>
    <t xml:space="preserve">TARIFA E.D. Y B.V. - </t>
  </si>
  <si>
    <t>6500-Consumo demanda No Residencial CLUBES DE BARRIO Y DE PUEBLO (RES SE 742-2022)</t>
  </si>
  <si>
    <t>TOTAL ENERGIA U30 NO RESIDENCIAL</t>
  </si>
  <si>
    <t>TOTAL ENERGIA U30 CLUBES DE BARRIO Y DE PUEBLO</t>
  </si>
  <si>
    <t>USUARIOS DE MAS DE 300 KW DE DEMANDA</t>
  </si>
  <si>
    <t>MT-BT</t>
  </si>
  <si>
    <t>Ident Suministro:Nº DE CUENTA</t>
  </si>
  <si>
    <t>Pot Máxima kW</t>
  </si>
  <si>
    <t>TOTALES</t>
  </si>
  <si>
    <t>TOTALES KW MT+BT</t>
  </si>
  <si>
    <t>TOTALES USUARIOS MT+BT</t>
  </si>
  <si>
    <t>POTENCIA MEDIA</t>
  </si>
  <si>
    <t>MEDIA TENSION</t>
  </si>
  <si>
    <t>CUENTA</t>
  </si>
  <si>
    <t>con perdidas</t>
  </si>
  <si>
    <t>POT MAXIMA</t>
  </si>
  <si>
    <t>BAJA TENSION</t>
  </si>
  <si>
    <t>101000   Extraccion y aglomeración de carbón</t>
  </si>
  <si>
    <t>102000   Extracción y aglomeración de lignito</t>
  </si>
  <si>
    <t>103000   Extracción y aglomeración de turba</t>
  </si>
  <si>
    <t xml:space="preserve">111000   Extracción de petróleo crudo y gas natural </t>
  </si>
  <si>
    <t>112000  Actividades de servicios relacionadas con la extracción de petróleo y gas. excepto las actividades de prospección</t>
  </si>
  <si>
    <t>120000   Extracción de minerales y concentrados de uranio y torio</t>
  </si>
  <si>
    <t>131000   Extracción de minerales de hierro</t>
  </si>
  <si>
    <t>132000   Extracción de minerales medítenos no ferrosos, excepto minerales de uranio y lorio</t>
  </si>
  <si>
    <t>141100   Extracción de rocas ornamentales</t>
  </si>
  <si>
    <t>141200   Extracción de piedra caliza y yeso</t>
  </si>
  <si>
    <t>141300   Extracción de arenes, canto rodado y triturados pétreos</t>
  </si>
  <si>
    <t>141400   Extracción de arcilla y caolín</t>
  </si>
  <si>
    <t>142110   Extracción de minerales para la Fabricación de abonos excepto turba.</t>
  </si>
  <si>
    <t>142120   Extracción de minerales para la fabricación de productos químicos</t>
  </si>
  <si>
    <t>142200   Extracción da sal en salinas y da roca</t>
  </si>
  <si>
    <t>142900   Explotación de minas y canteras n c,p.</t>
  </si>
  <si>
    <t>612200   Servicio de transporte fluvial da pasajeros (')</t>
  </si>
  <si>
    <t>633320   Servicios para la aeronavegación (")</t>
  </si>
  <si>
    <t>651100   Servicios de la banca central</t>
  </si>
  <si>
    <t>652110   Servicios de la banca mayorista</t>
  </si>
  <si>
    <t>652120   Servicios de la banca de inversión</t>
  </si>
  <si>
    <t xml:space="preserve">652201   Servicios de intermediacion financiera realizada por las compañías financieras </t>
  </si>
  <si>
    <t>652202    Servicios de intermediacion financiera  realizada por sociedades de ahorro y préstamo para la vivienda y otros inmuebles</t>
  </si>
  <si>
    <t>652203   Servicios de Intermediación financiera</t>
  </si>
  <si>
    <t>659810   Actividades da crédito para financiar otras actividades  económicas</t>
  </si>
  <si>
    <t>659890   Servicios da crédito n.c.p.</t>
  </si>
  <si>
    <t>659910   Servicios de agente de mercado abierto "puros"</t>
  </si>
  <si>
    <t>659920   Servicios da entidades de tarjeta de compra y/o crédito</t>
  </si>
  <si>
    <t>659990   Servicios da financiación y actividades financieras n.c.p.</t>
  </si>
  <si>
    <t>661220   Servicios de seguros patrimoniales excepto los de las aseguradoras de riesgo de trabajo</t>
  </si>
  <si>
    <t>651300   Reaseguros</t>
  </si>
  <si>
    <t>671110   Servicios da mercados y cajas de valoras</t>
  </si>
  <si>
    <t>671120   Servicios de mercados a término</t>
  </si>
  <si>
    <t>671130   Servicios de bolsas de comercio</t>
  </si>
  <si>
    <t>671200   Servicios bursátiles de mediación o por cuenta da terseicis</t>
  </si>
  <si>
    <t>671910   Servicios de casas y agencias de cambio</t>
  </si>
  <si>
    <t>671920   Servictos de sociedades calificadoras de riesgos</t>
  </si>
  <si>
    <t>671990   Servicios auxiliares a la intermediaciún financiera n.c.p., excepto a los servicios de segunos y de administración de fondos de jubilaciones y pensiones</t>
  </si>
  <si>
    <t>924910   Servicios de esparcimiento relacionados con juegos de azar y apuestas CON SONSUMOS DE MAS DE 3000 kWh o 10 Kw de demanda</t>
  </si>
  <si>
    <t>CUIT:30658233692  REFINERIA DEL NORTE SA - Refinería Campo Duran</t>
  </si>
  <si>
    <t>CUIT:30546689979  YPF SA Refinería La Plata</t>
  </si>
  <si>
    <t>CUIT:30546689979  YPF SA Refinería Lujan de Cuyo</t>
  </si>
  <si>
    <t>CUIT:30546689979  YPF SA Refinería Plaza Huincul</t>
  </si>
  <si>
    <t>CUIT:30506726804  SHELL COMPAÑIA ARGENTINA DE PETROLEO SA - Refinería Dock Sud</t>
  </si>
  <si>
    <t>CUIT:30506919009  ESSO PETROLERA ARGENTINA SRL - Refinería Campana</t>
  </si>
  <si>
    <t>CUIT:30504077078  PETROBRAS ARGENTINA SA -Refinería Bahia Blanca</t>
  </si>
  <si>
    <t>CUIT:30711293988  OIL COMBUSTIBLES SA - Refinería San Lorenzo</t>
  </si>
  <si>
    <t>CUIT:  CUIT:30691576511  PROFERTIL S.A, --</t>
  </si>
  <si>
    <t>CUIT:  CUIT:30501126965  DUPONT ARGENTINA S.R.L.</t>
  </si>
  <si>
    <t>CUIT:  CUIT:30517486678  BASF ARGENTINA S.A.</t>
  </si>
  <si>
    <t>CUIT:  CUIT:30646328450  SYNGENTA AGRO S.A.</t>
  </si>
  <si>
    <t>CUIT:  CUIT:30683109033  YARA ARGENTINA SA</t>
  </si>
  <si>
    <t>CUIT:  CUIT:30708974117  MOSAIC DE ARGENTINA S.A.</t>
  </si>
  <si>
    <t>CUIT:  CUIT:33520559049  DORREGO LOPEZ Y NOVES SA</t>
  </si>
  <si>
    <t>CUIT:  CUIT:30685146335  DESAB SA</t>
  </si>
  <si>
    <t>CUIT:  CUIT:30522189894  ICONA S.A.</t>
  </si>
  <si>
    <t>CUIT:  CUIT:30615726547  GRUPO AGROS SRL</t>
  </si>
  <si>
    <t>CUIT:  CUIT:30643991868  CENTRO AGROPECUARIO MODELO SA</t>
  </si>
  <si>
    <t>CUIT:  CUIT:30681490465  AGROSERVICIOS PAMPEANOS SA</t>
  </si>
  <si>
    <t>CUIT:  CUIT:30707727051  PETROQUÍMICA ARGENTINA SA</t>
  </si>
  <si>
    <t>CUIT:30502874353  ACEITERA GENERAL DEHEZA S A ---</t>
  </si>
  <si>
    <t>CUIT:33689206099  T6 INDUSTRIAL SOCIEDAD ANONIMA</t>
  </si>
  <si>
    <t>CUIT:30700869918  BUNGE ARGENTINA S A --</t>
  </si>
  <si>
    <t>CUIT:30506792165  CARGILL SOCIEDAD ANONIMA COMERCIAL E INDUSTRIAL</t>
  </si>
  <si>
    <t>CUIT:30526712729  LDC ARGENTINA S A -</t>
  </si>
  <si>
    <t>CUIT:30500959629  VICENTIN S A I C ----</t>
  </si>
  <si>
    <t>CUIT:30500858628  MOLINOS RIO DE LA PLATA S A</t>
  </si>
  <si>
    <t>CUIT:33502232229  OLEAGINOSA MORENO HNOS S A C I FI A</t>
  </si>
  <si>
    <t>CUIT:30707791086  NOBLE ARGENTINA SOCIEDAD ANONIMA</t>
  </si>
  <si>
    <t>CUIT:30501684399  BUYATTI S A I C A --</t>
  </si>
  <si>
    <t>CUIT:30516077790  TANONIHNOS SA --</t>
  </si>
  <si>
    <t>CUIT:30697312028  ADM ARGENTINA S A (Código de Actividad Principal: 512111)</t>
  </si>
  <si>
    <t>CUIT:30621973173  ALFRED C. TOEPFER INTERNATIONAL ARGENTINA S R L (Codigo de Actividad Principal: 512111) -</t>
  </si>
  <si>
    <t>CUIT:30507950848  MOLINO CAÑUELAS SOCIEDAD ANONIMA (Código de Actividad Principal: 153110) -</t>
  </si>
  <si>
    <t>CUIT:30604456475  LOS GROBO AGROPECUARIA SA (Código de Actividad Principal: 511111)</t>
  </si>
  <si>
    <t>CUIT:30709900958  UNITEC BIO SOCIEDAD ANONIMA (Código de Actividad Principal: 369999) -</t>
  </si>
  <si>
    <t>CUIT:30709590894  RENOVA S.A</t>
  </si>
  <si>
    <t>CUIT:33709699879  EXPLORA SA --</t>
  </si>
  <si>
    <t>CUIT:30709967947  PATAGONIA BIOENERGIA S.A.</t>
  </si>
  <si>
    <t>CUIT:33506737449  NIDERA SOCIEDAD ANONIMA</t>
  </si>
  <si>
    <t>CUIT:30506176278  VILUCO SOCIEDAD ANONIMA</t>
  </si>
  <si>
    <t>CUIT:30546689979  YPF S A. (Código de Actividad Principal: 111000) -- YPF SA - Planta Metanol Plaza Huincu! (Neuquén) (Codigo de Actividad Principal: 111000) ----</t>
  </si>
  <si>
    <t>CUIT:30700869918  BUNGE ARGENTINA S.A. (Código de Actividad Principal: 151410)</t>
  </si>
  <si>
    <t>CUIT:30503508725  MONSANTO ARGENTINA SAIC</t>
  </si>
  <si>
    <t>CUIT:30503811061  BAYER S.A. --</t>
  </si>
  <si>
    <t>CUIT:30500658912  A TA ÑOR S.C.P.A --</t>
  </si>
  <si>
    <t>CUIT:30636021578  DOW AGROSCIENCES ARGENTINA S.A.</t>
  </si>
  <si>
    <t>CUIT:30503747533  SC JOHNSON &amp; SON DE ARGENTINA SAIC</t>
  </si>
  <si>
    <t>CUIT:30691576511  PROFERTIL S.A, --</t>
  </si>
  <si>
    <t>CUIT:30501126965  DUPONT ARGENTINA S.R.L.</t>
  </si>
  <si>
    <t>CUIT:30517486678  BASF ARGENTINA S.A.</t>
  </si>
  <si>
    <t>CUIT:30646328450  SYNGENTA AGRO S.A.</t>
  </si>
  <si>
    <t>CUIT:30683109033  YARA ARGENTINA SA</t>
  </si>
  <si>
    <t>CUIT:30708974117  MOSAIC DE ARGENTINA S.A.</t>
  </si>
  <si>
    <t>CUIT:33520559049  DORREGO LOPEZ Y NOVES SA</t>
  </si>
  <si>
    <t>CUIT:30685146335  DESAB SA</t>
  </si>
  <si>
    <t>CUIT:30522189894  ICONA S.A.</t>
  </si>
  <si>
    <t>CUIT:30615726547  GRUPO AGROS SRL</t>
  </si>
  <si>
    <t>CUIT:30643991868  CENTRO AGROPECUARIO MODELO SA</t>
  </si>
  <si>
    <t>CUIT:30681490465  AGROSERVICIOS PAMPEANOS SA</t>
  </si>
  <si>
    <t>CUIT:30707727051  PETROQUÍMICA ARGENTINA SA</t>
  </si>
  <si>
    <t>VALOR A CARGAR MENSUALMENTE</t>
  </si>
  <si>
    <t>IMPORTE MENSUAL DEL SUBSIDIO PROVINCIAL</t>
  </si>
  <si>
    <t xml:space="preserve">CANTIDAD </t>
  </si>
  <si>
    <t>TOTAL KWH COMPRADOS (kWh)</t>
  </si>
  <si>
    <t>CARENCIADOS</t>
  </si>
  <si>
    <t>SUBISDIO</t>
  </si>
  <si>
    <t>KWH FACT</t>
  </si>
  <si>
    <t>Por los primeros 120 kWh por mes</t>
  </si>
  <si>
    <t>Por los siguientes 30 kWh por mes</t>
  </si>
  <si>
    <t>Por los siguientes 150 kWh por mes</t>
  </si>
  <si>
    <t>HOGARES POBRES O CARENCIADOS Excedente MAYOR 300 kWh</t>
  </si>
  <si>
    <t>Subtotal  Cargo Variable</t>
  </si>
  <si>
    <t>Cargo Fijo mensual &lt;=120 kWh</t>
  </si>
  <si>
    <t>CARGO FIJO &lt;=120</t>
  </si>
  <si>
    <t>Cargo Fijo mensual &gt;120 kWh</t>
  </si>
  <si>
    <t>CARGO FIJO &gt;120</t>
  </si>
  <si>
    <t>Subtotal  Cargo Fijo</t>
  </si>
  <si>
    <t>TOTAL USUARIOS</t>
  </si>
  <si>
    <t>Total Carenciados</t>
  </si>
  <si>
    <t>HOGARES INDIGENTES</t>
  </si>
  <si>
    <t>INDIGENTES</t>
  </si>
  <si>
    <t>HOGARES INDIGENTES:&lt;= 120 kWh</t>
  </si>
  <si>
    <t xml:space="preserve">HOGARES INDIGENTES: Excedente hasta 150 kWh </t>
  </si>
  <si>
    <t xml:space="preserve">HOGARES INDIGENTES: Excedente MAYOR 300 kWh </t>
  </si>
  <si>
    <t>Total Indigentes</t>
  </si>
  <si>
    <t>Total General</t>
  </si>
  <si>
    <t>FACT</t>
  </si>
  <si>
    <t>PERD</t>
  </si>
  <si>
    <t>S1</t>
  </si>
  <si>
    <t>CFIJO 120</t>
  </si>
  <si>
    <t>C FIJO &gt;120</t>
  </si>
  <si>
    <t>MEM</t>
  </si>
  <si>
    <t>VAD EPEC</t>
  </si>
  <si>
    <t>CONSUMO EN KWH</t>
  </si>
  <si>
    <t>0-120</t>
  </si>
  <si>
    <t>&gt;120&lt;=500</t>
  </si>
  <si>
    <t>&gt;500&lt;=700</t>
  </si>
  <si>
    <t>&gt;700</t>
  </si>
  <si>
    <t>S2</t>
  </si>
  <si>
    <t>0-150</t>
  </si>
  <si>
    <t xml:space="preserve"> Cargo Fijo Mensual (CFM)  </t>
  </si>
  <si>
    <t>S3</t>
  </si>
  <si>
    <t>151-300</t>
  </si>
  <si>
    <t xml:space="preserve"> Por cada kWh consumido: </t>
  </si>
  <si>
    <t>S4</t>
  </si>
  <si>
    <t>PRIMEROS 120 KWH</t>
  </si>
  <si>
    <t xml:space="preserve"> Los primeros 120 kWh por mes </t>
  </si>
  <si>
    <t xml:space="preserve">Los siguientes 30 kWh/Mes </t>
  </si>
  <si>
    <t xml:space="preserve"> El excedente de 120 kWh por mes  </t>
  </si>
  <si>
    <t>POBRE</t>
  </si>
  <si>
    <t>COIDE</t>
  </si>
  <si>
    <t>INDIGENTE</t>
  </si>
  <si>
    <t>TOTALES (kWh)</t>
  </si>
  <si>
    <t>CF</t>
  </si>
  <si>
    <t>CV</t>
  </si>
  <si>
    <t>HOGARES INDIGENTES: Consumo &lt;= 120 kWh/mes</t>
  </si>
  <si>
    <t>HOGARES INDIGENTES Excedente hasta 150 kWh</t>
  </si>
  <si>
    <t>C FIJO</t>
  </si>
  <si>
    <t>DIF</t>
  </si>
  <si>
    <t>PLANILLA DE TRABAJO INTERNA -DICIEMBRE DE 2023   -USO EXCLUSIVO ASOCIADAS FACE-FECESCOR HOJA Nº1-</t>
  </si>
  <si>
    <t>N2 BASE</t>
  </si>
  <si>
    <t>N2 EXCEDENTE</t>
  </si>
  <si>
    <t>Nivel 2 - Ingresos bajos-Excedente</t>
  </si>
  <si>
    <t>Tarifa
Social Provincial Decreto 43-2019 (N2)</t>
  </si>
  <si>
    <t>Tarifa
Social Provincial Decreto 43-2019 (N1)</t>
  </si>
  <si>
    <t>Tarifa
Social Provincial Decreto 43-2019 (N3)</t>
  </si>
  <si>
    <t>Tarifa Social (N2)</t>
  </si>
  <si>
    <t>Tarifa Social (N1)</t>
  </si>
  <si>
    <t>Tarifa Social (N3)</t>
  </si>
  <si>
    <t>5400-TARIFA SOCIAL PROVINCIAL (N2)</t>
  </si>
  <si>
    <t>5400-TARIFA SOCIAL PROVINCIAL (N1)</t>
  </si>
  <si>
    <t>5400-TARIFA SOCIAL PROVINCIAL (N3)</t>
  </si>
  <si>
    <t>5400-TARIFA SOCIAL PROVINCIAL (NR2)</t>
  </si>
  <si>
    <t>5400-TARIFA SOCIAL PROVINCIAL (NR1)</t>
  </si>
  <si>
    <t>5400-TARIFA SOCIAL PROVINCIAL (NR3)</t>
  </si>
  <si>
    <t>COMPRA</t>
  </si>
  <si>
    <t>EPEC</t>
  </si>
  <si>
    <t>OCOOP-S9-S8-S5</t>
  </si>
  <si>
    <t>NR1+NR2</t>
  </si>
  <si>
    <t>P SUM</t>
  </si>
  <si>
    <t>DE SECCION II</t>
  </si>
  <si>
    <t>fact</t>
  </si>
  <si>
    <t>Res</t>
  </si>
  <si>
    <t>Nr1+nr2</t>
  </si>
  <si>
    <t>Psum</t>
  </si>
  <si>
    <t>Ap</t>
  </si>
  <si>
    <t>SALDO</t>
  </si>
  <si>
    <t>res+nr+psum+ap</t>
  </si>
  <si>
    <t>PLANILLA DE TRABAJO INTERNA DTO.  NAC. 332-2022 SEGMENTACION DE TARIFAS RESIDENCIALES-RES SE 90-2024  Y DTO PCIAL 43-2019 TARIFA SOCIAL   -USO EXCLUSIVO ASOCIADAS FACE-FECESCOR HOJA Nº1-  JUNIO 2024</t>
  </si>
  <si>
    <r>
      <t>SECCION I-LOS DATOS INGRESADOS SE CORRESPONDEN CON LA LECTURA DE EPEC</t>
    </r>
    <r>
      <rPr>
        <sz val="28"/>
        <color indexed="17"/>
        <rFont val="Verdana"/>
        <family val="2"/>
      </rPr>
      <t xml:space="preserve"> </t>
    </r>
  </si>
  <si>
    <t>SECCION I</t>
  </si>
  <si>
    <t>Energia Facturada (kWh)+PERDIDAS</t>
  </si>
  <si>
    <t>TOTAL COMPRADO (kWh)</t>
  </si>
  <si>
    <t>Energia Bonificada (kWh)</t>
  </si>
  <si>
    <t>PERDIDAS BONIFICADA</t>
  </si>
  <si>
    <t>TOTAL KWH BONIFICADO</t>
  </si>
  <si>
    <t xml:space="preserve">TARIFA E.D. Y B.V.- </t>
  </si>
  <si>
    <t>TOTAL UR1+UR2+UR3+UR4+UR5+NR1+NR2+AP</t>
  </si>
  <si>
    <t>6500- CLUBES DE BARRIO Y DE PUEBLO (RES SE 742-2022)</t>
  </si>
  <si>
    <t>UR1 (0-150 kWh/mes)</t>
  </si>
  <si>
    <t>UR2 (151-500 kWh/mes)</t>
  </si>
  <si>
    <t>UR3 (501-700 kWh/mes)</t>
  </si>
  <si>
    <t>UR4 (701-1400 kWh/mes)</t>
  </si>
  <si>
    <t>UR5 (&gt;1400 kWh/mes)</t>
  </si>
  <si>
    <t>(NR1) Usuarios menores a 2000 kWh/mes</t>
  </si>
  <si>
    <t>(NR2) Usuarios mayores o iguales a 2000 kWh/mes</t>
  </si>
  <si>
    <t>(U30) Usuarios mayores de 10 kW y menores a 30 kW</t>
  </si>
  <si>
    <t>(Gud) Usuarios entre 30 kW y menores a 300 kW</t>
  </si>
  <si>
    <t>control</t>
  </si>
  <si>
    <t>AP+NR1-2+RES</t>
  </si>
  <si>
    <t xml:space="preserve"> CLUBES DE BARRIO Y DE PUEBLO (RES SE 742-2022)</t>
  </si>
  <si>
    <t>CLUBES RES</t>
  </si>
  <si>
    <t>CLUBES NR1-1</t>
  </si>
  <si>
    <t>TOTAL ENTERO</t>
  </si>
  <si>
    <t>DIF RESL-ENTERO</t>
  </si>
  <si>
    <t>control res y nr1-2</t>
  </si>
  <si>
    <t>control ap</t>
  </si>
  <si>
    <r>
      <t>Tipo Usuario</t>
    </r>
    <r>
      <rPr>
        <b/>
        <sz val="28"/>
        <rFont val="Verdana"/>
        <family val="2"/>
      </rPr>
      <t xml:space="preserve">: </t>
    </r>
    <r>
      <rPr>
        <b/>
        <sz val="28"/>
        <color indexed="19"/>
        <rFont val="Verdana"/>
        <family val="2"/>
      </rPr>
      <t xml:space="preserve">(GUd) que califican como GUMA y GUPA entre 30 y 300 KW </t>
    </r>
  </si>
  <si>
    <t>CLUB BARRIO</t>
  </si>
  <si>
    <t>control mt</t>
  </si>
  <si>
    <t>control bt</t>
  </si>
  <si>
    <t>control cub</t>
  </si>
  <si>
    <t>C BARRIO</t>
  </si>
  <si>
    <t>control club</t>
  </si>
  <si>
    <t>s8</t>
  </si>
  <si>
    <t>s9</t>
  </si>
  <si>
    <t>contol gudi</t>
  </si>
  <si>
    <t>Nivel 2 Excedente- Ingresos bajos</t>
  </si>
  <si>
    <t>Nivel 3 Excedente- Ingresos Medios</t>
  </si>
  <si>
    <t>ELECTRODEPENDIENTES</t>
  </si>
  <si>
    <t>GUD</t>
  </si>
  <si>
    <t>GUC</t>
  </si>
  <si>
    <t>TOTAL FACTURADO +PERDIDAS</t>
  </si>
  <si>
    <t>TARIFA SOCIAL PROVINCIAL DECRETO 43-2019</t>
  </si>
  <si>
    <t>SII</t>
  </si>
  <si>
    <t>SI</t>
  </si>
  <si>
    <t>SII-SI</t>
  </si>
  <si>
    <t>COMPRA EPEC</t>
  </si>
  <si>
    <t>PLANILLA DE TRABAJO INTERNA DTO.  NAC. 332-2022 SEGMENTACION DE TARIFAS RESIDENCIALES Y DTO PCIAL 43-2019 TARIFA SOCIAL   -USO EXCLUSIVO ASOCIADAS FACE-FECESCOR HOJA Nº1-  FEBRERO 2023</t>
  </si>
  <si>
    <r>
      <t>LOS DATOS INGRESADOS SE CORRESPONDEN CON LA LECTURA DE EPEC</t>
    </r>
    <r>
      <rPr>
        <sz val="28"/>
        <color indexed="17"/>
        <rFont val="Verdana"/>
        <family val="2"/>
      </rPr>
      <t xml:space="preserve"> </t>
    </r>
  </si>
  <si>
    <t xml:space="preserve">SECCION I </t>
  </si>
  <si>
    <t>ENERGIA FACTURADA  +PERDIDAS</t>
  </si>
  <si>
    <t>ENERGIA FACTURADA KWH +PERDIDAS</t>
  </si>
  <si>
    <t xml:space="preserve">TOTAL KWH COMPRADOS </t>
  </si>
  <si>
    <t>Consumo demanda Residencial NIVEL 2 SIN TARIFA SOCIAL PCIAL.</t>
  </si>
  <si>
    <t>Consumo demanda Residencial NIVEL 3 &lt;=400 KWH</t>
  </si>
  <si>
    <t>Consumo demanda Residencial NIVEL 3 &gt;400 KWH</t>
  </si>
  <si>
    <t>VERIF</t>
  </si>
  <si>
    <t>HOGARES POBRES O CARENCIADOS &gt; 150 kWh/mes y &lt;= 300 kWh/mes</t>
  </si>
  <si>
    <t>HOGARES POBRES O CARENCIADOS &gt; 300 kWh/mes y &lt;= 500 kWh/mes</t>
  </si>
  <si>
    <t>HOGARES POBRES O CARENCIADOS &gt; 500 kWh/mes y &lt;= 700 kWh/mes</t>
  </si>
  <si>
    <t>HOGARES POBRES O CARENCIADOS &gt; 700 kWh/mes y &lt;= 1400 kWh/mes</t>
  </si>
  <si>
    <t xml:space="preserve">HOGARES POBRES O CARENCIADOS &gt; 1400 kWh/mes </t>
  </si>
  <si>
    <t>HOGARES INDIGENTES- Consumo &lt;= 120 kWh/mes</t>
  </si>
  <si>
    <t>HOGARES INDIGENTES &gt; 120 kWh/mes y &lt;= 150 kWh/mes</t>
  </si>
  <si>
    <t>HOGARES INDIGENTES &gt; 150 kWh/mes y &lt;= 300 kWh/mes</t>
  </si>
  <si>
    <t>HOGARES INDIGENTES &gt; 300 kWh/mes y &lt;= 500 kWh/mes</t>
  </si>
  <si>
    <t>HOGARES INDIGENTES &gt; 500 kWh/mes y &lt;= 700 kWh/mes</t>
  </si>
  <si>
    <t>HOGARES INDIGENTES &gt; 700 kWh/mes y &lt;= 1400 kWh/mes</t>
  </si>
  <si>
    <t xml:space="preserve">HOGARES INDIGENTES &gt; 1400 kWh/mes </t>
  </si>
  <si>
    <r>
      <t xml:space="preserve">(NR1) </t>
    </r>
    <r>
      <rPr>
        <sz val="48"/>
        <color indexed="9"/>
        <rFont val="Verdana"/>
        <family val="2"/>
      </rPr>
      <t>-No Residencial de 0 a 3999 KWh/bim</t>
    </r>
  </si>
  <si>
    <t>TOTAL KWH FACTURADOS +PERDIDAS</t>
  </si>
  <si>
    <r>
      <t xml:space="preserve">(NR2) </t>
    </r>
    <r>
      <rPr>
        <b/>
        <sz val="48"/>
        <color indexed="9"/>
        <rFont val="Verdana"/>
        <family val="2"/>
      </rPr>
      <t>-No Residencial de 4000 KWh/bim en adelante</t>
    </r>
  </si>
  <si>
    <t>TOTAL KWH FACTURADOS+PERDIDAS</t>
  </si>
  <si>
    <t>TOTAL KWH FACTURADOS + PERDIDAS</t>
  </si>
  <si>
    <t xml:space="preserve"> 6500-CLUBES DE BARRIO Y DE PUEBLO (RES SE 742-2022)</t>
  </si>
  <si>
    <t>U30+Gud &gt;10 KW Y &lt; 300 KW</t>
  </si>
  <si>
    <t>Totales según datos INGRESADOS</t>
  </si>
  <si>
    <t>Totales según datos EPEC</t>
  </si>
  <si>
    <t>Consumo demanda Residencial NIVEL 3 MAS DE 400 KWH</t>
  </si>
  <si>
    <t>PLANILLA DE TRABAJO INTERNA DTO PCIAL 43-2019 -USO EXCLUSIVO ASOCIADAS FACE-FECESCOR -DATOS A INTRODUCIR EN www.epec.com.ar SECCION I-II PROVISORIA PARA  MAYO DE 2019</t>
  </si>
  <si>
    <r>
      <t>LOS DATOS INGRESADOS SE CORRESPONDEN CON LA LECTURA DE EPEC</t>
    </r>
    <r>
      <rPr>
        <sz val="18"/>
        <color indexed="17"/>
        <rFont val="Verdana"/>
        <family val="2"/>
      </rPr>
      <t xml:space="preserve"> </t>
    </r>
  </si>
  <si>
    <t>Requerimiento de Información - Sección II</t>
  </si>
  <si>
    <r>
      <t>Cooperativa</t>
    </r>
    <r>
      <rPr>
        <b/>
        <sz val="18"/>
        <rFont val="Verdana"/>
        <family val="2"/>
      </rPr>
      <t>:</t>
    </r>
  </si>
  <si>
    <r>
      <t>Período</t>
    </r>
    <r>
      <rPr>
        <b/>
        <sz val="14"/>
        <rFont val="Verdana"/>
        <family val="2"/>
      </rPr>
      <t>:</t>
    </r>
  </si>
  <si>
    <t>Tarifa
Electrodependientes</t>
  </si>
  <si>
    <t xml:space="preserve">TARIFA E.D. - </t>
  </si>
  <si>
    <t>HOGARES POBRES O CARENCIADOS-Excedente hasta 150 kWh</t>
  </si>
  <si>
    <t>HOGARES POBRES O CARENCIADOS-Excedente superior a 150 kWh</t>
  </si>
  <si>
    <t xml:space="preserve">HOGARES INDIGENTES-Excedente hasta 150 kWh </t>
  </si>
  <si>
    <t xml:space="preserve">HOGARES INDIGENTES-Excedente superior a 150 kWh </t>
  </si>
  <si>
    <r>
      <t xml:space="preserve">(NR1) </t>
    </r>
    <r>
      <rPr>
        <sz val="20"/>
        <color indexed="9"/>
        <rFont val="Verdana"/>
        <family val="2"/>
      </rPr>
      <t>-No Residencial de 0 a 3999 KWh/bim</t>
    </r>
  </si>
  <si>
    <r>
      <t xml:space="preserve">(NR2) </t>
    </r>
    <r>
      <rPr>
        <b/>
        <sz val="20"/>
        <color indexed="9"/>
        <rFont val="Verdana"/>
        <family val="2"/>
      </rPr>
      <t>-No Residencial de 4000 KWh/bim en adelante</t>
    </r>
  </si>
  <si>
    <t>USUARIOS NO RESIDENCIALES  (U30) Demandas totales a facturar por banda en kWh Usuarios entre 10 y 30 kW de demanda</t>
  </si>
  <si>
    <r>
      <t xml:space="preserve">USUARIOS NO RESIDENCIALES </t>
    </r>
    <r>
      <rPr>
        <b/>
        <u/>
        <sz val="20"/>
        <color indexed="19"/>
        <rFont val="Arial Narrow"/>
        <family val="2"/>
      </rPr>
      <t xml:space="preserve"> </t>
    </r>
    <r>
      <rPr>
        <b/>
        <u/>
        <sz val="24"/>
        <color indexed="19"/>
        <rFont val="Arial Narrow"/>
        <family val="2"/>
      </rPr>
      <t>(U30)</t>
    </r>
    <r>
      <rPr>
        <b/>
        <sz val="20"/>
        <color indexed="8"/>
        <rFont val="Arial Narrow"/>
        <family val="2"/>
      </rPr>
      <t xml:space="preserve"> Demandas totales a facturar por banda en kWh Usuarios entre 10 y 30 kW de demanda</t>
    </r>
  </si>
  <si>
    <t>USUARIOS NO RESIDENCIALES  (Gud) Demandas totales a facturar por banda en kWh Usuarios que califican como GUME Y GUPA entre 30 y 300 kW de demanda</t>
  </si>
  <si>
    <r>
      <t xml:space="preserve">USUARIOS NO RESIDENCIALES </t>
    </r>
    <r>
      <rPr>
        <b/>
        <sz val="16"/>
        <color indexed="19"/>
        <rFont val="Arial Narrow"/>
        <family val="2"/>
      </rPr>
      <t xml:space="preserve"> (Gud)</t>
    </r>
    <r>
      <rPr>
        <b/>
        <sz val="16"/>
        <color indexed="8"/>
        <rFont val="Arial Narrow"/>
        <family val="2"/>
      </rPr>
      <t xml:space="preserve"> Demandas totales a facturar por banda en kWh Usuarios que califican como GUME Y GUPA entre 30 y 300 kW de demanda</t>
    </r>
  </si>
  <si>
    <t>USUARIOS NO RESIDENCIALES  (GuC) Demandas totales a facturar por banda en kWh Usuarios que califican como GUMA Y GUME&gt;=  300 kW de demanda</t>
  </si>
  <si>
    <r>
      <t xml:space="preserve">USUARIOS NO RESIDENCIALES </t>
    </r>
    <r>
      <rPr>
        <b/>
        <sz val="16"/>
        <color indexed="19"/>
        <rFont val="Arial Narrow"/>
        <family val="2"/>
      </rPr>
      <t xml:space="preserve"> (GuC)</t>
    </r>
    <r>
      <rPr>
        <b/>
        <sz val="16"/>
        <color indexed="8"/>
        <rFont val="Arial Narrow"/>
        <family val="2"/>
      </rPr>
      <t xml:space="preserve"> Demandas totales a facturar por banda en kWh Usuarios que califican como GUMA Y GUME&gt;=  300 kW de demanda</t>
    </r>
  </si>
  <si>
    <r>
      <t>Cooperativa</t>
    </r>
    <r>
      <rPr>
        <b/>
        <sz val="10"/>
        <rFont val="Verdana"/>
        <family val="2"/>
      </rPr>
      <t>:</t>
    </r>
  </si>
  <si>
    <r>
      <t>Período</t>
    </r>
    <r>
      <rPr>
        <b/>
        <sz val="10"/>
        <rFont val="Verdana"/>
        <family val="2"/>
      </rPr>
      <t>:</t>
    </r>
  </si>
  <si>
    <r>
      <t>Tipo Usuario</t>
    </r>
    <r>
      <rPr>
        <b/>
        <sz val="10"/>
        <rFont val="Verdana"/>
        <family val="2"/>
      </rPr>
      <t>:</t>
    </r>
  </si>
  <si>
    <t>Excedente hasta 150 kWh</t>
  </si>
  <si>
    <t>Excedente superior a 150 kWh</t>
  </si>
  <si>
    <t xml:space="preserve">Excedente hasta 150 kWh </t>
  </si>
  <si>
    <t xml:space="preserve">Excedente superior a 150 kWh </t>
  </si>
  <si>
    <t>Excedente hasta 150 kWh con Plan Estímulo</t>
  </si>
  <si>
    <t>Excedente superior a 150 kWh con Plan Estímulo</t>
  </si>
  <si>
    <r>
      <t>Tipo Usuario</t>
    </r>
    <r>
      <rPr>
        <b/>
        <sz val="10"/>
        <rFont val="Verdana"/>
        <family val="2"/>
      </rPr>
      <t xml:space="preserve">: </t>
    </r>
    <r>
      <rPr>
        <b/>
        <sz val="7.5"/>
        <color indexed="19"/>
        <rFont val="Verdana"/>
        <family val="2"/>
      </rPr>
      <t>(U30) 10 a 30 KW </t>
    </r>
  </si>
  <si>
    <r>
      <t>Tipo Usuario</t>
    </r>
    <r>
      <rPr>
        <b/>
        <sz val="10"/>
        <rFont val="Verdana"/>
        <family val="2"/>
      </rPr>
      <t xml:space="preserve">: </t>
    </r>
    <r>
      <rPr>
        <b/>
        <sz val="7.5"/>
        <color indexed="19"/>
        <rFont val="Verdana"/>
        <family val="2"/>
      </rPr>
      <t>(GUc) que califican como GUMA y GUME &gt;= 300 KW  </t>
    </r>
  </si>
  <si>
    <r>
      <t>Tipo Usuario</t>
    </r>
    <r>
      <rPr>
        <b/>
        <sz val="10"/>
        <rFont val="Verdana"/>
        <family val="2"/>
      </rPr>
      <t xml:space="preserve">: </t>
    </r>
    <r>
      <rPr>
        <b/>
        <sz val="7.5"/>
        <color indexed="19"/>
        <rFont val="Verdana"/>
        <family val="2"/>
      </rPr>
      <t>(GUd) que califican como GUMA y GUPA entre 30 y 300 KW</t>
    </r>
    <r>
      <rPr>
        <b/>
        <sz val="10"/>
        <color indexed="19"/>
        <rFont val="Verdana"/>
        <family val="2"/>
      </rPr>
      <t xml:space="preserve"> </t>
    </r>
  </si>
  <si>
    <r>
      <t>(A</t>
    </r>
    <r>
      <rPr>
        <b/>
        <sz val="10"/>
        <rFont val="Verdana"/>
        <family val="2"/>
      </rPr>
      <t>nte cualquier duda en el Ingreso de Datos, consulte a su Federación)</t>
    </r>
  </si>
  <si>
    <t>PLANILLA DE TRABAJO INTERNA DTO.  NAC. 332-2022 SEGMENTACION DE TARIFAS RESIDENCIALES Y DTO PCIAL 43-2019 TARIFA SOCIAL   -USO EXCLUSIVO ASOCIADAS FACE-FECESCOR HOJA Nº1- PROVISORIA PARA  SEPTIEMBRE DE 2022</t>
  </si>
  <si>
    <t>FACT REAL/US</t>
  </si>
  <si>
    <r>
      <t xml:space="preserve">USUARIOS NO RESIDENCIALES </t>
    </r>
    <r>
      <rPr>
        <b/>
        <u/>
        <sz val="22"/>
        <color indexed="19"/>
        <rFont val="Arial Narrow"/>
        <family val="2"/>
      </rPr>
      <t xml:space="preserve"> (U30)</t>
    </r>
    <r>
      <rPr>
        <b/>
        <sz val="22"/>
        <color indexed="8"/>
        <rFont val="Arial Narrow"/>
        <family val="2"/>
      </rPr>
      <t xml:space="preserve"> Demandas totales a facturar por banda en kWh Usuarios entre 10 y 30 kW de demanda</t>
    </r>
  </si>
  <si>
    <r>
      <t xml:space="preserve">USUARIOS NO RESIDENCIALES </t>
    </r>
    <r>
      <rPr>
        <b/>
        <sz val="22"/>
        <color indexed="19"/>
        <rFont val="Arial Narrow"/>
        <family val="2"/>
      </rPr>
      <t xml:space="preserve"> (Gud)</t>
    </r>
    <r>
      <rPr>
        <b/>
        <sz val="22"/>
        <color indexed="8"/>
        <rFont val="Arial Narrow"/>
        <family val="2"/>
      </rPr>
      <t xml:space="preserve"> Demandas totales a facturar por banda en kWh Usuarios que califican como GUME Y GUPA entre 30 y 300 kW de demanda</t>
    </r>
  </si>
  <si>
    <r>
      <t xml:space="preserve">USUARIOS NO RESIDENCIALES </t>
    </r>
    <r>
      <rPr>
        <b/>
        <sz val="22"/>
        <color indexed="19"/>
        <rFont val="Arial Narrow"/>
        <family val="2"/>
      </rPr>
      <t xml:space="preserve"> (GuC)</t>
    </r>
    <r>
      <rPr>
        <b/>
        <sz val="22"/>
        <color indexed="8"/>
        <rFont val="Arial Narrow"/>
        <family val="2"/>
      </rPr>
      <t xml:space="preserve"> Demandas totales a facturar por banda en kWh Usuarios que califican como GUMA Y GUME&gt;=  300 kW de demanda</t>
    </r>
  </si>
  <si>
    <t>ENERGÍA TOTAL -MWh</t>
  </si>
  <si>
    <t>ENERGÍA TOTAL kwh</t>
  </si>
  <si>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p</t>
    </r>
    <r>
      <rPr>
        <b/>
        <sz val="8"/>
        <color indexed="9"/>
        <rFont val="Calibri"/>
        <family val="2"/>
      </rPr>
      <t xml:space="preserve">o
</t>
    </r>
    <r>
      <rPr>
        <b/>
        <sz val="8"/>
        <color indexed="9"/>
        <rFont val="Calibri"/>
        <family val="2"/>
      </rPr>
      <t>Us</t>
    </r>
    <r>
      <rPr>
        <b/>
        <sz val="8"/>
        <color indexed="9"/>
        <rFont val="Calibri"/>
        <family val="2"/>
      </rPr>
      <t>u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o</t>
    </r>
  </si>
  <si>
    <r>
      <rPr>
        <b/>
        <sz val="8"/>
        <color indexed="9"/>
        <rFont val="Calibri"/>
        <family val="2"/>
      </rPr>
      <t>C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e</t>
    </r>
    <r>
      <rPr>
        <b/>
        <sz val="8"/>
        <color indexed="9"/>
        <rFont val="Calibri"/>
        <family val="2"/>
      </rPr>
      <t>g</t>
    </r>
    <r>
      <rPr>
        <b/>
        <sz val="8"/>
        <color indexed="9"/>
        <rFont val="Calibri"/>
        <family val="2"/>
      </rPr>
      <t>o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 xml:space="preserve">í
</t>
    </r>
    <r>
      <rPr>
        <b/>
        <sz val="8"/>
        <color indexed="9"/>
        <rFont val="Calibri"/>
        <family val="2"/>
      </rPr>
      <t>Us</t>
    </r>
    <r>
      <rPr>
        <b/>
        <sz val="8"/>
        <color indexed="9"/>
        <rFont val="Calibri"/>
        <family val="2"/>
      </rPr>
      <t>u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o</t>
    </r>
  </si>
  <si>
    <r>
      <rPr>
        <b/>
        <sz val="8"/>
        <color indexed="9"/>
        <rFont val="Calibri"/>
        <family val="2"/>
      </rPr>
      <t>C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n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d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d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 xml:space="preserve">d
</t>
    </r>
    <r>
      <rPr>
        <b/>
        <sz val="8"/>
        <color indexed="9"/>
        <rFont val="Calibri"/>
        <family val="2"/>
      </rPr>
      <t>Us</t>
    </r>
    <r>
      <rPr>
        <b/>
        <sz val="8"/>
        <color indexed="9"/>
        <rFont val="Calibri"/>
        <family val="2"/>
      </rPr>
      <t>u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o</t>
    </r>
    <r>
      <rPr>
        <b/>
        <sz val="8"/>
        <color indexed="9"/>
        <rFont val="Calibri"/>
        <family val="2"/>
      </rPr>
      <t>s</t>
    </r>
  </si>
  <si>
    <r>
      <rPr>
        <b/>
        <sz val="7"/>
        <color indexed="9"/>
        <rFont val="Calibri"/>
        <family val="2"/>
      </rPr>
      <t>Po</t>
    </r>
    <r>
      <rPr>
        <b/>
        <sz val="7"/>
        <color indexed="9"/>
        <rFont val="Calibri"/>
        <family val="2"/>
      </rPr>
      <t>t</t>
    </r>
    <r>
      <rPr>
        <b/>
        <sz val="7"/>
        <color indexed="9"/>
        <rFont val="Calibri"/>
        <family val="2"/>
      </rPr>
      <t>e</t>
    </r>
    <r>
      <rPr>
        <b/>
        <sz val="7"/>
        <color indexed="9"/>
        <rFont val="Calibri"/>
        <family val="2"/>
      </rPr>
      <t>n</t>
    </r>
    <r>
      <rPr>
        <b/>
        <sz val="7"/>
        <color indexed="9"/>
        <rFont val="Calibri"/>
        <family val="2"/>
      </rPr>
      <t>c</t>
    </r>
    <r>
      <rPr>
        <b/>
        <sz val="7"/>
        <color indexed="9"/>
        <rFont val="Calibri"/>
        <family val="2"/>
      </rPr>
      <t>i</t>
    </r>
    <r>
      <rPr>
        <b/>
        <sz val="7"/>
        <color indexed="9"/>
        <rFont val="Calibri"/>
        <family val="2"/>
      </rPr>
      <t xml:space="preserve"> </t>
    </r>
    <r>
      <rPr>
        <b/>
        <sz val="7"/>
        <color indexed="9"/>
        <rFont val="Calibri"/>
        <family val="2"/>
      </rPr>
      <t>M</t>
    </r>
    <r>
      <rPr>
        <b/>
        <sz val="7"/>
        <color indexed="9"/>
        <rFont val="Calibri"/>
        <family val="2"/>
      </rPr>
      <t>e</t>
    </r>
    <r>
      <rPr>
        <b/>
        <sz val="7"/>
        <color indexed="9"/>
        <rFont val="Calibri"/>
        <family val="2"/>
      </rPr>
      <t>d</t>
    </r>
    <r>
      <rPr>
        <b/>
        <sz val="7"/>
        <color indexed="9"/>
        <rFont val="Calibri"/>
        <family val="2"/>
      </rPr>
      <t>i</t>
    </r>
    <r>
      <rPr>
        <b/>
        <sz val="7"/>
        <color indexed="9"/>
        <rFont val="Calibri"/>
        <family val="2"/>
      </rPr>
      <t>a</t>
    </r>
    <r>
      <rPr>
        <b/>
        <sz val="7"/>
        <color indexed="9"/>
        <rFont val="Calibri"/>
        <family val="2"/>
      </rPr>
      <t xml:space="preserve"> </t>
    </r>
    <r>
      <rPr>
        <b/>
        <sz val="7"/>
        <color indexed="9"/>
        <rFont val="Calibri"/>
        <family val="2"/>
      </rPr>
      <t>[</t>
    </r>
    <r>
      <rPr>
        <b/>
        <sz val="7"/>
        <color indexed="9"/>
        <rFont val="Calibri"/>
        <family val="2"/>
      </rPr>
      <t>M</t>
    </r>
    <r>
      <rPr>
        <b/>
        <sz val="7"/>
        <color indexed="9"/>
        <rFont val="Calibri"/>
        <family val="2"/>
      </rPr>
      <t>W</t>
    </r>
    <r>
      <rPr>
        <b/>
        <sz val="7"/>
        <color indexed="9"/>
        <rFont val="Calibri"/>
        <family val="2"/>
      </rPr>
      <t>]</t>
    </r>
  </si>
  <si>
    <r>
      <rPr>
        <b/>
        <sz val="8"/>
        <color indexed="9"/>
        <rFont val="Calibri"/>
        <family val="2"/>
      </rPr>
      <t>E</t>
    </r>
    <r>
      <rPr>
        <b/>
        <sz val="8"/>
        <color indexed="9"/>
        <rFont val="Calibri"/>
        <family val="2"/>
      </rPr>
      <t>n</t>
    </r>
    <r>
      <rPr>
        <b/>
        <sz val="8"/>
        <color indexed="9"/>
        <rFont val="Calibri"/>
        <family val="2"/>
      </rPr>
      <t>e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g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>F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c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u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d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o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l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>[</t>
    </r>
    <r>
      <rPr>
        <b/>
        <sz val="8"/>
        <color indexed="9"/>
        <rFont val="Calibri"/>
        <family val="2"/>
      </rPr>
      <t>M</t>
    </r>
    <r>
      <rPr>
        <b/>
        <sz val="8"/>
        <color indexed="9"/>
        <rFont val="Calibri"/>
        <family val="2"/>
      </rPr>
      <t>W</t>
    </r>
    <r>
      <rPr>
        <b/>
        <sz val="8"/>
        <color indexed="9"/>
        <rFont val="Calibri"/>
        <family val="2"/>
      </rPr>
      <t>h</t>
    </r>
    <r>
      <rPr>
        <b/>
        <sz val="8"/>
        <color indexed="9"/>
        <rFont val="Calibri"/>
        <family val="2"/>
      </rPr>
      <t>]</t>
    </r>
  </si>
  <si>
    <r>
      <rPr>
        <b/>
        <sz val="8"/>
        <color indexed="9"/>
        <rFont val="Calibri"/>
        <family val="2"/>
      </rPr>
      <t>P</t>
    </r>
    <r>
      <rPr>
        <b/>
        <sz val="8"/>
        <color indexed="9"/>
        <rFont val="Calibri"/>
        <family val="2"/>
      </rPr>
      <t>é</t>
    </r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d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d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s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o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l</t>
    </r>
    <r>
      <rPr>
        <b/>
        <sz val="8"/>
        <color indexed="9"/>
        <rFont val="Calibri"/>
        <family val="2"/>
      </rPr>
      <t>e</t>
    </r>
    <r>
      <rPr>
        <b/>
        <sz val="8"/>
        <color indexed="9"/>
        <rFont val="Calibri"/>
        <family val="2"/>
      </rPr>
      <t>s</t>
    </r>
    <r>
      <rPr>
        <b/>
        <sz val="8"/>
        <color indexed="9"/>
        <rFont val="Calibri"/>
        <family val="2"/>
      </rPr>
      <t xml:space="preserve"> </t>
    </r>
    <r>
      <rPr>
        <b/>
        <sz val="8"/>
        <color indexed="9"/>
        <rFont val="Calibri"/>
        <family val="2"/>
      </rPr>
      <t>[</t>
    </r>
    <r>
      <rPr>
        <b/>
        <sz val="8"/>
        <color indexed="9"/>
        <rFont val="Calibri"/>
        <family val="2"/>
      </rPr>
      <t>M</t>
    </r>
    <r>
      <rPr>
        <b/>
        <sz val="8"/>
        <color indexed="9"/>
        <rFont val="Calibri"/>
        <family val="2"/>
      </rPr>
      <t>W</t>
    </r>
    <r>
      <rPr>
        <b/>
        <sz val="8"/>
        <color indexed="9"/>
        <rFont val="Calibri"/>
        <family val="2"/>
      </rPr>
      <t>h</t>
    </r>
    <r>
      <rPr>
        <b/>
        <sz val="8"/>
        <color indexed="9"/>
        <rFont val="Calibri"/>
        <family val="2"/>
      </rPr>
      <t>]</t>
    </r>
  </si>
  <si>
    <t>Energia Facturada Total [KWh]</t>
  </si>
  <si>
    <t>Pérdidas Totales [KWh]</t>
  </si>
  <si>
    <r>
      <rPr>
        <b/>
        <sz val="8"/>
        <color indexed="9"/>
        <rFont val="Calibri"/>
        <family val="2"/>
      </rPr>
      <t>P</t>
    </r>
    <r>
      <rPr>
        <b/>
        <sz val="8"/>
        <color indexed="9"/>
        <rFont val="Calibri"/>
        <family val="2"/>
      </rPr>
      <t>i</t>
    </r>
    <r>
      <rPr>
        <b/>
        <sz val="8"/>
        <color indexed="9"/>
        <rFont val="Calibri"/>
        <family val="2"/>
      </rPr>
      <t>c</t>
    </r>
    <r>
      <rPr>
        <b/>
        <sz val="8"/>
        <color indexed="9"/>
        <rFont val="Calibri"/>
        <family val="2"/>
      </rPr>
      <t>o</t>
    </r>
  </si>
  <si>
    <r>
      <rPr>
        <b/>
        <sz val="8"/>
        <color indexed="9"/>
        <rFont val="Calibri"/>
        <family val="2"/>
      </rPr>
      <t>R</t>
    </r>
    <r>
      <rPr>
        <b/>
        <sz val="8"/>
        <color indexed="9"/>
        <rFont val="Calibri"/>
        <family val="2"/>
      </rPr>
      <t>e</t>
    </r>
    <r>
      <rPr>
        <b/>
        <sz val="8"/>
        <color indexed="9"/>
        <rFont val="Calibri"/>
        <family val="2"/>
      </rPr>
      <t>s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o</t>
    </r>
  </si>
  <si>
    <r>
      <rPr>
        <b/>
        <sz val="8"/>
        <color indexed="9"/>
        <rFont val="Calibri"/>
        <family val="2"/>
      </rPr>
      <t>V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l</t>
    </r>
    <r>
      <rPr>
        <b/>
        <sz val="8"/>
        <color indexed="9"/>
        <rFont val="Calibri"/>
        <family val="2"/>
      </rPr>
      <t>le</t>
    </r>
  </si>
  <si>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o</t>
    </r>
    <r>
      <rPr>
        <b/>
        <sz val="8"/>
        <color indexed="9"/>
        <rFont val="Calibri"/>
        <family val="2"/>
      </rPr>
      <t>t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l</t>
    </r>
  </si>
  <si>
    <r>
      <rPr>
        <b/>
        <sz val="8"/>
        <color indexed="9"/>
        <rFont val="Calibri"/>
        <family val="2"/>
      </rPr>
      <t>V</t>
    </r>
    <r>
      <rPr>
        <b/>
        <sz val="8"/>
        <color indexed="9"/>
        <rFont val="Calibri"/>
        <family val="2"/>
      </rPr>
      <t>a</t>
    </r>
    <r>
      <rPr>
        <b/>
        <sz val="8"/>
        <color indexed="9"/>
        <rFont val="Calibri"/>
        <family val="2"/>
      </rPr>
      <t>l</t>
    </r>
    <r>
      <rPr>
        <b/>
        <sz val="8"/>
        <color indexed="9"/>
        <rFont val="Calibri"/>
        <family val="2"/>
      </rPr>
      <t>l</t>
    </r>
    <r>
      <rPr>
        <b/>
        <sz val="8"/>
        <color indexed="9"/>
        <rFont val="Calibri"/>
        <family val="2"/>
      </rPr>
      <t>e</t>
    </r>
  </si>
  <si>
    <r>
      <rPr>
        <b/>
        <sz val="8"/>
        <color indexed="9"/>
        <rFont val="Calibri"/>
        <family val="2"/>
      </rPr>
      <t>Total</t>
    </r>
  </si>
  <si>
    <t>GUC P</t>
  </si>
  <si>
    <t>GUC OF</t>
  </si>
  <si>
    <t>SECCION II</t>
  </si>
  <si>
    <t>RESDIENCIAL</t>
  </si>
  <si>
    <t>Requerimiento de Información Art 19 a) Res 93/04</t>
  </si>
  <si>
    <r>
      <t xml:space="preserve">Usuarios Residenciales con consumos menores o iguales a 300kWh bimestrales </t>
    </r>
    <r>
      <rPr>
        <b/>
        <sz val="12"/>
        <color indexed="10"/>
        <rFont val="Arial"/>
        <family val="2"/>
      </rPr>
      <t>( 150kWh mensuales)</t>
    </r>
  </si>
  <si>
    <t>DISTRIBUIDOR:</t>
  </si>
  <si>
    <t>PERIODO:</t>
  </si>
  <si>
    <t>Energia Facturada [MWh]</t>
  </si>
  <si>
    <t xml:space="preserve">\ </t>
  </si>
  <si>
    <t>C.SUBSIDIO</t>
  </si>
  <si>
    <t>SIN SUBSIDIO</t>
  </si>
  <si>
    <t>Usuarios Residenciales con consumos mayores a 300kWh bimestrales( 150kWh mensuales) Y Alumbrado Publico</t>
  </si>
  <si>
    <t>&gt;150 kWh</t>
  </si>
  <si>
    <t>Requerimiento de Información Art 19 b) Res 93/04</t>
  </si>
  <si>
    <t>Usuarios de menos de 10kW de potencia no incluidos en a)</t>
  </si>
  <si>
    <t>Requerimiento de Información Art 19 c) Res 93/04</t>
  </si>
  <si>
    <t xml:space="preserve">Demanda de Usuarios con demanda mayor o igual a 300 kW que califican como GUMA o GUME </t>
  </si>
  <si>
    <t>Ident Suministro</t>
  </si>
  <si>
    <t>Pot Máxima MW</t>
  </si>
  <si>
    <t xml:space="preserve">TOTALES USUARIOS </t>
  </si>
  <si>
    <t>TOTAL MW POT MAX</t>
  </si>
  <si>
    <t>TOTAL MWH</t>
  </si>
  <si>
    <t>Requerimiento de Información Art 19 d) Res 93/04</t>
  </si>
  <si>
    <t>Demanda de Usuarios no comprendidos en a, b, y c  que califican como GUME y GUPA</t>
  </si>
  <si>
    <t>Pot Máxima Promedio MW</t>
  </si>
  <si>
    <t>verificacion</t>
  </si>
  <si>
    <t>Requerimiento de Información Art 19 e) Res 93/04</t>
  </si>
  <si>
    <t>Demanda de Usuarios no comprendidos en a, b, c y d   entre 10 y 30 kW</t>
  </si>
  <si>
    <t>PLANILLA SIMPLIFICADA PARA PRIMER MES SEGÚN NOTA 25/2/2004  DE CAMMESA A DISTRIBUIDORES</t>
  </si>
  <si>
    <r>
      <t>NIVEL COMPRA:</t>
    </r>
    <r>
      <rPr>
        <b/>
        <sz val="10"/>
        <rFont val="Arial"/>
        <family val="2"/>
      </rPr>
      <t xml:space="preserve"> MEDIA TENSION</t>
    </r>
  </si>
  <si>
    <t>DEMANDA DE ENERGIA DE USUARIOS PROPIOS O ATENDIDOS POR</t>
  </si>
  <si>
    <t>PRESTADORES DENTRO DE SU AREA DE INFLUENCIA O CONCESION</t>
  </si>
  <si>
    <t>INCLUYE PERDIDAS DE LA RED DE DISTRIBUCION HASTA SU VINCULACION AL SADI</t>
  </si>
  <si>
    <t>DISTRIBUIDOR</t>
  </si>
  <si>
    <t>PERIODO</t>
  </si>
  <si>
    <t>DEMANDAS TOTALES A FACTURAR POR BANDA EN MWH</t>
  </si>
  <si>
    <t xml:space="preserve">(UR1)- Residencial de 0 a 300 KWh/bim </t>
  </si>
  <si>
    <t>(UR2)- Residencial de 301 a 1000 KWh/bim</t>
  </si>
  <si>
    <t>(UR3)- Residencial de 1001 a 1400 KWh/bim</t>
  </si>
  <si>
    <t>(UR4)- Residencial de 1401 a 2800 KWh/bim</t>
  </si>
  <si>
    <t>(UR5)- Residencial de 2801 KWh en adelante</t>
  </si>
  <si>
    <t>(NR1) -No Residencial de 0 a 3999 KWh/bim</t>
  </si>
  <si>
    <t>(NR2) -No Residencial de 4000 KWh/bim en adelante</t>
  </si>
  <si>
    <t>Usuarios entre 10kW y 300kW</t>
  </si>
  <si>
    <t>Usuarios mayores o iguales a 300kW </t>
  </si>
  <si>
    <t xml:space="preserve">(S1)- Residencial de 0 a 1000 KWh/bim </t>
  </si>
  <si>
    <t>(S2)- Residencial de 1001 a 1400 KWh/bim</t>
  </si>
  <si>
    <t>(S3)- Residencial de 1401 a 2800 KWh/bim</t>
  </si>
  <si>
    <t>(S4)- Residencial de 2801 KWh en adelante</t>
  </si>
  <si>
    <t>(S5)- Alumbrado Publico</t>
  </si>
  <si>
    <t>(S61) -No Residencial de 0 a 3999 KWh/bim</t>
  </si>
  <si>
    <t>(S7) -No Residencial de 4000 KWh/bim en adelante</t>
  </si>
  <si>
    <t>(S8)-Usuarios entre 10kW y 300kW</t>
  </si>
  <si>
    <t>(S9)-Usuarios mayores o iguales a 300kW </t>
  </si>
  <si>
    <t>Requerimiento de Información Art 19 Res 93/04</t>
  </si>
  <si>
    <t>Potencia Media [MW]</t>
  </si>
  <si>
    <t>Tipo Tarifa</t>
  </si>
  <si>
    <t>Tipo usuario</t>
  </si>
  <si>
    <t>T1</t>
  </si>
  <si>
    <t>s/d</t>
  </si>
  <si>
    <t>NR10</t>
  </si>
  <si>
    <t>T2</t>
  </si>
  <si>
    <t>GUd</t>
  </si>
  <si>
    <t>T3</t>
  </si>
  <si>
    <t>GUc</t>
  </si>
  <si>
    <t>Referencias:</t>
  </si>
  <si>
    <t>a) Residencial&lt;= 300 kWh/bim</t>
  </si>
  <si>
    <t>a) Residencial&gt; 300 kWh/bim Y Alumbrado Publico</t>
  </si>
  <si>
    <t>b) &lt;= 10 kW no Residencial</t>
  </si>
  <si>
    <t>c) que califican como GUMA y GUME &gt;=300kW</t>
  </si>
  <si>
    <t>d) que califican como GUME y GUPA entre 10 y 300 kW</t>
  </si>
  <si>
    <t>e) 10 a 30 kW</t>
  </si>
  <si>
    <t xml:space="preserve">Datos Comerciales de Usuarios con demanda mayor o igual a 300 kW que califican como GUMA o GUME </t>
  </si>
  <si>
    <t>Dirección</t>
  </si>
  <si>
    <t>RESIDENCIALES-DEMANDAS TOTALES A FACTURAR POR BANDA EN kWh</t>
  </si>
  <si>
    <t>Residencial (UR1+UR2) &lt; 1000 kWh bim</t>
  </si>
  <si>
    <t>Energia facturada (kWh)</t>
  </si>
  <si>
    <t>Con Subsidio del Estado Nacional</t>
  </si>
  <si>
    <t>Sin subsidio del Estado Nacional</t>
  </si>
  <si>
    <t>Subtotal segmentos (UR1+UR2)</t>
  </si>
  <si>
    <t>Residencial (UR3) &gt; 1000 &lt;=1400 kWh bim</t>
  </si>
  <si>
    <t>Subtotal segmentos (UR3)</t>
  </si>
  <si>
    <t>Residencial (UR4) &gt; 1400 &lt;=2800 kWh bim</t>
  </si>
  <si>
    <t>Subtotal segmentos (UR4)</t>
  </si>
  <si>
    <t>Residencial (UR5) &gt;2800 kWh bim</t>
  </si>
  <si>
    <t>Subtotal segmentos (UR5)</t>
  </si>
  <si>
    <t xml:space="preserve">Totales </t>
  </si>
  <si>
    <t>Totales segun datos ingresados</t>
  </si>
  <si>
    <t>TOTALES SEGUN DATOS DE EPEC</t>
  </si>
  <si>
    <t>USUARIOS NO RESIDENCIALES (NR1) -DEMANDAS TOTALES A FACTURAR POR BANDA KWH</t>
  </si>
  <si>
    <t>(NR1) Usuarios con consumos menores a 4000 kWh bimestre</t>
  </si>
  <si>
    <t>CON SUBSIDIO DEL ESTADO NACIONAL</t>
  </si>
  <si>
    <t>SIN SUBSIDIO DEL ESTADO NACIONAL</t>
  </si>
  <si>
    <t>Sub total (Sin subsidio del Estado Nacional)</t>
  </si>
  <si>
    <t>USUARIOS NO RESIDENCIALES (NR2) -DEMANDAS TOTALES A FACTURAR POR BANDA KWH</t>
  </si>
  <si>
    <t>(NR2) Usuarios con consumos iguales o mayores a 4000 kWh y menores a 6000 kWh  bimestre</t>
  </si>
  <si>
    <t>ALUMBRADO PUBLICO-DEMANDAS TOTALES A FACTURAR POR BANDA EN kWh</t>
  </si>
  <si>
    <t>Alumbrado Publico</t>
  </si>
  <si>
    <t>%</t>
  </si>
  <si>
    <t>Subtotal segmentos (AP)</t>
  </si>
  <si>
    <t>USUARIOS NO RESIDENCIALES (U30) -DEMANDAS TOTALES A FACTURAR POR BANDA KWH</t>
  </si>
  <si>
    <t>(U30) Usuarios entre 10 kW y 30 kW</t>
  </si>
  <si>
    <t>CANT USUARIOS</t>
  </si>
  <si>
    <t>POTENCIA MAX PROMEDIO</t>
  </si>
  <si>
    <t>USUARIOS NO RESIDENCIALES (GUd) -DEMANDAS TOTALES A FACTURAR POR BANDA KWH</t>
  </si>
  <si>
    <t>(GUd) Usuarios entre 30kW y 300 kW</t>
  </si>
  <si>
    <t>USUARIOS NO RESIDENCIALES (GUc) -DEMANDAS TOTALES A FACTURAR POR BANDA KWH</t>
  </si>
  <si>
    <t>(GUc) Usuarios de mas de  300 kW</t>
  </si>
  <si>
    <t>PLANILLA DE TRABAJO INTERNA NOTA S.S.E.E.  N º 870 -2011 PARA USO DE LAS COOPERATIVAS ASOCIADAS</t>
  </si>
  <si>
    <t xml:space="preserve">Plena </t>
  </si>
  <si>
    <t>MES</t>
  </si>
  <si>
    <t>VALORES REGISTRADOS DE:</t>
  </si>
  <si>
    <t>Unid.</t>
  </si>
  <si>
    <t>COEFICIENTE SUBSIDIO</t>
  </si>
  <si>
    <t>DEMANDA EN PUNTA (kW)</t>
  </si>
  <si>
    <t>(kW)</t>
  </si>
  <si>
    <t>DEMANDA FUERA DE PUNTA (kW)</t>
  </si>
  <si>
    <t>COS FI</t>
  </si>
  <si>
    <t>S9  CON MED. DEMANDA</t>
  </si>
  <si>
    <t>ENERGIA PICO SEG 9</t>
  </si>
  <si>
    <t>(kWh)</t>
  </si>
  <si>
    <t>ENERGIA RESTO SEG 9</t>
  </si>
  <si>
    <t>ENERGIA VALLE SEG 9</t>
  </si>
  <si>
    <t>S8 CON MED. DEMANDA</t>
  </si>
  <si>
    <t>CON SUBSIDIO</t>
  </si>
  <si>
    <t>ENERGIA PICO SEG8</t>
  </si>
  <si>
    <t>ENERGIA RESTO SEG 8</t>
  </si>
  <si>
    <t>ENERGIA VALLE SEG 8</t>
  </si>
  <si>
    <t>RESIDENCIAL N2(NAC)+CLUBES</t>
  </si>
  <si>
    <t>RESIDENCIAL N3&lt;=400</t>
  </si>
  <si>
    <t>RESIDENCIAL N3&gt;400</t>
  </si>
  <si>
    <t>ELECTROD, Y BOMBEROS VOLUNTARIOS</t>
  </si>
  <si>
    <t>CLUBES NR1</t>
  </si>
  <si>
    <t>S1-S8 SIN MEDICION DE DEMANDA</t>
  </si>
  <si>
    <t>ENERGIA PICO SEG 1</t>
  </si>
  <si>
    <t>ENERGIA PICO SEG 2</t>
  </si>
  <si>
    <t>ENERGIA PICO SEG 3</t>
  </si>
  <si>
    <t>ENERGIA PICO SEG 4</t>
  </si>
  <si>
    <t>ENERGIA PICO SEG 5</t>
  </si>
  <si>
    <t>ENERGIA PICO SEG 6</t>
  </si>
  <si>
    <t>ENERGIA PICO SEG 7</t>
  </si>
  <si>
    <t>ENERGIA PICO SEG 8</t>
  </si>
  <si>
    <t>ENERGIA RESTO SEG 1</t>
  </si>
  <si>
    <t>ENERGIA RESTO SEG 2</t>
  </si>
  <si>
    <t>ENERGIA RESTO SEG 3</t>
  </si>
  <si>
    <t>ENERGIA RESTO SEG 4</t>
  </si>
  <si>
    <t>ENERGIA RESTO SEG 5</t>
  </si>
  <si>
    <t>ENERGIA RESTO SEG 6</t>
  </si>
  <si>
    <t>ENERGIA RESTO SEG 7</t>
  </si>
  <si>
    <t>ENERGIA VALLE SEG 1</t>
  </si>
  <si>
    <t>ENERGIA VALLE SEG 2</t>
  </si>
  <si>
    <t>ENERGIA VALLE SEG 3</t>
  </si>
  <si>
    <t>ENERGIA VALLE SEG 4</t>
  </si>
  <si>
    <t>ENERGIA VALLE SEG 5</t>
  </si>
  <si>
    <t>ENERGIA VALLE SEG 6</t>
  </si>
  <si>
    <t>ENERGIA VALLE SEG 7</t>
  </si>
  <si>
    <t>EAP</t>
  </si>
  <si>
    <t>EAR</t>
  </si>
  <si>
    <t>EAV</t>
  </si>
  <si>
    <t xml:space="preserve">TOTAL </t>
  </si>
  <si>
    <t>TOTAL SIN SUBSIDIO</t>
  </si>
  <si>
    <t>R1+NR+U30+GU+GUDI</t>
  </si>
  <si>
    <t>RESIDENCIAL N2(NAC)+CLUBES BARRIO</t>
  </si>
  <si>
    <t>EATOTAL</t>
  </si>
  <si>
    <t>Plan estímulo 1</t>
  </si>
  <si>
    <t>Plan estímulo 2</t>
  </si>
  <si>
    <t>T.Social &lt;= 150kwh</t>
  </si>
  <si>
    <t>T.Social Exc. C. ahorro</t>
  </si>
  <si>
    <t>T.Social Exc. H 450 kwh S. ahorro</t>
  </si>
  <si>
    <t>T.Social Exce sin ahorro</t>
  </si>
  <si>
    <t>Electro  &lt;= 600kwh</t>
  </si>
  <si>
    <t>Electro Exc. C. ahorro</t>
  </si>
  <si>
    <t>Electro Exc. H 450 kwh S. ahorro</t>
  </si>
  <si>
    <t>Electro Exce sin ahorro</t>
  </si>
  <si>
    <t>TOTAL CON SUBSIDIO</t>
  </si>
  <si>
    <t>Plena</t>
  </si>
  <si>
    <t>T.Social Exced. sin ahorro</t>
  </si>
  <si>
    <t>Electro.  &lt;= 600kwh</t>
  </si>
  <si>
    <t>Electro. Exced. C. ahorro</t>
  </si>
  <si>
    <t>Electro. Exced. hasta  450 kwh S. ahorro</t>
  </si>
  <si>
    <t>Electro. Exced. sin ahorro</t>
  </si>
  <si>
    <t>S6</t>
  </si>
  <si>
    <t>S7</t>
  </si>
  <si>
    <t>S9 SIN SUBSIDIO</t>
  </si>
  <si>
    <t>kWh TOTAL COMPRADOS</t>
  </si>
  <si>
    <t>TOTAL $</t>
  </si>
  <si>
    <t>S1 CON SUBSIDIO</t>
  </si>
  <si>
    <t>$</t>
  </si>
  <si>
    <t>S1 SIN SUBSIDIO</t>
  </si>
  <si>
    <t>S2 CON SUBSIDIO</t>
  </si>
  <si>
    <t>S2 SIN SUBSIDIO</t>
  </si>
  <si>
    <t>S3 CON SUBSIDIO</t>
  </si>
  <si>
    <t>S3 SIN SUBSIDIO</t>
  </si>
  <si>
    <t>S4 CON SUBSIDIO</t>
  </si>
  <si>
    <t>S4 SIN SUBSIDIO</t>
  </si>
  <si>
    <t>S5 CON SUBSIDIO</t>
  </si>
  <si>
    <t>S5 SIN SUBSIDIO</t>
  </si>
  <si>
    <t>S6 CON SUBSIDIO</t>
  </si>
  <si>
    <t>S6 SIN SUBSIDIO</t>
  </si>
  <si>
    <t>S7 CON SUBSIDIO</t>
  </si>
  <si>
    <t>S7 SIN SUBSIDIO</t>
  </si>
  <si>
    <t>S8 CON SUBSIDIO</t>
  </si>
  <si>
    <t>S8 SIN SUBSIDIO</t>
  </si>
  <si>
    <t>S9 CON SUBSIDIO</t>
  </si>
  <si>
    <t>IMPORTE TOTAL COMPRADO</t>
  </si>
  <si>
    <t>$/kWh</t>
  </si>
  <si>
    <t>MONOMICO COMPRADO</t>
  </si>
  <si>
    <t>PRECIO DEL MONOMICO COMPRADO</t>
  </si>
  <si>
    <t>PLENA</t>
  </si>
  <si>
    <t>PLANILLA DE TRABAJO INTERNA RESOLUCION ERSEP 6-2016 -USO EXCLUSIVO ASOCIADAS FACE-FECESCOR -VALIDACION DATOS INGRESADOS  EN www.epec.com.ar SECCION II- PROVISORIA PARA  FEBRERO 2016</t>
  </si>
  <si>
    <t>VALIDACION DE LOS DATOS INGRESADOS</t>
  </si>
  <si>
    <t>S1-S4</t>
  </si>
  <si>
    <t>Totales U30+GuD  segun datos ingresados</t>
  </si>
  <si>
    <t>VENTA A OTRA COOP.</t>
  </si>
  <si>
    <t>Informe de compatibilidad para DDJJ -EPEC-ERSEP-COMPRA MT--RES 1301-2011-DICIEMBRE -V12-SECCION II Y III-GUDI.S.S. .xls</t>
  </si>
  <si>
    <t>Ejecutar el 13/01/2012 01:39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</si>
  <si>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</si>
  <si>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</si>
  <si>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</si>
  <si>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</si>
  <si>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Una o más celdas de este libro contienen reglas de validación de datos que hacen referencia a valores en otras hojas de cálculo. Estas reglas de validación de datos no se guardarán.</t>
  </si>
  <si>
    <t>GUDI CON SUBSIDIO -HOJA2'!C9:C18</t>
  </si>
  <si>
    <t>Excel 97-2003</t>
  </si>
  <si>
    <t>GUDI SIN SUBSIDIO-HOJA3'!B9:B18</t>
  </si>
  <si>
    <t>GUDI SIN SUBSIDIO-HOJA3'!B32:B41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</si>
  <si>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</si>
  <si>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</si>
  <si>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UR1-N2</t>
  </si>
  <si>
    <t>UR1-N1</t>
  </si>
  <si>
    <t>UR1-N3</t>
  </si>
  <si>
    <t>UR2-N2</t>
  </si>
  <si>
    <t>UR2-N1</t>
  </si>
  <si>
    <t>UR2-N3</t>
  </si>
  <si>
    <t>UR3 N2</t>
  </si>
  <si>
    <t>UR3 N1</t>
  </si>
  <si>
    <t>UR3 N3</t>
  </si>
  <si>
    <t>UR4 N2</t>
  </si>
  <si>
    <t>UR4 N1</t>
  </si>
  <si>
    <t>UR4 N3</t>
  </si>
  <si>
    <t>UR5 N2</t>
  </si>
  <si>
    <t>UR5 N1</t>
  </si>
  <si>
    <t>UR5 N3</t>
  </si>
  <si>
    <t>Tarifa
Social Provincial Decreto 43-2019-N2</t>
  </si>
  <si>
    <t>Tarifa
Social Provincial Decreto 43-2019-N1</t>
  </si>
  <si>
    <t>Tarifa
Social Provincial Decreto 43-2019-N3</t>
  </si>
  <si>
    <r>
      <t>Tarifa
Social Provincial Decreto 43-2019-</t>
    </r>
    <r>
      <rPr>
        <b/>
        <sz val="48"/>
        <rFont val="Arial Narrow"/>
        <family val="2"/>
      </rPr>
      <t>N2</t>
    </r>
  </si>
  <si>
    <r>
      <t>Tarifa
Social Provincial Decreto 43-2019-</t>
    </r>
    <r>
      <rPr>
        <b/>
        <sz val="48"/>
        <rFont val="Arial Narrow"/>
        <family val="2"/>
      </rPr>
      <t>N1</t>
    </r>
  </si>
  <si>
    <r>
      <t>Tarifa
Social Provincial Decreto 43-2019-</t>
    </r>
    <r>
      <rPr>
        <b/>
        <sz val="48"/>
        <rFont val="Arial Narrow"/>
        <family val="2"/>
      </rPr>
      <t>N3</t>
    </r>
  </si>
  <si>
    <t>usuario</t>
  </si>
  <si>
    <t xml:space="preserve">TARIFA SOCIAL PROVINCIAL -N2
</t>
  </si>
  <si>
    <t>TARIFA SOCIAL PROVINCIAL-N1</t>
  </si>
  <si>
    <t>TARIFA SOCIAL PROVINCIAL-N3</t>
  </si>
  <si>
    <t xml:space="preserve">TARIFA SOCIAL PROVINCIAL-N2
</t>
  </si>
  <si>
    <t xml:space="preserve">TARIFA SOCIAL PROVINCIAL-N1
</t>
  </si>
  <si>
    <t xml:space="preserve">TARIFA SOCIAL PROVINCIAL-N3
</t>
  </si>
  <si>
    <t>Consumo demanda Residencial NIVEL 2 BASE H 500 (SIN TARIFA SOCIAL PROVINCIAL)-D 3/25</t>
  </si>
  <si>
    <t>Consumo demanda Residencial NIVEL 3 HASTA 500  KWH-D 3/25</t>
  </si>
  <si>
    <t xml:space="preserve">HOGARES POBRES O CARENCIADOS -  -Consumo &gt;300 y &lt; =350 kWh/mes </t>
  </si>
  <si>
    <t>HOGARES INDIGENTES:- Consumo &gt;350  y &lt;= 500 kWh/mes -ZONA FRIA</t>
  </si>
  <si>
    <t>Consumo demanda Residencial NIVEL 3 -EXCEDENTE-D 3/25</t>
  </si>
  <si>
    <t>Consumo demanda Residencial NIVEL 2 (SIN TARIFA SOCIAL PROVINCIAL)-EXCEDENTE-D 3/25</t>
  </si>
  <si>
    <t>Nivel 2 Base- Ingresos bajos-D 3/25</t>
  </si>
  <si>
    <t>Nivel 3 Base- Ingresos medios-D 3/25</t>
  </si>
  <si>
    <t>Nivel 3 Base- Ingresos medios- D 3/25</t>
  </si>
  <si>
    <t>Nivel 3 Base- Ingresos medios-Zona Fria</t>
  </si>
  <si>
    <t>Consumo demanda Residencial Nivel 2-S.T. SOCIAL PCIAL.&lt;=700 kWh</t>
  </si>
  <si>
    <t>Consumo demanda Residencial Nivel 3 &lt;= 500 kwh</t>
  </si>
  <si>
    <t xml:space="preserve">N1 HOGARES POBRES O CARENCIADOS- Consumo &lt;= 120 kWh/mes </t>
  </si>
  <si>
    <t>N1 HOGARES POBRES O CARENCIADOS &gt; 120 kWh/mes y &lt;= 150 kWh/mes</t>
  </si>
  <si>
    <t xml:space="preserve">N1 HOGARES INDIGENTES: &lt;=120 kWh/mes  </t>
  </si>
  <si>
    <t xml:space="preserve">N1 HOGARES INDIGENTES:- Consumo &gt; 120 kWh/mes y &lt;= 150 kWh/mes </t>
  </si>
  <si>
    <t xml:space="preserve">N2 HOGARES POBRES O CARENCIADOS- Consumo &lt;= 120 kWh/mes </t>
  </si>
  <si>
    <t>N2  HOGARES POBRES O CARENCIADOS &gt; 120 kWh/mes y &lt;= 150 kWh/mes</t>
  </si>
  <si>
    <t xml:space="preserve">N2 HOGARES INDIGENTES: &lt;=120 kWh/mes  </t>
  </si>
  <si>
    <t xml:space="preserve">N2 HOGARES INDIGENTES:- Consumo &gt; 120 kWh/mes y &lt;= 150 kWh/mes </t>
  </si>
  <si>
    <t xml:space="preserve">N3 HOGARES POBRES O CARENCIADOS- Consumo &lt;= 120 kWh/mes </t>
  </si>
  <si>
    <t>N3 HOGARES POBRES O CARENCIADOS &gt; 120 kWh/mes y &lt;= 150 kWh/mes</t>
  </si>
  <si>
    <t xml:space="preserve">N3 HOGARES INDIGENTES: &lt;=120 kWh/mes  </t>
  </si>
  <si>
    <t xml:space="preserve">N3 HOGARES INDIGENTES:- Consumo &gt; 120 kWh/mes y &lt;= 150 kWh/mes </t>
  </si>
  <si>
    <t xml:space="preserve">N1 HOGARES POBRES O CARENCIADOS - Consumo &gt; 150 y &lt; =300  kWh/mes </t>
  </si>
  <si>
    <t xml:space="preserve">N1 HOGARES POBRES O CARENCIADOS - Consumo &gt;300 y &lt; =500  kWh/mes </t>
  </si>
  <si>
    <t>N1 HOGARES INDIGENTES: - Consumo &gt;150  y &lt;= 300 kWh/mes</t>
  </si>
  <si>
    <t xml:space="preserve">N1 HOGARES INDIGENTES:- Consumo &gt;300  y &lt;= 500 kWh/mes </t>
  </si>
  <si>
    <t>Nivel 2 Base- Ingresos bajos-Zona Fria</t>
  </si>
  <si>
    <t xml:space="preserve">N2 HOGARES POBRES O CARENCIADOS - Consumo &gt; 150 y &lt; =300  kWh/mes </t>
  </si>
  <si>
    <t xml:space="preserve">N2 HOGARES POBRES O CARENCIADOS - Consumo &gt;300 y &lt; =500  kWh/mes </t>
  </si>
  <si>
    <t>N2 HOGARES POBRES O CARENCIADOS - Consumo &gt;300 y &lt; =500  kWh/mes -ZF</t>
  </si>
  <si>
    <t>N2 HOGARES INDIGENTES: - Consumo &gt;150  y &lt;= 300 kWh/mes</t>
  </si>
  <si>
    <t xml:space="preserve">N2 HOGARES INDIGENTES:- Consumo &gt;300  y &lt;= 500 kWh/mes </t>
  </si>
  <si>
    <t>N2 HOGARES INDIGENTES:- Consumo &gt;300  y &lt;= 500 kWh/mes -ZF</t>
  </si>
  <si>
    <t xml:space="preserve">N3 HOGARES POBRES O CARENCIADOS - Consumo &gt; 150 y &lt; =300  kWh/mes </t>
  </si>
  <si>
    <t xml:space="preserve">N3 HOGARES POBRES O CARENCIADOS - Consumo &gt;300 y &lt; =500  kWh/mes </t>
  </si>
  <si>
    <t>N3 HOGARES POBRES O CARENCIADOS - Consumo &gt;300 y &lt; =500  kWh/mes -ZF</t>
  </si>
  <si>
    <t>N3 HOGARES INDIGENTES: - Consumo &gt;150  y &lt;= 300 kWh/mes</t>
  </si>
  <si>
    <t xml:space="preserve">N3 HOGARES INDIGENTES:- Consumo &gt;300  y &lt;= 500 kWh/mes </t>
  </si>
  <si>
    <t>N3 HOGARES INDIGENTES:- Consumo &gt;300  y &lt;= 500 kWh/mes - ZF</t>
  </si>
  <si>
    <t xml:space="preserve">N1 HOGARES POBRES O CARENCIADOS  - Consumo &gt; 500 y &lt;=700  kWh/mes </t>
  </si>
  <si>
    <t xml:space="preserve">N1 HOGARES INDIGENTES - Consumo &gt; 500 y &lt;= 700 kWh/mes </t>
  </si>
  <si>
    <t xml:space="preserve">N2 HOGARES POBRES O CARENCIADOS  - Consumo &gt; 500 y &lt;=700  kWh/mes </t>
  </si>
  <si>
    <t>N2 HOGARES POBRES O CARENCIADOS  - Consumo &gt; 500 y &lt;=700  kWh/mes -ZF</t>
  </si>
  <si>
    <t xml:space="preserve">N2 HOGARES INDIGENTES - Consumo &gt; 500 y &lt;= 700 kWh/mes </t>
  </si>
  <si>
    <t>N2 HOGARES INDIGENTES - Consumo &gt; 500 y &lt;= 700 kWh/mes -ZF</t>
  </si>
  <si>
    <t xml:space="preserve">N3 HOGARES POBRES O CARENCIADOS  - Consumo &gt; 500 y &lt;=700  kWh/mes </t>
  </si>
  <si>
    <t xml:space="preserve">N3 HOGARES INDIGENTES - Consumo &gt; 500 y &lt;= 700 kWh/mes </t>
  </si>
  <si>
    <t>N3 HOGARES INDIGENTES - Consumo &gt; 500 y &lt;= 700 kWh/mes -ZF</t>
  </si>
  <si>
    <t xml:space="preserve">N1 HOGARES POBRES O CARENCIADOS  - Consumo &gt; 700  y &lt;= 1400 kWh/mes </t>
  </si>
  <si>
    <t xml:space="preserve">N1 HOGARES INDIGENTES- Consumo &gt; 700 y &lt;= 1400  kWh/mes </t>
  </si>
  <si>
    <t xml:space="preserve">N2 HOGARES POBRES O CARENCIADOS  - Consumo &gt; 700  y &lt;= 1400 kWh/mes </t>
  </si>
  <si>
    <t xml:space="preserve">N2 HOGARES INDIGENTES- Consumo &gt; 700 y &lt;= 1400  kWh/mes </t>
  </si>
  <si>
    <t>N2 HOGARES INDIGENTES- Consumo &gt; 700 y &lt;= 1400  kWh/mes- ZF</t>
  </si>
  <si>
    <t xml:space="preserve">N3 HOGARES POBRES O CARENCIADOS  - Consumo &gt; 700  y &lt;= 1400 kWh/mes </t>
  </si>
  <si>
    <t>N3 HOGARES POBRES O CARENCIADOS  - Consumo &gt; 700  y &lt;= 1400 kWh/mes -ZF</t>
  </si>
  <si>
    <t xml:space="preserve">N3 HOGARES INDIGENTES- Consumo &gt; 700 y &lt;= 1400  kWh/mes </t>
  </si>
  <si>
    <t>N3 HOGARES INDIGENTES- Consumo &gt; 700 y &lt;= 1400  kWh/mes -ZF</t>
  </si>
  <si>
    <t xml:space="preserve">N1 HOGARES POBRES O CARENCIADOS- Consumo &gt; 1400 kWh/mes </t>
  </si>
  <si>
    <t xml:space="preserve">N1 HOGARES INDIGENTES- - Consumo &gt; 1400  kWh/mes </t>
  </si>
  <si>
    <t>Nivel 2 Base- Ingresos bajos-Zona fria</t>
  </si>
  <si>
    <t xml:space="preserve">N2 HOGARES POBRES O CARENCIADOS- Consumo &gt; 1400 kWh/mes </t>
  </si>
  <si>
    <t>N2 HOGARES POBRES O CARENCIADOS- Consumo &gt; 1400 kWh/mes - ZF</t>
  </si>
  <si>
    <t xml:space="preserve">N2 HOGARES INDIGENTES- - Consumo &gt; 1400  kWh/mes </t>
  </si>
  <si>
    <t>N2 HOGARES INDIGENTES- - Consumo &gt; 1400  kWh/mes- ZF</t>
  </si>
  <si>
    <t>Nivel 3 Base- Ingresos medios-Zona fria</t>
  </si>
  <si>
    <t xml:space="preserve">N3 HOGARES POBRES O CARENCIADOS- Consumo &gt; 1400 kWh/mes </t>
  </si>
  <si>
    <t>N3 HOGARES POBRES O CARENCIADOS- Consumo &gt; 1400 kWh/mes - ZF</t>
  </si>
  <si>
    <t xml:space="preserve">N3 HOGARES INDIGENTES- - Consumo &gt; 1400  kWh/mes </t>
  </si>
  <si>
    <t>N3 HOGARES INDIGENTES- - Consumo &gt; 1400  kWh/mes - ZF</t>
  </si>
  <si>
    <t>TSP- (N1)</t>
  </si>
  <si>
    <t>TSP- (N2)</t>
  </si>
  <si>
    <t>TSP- (N3)</t>
  </si>
  <si>
    <t xml:space="preserve">TSP- (N1)
</t>
  </si>
  <si>
    <t xml:space="preserve">TSP- (N2)
</t>
  </si>
  <si>
    <t xml:space="preserve">TSP- (N3)
</t>
  </si>
  <si>
    <t>HOGARES POBRES O CARENCIADOS -  -Consumo &gt;350 y &lt; =500  kWh/mes -ZF</t>
  </si>
  <si>
    <t>HOGARES INDIGENTES:- Consumo &gt;350  y &lt;= 500 kWh/mes -ZF</t>
  </si>
  <si>
    <t>Consumo demanda Residencial NIVEL 3- &gt; 150 Y = &lt; 500  kWh/mes-Zona fria</t>
  </si>
  <si>
    <t>Consumo demanda Residencial NIVEL 2- &gt;150  y  &lt;=500  kWh/mes -Zona Fria</t>
  </si>
  <si>
    <t>Consumo demanda Residencial NIVEL 2 (SIN TARIFA SOCIAL PROVINCIAL) -Zona fria</t>
  </si>
  <si>
    <t>Consumo demanda Residencial NIVEL 3 -Zona fria</t>
  </si>
  <si>
    <t>HOGARES POBRES O CARENCIADOS  - Consumo &gt; 500 y &lt;=700  kWh/mes -ZF</t>
  </si>
  <si>
    <t>HOGARES INDIGENTES - Consumo &gt; 500 y &lt;= 700 kWh/mes -ZF</t>
  </si>
  <si>
    <t>HOGARES INDIGENTES - Consumo &gt; 500 y &lt;= 700 kWh/mes- ZF</t>
  </si>
  <si>
    <t>Consumo demanda Residencial NIVEL 2 (SIN TARIFA SOCIAL PROVINCIAL)-Zona fria</t>
  </si>
  <si>
    <t>HOGARES POBRES O CARENCIADOS  - Consumo &gt; 700  y &lt;= 1400 kWh/mes -ZF</t>
  </si>
  <si>
    <t>HOGARES INDIGENTES- Consumo &gt; 700 y &lt;= 1400  kWh/mes -ZF</t>
  </si>
  <si>
    <t>HOGARES POBRES O CARENCIADOS -  -Consumo &gt;250 y &lt; =500  kWh/mes -ZF</t>
  </si>
  <si>
    <t>HOGARES INDIGENTES:- Consumo &gt;250  y &lt;= 500 kWh/mes-ZF</t>
  </si>
  <si>
    <t>HOGARES INDIGENTES- Consumo &gt; 700 y &lt;= 1400  kWh/mes - ZF</t>
  </si>
  <si>
    <t xml:space="preserve">HOGARES INDIGENTES- Consumo &gt; 700 y &lt;= 1400  kWh/mes- ZF </t>
  </si>
  <si>
    <t>Consumo demanda Residencial NIVEL 2 (SIN TARIFA SOCIAL PROVINCIAL)-Zona Fria</t>
  </si>
  <si>
    <t>Consumo demanda Residencial NIVEL 3 -Zona Fria</t>
  </si>
  <si>
    <t>HOGARES POBRES O CARENCIADOS- Consumo &gt; 1400 kWh/mes- ZF</t>
  </si>
  <si>
    <t>HOGARES INDIGENTES- - Consumo &gt; 1400  kWh/mes -ZF</t>
  </si>
  <si>
    <t>HOGARES POBRES O CARENCIADOS- Consumo &gt; 1400 kWh/mes - ZF</t>
  </si>
  <si>
    <t>HOGARES INDIGENTES- - Consumo &gt; 1400  kWh/mes- ZF</t>
  </si>
  <si>
    <t>Tarifa
Social Provincial Decreto 43-2019-RES N2</t>
  </si>
  <si>
    <t>Tarifa
Social Provincial Decreto 43-2019-RES N1</t>
  </si>
  <si>
    <t>Tarifa
Social Provincial Decreto 43-2019-RES N3</t>
  </si>
  <si>
    <t xml:space="preserve">HOGARES POBRES O CARENCIADOS - Consumo &gt;250 y &lt; =500  kWh/mes </t>
  </si>
  <si>
    <t xml:space="preserve">HOGARES INDIGENTES:- Consumo &gt;250  y &lt;= 500 kWh/mes </t>
  </si>
  <si>
    <t>Tarifa Social RES N2</t>
  </si>
  <si>
    <t>Tarifa Social RES N1</t>
  </si>
  <si>
    <t>Tarifa Social RES N3</t>
  </si>
  <si>
    <t>HOGARES POBRES O CARENCIADOS  - Consumo &gt; 500 y &lt;=700  kWh/mes - ZF</t>
  </si>
  <si>
    <t>Tarifa
Social RES N2</t>
  </si>
  <si>
    <t>Tarifa
Social RES N1</t>
  </si>
  <si>
    <t>Tarifa
Social RES N3</t>
  </si>
  <si>
    <t xml:space="preserve">HOGARES POBRES O CARENCIADOS- Consumo &gt; 1400 kWh/mes - ZF </t>
  </si>
  <si>
    <t>HOGARES INDIGENTES- - Consumo &gt; 1400  kWh/mes - ZF</t>
  </si>
  <si>
    <t>HOGARES POBRES O CARENCIADOS - Consumo &gt;350 y &lt; =500  kWh/mes -Z.F.</t>
  </si>
  <si>
    <t>HOGARES POBRES O CARENCIADOS - Consumo &gt;350 y &lt; =500  kWh/mes -D 3/25</t>
  </si>
  <si>
    <t>HOGARES POBRES O CARENCIADOS  - Consumo &gt; 700  y &lt;= 1400 kWh/mes - ZF</t>
  </si>
  <si>
    <t>HOGARES POBRES O CARENCIADOS - Consumo &gt;250 y &lt; =500  kWh/mes -ZF</t>
  </si>
  <si>
    <t>HOGARES INDIGENTES:- Consumo &gt;250  y &lt;= 500 kWh/mes -ZF</t>
  </si>
  <si>
    <t>HOGARES POBRES O CARENCIADOS - Consumo &gt;250y &lt; =500  kWh/mes-ZF</t>
  </si>
  <si>
    <t xml:space="preserve">HOGARES INDIGENTES- - Consumo &gt; 1400  kWh/mes-ZF </t>
  </si>
  <si>
    <t>HOGARES POBRES O CARENCIADOS- Consumo &gt; 1400 kWh/mes -ZF</t>
  </si>
  <si>
    <t>HOGARES INDIGENTES- - Consumo &gt; 1400  kWh/mes ZF</t>
  </si>
  <si>
    <t>HOGARES POBRES O CARENCIADOS - Consumo &gt;300 y &lt; =500  kWh/mes -ZF</t>
  </si>
  <si>
    <t>N3 HOGARES POBRES O CARENCIADOS  - Consumo &gt; 500 y &lt;=700  kWh/mes-</t>
  </si>
  <si>
    <t>N3 HOGARES POBRES O CARENCIADOS  - Consumo &gt; 500 y &lt;=700  kWh/mes -ZF</t>
  </si>
  <si>
    <t>N2 HOGARES POBRES O CARENCIADOS - Consumo &gt;350 y &lt; =500  kWh/mes -ZF</t>
  </si>
  <si>
    <t>N2 HOGARES INDIGENTES:- Consumo &gt;350  y &lt;= 500 kWh/mes -ZF</t>
  </si>
  <si>
    <t>N3 HOGARES POBRES O CARENCIADOS - Consumo &gt;250 y &lt; =500  kWh/mes -ZF</t>
  </si>
  <si>
    <t>N3 HOGARES INDIGENTES:- Consumo &gt;250 y &lt;= 500 kWh/mes - ZF</t>
  </si>
  <si>
    <t>N2 HOGARES POBRES O CARENCIADOS  - Consumo &gt; 700  y &lt;= 1400 kWh/mes -ZF</t>
  </si>
  <si>
    <t>N2 HOGARES INDIGENTES- Consumo &gt; 700 y &lt;= 1400  kWh/mesD ZF</t>
  </si>
  <si>
    <t>HOGARES POBRES O CARENCIADOS - Consumo &gt;350 y &lt; =500  kWh/mes -ZF</t>
  </si>
  <si>
    <t>ZF</t>
  </si>
  <si>
    <t>KWH/US</t>
  </si>
  <si>
    <t>N3 HOGARES POBRES O CARENCIADOS  - Consumo &gt; 500 y &lt;=700  kWh/mes</t>
  </si>
  <si>
    <t>Consumo demanda Residencial Nivel 3 &gt; EXCEDENTE</t>
  </si>
  <si>
    <t>Nivel 2 - Excedente-</t>
  </si>
  <si>
    <t>Nivel 3 Base- Ingresos medios-</t>
  </si>
  <si>
    <t>Nivel 3 - Ingresos medios-Excedente--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</si>
</sst>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7">
    <numFmt numFmtId="44" formatCode="_-&quot;$&quot;\ * #,##0.00_-;\-&quot;$&quot;\ * #,##0.00_-;_-&quot;$&quot;\ * &quot;-&quot;??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0.000"/>
    <numFmt numFmtId="167" formatCode="0.00000"/>
    <numFmt numFmtId="168" formatCode="0.0"/>
    <numFmt numFmtId="169" formatCode="0.000000"/>
    <numFmt numFmtId="170" formatCode="mmmm\-yy"/>
    <numFmt numFmtId="171" formatCode="0.0%"/>
    <numFmt numFmtId="172" formatCode="_ &quot;$&quot;\ * #,##0.00000_ ;_ &quot;$&quot;\ * \-#,##0.00000_ ;_ &quot;$&quot;\ * &quot;-&quot;??_ ;_ @_ "/>
    <numFmt numFmtId="173" formatCode="_ &quot;$&quot;\ * #,##0.0000_ ;_ &quot;$&quot;\ * \-#,##0.0000_ ;_ &quot;$&quot;\ * &quot;-&quot;??_ ;_ @_ "/>
    <numFmt numFmtId="174" formatCode="0.0000"/>
    <numFmt numFmtId="175" formatCode="0.000%"/>
    <numFmt numFmtId="176" formatCode="0.0000%"/>
    <numFmt numFmtId="177" formatCode="_ &quot;$&quot;\ * #,##0.000000_ ;_ &quot;$&quot;\ * \-#,##0.000000_ ;_ &quot;$&quot;\ * &quot;-&quot;??_ ;_ @_ "/>
    <numFmt numFmtId="178" formatCode="0.0000000"/>
    <numFmt numFmtId="179" formatCode="#,##0.0000000000000000000"/>
  </numFmts>
  <fonts count="375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4"/>
      <name val="Arial"/>
      <family val="2"/>
    </font>
    <font>
      <sz val="14"/>
      <name val="Agency FB"/>
      <family val="2"/>
    </font>
    <font>
      <sz val="8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8"/>
      <name val="Arial"/>
      <family val="2"/>
    </font>
    <font>
      <b/>
      <sz val="12"/>
      <color indexed="17"/>
      <name val="Arial"/>
      <family val="2"/>
    </font>
    <font>
      <b/>
      <sz val="12"/>
      <name val="Arial"/>
      <family val="2"/>
    </font>
    <font>
      <sz val="8"/>
      <color indexed="53"/>
      <name val="Arial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b/>
      <u/>
      <sz val="8"/>
      <name val="Arial"/>
      <family val="2"/>
    </font>
    <font>
      <sz val="12"/>
      <name val="Arial"/>
      <family val="2"/>
    </font>
    <font>
      <b/>
      <u/>
      <sz val="8"/>
      <color indexed="81"/>
      <name val="Tahoma"/>
      <family val="2"/>
    </font>
    <font>
      <u/>
      <sz val="8"/>
      <color indexed="10"/>
      <name val="Tahoma"/>
      <family val="2"/>
    </font>
    <font>
      <b/>
      <sz val="12"/>
      <name val="Arial Black"/>
      <family val="2"/>
    </font>
    <font>
      <sz val="14"/>
      <name val="Arial Black"/>
      <family val="2"/>
    </font>
    <font>
      <b/>
      <sz val="14"/>
      <name val="Arial Black"/>
      <family val="2"/>
    </font>
    <font>
      <b/>
      <sz val="12"/>
      <color indexed="18"/>
      <name val="Arial"/>
      <family val="2"/>
    </font>
    <font>
      <b/>
      <sz val="10"/>
      <name val="Arial Black"/>
      <family val="2"/>
    </font>
    <font>
      <b/>
      <sz val="13.5"/>
      <color indexed="8"/>
      <name val="Arial"/>
      <family val="2"/>
    </font>
    <font>
      <b/>
      <u/>
      <sz val="10"/>
      <name val="Verdana"/>
      <family val="2"/>
    </font>
    <font>
      <b/>
      <sz val="10"/>
      <name val="Verdana"/>
      <family val="2"/>
    </font>
    <font>
      <b/>
      <sz val="10"/>
      <color indexed="19"/>
      <name val="Verdana"/>
      <family val="2"/>
    </font>
    <font>
      <b/>
      <sz val="7.5"/>
      <name val="Verdana"/>
      <family val="2"/>
    </font>
    <font>
      <b/>
      <sz val="7.5"/>
      <color indexed="19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sz val="20"/>
      <name val="Arial Black"/>
      <family val="2"/>
    </font>
    <font>
      <b/>
      <sz val="7.5"/>
      <color indexed="8"/>
      <name val="Verdana"/>
      <family val="2"/>
    </font>
    <font>
      <b/>
      <sz val="11"/>
      <name val="Arial"/>
      <family val="2"/>
    </font>
    <font>
      <b/>
      <sz val="16"/>
      <name val="Arial Black"/>
      <family val="2"/>
    </font>
    <font>
      <b/>
      <sz val="12"/>
      <color indexed="81"/>
      <name val="Tahoma"/>
      <family val="2"/>
    </font>
    <font>
      <b/>
      <u/>
      <sz val="12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indexed="9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2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18"/>
      <name val="Arial"/>
      <family val="2"/>
    </font>
    <font>
      <b/>
      <sz val="22"/>
      <name val="Arial"/>
      <family val="2"/>
    </font>
    <font>
      <b/>
      <sz val="20"/>
      <color indexed="81"/>
      <name val="Tahoma"/>
      <family val="2"/>
    </font>
    <font>
      <sz val="18"/>
      <color indexed="81"/>
      <name val="Tahoma"/>
      <family val="2"/>
    </font>
    <font>
      <b/>
      <sz val="14"/>
      <name val="Verdana"/>
      <family val="2"/>
    </font>
    <font>
      <b/>
      <sz val="48"/>
      <name val="Arial Black"/>
      <family val="2"/>
    </font>
    <font>
      <b/>
      <sz val="24"/>
      <name val="Arial"/>
      <family val="2"/>
    </font>
    <font>
      <b/>
      <sz val="26"/>
      <name val="Arial"/>
      <family val="2"/>
    </font>
    <font>
      <sz val="16"/>
      <color indexed="81"/>
      <name val="Tahoma"/>
      <family val="2"/>
    </font>
    <font>
      <b/>
      <sz val="16"/>
      <color indexed="81"/>
      <name val="Tahoma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b/>
      <u/>
      <sz val="10"/>
      <color indexed="17"/>
      <name val="Verdana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sz val="14"/>
      <color indexed="17"/>
      <name val="Arial"/>
      <family val="2"/>
    </font>
    <font>
      <b/>
      <sz val="12"/>
      <color indexed="8"/>
      <name val="Calibri"/>
      <family val="2"/>
    </font>
    <font>
      <sz val="14"/>
      <color indexed="9"/>
      <name val="Arial"/>
      <family val="2"/>
    </font>
    <font>
      <b/>
      <sz val="48"/>
      <color indexed="9"/>
      <name val="Calibri"/>
      <family val="2"/>
    </font>
    <font>
      <b/>
      <u/>
      <sz val="36"/>
      <color indexed="9"/>
      <name val="Arial Black"/>
      <family val="2"/>
    </font>
    <font>
      <sz val="12"/>
      <color indexed="9"/>
      <name val="Calibri"/>
      <family val="2"/>
    </font>
    <font>
      <sz val="12"/>
      <color indexed="9"/>
      <name val="Arial"/>
      <family val="2"/>
    </font>
    <font>
      <b/>
      <u/>
      <sz val="16"/>
      <color indexed="9"/>
      <name val="Arial Black"/>
      <family val="2"/>
    </font>
    <font>
      <b/>
      <sz val="26"/>
      <color indexed="9"/>
      <name val="Calibri"/>
      <family val="2"/>
    </font>
    <font>
      <b/>
      <sz val="16"/>
      <color indexed="17"/>
      <name val="Calibri"/>
      <family val="2"/>
    </font>
    <font>
      <sz val="8"/>
      <name val="Arial"/>
      <family val="2"/>
    </font>
    <font>
      <sz val="20"/>
      <color indexed="81"/>
      <name val="Tahoma"/>
      <family val="2"/>
    </font>
    <font>
      <b/>
      <sz val="22"/>
      <name val="Arial Black"/>
      <family val="2"/>
    </font>
    <font>
      <b/>
      <u/>
      <sz val="14"/>
      <name val="Arial Black"/>
      <family val="2"/>
    </font>
    <font>
      <b/>
      <u/>
      <sz val="18"/>
      <color indexed="9"/>
      <name val="Arial Black"/>
      <family val="2"/>
    </font>
    <font>
      <b/>
      <sz val="14"/>
      <name val="Arial Narrow"/>
      <family val="2"/>
    </font>
    <font>
      <b/>
      <sz val="16"/>
      <name val="Verdana"/>
      <family val="2"/>
    </font>
    <font>
      <b/>
      <sz val="20"/>
      <name val="Arial Narrow"/>
      <family val="2"/>
    </font>
    <font>
      <b/>
      <sz val="22"/>
      <name val="Arial Narrow"/>
      <family val="2"/>
    </font>
    <font>
      <b/>
      <sz val="12"/>
      <color indexed="8"/>
      <name val="Arial"/>
      <family val="2"/>
    </font>
    <font>
      <b/>
      <sz val="12"/>
      <color indexed="19"/>
      <name val="Verdana"/>
      <family val="2"/>
    </font>
    <font>
      <b/>
      <u/>
      <sz val="12"/>
      <name val="Verdana"/>
      <family val="2"/>
    </font>
    <font>
      <b/>
      <sz val="14"/>
      <color indexed="8"/>
      <name val="Arial"/>
      <family val="2"/>
    </font>
    <font>
      <b/>
      <sz val="14"/>
      <color indexed="19"/>
      <name val="Verdana"/>
      <family val="2"/>
    </font>
    <font>
      <b/>
      <u/>
      <sz val="14"/>
      <name val="Verdana"/>
      <family val="2"/>
    </font>
    <font>
      <b/>
      <sz val="14"/>
      <color indexed="9"/>
      <name val="Verdana"/>
      <family val="2"/>
    </font>
    <font>
      <sz val="14"/>
      <name val="Verdana"/>
      <family val="2"/>
    </font>
    <font>
      <b/>
      <sz val="14"/>
      <color indexed="8"/>
      <name val="Verdana"/>
      <family val="2"/>
    </font>
    <font>
      <u/>
      <sz val="14"/>
      <color indexed="12"/>
      <name val="Arial"/>
      <family val="2"/>
    </font>
    <font>
      <b/>
      <u/>
      <sz val="14"/>
      <color indexed="17"/>
      <name val="Verdana"/>
      <family val="2"/>
    </font>
    <font>
      <b/>
      <sz val="18"/>
      <name val="Verdana"/>
      <family val="2"/>
    </font>
    <font>
      <b/>
      <sz val="20"/>
      <name val="Verdana"/>
      <family val="2"/>
    </font>
    <font>
      <sz val="20"/>
      <color indexed="9"/>
      <name val="Verdana"/>
      <family val="2"/>
    </font>
    <font>
      <b/>
      <sz val="20"/>
      <color indexed="8"/>
      <name val="Arial Narrow"/>
      <family val="2"/>
    </font>
    <font>
      <b/>
      <sz val="20"/>
      <color indexed="9"/>
      <name val="Verdana"/>
      <family val="2"/>
    </font>
    <font>
      <b/>
      <sz val="20"/>
      <color indexed="19"/>
      <name val="Arial Narrow"/>
      <family val="2"/>
    </font>
    <font>
      <b/>
      <sz val="16"/>
      <color indexed="8"/>
      <name val="Arial Narrow"/>
      <family val="2"/>
    </font>
    <font>
      <b/>
      <u/>
      <sz val="20"/>
      <color indexed="19"/>
      <name val="Arial Narrow"/>
      <family val="2"/>
    </font>
    <font>
      <b/>
      <u/>
      <sz val="24"/>
      <color indexed="19"/>
      <name val="Arial Narrow"/>
      <family val="2"/>
    </font>
    <font>
      <b/>
      <sz val="28"/>
      <name val="Arial Narrow"/>
      <family val="2"/>
    </font>
    <font>
      <b/>
      <sz val="36"/>
      <name val="Arial Narrow"/>
      <family val="2"/>
    </font>
    <font>
      <b/>
      <sz val="26"/>
      <name val="Verdana"/>
      <family val="2"/>
    </font>
    <font>
      <b/>
      <u/>
      <sz val="18"/>
      <name val="Verdana"/>
      <family val="2"/>
    </font>
    <font>
      <b/>
      <sz val="18"/>
      <color indexed="81"/>
      <name val="Tahoma"/>
      <family val="2"/>
    </font>
    <font>
      <b/>
      <sz val="16"/>
      <color indexed="19"/>
      <name val="Arial Narrow"/>
      <family val="2"/>
    </font>
    <font>
      <b/>
      <sz val="18"/>
      <color indexed="17"/>
      <name val="Verdana"/>
      <family val="2"/>
    </font>
    <font>
      <sz val="18"/>
      <color indexed="17"/>
      <name val="Verdana"/>
      <family val="2"/>
    </font>
    <font>
      <b/>
      <sz val="16"/>
      <color indexed="19"/>
      <name val="Verdana"/>
      <family val="2"/>
    </font>
    <font>
      <sz val="16"/>
      <color indexed="9"/>
      <name val="Arial"/>
      <family val="2"/>
    </font>
    <font>
      <b/>
      <sz val="36"/>
      <color indexed="9"/>
      <name val="Arial Black"/>
      <family val="2"/>
    </font>
    <font>
      <sz val="18"/>
      <color indexed="10"/>
      <name val="Arial Black"/>
      <family val="2"/>
    </font>
    <font>
      <sz val="18"/>
      <name val="Arial Black"/>
      <family val="2"/>
    </font>
    <font>
      <sz val="22"/>
      <color indexed="10"/>
      <name val="Arial Black"/>
      <family val="2"/>
    </font>
    <font>
      <sz val="22"/>
      <name val="Arial Black"/>
      <family val="2"/>
    </font>
    <font>
      <sz val="28"/>
      <color indexed="10"/>
      <name val="Arial Black"/>
      <family val="2"/>
    </font>
    <font>
      <sz val="28"/>
      <name val="Arial Black"/>
      <family val="2"/>
    </font>
    <font>
      <b/>
      <sz val="24"/>
      <name val="Arial Black"/>
      <family val="2"/>
    </font>
    <font>
      <b/>
      <sz val="22"/>
      <color indexed="81"/>
      <name val="Tahoma"/>
      <family val="2"/>
    </font>
    <font>
      <sz val="22"/>
      <name val="Arial"/>
      <family val="2"/>
    </font>
    <font>
      <b/>
      <i/>
      <u/>
      <sz val="20"/>
      <color indexed="10"/>
      <name val="Tahoma"/>
      <family val="2"/>
    </font>
    <font>
      <sz val="18"/>
      <name val="Verdana"/>
      <family val="2"/>
    </font>
    <font>
      <sz val="14"/>
      <color indexed="81"/>
      <name val="Tahoma"/>
      <family val="2"/>
    </font>
    <font>
      <sz val="10"/>
      <name val="Arial"/>
      <family val="2"/>
    </font>
    <font>
      <b/>
      <sz val="36"/>
      <name val="Arial"/>
      <family val="2"/>
    </font>
    <font>
      <b/>
      <sz val="28"/>
      <name val="Arial Black"/>
      <family val="2"/>
    </font>
    <font>
      <sz val="26"/>
      <name val="Arial"/>
      <family val="2"/>
    </font>
    <font>
      <b/>
      <sz val="11"/>
      <name val="Verdana"/>
      <family val="2"/>
    </font>
    <font>
      <b/>
      <u/>
      <sz val="20"/>
      <name val="Verdana"/>
      <family val="2"/>
    </font>
    <font>
      <b/>
      <sz val="20"/>
      <color indexed="8"/>
      <name val="Verdana"/>
      <family val="2"/>
    </font>
    <font>
      <b/>
      <sz val="20"/>
      <color indexed="8"/>
      <name val="Arial"/>
      <family val="2"/>
    </font>
    <font>
      <b/>
      <sz val="20"/>
      <color indexed="19"/>
      <name val="Verdana"/>
      <family val="2"/>
    </font>
    <font>
      <b/>
      <u/>
      <sz val="20"/>
      <color indexed="17"/>
      <name val="Verdana"/>
      <family val="2"/>
    </font>
    <font>
      <sz val="20"/>
      <name val="Verdana"/>
      <family val="2"/>
    </font>
    <font>
      <u/>
      <sz val="20"/>
      <color indexed="12"/>
      <name val="Arial"/>
      <family val="2"/>
    </font>
    <font>
      <b/>
      <sz val="18"/>
      <color indexed="19"/>
      <name val="Verdana"/>
      <family val="2"/>
    </font>
    <font>
      <b/>
      <u/>
      <sz val="20"/>
      <color indexed="9"/>
      <name val="Arial Black"/>
      <family val="2"/>
    </font>
    <font>
      <sz val="20"/>
      <color indexed="9"/>
      <name val="Arial"/>
      <family val="2"/>
    </font>
    <font>
      <b/>
      <sz val="12"/>
      <name val="Arial Narrow"/>
      <family val="2"/>
    </font>
    <font>
      <b/>
      <u/>
      <sz val="12"/>
      <color indexed="9"/>
      <name val="Arial Black"/>
      <family val="2"/>
    </font>
    <font>
      <sz val="48"/>
      <name val="Arial"/>
      <family val="2"/>
    </font>
    <font>
      <b/>
      <sz val="11"/>
      <name val="Arial Narrow"/>
      <family val="2"/>
    </font>
    <font>
      <b/>
      <sz val="9"/>
      <name val="Arial Narrow"/>
      <family val="2"/>
    </font>
    <font>
      <b/>
      <sz val="7"/>
      <color indexed="9"/>
      <name val="Calibri"/>
      <family val="2"/>
    </font>
    <font>
      <b/>
      <sz val="8"/>
      <color indexed="9"/>
      <name val="Calibri"/>
      <family val="2"/>
    </font>
    <font>
      <b/>
      <sz val="16"/>
      <color indexed="8"/>
      <name val="Arial"/>
      <family val="2"/>
    </font>
    <font>
      <b/>
      <sz val="16"/>
      <name val="Arial Narrow"/>
      <family val="2"/>
    </font>
    <font>
      <b/>
      <u/>
      <sz val="16"/>
      <name val="Verdana"/>
      <family val="2"/>
    </font>
    <font>
      <sz val="24"/>
      <name val="Arial"/>
      <family val="2"/>
    </font>
    <font>
      <b/>
      <sz val="11"/>
      <color indexed="9"/>
      <name val="Arial Black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rgb="FF000000"/>
      <name val="Arial Narrow"/>
      <family val="2"/>
    </font>
    <font>
      <b/>
      <sz val="20"/>
      <color rgb="FF000000"/>
      <name val="Arial Narrow"/>
      <family val="2"/>
    </font>
    <font>
      <b/>
      <sz val="18"/>
      <color theme="1"/>
      <name val="Arial"/>
      <family val="2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5" tint="-0.249977111117893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theme="6" tint="-0.249977111117893"/>
      <name val="Arial"/>
      <family val="2"/>
    </font>
    <font>
      <sz val="22"/>
      <color rgb="FFFF0000"/>
      <name val="Arial"/>
      <family val="2"/>
    </font>
    <font>
      <b/>
      <u/>
      <sz val="20"/>
      <color rgb="FF00B050"/>
      <name val="Arial Narrow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FFFFFF"/>
      <name val="Calibri"/>
      <family val="2"/>
    </font>
    <font>
      <b/>
      <sz val="8"/>
      <color rgb="FF000000"/>
      <name val="Calibri"/>
      <family val="2"/>
    </font>
    <font>
      <sz val="20"/>
      <color rgb="FFFF0000"/>
      <name val="Arial"/>
      <family val="2"/>
    </font>
    <font>
      <b/>
      <sz val="18"/>
      <color rgb="FFFF0000"/>
      <name val="Arial"/>
      <family val="2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b/>
      <sz val="16"/>
      <color rgb="FFFF0000"/>
      <name val="Arial"/>
      <family val="2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rgb="FF00B050"/>
      <name val="Arial"/>
      <family val="2"/>
    </font>
    <font>
      <b/>
      <sz val="20"/>
      <color theme="0"/>
      <name val="Arial Narrow"/>
      <family val="2"/>
    </font>
    <font>
      <b/>
      <sz val="18"/>
      <color theme="0"/>
      <name val="Arial Narrow"/>
      <family val="2"/>
    </font>
    <font>
      <b/>
      <sz val="16"/>
      <color theme="0"/>
      <name val="Arial Narrow"/>
      <family val="2"/>
    </font>
    <font>
      <b/>
      <sz val="48"/>
      <color rgb="FFFF0000"/>
      <name val="Arial"/>
      <family val="2"/>
    </font>
    <font>
      <b/>
      <sz val="16"/>
      <color rgb="FF000000"/>
      <name val="Arial Narrow"/>
      <family val="2"/>
    </font>
    <font>
      <sz val="20"/>
      <color theme="0"/>
      <name val="Arial Narrow"/>
      <family val="2"/>
    </font>
    <font>
      <b/>
      <sz val="20"/>
      <color theme="1"/>
      <name val="Arial Narrow"/>
      <family val="2"/>
    </font>
    <font>
      <b/>
      <sz val="16"/>
      <color theme="1"/>
      <name val="Arial Narrow"/>
      <family val="2"/>
    </font>
    <font>
      <b/>
      <sz val="20"/>
      <color rgb="FF00B050"/>
      <name val="Arial Narrow"/>
      <family val="2"/>
    </font>
    <font>
      <b/>
      <sz val="20"/>
      <color theme="0" tint="-4.9989318521683403E-2"/>
      <name val="Arial"/>
      <family val="2"/>
    </font>
    <font>
      <b/>
      <sz val="9"/>
      <color rgb="FF000000"/>
      <name val="Arial Narrow"/>
      <family val="2"/>
    </font>
    <font>
      <b/>
      <sz val="9"/>
      <color theme="0"/>
      <name val="Arial Narrow"/>
      <family val="2"/>
    </font>
    <font>
      <b/>
      <sz val="12"/>
      <color rgb="FF000000"/>
      <name val="Arial Narrow"/>
      <family val="2"/>
    </font>
    <font>
      <b/>
      <sz val="12"/>
      <color theme="0"/>
      <name val="Arial Narrow"/>
      <family val="2"/>
    </font>
    <font>
      <sz val="24"/>
      <color theme="0"/>
      <name val="Arial"/>
      <family val="2"/>
    </font>
    <font>
      <b/>
      <sz val="11"/>
      <color rgb="FF000000"/>
      <name val="Arial Narrow"/>
      <family val="2"/>
    </font>
    <font>
      <b/>
      <sz val="11"/>
      <color theme="0"/>
      <name val="Arial Narrow"/>
      <family val="2"/>
    </font>
    <font>
      <b/>
      <sz val="14"/>
      <color rgb="FF000000"/>
      <name val="Arial Narrow"/>
      <family val="2"/>
    </font>
    <font>
      <b/>
      <sz val="24"/>
      <color theme="1"/>
      <name val="Arial Narrow"/>
      <family val="2"/>
    </font>
    <font>
      <sz val="24"/>
      <color rgb="FFFF0000"/>
      <name val="Arial"/>
      <family val="2"/>
    </font>
    <font>
      <b/>
      <sz val="20"/>
      <color theme="1"/>
      <name val="Arial"/>
      <family val="2"/>
    </font>
    <font>
      <b/>
      <sz val="28"/>
      <color theme="1"/>
      <name val="Arial Narrow"/>
      <family val="2"/>
    </font>
    <font>
      <b/>
      <sz val="20"/>
      <color rgb="FF00B050"/>
      <name val="Arial"/>
      <family val="2"/>
    </font>
    <font>
      <b/>
      <sz val="22"/>
      <color rgb="FFFF000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0" tint="-0.499984740745262"/>
      <name val="Verdana"/>
      <family val="2"/>
    </font>
    <font>
      <b/>
      <sz val="7"/>
      <color rgb="FFFFFFFF"/>
      <name val="Calibri"/>
      <family val="2"/>
    </font>
    <font>
      <b/>
      <sz val="11"/>
      <color rgb="FF00B050"/>
      <name val="Arial"/>
      <family val="2"/>
    </font>
    <font>
      <b/>
      <sz val="11"/>
      <color theme="1"/>
      <name val="Arial"/>
      <family val="2"/>
    </font>
    <font>
      <b/>
      <sz val="20"/>
      <color rgb="FFFF0000"/>
      <name val="Calibri"/>
      <family val="2"/>
      <scheme val="minor"/>
    </font>
    <font>
      <sz val="20"/>
      <color rgb="FF00B050"/>
      <name val="Arial"/>
      <family val="2"/>
    </font>
    <font>
      <sz val="28"/>
      <name val="Arial"/>
      <family val="2"/>
    </font>
    <font>
      <b/>
      <sz val="28"/>
      <color indexed="17"/>
      <name val="Verdana"/>
      <family val="2"/>
    </font>
    <font>
      <sz val="28"/>
      <color indexed="17"/>
      <name val="Verdana"/>
      <family val="2"/>
    </font>
    <font>
      <b/>
      <sz val="28"/>
      <color indexed="8"/>
      <name val="Verdana"/>
      <family val="2"/>
    </font>
    <font>
      <b/>
      <sz val="28"/>
      <color rgb="FFFF0000"/>
      <name val="Arial"/>
      <family val="2"/>
    </font>
    <font>
      <b/>
      <sz val="28"/>
      <color rgb="FF000000"/>
      <name val="Arial Narrow"/>
      <family val="2"/>
    </font>
    <font>
      <b/>
      <sz val="28"/>
      <color indexed="8"/>
      <name val="Arial"/>
      <family val="2"/>
    </font>
    <font>
      <b/>
      <u/>
      <sz val="28"/>
      <name val="Verdana"/>
      <family val="2"/>
    </font>
    <font>
      <b/>
      <sz val="28"/>
      <name val="Verdana"/>
      <family val="2"/>
    </font>
    <font>
      <b/>
      <sz val="28"/>
      <color indexed="19"/>
      <name val="Verdana"/>
      <family val="2"/>
    </font>
    <font>
      <b/>
      <sz val="28"/>
      <name val="Arial"/>
      <family val="2"/>
    </font>
    <font>
      <b/>
      <u/>
      <sz val="28"/>
      <color rgb="FF00B050"/>
      <name val="Arial Narrow"/>
      <family val="2"/>
    </font>
    <font>
      <b/>
      <sz val="28"/>
      <color theme="0" tint="-0.499984740745262"/>
      <name val="Verdana"/>
      <family val="2"/>
    </font>
    <font>
      <sz val="28"/>
      <color rgb="FFFF0000"/>
      <name val="Arial"/>
      <family val="2"/>
    </font>
    <font>
      <b/>
      <sz val="28"/>
      <color theme="0"/>
      <name val="Arial Narrow"/>
      <family val="2"/>
    </font>
    <font>
      <b/>
      <sz val="28"/>
      <color rgb="FF00B050"/>
      <name val="Arial Narrow"/>
      <family val="2"/>
    </font>
    <font>
      <b/>
      <u/>
      <sz val="28"/>
      <color indexed="17"/>
      <name val="Verdana"/>
      <family val="2"/>
    </font>
    <font>
      <b/>
      <u/>
      <sz val="28"/>
      <color indexed="9"/>
      <name val="Arial Black"/>
      <family val="2"/>
    </font>
    <font>
      <sz val="28"/>
      <name val="Verdana"/>
      <family val="2"/>
    </font>
    <font>
      <u/>
      <sz val="28"/>
      <color indexed="12"/>
      <name val="Arial"/>
      <family val="2"/>
    </font>
    <font>
      <sz val="28"/>
      <color theme="0"/>
      <name val="Arial"/>
      <family val="2"/>
    </font>
    <font>
      <sz val="8"/>
      <name val="Arial"/>
      <family val="2"/>
    </font>
    <font>
      <b/>
      <sz val="22"/>
      <color rgb="FF000000"/>
      <name val="Arial Narrow"/>
      <family val="2"/>
    </font>
    <font>
      <b/>
      <sz val="22"/>
      <color theme="0"/>
      <name val="Arial Narrow"/>
      <family val="2"/>
    </font>
    <font>
      <b/>
      <sz val="22"/>
      <color theme="1"/>
      <name val="Arial Narrow"/>
      <family val="2"/>
    </font>
    <font>
      <b/>
      <sz val="22"/>
      <name val="Verdana"/>
      <family val="2"/>
    </font>
    <font>
      <b/>
      <sz val="22"/>
      <color indexed="19"/>
      <name val="Verdana"/>
      <family val="2"/>
    </font>
    <font>
      <sz val="22"/>
      <color theme="0"/>
      <name val="Arial Narrow"/>
      <family val="2"/>
    </font>
    <font>
      <sz val="22"/>
      <color indexed="9"/>
      <name val="Verdana"/>
      <family val="2"/>
    </font>
    <font>
      <b/>
      <sz val="22"/>
      <color indexed="9"/>
      <name val="Verdana"/>
      <family val="2"/>
    </font>
    <font>
      <b/>
      <sz val="22"/>
      <color indexed="19"/>
      <name val="Arial Narrow"/>
      <family val="2"/>
    </font>
    <font>
      <b/>
      <sz val="22"/>
      <color rgb="FF00B050"/>
      <name val="Arial Narrow"/>
      <family val="2"/>
    </font>
    <font>
      <b/>
      <u/>
      <sz val="22"/>
      <color indexed="19"/>
      <name val="Arial Narrow"/>
      <family val="2"/>
    </font>
    <font>
      <b/>
      <sz val="22"/>
      <color indexed="8"/>
      <name val="Arial Narrow"/>
      <family val="2"/>
    </font>
    <font>
      <b/>
      <sz val="22"/>
      <color theme="0" tint="-4.9989318521683403E-2"/>
      <name val="Arial"/>
      <family val="2"/>
    </font>
    <font>
      <b/>
      <u/>
      <sz val="22"/>
      <name val="Verdana"/>
      <family val="2"/>
    </font>
    <font>
      <b/>
      <u/>
      <sz val="22"/>
      <color indexed="17"/>
      <name val="Verdana"/>
      <family val="2"/>
    </font>
    <font>
      <sz val="22"/>
      <color indexed="9"/>
      <name val="Arial"/>
      <family val="2"/>
    </font>
    <font>
      <b/>
      <sz val="12"/>
      <color rgb="FF000000"/>
      <name val="Calibri"/>
      <family val="2"/>
    </font>
    <font>
      <sz val="36"/>
      <name val="Arial"/>
      <family val="2"/>
    </font>
    <font>
      <b/>
      <i/>
      <u/>
      <sz val="22"/>
      <color indexed="10"/>
      <name val="Tahoma"/>
      <family val="2"/>
    </font>
    <font>
      <sz val="8"/>
      <name val="Arial"/>
      <family val="2"/>
    </font>
    <font>
      <sz val="18"/>
      <color rgb="FFFF0000"/>
      <name val="Arial"/>
      <family val="2"/>
    </font>
    <font>
      <b/>
      <sz val="28"/>
      <color rgb="FFFF0000"/>
      <name val="Arial Narrow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28"/>
      <color theme="0"/>
      <name val="Arial"/>
      <family val="2"/>
    </font>
    <font>
      <b/>
      <sz val="28"/>
      <color rgb="FF00B050"/>
      <name val="Arial"/>
      <family val="2"/>
    </font>
    <font>
      <b/>
      <sz val="14"/>
      <color theme="0"/>
      <name val="Arial Narrow"/>
      <family val="2"/>
    </font>
    <font>
      <b/>
      <sz val="24"/>
      <color theme="0"/>
      <name val="Arial Narrow"/>
      <family val="2"/>
    </font>
    <font>
      <b/>
      <sz val="24"/>
      <color rgb="FF000000"/>
      <name val="Arial Narrow"/>
      <family val="2"/>
    </font>
    <font>
      <b/>
      <sz val="26"/>
      <color rgb="FF000000"/>
      <name val="Arial Narrow"/>
      <family val="2"/>
    </font>
    <font>
      <b/>
      <sz val="48"/>
      <color theme="1"/>
      <name val="Arial Narrow"/>
      <family val="2"/>
    </font>
    <font>
      <b/>
      <sz val="26"/>
      <name val="Arial Black"/>
      <family val="2"/>
    </font>
    <font>
      <b/>
      <sz val="28"/>
      <color indexed="9"/>
      <name val="Arial Black"/>
      <family val="2"/>
    </font>
    <font>
      <b/>
      <sz val="26"/>
      <color indexed="9"/>
      <name val="Arial Black"/>
      <family val="2"/>
    </font>
    <font>
      <b/>
      <sz val="40"/>
      <color rgb="FF000000"/>
      <name val="Arial Narrow"/>
      <family val="2"/>
    </font>
    <font>
      <b/>
      <sz val="40"/>
      <name val="Verdana"/>
      <family val="2"/>
    </font>
    <font>
      <sz val="40"/>
      <color rgb="FF000000"/>
      <name val="Arial Narrow"/>
      <family val="2"/>
    </font>
    <font>
      <b/>
      <sz val="40"/>
      <color theme="0"/>
      <name val="Arial Narrow"/>
      <family val="2"/>
    </font>
    <font>
      <b/>
      <sz val="40"/>
      <color theme="1"/>
      <name val="Arial Narrow"/>
      <family val="2"/>
    </font>
    <font>
      <b/>
      <u/>
      <sz val="20"/>
      <color theme="1"/>
      <name val="Arial Narrow"/>
      <family val="2"/>
    </font>
    <font>
      <b/>
      <sz val="22"/>
      <color theme="2" tint="-0.499984740745262"/>
      <name val="Arial Narrow"/>
      <family val="2"/>
    </font>
    <font>
      <b/>
      <sz val="48"/>
      <color theme="2" tint="-0.499984740745262"/>
      <name val="Arial Narrow"/>
      <family val="2"/>
    </font>
    <font>
      <b/>
      <sz val="32"/>
      <color theme="2" tint="-0.499984740745262"/>
      <name val="Arial Narrow"/>
      <family val="2"/>
    </font>
    <font>
      <b/>
      <sz val="32"/>
      <color theme="1"/>
      <name val="Arial Narrow"/>
      <family val="2"/>
    </font>
    <font>
      <b/>
      <sz val="16"/>
      <color indexed="9"/>
      <name val="Arial"/>
      <family val="2"/>
    </font>
    <font>
      <b/>
      <sz val="20"/>
      <color rgb="FFFF0000"/>
      <name val="Arial Narrow"/>
      <family val="2"/>
    </font>
    <font>
      <b/>
      <sz val="22"/>
      <color theme="1"/>
      <name val="Arial"/>
      <family val="2"/>
    </font>
    <font>
      <b/>
      <u/>
      <sz val="14"/>
      <name val="Arial"/>
      <family val="2"/>
    </font>
    <font>
      <b/>
      <sz val="36"/>
      <color rgb="FF000000"/>
      <name val="Arial Narrow"/>
      <family val="2"/>
    </font>
    <font>
      <b/>
      <sz val="48"/>
      <color rgb="FF000000"/>
      <name val="Arial Narrow"/>
      <family val="2"/>
    </font>
    <font>
      <sz val="48"/>
      <color theme="0"/>
      <name val="Arial Narrow"/>
      <family val="2"/>
    </font>
    <font>
      <sz val="48"/>
      <color indexed="9"/>
      <name val="Verdana"/>
      <family val="2"/>
    </font>
    <font>
      <b/>
      <sz val="48"/>
      <color theme="0"/>
      <name val="Arial Narrow"/>
      <family val="2"/>
    </font>
    <font>
      <b/>
      <sz val="48"/>
      <color indexed="9"/>
      <name val="Verdana"/>
      <family val="2"/>
    </font>
    <font>
      <b/>
      <sz val="48"/>
      <name val="Arial Narrow"/>
      <family val="2"/>
    </font>
    <font>
      <b/>
      <sz val="48"/>
      <name val="Verdana"/>
      <family val="2"/>
    </font>
    <font>
      <b/>
      <sz val="36"/>
      <color theme="2" tint="-0.499984740745262"/>
      <name val="Arial Narrow"/>
      <family val="2"/>
    </font>
    <font>
      <sz val="26"/>
      <color rgb="FFFF0000"/>
      <name val="Arial"/>
      <family val="2"/>
    </font>
    <font>
      <b/>
      <sz val="20"/>
      <color rgb="FF0070C0"/>
      <name val="Arial Narrow"/>
      <family val="2"/>
    </font>
    <font>
      <b/>
      <sz val="18"/>
      <name val="Arial Narrow"/>
      <family val="2"/>
    </font>
    <font>
      <b/>
      <sz val="22"/>
      <color theme="0"/>
      <name val="Arial"/>
      <family val="2"/>
    </font>
    <font>
      <b/>
      <sz val="18"/>
      <name val="Arial Black"/>
      <family val="2"/>
    </font>
    <font>
      <sz val="18"/>
      <color rgb="FFFF0000"/>
      <name val="Calibri"/>
      <family val="2"/>
      <scheme val="minor"/>
    </font>
    <font>
      <b/>
      <sz val="26"/>
      <name val="Arial Narrow"/>
      <family val="2"/>
    </font>
    <font>
      <b/>
      <i/>
      <sz val="26"/>
      <color rgb="FF0070C0"/>
      <name val="Arial Narrow"/>
      <family val="2"/>
    </font>
    <font>
      <b/>
      <sz val="36"/>
      <color indexed="19"/>
      <name val="Arial Narrow"/>
      <family val="2"/>
    </font>
    <font>
      <b/>
      <sz val="36"/>
      <color theme="1"/>
      <name val="Arial Narrow"/>
      <family val="2"/>
    </font>
    <font>
      <b/>
      <sz val="26"/>
      <color theme="0"/>
      <name val="Arial Narrow"/>
      <family val="2"/>
    </font>
    <font>
      <b/>
      <sz val="26"/>
      <color theme="1"/>
      <name val="Arial Narrow"/>
      <family val="2"/>
    </font>
    <font>
      <b/>
      <u/>
      <sz val="26"/>
      <color theme="1"/>
      <name val="Arial Narrow"/>
      <family val="2"/>
    </font>
    <font>
      <b/>
      <i/>
      <sz val="11"/>
      <color rgb="FF0070C0"/>
      <name val="Arial Narrow"/>
      <family val="2"/>
    </font>
    <font>
      <b/>
      <sz val="11"/>
      <color theme="1"/>
      <name val="Arial Narrow"/>
      <family val="2"/>
    </font>
    <font>
      <b/>
      <i/>
      <sz val="26"/>
      <color rgb="FF0070C0"/>
      <name val="Arial Black"/>
      <family val="2"/>
    </font>
    <font>
      <b/>
      <i/>
      <sz val="26"/>
      <color theme="0"/>
      <name val="Arial Black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24"/>
      <color rgb="FFFF0000"/>
      <name val="Aptos Black"/>
      <family val="2"/>
    </font>
    <font>
      <sz val="16"/>
      <color rgb="FF00B050"/>
      <name val="Arial"/>
      <family val="2"/>
    </font>
    <font>
      <b/>
      <sz val="22"/>
      <color indexed="17"/>
      <name val="Arial"/>
      <family val="2"/>
    </font>
    <font>
      <b/>
      <sz val="10"/>
      <color theme="0"/>
      <name val="Arial"/>
      <family val="2"/>
    </font>
    <font>
      <sz val="14"/>
      <color theme="1"/>
      <name val="Arial Black"/>
      <family val="2"/>
    </font>
    <font>
      <sz val="11"/>
      <name val="Arial"/>
      <family val="2"/>
    </font>
    <font>
      <b/>
      <sz val="11"/>
      <name val="Arial Black"/>
      <family val="2"/>
    </font>
    <font>
      <b/>
      <u/>
      <sz val="11"/>
      <name val="Arial"/>
      <family val="2"/>
    </font>
    <font>
      <sz val="11"/>
      <color indexed="9"/>
      <name val="Arial"/>
      <family val="2"/>
    </font>
    <font>
      <sz val="14"/>
      <color rgb="FF008000"/>
      <name val="Verdana"/>
      <family val="2"/>
    </font>
    <font>
      <b/>
      <sz val="14"/>
      <color rgb="FF008000"/>
      <name val="Verdana"/>
      <family val="2"/>
    </font>
    <font>
      <sz val="22"/>
      <color theme="0"/>
      <name val="Arial"/>
      <family val="2"/>
    </font>
    <font>
      <u/>
      <sz val="28"/>
      <name val="Arial"/>
      <family val="2"/>
    </font>
    <font>
      <sz val="14"/>
      <color rgb="FFFF0000"/>
      <name val="Arial"/>
      <family val="2"/>
    </font>
    <font>
      <b/>
      <u/>
      <sz val="48"/>
      <name val="Verdana"/>
      <family val="2"/>
    </font>
    <font>
      <b/>
      <sz val="48"/>
      <color indexed="19"/>
      <name val="Verdana"/>
      <family val="2"/>
    </font>
    <font>
      <b/>
      <sz val="36"/>
      <name val="Verdana"/>
      <family val="2"/>
    </font>
    <font>
      <b/>
      <sz val="36"/>
      <color indexed="19"/>
      <name val="Verdana"/>
      <family val="2"/>
    </font>
    <font>
      <b/>
      <sz val="48"/>
      <name val="Arial"/>
      <family val="2"/>
    </font>
    <font>
      <sz val="12"/>
      <color theme="0"/>
      <name val="Arial"/>
      <family val="2"/>
    </font>
    <font>
      <sz val="10"/>
      <color theme="5"/>
      <name val="Arial"/>
      <family val="2"/>
    </font>
    <font>
      <b/>
      <sz val="22"/>
      <color rgb="FFFF0000"/>
      <name val="Verdana"/>
      <family val="2"/>
    </font>
    <font>
      <sz val="36"/>
      <color rgb="FFFF0000"/>
      <name val="Arial Black"/>
      <family val="2"/>
    </font>
    <font>
      <b/>
      <sz val="36"/>
      <color rgb="FF00B050"/>
      <name val="Arial"/>
      <family val="2"/>
    </font>
    <font>
      <b/>
      <sz val="24"/>
      <color rgb="FF00B050"/>
      <name val="Arial"/>
      <family val="2"/>
    </font>
    <font>
      <b/>
      <sz val="36"/>
      <color rgb="FFFF0000"/>
      <name val="Arial Black"/>
      <family val="2"/>
    </font>
    <font>
      <b/>
      <sz val="26"/>
      <color rgb="FFFF0000"/>
      <name val="Arial Black"/>
      <family val="2"/>
    </font>
    <font>
      <b/>
      <sz val="24"/>
      <name val="Arial Narrow"/>
      <family val="2"/>
    </font>
    <font>
      <b/>
      <sz val="16"/>
      <color rgb="FF00B050"/>
      <name val="Arial"/>
      <family val="2"/>
    </font>
    <font>
      <b/>
      <sz val="18"/>
      <name val="Agency FB"/>
      <family val="2"/>
    </font>
    <font>
      <b/>
      <sz val="22"/>
      <name val="Agency FB"/>
      <family val="2"/>
    </font>
    <font>
      <b/>
      <sz val="48"/>
      <color rgb="FF00B050"/>
      <name val="Arial"/>
      <family val="2"/>
    </font>
    <font>
      <sz val="28"/>
      <color indexed="8"/>
      <name val="Arial"/>
      <family val="2"/>
    </font>
    <font>
      <b/>
      <sz val="26"/>
      <color rgb="FF00B050"/>
      <name val="Arial"/>
      <family val="2"/>
    </font>
    <font>
      <b/>
      <sz val="36"/>
      <color rgb="FF0070C0"/>
      <name val="Arial"/>
      <family val="2"/>
    </font>
    <font>
      <sz val="48"/>
      <color rgb="FFFF0000"/>
      <name val="Arial"/>
      <family val="2"/>
    </font>
    <font>
      <sz val="48"/>
      <color theme="3"/>
      <name val="Arial"/>
      <family val="2"/>
    </font>
    <font>
      <sz val="48"/>
      <color rgb="FF0070C0"/>
      <name val="Arial"/>
      <family val="2"/>
    </font>
    <font>
      <b/>
      <sz val="28"/>
      <color indexed="81"/>
      <name val="Tahoma"/>
      <family val="2"/>
    </font>
    <font>
      <sz val="28"/>
      <color indexed="81"/>
      <name val="Tahoma"/>
      <family val="2"/>
    </font>
    <font>
      <b/>
      <sz val="12"/>
      <color theme="0"/>
      <name val="Arial"/>
      <family val="2"/>
    </font>
    <font>
      <b/>
      <sz val="12"/>
      <color theme="2" tint="-0.89999084444715716"/>
      <name val="Arial"/>
      <family val="2"/>
    </font>
    <font>
      <b/>
      <sz val="14"/>
      <color indexed="81"/>
      <name val="Tahoma"/>
      <family val="2"/>
    </font>
    <font>
      <b/>
      <sz val="24"/>
      <color indexed="17"/>
      <name val="Arial"/>
      <family val="2"/>
    </font>
    <font>
      <b/>
      <u/>
      <sz val="20"/>
      <name val="Arial"/>
      <family val="2"/>
    </font>
    <font>
      <b/>
      <sz val="26"/>
      <color rgb="FF0070C0"/>
      <name val="Arial Narrow"/>
      <family val="2"/>
    </font>
    <font>
      <b/>
      <sz val="26"/>
      <color theme="3"/>
      <name val="Arial Narrow"/>
      <family val="2"/>
    </font>
    <font>
      <b/>
      <sz val="36"/>
      <color theme="0"/>
      <name val="Arial Narrow"/>
      <family val="2"/>
    </font>
    <font>
      <b/>
      <sz val="28"/>
      <color theme="3"/>
      <name val="Arial Narrow"/>
      <family val="2"/>
    </font>
    <font>
      <b/>
      <sz val="26"/>
      <color indexed="19"/>
      <name val="Verdana"/>
      <family val="2"/>
    </font>
    <font>
      <b/>
      <u/>
      <sz val="26"/>
      <color indexed="9"/>
      <name val="Arial Black"/>
      <family val="2"/>
    </font>
    <font>
      <b/>
      <sz val="24"/>
      <color rgb="FFFF0000"/>
      <name val="Arial Narrow"/>
      <family val="2"/>
    </font>
    <font>
      <b/>
      <sz val="16"/>
      <color theme="0"/>
      <name val="Arial"/>
      <family val="2"/>
    </font>
    <font>
      <b/>
      <sz val="16"/>
      <color rgb="FF0070C0"/>
      <name val="Arial"/>
      <family val="2"/>
    </font>
    <font>
      <b/>
      <sz val="18"/>
      <color rgb="FF0070C0"/>
      <name val="Arial"/>
      <family val="2"/>
    </font>
  </fonts>
  <fills count="7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mediumGray">
        <fgColor indexed="9"/>
        <b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mediumGray">
        <fgColor indexed="9"/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F7F7F"/>
      </patternFill>
    </fill>
    <fill>
      <patternFill patternType="solid">
        <fgColor rgb="FFFCE8D8"/>
      </patternFill>
    </fill>
    <fill>
      <patternFill patternType="solid">
        <fgColor rgb="FFFABE8F"/>
      </patternFill>
    </fill>
    <fill>
      <patternFill patternType="solid">
        <fgColor rgb="FFD9D9D9"/>
      </patternFill>
    </fill>
    <fill>
      <patternFill patternType="solid">
        <fgColor rgb="FF92CCDB"/>
      </patternFill>
    </fill>
    <fill>
      <patternFill patternType="solid">
        <fgColor rgb="FFDCE5F0"/>
      </patternFill>
    </fill>
    <fill>
      <patternFill patternType="solid">
        <fgColor rgb="FFD9EDF2"/>
      </patternFill>
    </fill>
    <fill>
      <patternFill patternType="solid">
        <fgColor rgb="FFBFBFBF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8" tint="0.79998168889431442"/>
        <bgColor indexed="64"/>
      </patternFill>
    </fill>
  </fills>
  <borders count="1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 style="thin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/>
      <top style="medium">
        <color rgb="FF0070C0"/>
      </top>
      <bottom style="thin">
        <color indexed="64"/>
      </bottom>
      <diagonal/>
    </border>
    <border>
      <left/>
      <right/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rgb="FF0070C0"/>
      </bottom>
      <diagonal/>
    </border>
    <border>
      <left/>
      <right/>
      <top style="thin">
        <color indexed="64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 style="thin">
        <color indexed="64"/>
      </left>
      <right/>
      <top style="medium">
        <color rgb="FF0070C0"/>
      </top>
      <bottom style="medium">
        <color indexed="64"/>
      </bottom>
      <diagonal/>
    </border>
    <border>
      <left/>
      <right/>
      <top style="medium">
        <color rgb="FF0070C0"/>
      </top>
      <bottom style="medium">
        <color indexed="64"/>
      </bottom>
      <diagonal/>
    </border>
    <border>
      <left style="medium">
        <color rgb="FF0070C0"/>
      </left>
      <right/>
      <top/>
      <bottom/>
      <diagonal/>
    </border>
    <border>
      <left/>
      <right/>
      <top style="medium">
        <color indexed="64"/>
      </top>
      <bottom style="medium">
        <color rgb="FF0070C0"/>
      </bottom>
      <diagonal/>
    </border>
    <border>
      <left style="medium">
        <color indexed="64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rgb="FF0070C0"/>
      </right>
      <top/>
      <bottom/>
      <diagonal/>
    </border>
    <border>
      <left/>
      <right style="thin">
        <color theme="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70C0"/>
      </right>
      <top style="medium">
        <color indexed="64"/>
      </top>
      <bottom/>
      <diagonal/>
    </border>
    <border>
      <left style="medium">
        <color rgb="FF0070C0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rgb="FF0070C0"/>
      </right>
      <top/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medium">
        <color indexed="64"/>
      </bottom>
      <diagonal/>
    </border>
    <border>
      <left style="medium">
        <color rgb="FF0070C0"/>
      </left>
      <right style="medium">
        <color indexed="64"/>
      </right>
      <top style="medium">
        <color indexed="64"/>
      </top>
      <bottom/>
      <diagonal/>
    </border>
    <border>
      <left style="medium">
        <color rgb="FF0070C0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B0F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B0F0"/>
      </bottom>
      <diagonal/>
    </border>
    <border>
      <left style="medium">
        <color indexed="64"/>
      </left>
      <right style="medium">
        <color indexed="64"/>
      </right>
      <top style="medium">
        <color rgb="FF00B0F0"/>
      </top>
      <bottom style="thin">
        <color indexed="64"/>
      </bottom>
      <diagonal/>
    </border>
    <border>
      <left/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rgb="FF00B0F0"/>
      </bottom>
      <diagonal/>
    </border>
    <border>
      <left/>
      <right style="thin">
        <color indexed="64"/>
      </right>
      <top style="thin">
        <color indexed="64"/>
      </top>
      <bottom style="medium">
        <color rgb="FF00B0F0"/>
      </bottom>
      <diagonal/>
    </border>
    <border>
      <left/>
      <right/>
      <top style="medium">
        <color rgb="FF00B0F0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B0F0"/>
      </bottom>
      <diagonal/>
    </border>
    <border>
      <left style="medium">
        <color rgb="FF0070C0"/>
      </left>
      <right style="medium">
        <color indexed="64"/>
      </right>
      <top/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 style="thin">
        <color indexed="64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medium">
        <color indexed="64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 style="medium">
        <color rgb="FF00B0F0"/>
      </top>
      <bottom/>
      <diagonal/>
    </border>
    <border>
      <left/>
      <right/>
      <top/>
      <bottom style="medium">
        <color rgb="FF00B0F0"/>
      </bottom>
      <diagonal/>
    </border>
    <border>
      <left/>
      <right style="thin">
        <color indexed="64"/>
      </right>
      <top style="medium">
        <color rgb="FF00B0F0"/>
      </top>
      <bottom/>
      <diagonal/>
    </border>
    <border>
      <left/>
      <right style="thin">
        <color indexed="64"/>
      </right>
      <top/>
      <bottom style="medium">
        <color rgb="FF00B0F0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26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53" fillId="0" borderId="0" applyFont="0" applyFill="0" applyBorder="0" applyAlignment="0" applyProtection="0"/>
    <xf numFmtId="0" fontId="153" fillId="0" borderId="0"/>
    <xf numFmtId="0" fontId="15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53" fillId="0" borderId="0" applyFont="0" applyFill="0" applyBorder="0" applyAlignment="0" applyProtection="0"/>
  </cellStyleXfs>
  <cellXfs count="5818">
    <xf numFmtId="0" fontId="0" fillId="0" borderId="0" xfId="0"/>
    <xf numFmtId="0" fontId="3" fillId="0" borderId="0" xfId="0" applyFont="1"/>
    <xf numFmtId="0" fontId="4" fillId="0" borderId="0" xfId="0" applyFont="1"/>
    <xf numFmtId="168" fontId="12" fillId="2" borderId="1" xfId="0" applyNumberFormat="1" applyFont="1" applyFill="1" applyBorder="1" applyProtection="1">
      <protection locked="0"/>
    </xf>
    <xf numFmtId="166" fontId="12" fillId="0" borderId="1" xfId="0" applyNumberFormat="1" applyFont="1" applyBorder="1"/>
    <xf numFmtId="0" fontId="5" fillId="0" borderId="0" xfId="0" applyFont="1"/>
    <xf numFmtId="166" fontId="12" fillId="0" borderId="0" xfId="0" applyNumberFormat="1" applyFont="1"/>
    <xf numFmtId="166" fontId="17" fillId="0" borderId="1" xfId="0" applyNumberFormat="1" applyFont="1" applyBorder="1"/>
    <xf numFmtId="0" fontId="3" fillId="0" borderId="0" xfId="0" applyFo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0" fontId="0" fillId="0" borderId="4" xfId="0" applyBorder="1" applyProtection="1">
      <protection hidden="1"/>
    </xf>
    <xf numFmtId="0" fontId="11" fillId="0" borderId="0" xfId="0" applyFont="1" applyProtection="1">
      <protection hidden="1"/>
    </xf>
    <xf numFmtId="0" fontId="0" fillId="3" borderId="6" xfId="0" applyFill="1" applyBorder="1" applyProtection="1">
      <protection hidden="1"/>
    </xf>
    <xf numFmtId="0" fontId="3" fillId="4" borderId="1" xfId="0" applyFont="1" applyFill="1" applyBorder="1" applyAlignment="1" applyProtection="1">
      <alignment horizontal="center" vertical="center" wrapText="1"/>
      <protection hidden="1"/>
    </xf>
    <xf numFmtId="0" fontId="3" fillId="4" borderId="7" xfId="0" applyFont="1" applyFill="1" applyBorder="1" applyAlignment="1" applyProtection="1">
      <alignment horizontal="center" vertical="center" wrapText="1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0" fontId="0" fillId="0" borderId="0" xfId="0" applyAlignment="1">
      <alignment wrapText="1"/>
    </xf>
    <xf numFmtId="1" fontId="0" fillId="0" borderId="0" xfId="0" applyNumberFormat="1" applyProtection="1">
      <protection hidden="1"/>
    </xf>
    <xf numFmtId="0" fontId="12" fillId="0" borderId="1" xfId="0" applyFont="1" applyBorder="1" applyProtection="1">
      <protection hidden="1"/>
    </xf>
    <xf numFmtId="0" fontId="0" fillId="0" borderId="0" xfId="0" applyProtection="1">
      <protection locked="0"/>
    </xf>
    <xf numFmtId="17" fontId="0" fillId="0" borderId="8" xfId="0" applyNumberFormat="1" applyBorder="1" applyProtection="1">
      <protection hidden="1"/>
    </xf>
    <xf numFmtId="0" fontId="10" fillId="0" borderId="0" xfId="0" applyFont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17" fontId="0" fillId="0" borderId="0" xfId="0" applyNumberFormat="1" applyAlignment="1" applyProtection="1">
      <alignment horizontal="center"/>
      <protection hidden="1"/>
    </xf>
    <xf numFmtId="0" fontId="3" fillId="0" borderId="0" xfId="0" applyFont="1" applyAlignment="1" applyProtection="1">
      <alignment vertical="top" wrapText="1"/>
      <protection hidden="1"/>
    </xf>
    <xf numFmtId="0" fontId="0" fillId="0" borderId="1" xfId="0" applyBorder="1" applyProtection="1">
      <protection hidden="1"/>
    </xf>
    <xf numFmtId="0" fontId="3" fillId="0" borderId="0" xfId="0" applyFont="1" applyAlignment="1" applyProtection="1">
      <alignment horizontal="right"/>
      <protection hidden="1"/>
    </xf>
    <xf numFmtId="170" fontId="3" fillId="0" borderId="0" xfId="0" applyNumberFormat="1" applyFont="1" applyAlignment="1" applyProtection="1">
      <alignment horizontal="left"/>
      <protection hidden="1"/>
    </xf>
    <xf numFmtId="49" fontId="3" fillId="0" borderId="0" xfId="0" applyNumberFormat="1" applyFont="1" applyProtection="1">
      <protection hidden="1"/>
    </xf>
    <xf numFmtId="49" fontId="0" fillId="0" borderId="0" xfId="0" applyNumberFormat="1" applyProtection="1"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0" fillId="4" borderId="9" xfId="0" applyFill="1" applyBorder="1" applyAlignment="1" applyProtection="1">
      <alignment horizontal="center"/>
      <protection hidden="1"/>
    </xf>
    <xf numFmtId="0" fontId="0" fillId="0" borderId="10" xfId="0" applyBorder="1" applyProtection="1">
      <protection hidden="1"/>
    </xf>
    <xf numFmtId="166" fontId="0" fillId="0" borderId="1" xfId="0" applyNumberFormat="1" applyBorder="1" applyProtection="1">
      <protection hidden="1"/>
    </xf>
    <xf numFmtId="166" fontId="0" fillId="0" borderId="9" xfId="0" applyNumberFormat="1" applyBorder="1" applyProtection="1">
      <protection hidden="1"/>
    </xf>
    <xf numFmtId="1" fontId="0" fillId="0" borderId="1" xfId="0" applyNumberFormat="1" applyBorder="1" applyProtection="1">
      <protection hidden="1"/>
    </xf>
    <xf numFmtId="0" fontId="3" fillId="0" borderId="1" xfId="0" applyFont="1" applyBorder="1" applyProtection="1">
      <protection hidden="1"/>
    </xf>
    <xf numFmtId="0" fontId="3" fillId="0" borderId="3" xfId="0" applyFont="1" applyBorder="1" applyProtection="1">
      <protection hidden="1"/>
    </xf>
    <xf numFmtId="0" fontId="0" fillId="0" borderId="3" xfId="0" applyBorder="1" applyProtection="1">
      <protection hidden="1"/>
    </xf>
    <xf numFmtId="168" fontId="0" fillId="0" borderId="3" xfId="0" applyNumberFormat="1" applyBorder="1" applyProtection="1">
      <protection hidden="1"/>
    </xf>
    <xf numFmtId="166" fontId="0" fillId="0" borderId="3" xfId="0" applyNumberFormat="1" applyBorder="1" applyProtection="1">
      <protection hidden="1"/>
    </xf>
    <xf numFmtId="166" fontId="12" fillId="0" borderId="0" xfId="0" applyNumberFormat="1" applyFont="1" applyProtection="1">
      <protection hidden="1"/>
    </xf>
    <xf numFmtId="166" fontId="23" fillId="0" borderId="0" xfId="0" applyNumberFormat="1" applyFont="1" applyProtection="1">
      <protection hidden="1"/>
    </xf>
    <xf numFmtId="0" fontId="13" fillId="0" borderId="0" xfId="0" applyFont="1" applyAlignment="1" applyProtection="1">
      <alignment horizontal="right"/>
      <protection hidden="1"/>
    </xf>
    <xf numFmtId="168" fontId="0" fillId="0" borderId="1" xfId="0" applyNumberFormat="1" applyBorder="1" applyProtection="1">
      <protection hidden="1"/>
    </xf>
    <xf numFmtId="0" fontId="0" fillId="4" borderId="1" xfId="0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2" xfId="0" applyBorder="1" applyProtection="1">
      <protection hidden="1"/>
    </xf>
    <xf numFmtId="0" fontId="0" fillId="0" borderId="11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3" xfId="0" applyBorder="1" applyProtection="1">
      <protection hidden="1"/>
    </xf>
    <xf numFmtId="0" fontId="0" fillId="0" borderId="14" xfId="0" applyBorder="1" applyProtection="1">
      <protection hidden="1"/>
    </xf>
    <xf numFmtId="0" fontId="0" fillId="0" borderId="15" xfId="0" applyBorder="1" applyProtection="1">
      <protection hidden="1"/>
    </xf>
    <xf numFmtId="0" fontId="0" fillId="0" borderId="16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19" xfId="0" applyBorder="1" applyProtection="1">
      <protection hidden="1"/>
    </xf>
    <xf numFmtId="0" fontId="0" fillId="0" borderId="20" xfId="0" applyBorder="1" applyProtection="1">
      <protection hidden="1"/>
    </xf>
    <xf numFmtId="0" fontId="0" fillId="0" borderId="21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23" xfId="0" applyBorder="1" applyProtection="1">
      <protection hidden="1"/>
    </xf>
    <xf numFmtId="0" fontId="0" fillId="0" borderId="3" xfId="0" applyBorder="1" applyAlignment="1" applyProtection="1">
      <alignment vertical="center" wrapText="1"/>
      <protection hidden="1"/>
    </xf>
    <xf numFmtId="0" fontId="0" fillId="0" borderId="11" xfId="0" applyBorder="1" applyAlignment="1" applyProtection="1">
      <alignment vertical="center" wrapText="1"/>
      <protection hidden="1"/>
    </xf>
    <xf numFmtId="0" fontId="0" fillId="0" borderId="0" xfId="0" applyAlignment="1">
      <alignment horizontal="center" vertical="top" wrapText="1"/>
    </xf>
    <xf numFmtId="1" fontId="0" fillId="0" borderId="0" xfId="0" applyNumberFormat="1"/>
    <xf numFmtId="0" fontId="0" fillId="6" borderId="0" xfId="0" applyFill="1" applyProtection="1">
      <protection hidden="1"/>
    </xf>
    <xf numFmtId="0" fontId="26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wrapText="1"/>
      <protection hidden="1"/>
    </xf>
    <xf numFmtId="0" fontId="0" fillId="0" borderId="24" xfId="0" applyBorder="1" applyProtection="1">
      <protection hidden="1"/>
    </xf>
    <xf numFmtId="0" fontId="0" fillId="0" borderId="25" xfId="0" applyBorder="1" applyProtection="1">
      <protection hidden="1"/>
    </xf>
    <xf numFmtId="0" fontId="0" fillId="0" borderId="26" xfId="0" applyBorder="1" applyProtection="1">
      <protection hidden="1"/>
    </xf>
    <xf numFmtId="2" fontId="0" fillId="0" borderId="1" xfId="0" applyNumberFormat="1" applyBorder="1" applyProtection="1">
      <protection hidden="1"/>
    </xf>
    <xf numFmtId="0" fontId="0" fillId="0" borderId="27" xfId="0" applyBorder="1" applyAlignment="1" applyProtection="1">
      <alignment horizontal="center" vertical="center"/>
      <protection hidden="1"/>
    </xf>
    <xf numFmtId="166" fontId="5" fillId="0" borderId="0" xfId="0" applyNumberFormat="1" applyFont="1"/>
    <xf numFmtId="0" fontId="5" fillId="0" borderId="1" xfId="0" applyFont="1" applyBorder="1"/>
    <xf numFmtId="0" fontId="0" fillId="0" borderId="0" xfId="0" applyAlignment="1">
      <alignment vertical="top"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9" fontId="0" fillId="0" borderId="0" xfId="12" applyFont="1" applyProtection="1">
      <protection hidden="1"/>
    </xf>
    <xf numFmtId="0" fontId="28" fillId="0" borderId="0" xfId="0" applyFont="1" applyAlignment="1" applyProtection="1">
      <alignment wrapText="1"/>
      <protection hidden="1"/>
    </xf>
    <xf numFmtId="0" fontId="28" fillId="0" borderId="0" xfId="0" applyFont="1" applyAlignment="1">
      <alignment vertical="top" wrapText="1"/>
    </xf>
    <xf numFmtId="0" fontId="28" fillId="0" borderId="0" xfId="0" applyFont="1" applyAlignment="1" applyProtection="1">
      <alignment horizontal="left" wrapText="1"/>
      <protection hidden="1"/>
    </xf>
    <xf numFmtId="0" fontId="28" fillId="0" borderId="4" xfId="0" applyFont="1" applyBorder="1" applyAlignment="1" applyProtection="1">
      <alignment horizontal="left" wrapText="1"/>
      <protection hidden="1"/>
    </xf>
    <xf numFmtId="0" fontId="28" fillId="0" borderId="0" xfId="0" applyFont="1" applyAlignment="1" applyProtection="1">
      <alignment horizontal="left"/>
      <protection hidden="1"/>
    </xf>
    <xf numFmtId="0" fontId="28" fillId="0" borderId="4" xfId="0" applyFont="1" applyBorder="1" applyAlignment="1" applyProtection="1">
      <alignment horizontal="left"/>
      <protection hidden="1"/>
    </xf>
    <xf numFmtId="0" fontId="28" fillId="0" borderId="4" xfId="0" applyFont="1" applyBorder="1" applyAlignment="1" applyProtection="1">
      <alignment wrapText="1"/>
      <protection hidden="1"/>
    </xf>
    <xf numFmtId="0" fontId="28" fillId="0" borderId="0" xfId="0" applyFont="1" applyProtection="1">
      <protection hidden="1"/>
    </xf>
    <xf numFmtId="0" fontId="28" fillId="0" borderId="4" xfId="0" applyFont="1" applyBorder="1" applyProtection="1">
      <protection hidden="1"/>
    </xf>
    <xf numFmtId="0" fontId="0" fillId="0" borderId="28" xfId="0" applyBorder="1" applyProtection="1">
      <protection hidden="1"/>
    </xf>
    <xf numFmtId="0" fontId="0" fillId="0" borderId="29" xfId="0" applyBorder="1" applyProtection="1">
      <protection hidden="1"/>
    </xf>
    <xf numFmtId="0" fontId="0" fillId="0" borderId="30" xfId="0" applyBorder="1" applyProtection="1">
      <protection hidden="1"/>
    </xf>
    <xf numFmtId="168" fontId="0" fillId="0" borderId="0" xfId="0" applyNumberFormat="1" applyProtection="1">
      <protection hidden="1"/>
    </xf>
    <xf numFmtId="0" fontId="0" fillId="0" borderId="1" xfId="0" applyBorder="1"/>
    <xf numFmtId="2" fontId="0" fillId="0" borderId="0" xfId="0" applyNumberFormat="1"/>
    <xf numFmtId="1" fontId="0" fillId="0" borderId="1" xfId="0" applyNumberFormat="1" applyBorder="1"/>
    <xf numFmtId="0" fontId="0" fillId="0" borderId="9" xfId="0" applyBorder="1" applyProtection="1">
      <protection hidden="1"/>
    </xf>
    <xf numFmtId="0" fontId="0" fillId="0" borderId="32" xfId="0" applyBorder="1" applyProtection="1">
      <protection hidden="1"/>
    </xf>
    <xf numFmtId="0" fontId="3" fillId="0" borderId="33" xfId="0" applyFont="1" applyBorder="1" applyAlignment="1" applyProtection="1">
      <alignment horizontal="center" vertical="center" wrapText="1"/>
      <protection hidden="1"/>
    </xf>
    <xf numFmtId="0" fontId="0" fillId="9" borderId="0" xfId="0" applyFill="1" applyProtection="1">
      <protection hidden="1"/>
    </xf>
    <xf numFmtId="0" fontId="3" fillId="4" borderId="25" xfId="0" applyFont="1" applyFill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7" fillId="0" borderId="0" xfId="0" applyFont="1"/>
    <xf numFmtId="0" fontId="60" fillId="0" borderId="34" xfId="0" applyFont="1" applyBorder="1" applyProtection="1">
      <protection hidden="1"/>
    </xf>
    <xf numFmtId="0" fontId="60" fillId="10" borderId="35" xfId="0" applyFont="1" applyFill="1" applyBorder="1" applyProtection="1">
      <protection hidden="1"/>
    </xf>
    <xf numFmtId="0" fontId="0" fillId="10" borderId="36" xfId="0" applyFill="1" applyBorder="1" applyProtection="1">
      <protection hidden="1"/>
    </xf>
    <xf numFmtId="0" fontId="0" fillId="10" borderId="37" xfId="0" applyFill="1" applyBorder="1" applyProtection="1">
      <protection hidden="1"/>
    </xf>
    <xf numFmtId="0" fontId="0" fillId="10" borderId="34" xfId="0" applyFill="1" applyBorder="1" applyProtection="1">
      <protection hidden="1"/>
    </xf>
    <xf numFmtId="0" fontId="0" fillId="10" borderId="0" xfId="0" applyFill="1" applyProtection="1">
      <protection hidden="1"/>
    </xf>
    <xf numFmtId="0" fontId="0" fillId="10" borderId="29" xfId="0" applyFill="1" applyBorder="1" applyProtection="1">
      <protection hidden="1"/>
    </xf>
    <xf numFmtId="0" fontId="60" fillId="10" borderId="10" xfId="0" applyFont="1" applyFill="1" applyBorder="1" applyAlignment="1" applyProtection="1">
      <alignment horizontal="center" wrapText="1"/>
      <protection hidden="1"/>
    </xf>
    <xf numFmtId="0" fontId="60" fillId="10" borderId="1" xfId="0" applyFont="1" applyFill="1" applyBorder="1" applyAlignment="1" applyProtection="1">
      <alignment horizontal="center" wrapText="1"/>
      <protection hidden="1"/>
    </xf>
    <xf numFmtId="0" fontId="60" fillId="10" borderId="9" xfId="0" applyFont="1" applyFill="1" applyBorder="1" applyAlignment="1" applyProtection="1">
      <alignment horizontal="center" wrapText="1"/>
      <protection hidden="1"/>
    </xf>
    <xf numFmtId="0" fontId="0" fillId="10" borderId="10" xfId="0" applyFill="1" applyBorder="1" applyProtection="1">
      <protection hidden="1"/>
    </xf>
    <xf numFmtId="0" fontId="0" fillId="10" borderId="1" xfId="0" applyFill="1" applyBorder="1" applyProtection="1">
      <protection hidden="1"/>
    </xf>
    <xf numFmtId="0" fontId="0" fillId="10" borderId="9" xfId="0" applyFill="1" applyBorder="1" applyProtection="1">
      <protection hidden="1"/>
    </xf>
    <xf numFmtId="1" fontId="12" fillId="10" borderId="1" xfId="0" applyNumberFormat="1" applyFont="1" applyFill="1" applyBorder="1" applyAlignment="1" applyProtection="1">
      <alignment horizontal="center"/>
      <protection hidden="1"/>
    </xf>
    <xf numFmtId="0" fontId="0" fillId="10" borderId="38" xfId="0" applyFill="1" applyBorder="1" applyProtection="1">
      <protection hidden="1"/>
    </xf>
    <xf numFmtId="0" fontId="0" fillId="10" borderId="39" xfId="0" applyFill="1" applyBorder="1" applyProtection="1">
      <protection hidden="1"/>
    </xf>
    <xf numFmtId="0" fontId="0" fillId="10" borderId="40" xfId="0" applyFill="1" applyBorder="1" applyProtection="1">
      <protection hidden="1"/>
    </xf>
    <xf numFmtId="0" fontId="0" fillId="0" borderId="34" xfId="0" applyBorder="1" applyProtection="1">
      <protection hidden="1"/>
    </xf>
    <xf numFmtId="0" fontId="60" fillId="6" borderId="35" xfId="0" applyFont="1" applyFill="1" applyBorder="1" applyProtection="1">
      <protection hidden="1"/>
    </xf>
    <xf numFmtId="0" fontId="0" fillId="6" borderId="36" xfId="0" applyFill="1" applyBorder="1" applyProtection="1">
      <protection hidden="1"/>
    </xf>
    <xf numFmtId="0" fontId="0" fillId="6" borderId="37" xfId="0" applyFill="1" applyBorder="1" applyProtection="1">
      <protection hidden="1"/>
    </xf>
    <xf numFmtId="0" fontId="0" fillId="8" borderId="34" xfId="0" applyFill="1" applyBorder="1" applyProtection="1">
      <protection hidden="1"/>
    </xf>
    <xf numFmtId="0" fontId="0" fillId="8" borderId="0" xfId="0" applyFill="1" applyProtection="1">
      <protection hidden="1"/>
    </xf>
    <xf numFmtId="0" fontId="0" fillId="6" borderId="29" xfId="0" applyFill="1" applyBorder="1" applyProtection="1">
      <protection hidden="1"/>
    </xf>
    <xf numFmtId="0" fontId="0" fillId="6" borderId="34" xfId="0" applyFill="1" applyBorder="1" applyProtection="1">
      <protection hidden="1"/>
    </xf>
    <xf numFmtId="0" fontId="60" fillId="6" borderId="10" xfId="0" applyFont="1" applyFill="1" applyBorder="1" applyAlignment="1" applyProtection="1">
      <alignment horizontal="center" wrapText="1"/>
      <protection hidden="1"/>
    </xf>
    <xf numFmtId="0" fontId="60" fillId="6" borderId="1" xfId="0" applyFont="1" applyFill="1" applyBorder="1" applyAlignment="1" applyProtection="1">
      <alignment horizontal="center" wrapText="1"/>
      <protection hidden="1"/>
    </xf>
    <xf numFmtId="0" fontId="60" fillId="6" borderId="9" xfId="0" applyFont="1" applyFill="1" applyBorder="1" applyAlignment="1" applyProtection="1">
      <alignment horizontal="center" wrapText="1"/>
      <protection hidden="1"/>
    </xf>
    <xf numFmtId="0" fontId="0" fillId="6" borderId="10" xfId="0" applyFill="1" applyBorder="1" applyProtection="1">
      <protection hidden="1"/>
    </xf>
    <xf numFmtId="0" fontId="0" fillId="6" borderId="1" xfId="0" applyFill="1" applyBorder="1" applyProtection="1">
      <protection hidden="1"/>
    </xf>
    <xf numFmtId="0" fontId="0" fillId="6" borderId="9" xfId="0" applyFill="1" applyBorder="1" applyProtection="1">
      <protection hidden="1"/>
    </xf>
    <xf numFmtId="1" fontId="12" fillId="6" borderId="1" xfId="0" applyNumberFormat="1" applyFont="1" applyFill="1" applyBorder="1" applyAlignment="1" applyProtection="1">
      <alignment horizontal="center"/>
      <protection hidden="1"/>
    </xf>
    <xf numFmtId="0" fontId="0" fillId="6" borderId="38" xfId="0" applyFill="1" applyBorder="1" applyProtection="1">
      <protection hidden="1"/>
    </xf>
    <xf numFmtId="0" fontId="0" fillId="6" borderId="39" xfId="0" applyFill="1" applyBorder="1" applyProtection="1">
      <protection hidden="1"/>
    </xf>
    <xf numFmtId="0" fontId="0" fillId="6" borderId="40" xfId="0" applyFill="1" applyBorder="1" applyProtection="1">
      <protection hidden="1"/>
    </xf>
    <xf numFmtId="0" fontId="60" fillId="0" borderId="35" xfId="0" applyFont="1" applyBorder="1" applyProtection="1">
      <protection hidden="1"/>
    </xf>
    <xf numFmtId="0" fontId="0" fillId="0" borderId="36" xfId="0" applyBorder="1" applyProtection="1">
      <protection hidden="1"/>
    </xf>
    <xf numFmtId="0" fontId="0" fillId="0" borderId="37" xfId="0" applyBorder="1" applyProtection="1">
      <protection hidden="1"/>
    </xf>
    <xf numFmtId="0" fontId="0" fillId="9" borderId="34" xfId="0" applyFill="1" applyBorder="1" applyProtection="1">
      <protection hidden="1"/>
    </xf>
    <xf numFmtId="0" fontId="0" fillId="9" borderId="29" xfId="0" applyFill="1" applyBorder="1" applyProtection="1">
      <protection hidden="1"/>
    </xf>
    <xf numFmtId="1" fontId="0" fillId="0" borderId="1" xfId="0" applyNumberFormat="1" applyBorder="1" applyAlignment="1" applyProtection="1">
      <alignment horizontal="center"/>
      <protection hidden="1"/>
    </xf>
    <xf numFmtId="0" fontId="0" fillId="9" borderId="38" xfId="0" applyFill="1" applyBorder="1" applyAlignment="1" applyProtection="1">
      <alignment horizontal="center"/>
      <protection hidden="1"/>
    </xf>
    <xf numFmtId="0" fontId="0" fillId="9" borderId="39" xfId="0" applyFill="1" applyBorder="1" applyAlignment="1" applyProtection="1">
      <alignment horizontal="center"/>
      <protection hidden="1"/>
    </xf>
    <xf numFmtId="0" fontId="0" fillId="9" borderId="40" xfId="0" applyFill="1" applyBorder="1" applyAlignment="1" applyProtection="1">
      <alignment horizontal="center"/>
      <protection hidden="1"/>
    </xf>
    <xf numFmtId="0" fontId="0" fillId="9" borderId="34" xfId="0" applyFill="1" applyBorder="1" applyAlignment="1" applyProtection="1">
      <alignment horizontal="center"/>
      <protection hidden="1"/>
    </xf>
    <xf numFmtId="0" fontId="0" fillId="9" borderId="0" xfId="0" applyFill="1" applyAlignment="1" applyProtection="1">
      <alignment horizontal="center"/>
      <protection hidden="1"/>
    </xf>
    <xf numFmtId="0" fontId="60" fillId="9" borderId="1" xfId="0" applyFont="1" applyFill="1" applyBorder="1" applyAlignment="1" applyProtection="1">
      <alignment horizontal="center" wrapText="1"/>
      <protection hidden="1"/>
    </xf>
    <xf numFmtId="0" fontId="60" fillId="9" borderId="9" xfId="0" applyFont="1" applyFill="1" applyBorder="1" applyAlignment="1" applyProtection="1">
      <alignment horizontal="center" wrapText="1"/>
      <protection hidden="1"/>
    </xf>
    <xf numFmtId="0" fontId="0" fillId="0" borderId="29" xfId="0" applyBorder="1" applyAlignment="1" applyProtection="1">
      <alignment horizontal="center"/>
      <protection hidden="1"/>
    </xf>
    <xf numFmtId="1" fontId="0" fillId="0" borderId="9" xfId="0" applyNumberFormat="1" applyBorder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1" fontId="0" fillId="0" borderId="29" xfId="0" applyNumberFormat="1" applyBorder="1" applyAlignment="1" applyProtection="1">
      <alignment horizontal="center"/>
      <protection hidden="1"/>
    </xf>
    <xf numFmtId="1" fontId="3" fillId="0" borderId="1" xfId="0" applyNumberFormat="1" applyFont="1" applyBorder="1" applyAlignment="1" applyProtection="1">
      <alignment horizontal="center"/>
      <protection hidden="1"/>
    </xf>
    <xf numFmtId="1" fontId="3" fillId="0" borderId="9" xfId="0" applyNumberFormat="1" applyFont="1" applyBorder="1" applyAlignment="1" applyProtection="1">
      <alignment horizontal="center"/>
      <protection hidden="1"/>
    </xf>
    <xf numFmtId="0" fontId="0" fillId="0" borderId="38" xfId="0" applyBorder="1" applyProtection="1">
      <protection hidden="1"/>
    </xf>
    <xf numFmtId="0" fontId="0" fillId="0" borderId="39" xfId="0" applyBorder="1" applyProtection="1">
      <protection hidden="1"/>
    </xf>
    <xf numFmtId="0" fontId="0" fillId="0" borderId="40" xfId="0" applyBorder="1" applyProtection="1">
      <protection hidden="1"/>
    </xf>
    <xf numFmtId="1" fontId="12" fillId="11" borderId="30" xfId="0" applyNumberFormat="1" applyFont="1" applyFill="1" applyBorder="1" applyAlignment="1" applyProtection="1">
      <alignment horizontal="center"/>
      <protection hidden="1"/>
    </xf>
    <xf numFmtId="1" fontId="12" fillId="11" borderId="41" xfId="0" applyNumberFormat="1" applyFont="1" applyFill="1" applyBorder="1" applyAlignment="1" applyProtection="1">
      <alignment horizontal="center"/>
      <protection hidden="1"/>
    </xf>
    <xf numFmtId="1" fontId="12" fillId="11" borderId="42" xfId="0" applyNumberFormat="1" applyFont="1" applyFill="1" applyBorder="1" applyAlignment="1" applyProtection="1">
      <alignment horizontal="center"/>
      <protection hidden="1"/>
    </xf>
    <xf numFmtId="0" fontId="0" fillId="11" borderId="40" xfId="0" applyFill="1" applyBorder="1" applyProtection="1">
      <protection hidden="1"/>
    </xf>
    <xf numFmtId="0" fontId="0" fillId="9" borderId="39" xfId="0" applyFill="1" applyBorder="1" applyProtection="1">
      <protection hidden="1"/>
    </xf>
    <xf numFmtId="0" fontId="0" fillId="9" borderId="40" xfId="0" applyFill="1" applyBorder="1" applyProtection="1">
      <protection hidden="1"/>
    </xf>
    <xf numFmtId="0" fontId="12" fillId="10" borderId="1" xfId="0" applyFont="1" applyFill="1" applyBorder="1" applyAlignment="1" applyProtection="1">
      <alignment horizontal="center"/>
      <protection hidden="1"/>
    </xf>
    <xf numFmtId="0" fontId="12" fillId="6" borderId="1" xfId="0" applyFont="1" applyFill="1" applyBorder="1" applyAlignment="1" applyProtection="1">
      <alignment horizontal="center"/>
      <protection hidden="1"/>
    </xf>
    <xf numFmtId="0" fontId="12" fillId="9" borderId="1" xfId="0" applyFont="1" applyFill="1" applyBorder="1" applyAlignment="1" applyProtection="1">
      <alignment horizontal="center"/>
      <protection hidden="1"/>
    </xf>
    <xf numFmtId="0" fontId="64" fillId="0" borderId="0" xfId="0" applyFont="1" applyProtection="1">
      <protection hidden="1"/>
    </xf>
    <xf numFmtId="0" fontId="65" fillId="0" borderId="35" xfId="0" applyFont="1" applyBorder="1" applyProtection="1">
      <protection hidden="1"/>
    </xf>
    <xf numFmtId="0" fontId="65" fillId="0" borderId="36" xfId="0" applyFont="1" applyBorder="1" applyProtection="1">
      <protection hidden="1"/>
    </xf>
    <xf numFmtId="0" fontId="0" fillId="0" borderId="43" xfId="0" applyBorder="1" applyProtection="1">
      <protection hidden="1"/>
    </xf>
    <xf numFmtId="0" fontId="65" fillId="0" borderId="44" xfId="0" applyFont="1" applyBorder="1" applyProtection="1">
      <protection hidden="1"/>
    </xf>
    <xf numFmtId="0" fontId="65" fillId="0" borderId="3" xfId="0" applyFont="1" applyBorder="1" applyProtection="1">
      <protection hidden="1"/>
    </xf>
    <xf numFmtId="0" fontId="60" fillId="9" borderId="31" xfId="0" applyFont="1" applyFill="1" applyBorder="1" applyAlignment="1" applyProtection="1">
      <alignment horizontal="center" wrapText="1"/>
      <protection hidden="1"/>
    </xf>
    <xf numFmtId="0" fontId="60" fillId="9" borderId="45" xfId="0" applyFont="1" applyFill="1" applyBorder="1" applyAlignment="1" applyProtection="1">
      <alignment horizontal="center" wrapText="1"/>
      <protection hidden="1"/>
    </xf>
    <xf numFmtId="0" fontId="3" fillId="0" borderId="34" xfId="0" applyFont="1" applyBorder="1" applyProtection="1">
      <protection hidden="1"/>
    </xf>
    <xf numFmtId="1" fontId="12" fillId="0" borderId="1" xfId="0" applyNumberFormat="1" applyFont="1" applyBorder="1" applyAlignment="1" applyProtection="1">
      <alignment horizontal="center"/>
      <protection hidden="1"/>
    </xf>
    <xf numFmtId="1" fontId="12" fillId="3" borderId="30" xfId="0" applyNumberFormat="1" applyFont="1" applyFill="1" applyBorder="1" applyAlignment="1" applyProtection="1">
      <alignment horizontal="center"/>
      <protection hidden="1"/>
    </xf>
    <xf numFmtId="0" fontId="3" fillId="0" borderId="35" xfId="0" applyFont="1" applyBorder="1" applyProtection="1">
      <protection hidden="1"/>
    </xf>
    <xf numFmtId="0" fontId="3" fillId="0" borderId="36" xfId="0" applyFont="1" applyBorder="1" applyProtection="1">
      <protection hidden="1"/>
    </xf>
    <xf numFmtId="0" fontId="60" fillId="0" borderId="36" xfId="0" applyFont="1" applyBorder="1" applyProtection="1">
      <protection hidden="1"/>
    </xf>
    <xf numFmtId="1" fontId="12" fillId="11" borderId="46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47" xfId="0" applyBorder="1" applyAlignment="1">
      <alignment vertical="top" wrapText="1"/>
    </xf>
    <xf numFmtId="0" fontId="0" fillId="0" borderId="48" xfId="0" applyBorder="1" applyAlignment="1">
      <alignment vertical="top" wrapText="1"/>
    </xf>
    <xf numFmtId="0" fontId="0" fillId="0" borderId="49" xfId="0" applyBorder="1" applyAlignment="1">
      <alignment vertical="top" wrapText="1"/>
    </xf>
    <xf numFmtId="0" fontId="0" fillId="0" borderId="50" xfId="0" applyBorder="1" applyAlignment="1">
      <alignment vertical="top" wrapText="1"/>
    </xf>
    <xf numFmtId="0" fontId="0" fillId="0" borderId="51" xfId="0" applyBorder="1" applyAlignment="1">
      <alignment vertical="top" wrapText="1"/>
    </xf>
    <xf numFmtId="0" fontId="0" fillId="0" borderId="52" xfId="0" applyBorder="1" applyAlignment="1">
      <alignment vertical="top" wrapText="1"/>
    </xf>
    <xf numFmtId="0" fontId="0" fillId="0" borderId="53" xfId="0" applyBorder="1" applyAlignment="1">
      <alignment vertical="top" wrapText="1"/>
    </xf>
    <xf numFmtId="0" fontId="0" fillId="0" borderId="48" xfId="0" applyBorder="1" applyAlignment="1">
      <alignment horizontal="center" vertical="top" wrapText="1"/>
    </xf>
    <xf numFmtId="0" fontId="0" fillId="0" borderId="54" xfId="0" applyBorder="1" applyAlignment="1">
      <alignment horizontal="center" vertical="top" wrapText="1"/>
    </xf>
    <xf numFmtId="0" fontId="2" fillId="0" borderId="0" xfId="1" quotePrefix="1" applyAlignment="1" applyProtection="1">
      <alignment horizontal="center" vertical="top" wrapText="1"/>
    </xf>
    <xf numFmtId="0" fontId="0" fillId="0" borderId="55" xfId="0" applyBorder="1" applyAlignment="1">
      <alignment horizontal="center" vertical="top" wrapText="1"/>
    </xf>
    <xf numFmtId="0" fontId="0" fillId="0" borderId="51" xfId="0" applyBorder="1" applyAlignment="1">
      <alignment horizontal="center" vertical="top" wrapText="1"/>
    </xf>
    <xf numFmtId="0" fontId="0" fillId="0" borderId="56" xfId="0" applyBorder="1" applyAlignment="1">
      <alignment horizontal="center" vertical="top" wrapText="1"/>
    </xf>
    <xf numFmtId="0" fontId="0" fillId="0" borderId="53" xfId="0" applyBorder="1" applyAlignment="1">
      <alignment horizontal="center" vertical="top" wrapText="1"/>
    </xf>
    <xf numFmtId="0" fontId="0" fillId="0" borderId="57" xfId="0" applyBorder="1" applyAlignment="1">
      <alignment horizontal="center" vertical="top" wrapText="1"/>
    </xf>
    <xf numFmtId="0" fontId="66" fillId="12" borderId="1" xfId="0" applyFont="1" applyFill="1" applyBorder="1" applyAlignment="1">
      <alignment horizontal="center" vertical="top" wrapText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/>
    <xf numFmtId="0" fontId="3" fillId="0" borderId="58" xfId="0" applyFont="1" applyBorder="1"/>
    <xf numFmtId="0" fontId="0" fillId="0" borderId="34" xfId="0" applyBorder="1"/>
    <xf numFmtId="0" fontId="0" fillId="0" borderId="29" xfId="0" applyBorder="1"/>
    <xf numFmtId="1" fontId="0" fillId="0" borderId="28" xfId="0" applyNumberFormat="1" applyBorder="1"/>
    <xf numFmtId="2" fontId="0" fillId="0" borderId="1" xfId="0" applyNumberFormat="1" applyBorder="1"/>
    <xf numFmtId="0" fontId="0" fillId="0" borderId="0" xfId="0" applyAlignment="1">
      <alignment horizontal="center"/>
    </xf>
    <xf numFmtId="0" fontId="3" fillId="13" borderId="1" xfId="0" applyFont="1" applyFill="1" applyBorder="1" applyAlignment="1" applyProtection="1">
      <alignment horizontal="center" vertical="center" wrapText="1"/>
      <protection hidden="1"/>
    </xf>
    <xf numFmtId="171" fontId="0" fillId="0" borderId="0" xfId="12" applyNumberFormat="1" applyFont="1"/>
    <xf numFmtId="0" fontId="0" fillId="0" borderId="7" xfId="0" applyBorder="1"/>
    <xf numFmtId="0" fontId="0" fillId="14" borderId="34" xfId="0" applyFill="1" applyBorder="1" applyProtection="1">
      <protection hidden="1"/>
    </xf>
    <xf numFmtId="0" fontId="0" fillId="6" borderId="61" xfId="0" applyFill="1" applyBorder="1" applyProtection="1">
      <protection hidden="1"/>
    </xf>
    <xf numFmtId="0" fontId="0" fillId="6" borderId="30" xfId="0" applyFill="1" applyBorder="1" applyProtection="1">
      <protection hidden="1"/>
    </xf>
    <xf numFmtId="1" fontId="12" fillId="6" borderId="30" xfId="0" applyNumberFormat="1" applyFont="1" applyFill="1" applyBorder="1" applyAlignment="1" applyProtection="1">
      <alignment horizontal="center"/>
      <protection hidden="1"/>
    </xf>
    <xf numFmtId="1" fontId="12" fillId="6" borderId="0" xfId="0" applyNumberFormat="1" applyFont="1" applyFill="1" applyAlignment="1" applyProtection="1">
      <alignment horizontal="center"/>
      <protection hidden="1"/>
    </xf>
    <xf numFmtId="1" fontId="12" fillId="6" borderId="60" xfId="0" applyNumberFormat="1" applyFont="1" applyFill="1" applyBorder="1" applyAlignment="1" applyProtection="1">
      <alignment horizontal="center"/>
      <protection hidden="1"/>
    </xf>
    <xf numFmtId="1" fontId="12" fillId="6" borderId="5" xfId="0" applyNumberFormat="1" applyFont="1" applyFill="1" applyBorder="1" applyAlignment="1" applyProtection="1">
      <alignment horizontal="center"/>
      <protection hidden="1"/>
    </xf>
    <xf numFmtId="0" fontId="60" fillId="9" borderId="62" xfId="0" applyFont="1" applyFill="1" applyBorder="1" applyAlignment="1" applyProtection="1">
      <alignment horizontal="center" wrapText="1"/>
      <protection hidden="1"/>
    </xf>
    <xf numFmtId="1" fontId="12" fillId="15" borderId="1" xfId="0" applyNumberFormat="1" applyFont="1" applyFill="1" applyBorder="1" applyAlignment="1" applyProtection="1">
      <alignment horizontal="center"/>
      <protection hidden="1"/>
    </xf>
    <xf numFmtId="1" fontId="47" fillId="9" borderId="7" xfId="0" applyNumberFormat="1" applyFont="1" applyFill="1" applyBorder="1" applyAlignment="1" applyProtection="1">
      <alignment horizontal="center"/>
      <protection hidden="1"/>
    </xf>
    <xf numFmtId="1" fontId="5" fillId="9" borderId="1" xfId="0" applyNumberFormat="1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hidden="1"/>
    </xf>
    <xf numFmtId="0" fontId="60" fillId="9" borderId="0" xfId="0" applyFont="1" applyFill="1" applyAlignment="1" applyProtection="1">
      <alignment horizontal="center" wrapText="1"/>
      <protection hidden="1"/>
    </xf>
    <xf numFmtId="1" fontId="12" fillId="0" borderId="0" xfId="0" applyNumberFormat="1" applyFont="1" applyAlignment="1" applyProtection="1">
      <alignment horizontal="center"/>
      <protection hidden="1"/>
    </xf>
    <xf numFmtId="0" fontId="60" fillId="9" borderId="29" xfId="0" applyFont="1" applyFill="1" applyBorder="1" applyAlignment="1" applyProtection="1">
      <alignment horizontal="center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60" fillId="0" borderId="4" xfId="0" applyFont="1" applyBorder="1" applyProtection="1">
      <protection hidden="1"/>
    </xf>
    <xf numFmtId="1" fontId="12" fillId="9" borderId="0" xfId="0" applyNumberFormat="1" applyFont="1" applyFill="1" applyAlignment="1" applyProtection="1">
      <alignment horizontal="center"/>
      <protection hidden="1"/>
    </xf>
    <xf numFmtId="1" fontId="12" fillId="10" borderId="18" xfId="0" applyNumberFormat="1" applyFont="1" applyFill="1" applyBorder="1" applyAlignment="1" applyProtection="1">
      <alignment horizontal="center"/>
      <protection hidden="1"/>
    </xf>
    <xf numFmtId="1" fontId="12" fillId="10" borderId="9" xfId="0" applyNumberFormat="1" applyFont="1" applyFill="1" applyBorder="1" applyAlignment="1" applyProtection="1">
      <alignment horizontal="center"/>
      <protection hidden="1"/>
    </xf>
    <xf numFmtId="1" fontId="60" fillId="0" borderId="1" xfId="0" applyNumberFormat="1" applyFont="1" applyBorder="1" applyAlignment="1" applyProtection="1">
      <alignment horizontal="center"/>
      <protection hidden="1"/>
    </xf>
    <xf numFmtId="0" fontId="60" fillId="0" borderId="1" xfId="0" applyFont="1" applyBorder="1" applyAlignment="1" applyProtection="1">
      <alignment horizontal="center"/>
      <protection hidden="1"/>
    </xf>
    <xf numFmtId="168" fontId="47" fillId="0" borderId="0" xfId="0" applyNumberFormat="1" applyFont="1" applyProtection="1">
      <protection hidden="1"/>
    </xf>
    <xf numFmtId="1" fontId="0" fillId="24" borderId="1" xfId="0" applyNumberFormat="1" applyFill="1" applyBorder="1"/>
    <xf numFmtId="1" fontId="12" fillId="25" borderId="30" xfId="0" applyNumberFormat="1" applyFont="1" applyFill="1" applyBorder="1" applyAlignment="1" applyProtection="1">
      <alignment horizontal="center"/>
      <protection hidden="1"/>
    </xf>
    <xf numFmtId="1" fontId="12" fillId="0" borderId="9" xfId="0" applyNumberFormat="1" applyFont="1" applyBorder="1" applyAlignment="1" applyProtection="1">
      <alignment horizontal="center"/>
      <protection hidden="1"/>
    </xf>
    <xf numFmtId="1" fontId="12" fillId="3" borderId="32" xfId="0" applyNumberFormat="1" applyFont="1" applyFill="1" applyBorder="1" applyAlignment="1" applyProtection="1">
      <alignment horizontal="center"/>
      <protection hidden="1"/>
    </xf>
    <xf numFmtId="1" fontId="12" fillId="25" borderId="39" xfId="0" applyNumberFormat="1" applyFont="1" applyFill="1" applyBorder="1" applyAlignment="1" applyProtection="1">
      <alignment horizontal="center"/>
      <protection hidden="1"/>
    </xf>
    <xf numFmtId="1" fontId="12" fillId="25" borderId="40" xfId="0" applyNumberFormat="1" applyFont="1" applyFill="1" applyBorder="1" applyAlignment="1" applyProtection="1">
      <alignment horizontal="center"/>
      <protection hidden="1"/>
    </xf>
    <xf numFmtId="0" fontId="71" fillId="26" borderId="63" xfId="0" applyFont="1" applyFill="1" applyBorder="1" applyAlignment="1" applyProtection="1">
      <alignment vertical="center" textRotation="90"/>
      <protection hidden="1"/>
    </xf>
    <xf numFmtId="2" fontId="12" fillId="27" borderId="1" xfId="0" applyNumberFormat="1" applyFont="1" applyFill="1" applyBorder="1" applyProtection="1">
      <protection hidden="1"/>
    </xf>
    <xf numFmtId="0" fontId="71" fillId="29" borderId="35" xfId="0" applyFont="1" applyFill="1" applyBorder="1" applyAlignment="1" applyProtection="1">
      <alignment vertical="center" textRotation="90"/>
      <protection hidden="1"/>
    </xf>
    <xf numFmtId="0" fontId="122" fillId="0" borderId="0" xfId="0" applyFont="1" applyProtection="1">
      <protection hidden="1"/>
    </xf>
    <xf numFmtId="0" fontId="0" fillId="0" borderId="59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0" fillId="0" borderId="45" xfId="0" applyBorder="1" applyAlignment="1" applyProtection="1">
      <alignment horizontal="center"/>
      <protection hidden="1"/>
    </xf>
    <xf numFmtId="167" fontId="0" fillId="0" borderId="61" xfId="0" applyNumberFormat="1" applyBorder="1" applyAlignment="1" applyProtection="1">
      <alignment horizontal="center"/>
      <protection hidden="1"/>
    </xf>
    <xf numFmtId="167" fontId="0" fillId="0" borderId="30" xfId="0" applyNumberFormat="1" applyBorder="1" applyAlignment="1" applyProtection="1">
      <alignment horizontal="center"/>
      <protection hidden="1"/>
    </xf>
    <xf numFmtId="167" fontId="0" fillId="0" borderId="32" xfId="0" applyNumberFormat="1" applyBorder="1" applyAlignment="1" applyProtection="1">
      <alignment horizontal="center"/>
      <protection hidden="1"/>
    </xf>
    <xf numFmtId="0" fontId="0" fillId="0" borderId="63" xfId="0" applyBorder="1" applyProtection="1">
      <protection hidden="1"/>
    </xf>
    <xf numFmtId="1" fontId="12" fillId="0" borderId="46" xfId="0" applyNumberFormat="1" applyFont="1" applyBorder="1" applyAlignment="1" applyProtection="1">
      <alignment horizontal="center"/>
      <protection hidden="1"/>
    </xf>
    <xf numFmtId="1" fontId="12" fillId="0" borderId="64" xfId="0" applyNumberFormat="1" applyFont="1" applyBorder="1" applyAlignment="1" applyProtection="1">
      <alignment horizontal="center"/>
      <protection hidden="1"/>
    </xf>
    <xf numFmtId="0" fontId="21" fillId="0" borderId="0" xfId="0" applyFont="1" applyAlignment="1">
      <alignment vertical="center" wrapText="1"/>
    </xf>
    <xf numFmtId="0" fontId="94" fillId="0" borderId="1" xfId="0" applyFont="1" applyBorder="1" applyAlignment="1" applyProtection="1">
      <alignment horizontal="center" vertical="top" wrapText="1"/>
      <protection hidden="1"/>
    </xf>
    <xf numFmtId="0" fontId="94" fillId="0" borderId="62" xfId="0" applyFont="1" applyBorder="1" applyAlignment="1" applyProtection="1">
      <alignment horizontal="center" vertical="top" wrapText="1"/>
      <protection hidden="1"/>
    </xf>
    <xf numFmtId="1" fontId="156" fillId="27" borderId="1" xfId="0" applyNumberFormat="1" applyFont="1" applyFill="1" applyBorder="1" applyAlignment="1" applyProtection="1">
      <alignment vertical="center" wrapText="1" readingOrder="1"/>
      <protection hidden="1"/>
    </xf>
    <xf numFmtId="1" fontId="156" fillId="24" borderId="1" xfId="0" applyNumberFormat="1" applyFont="1" applyFill="1" applyBorder="1" applyAlignment="1" applyProtection="1">
      <alignment vertical="center" wrapText="1" readingOrder="1"/>
      <protection hidden="1"/>
    </xf>
    <xf numFmtId="0" fontId="94" fillId="0" borderId="9" xfId="0" applyFont="1" applyBorder="1" applyAlignment="1" applyProtection="1">
      <alignment horizontal="center" vertical="top" wrapText="1"/>
      <protection hidden="1"/>
    </xf>
    <xf numFmtId="1" fontId="156" fillId="27" borderId="9" xfId="0" applyNumberFormat="1" applyFont="1" applyFill="1" applyBorder="1" applyAlignment="1" applyProtection="1">
      <alignment vertical="center" wrapText="1" readingOrder="1"/>
      <protection hidden="1"/>
    </xf>
    <xf numFmtId="1" fontId="157" fillId="25" borderId="30" xfId="0" applyNumberFormat="1" applyFont="1" applyFill="1" applyBorder="1" applyAlignment="1" applyProtection="1">
      <alignment horizontal="center" vertical="center" wrapText="1" readingOrder="1"/>
      <protection hidden="1"/>
    </xf>
    <xf numFmtId="1" fontId="157" fillId="25" borderId="32" xfId="0" applyNumberFormat="1" applyFont="1" applyFill="1" applyBorder="1" applyAlignment="1" applyProtection="1">
      <alignment horizontal="center" vertical="center" wrapText="1" readingOrder="1"/>
      <protection hidden="1"/>
    </xf>
    <xf numFmtId="0" fontId="158" fillId="0" borderId="24" xfId="0" applyFont="1" applyBorder="1" applyAlignment="1" applyProtection="1">
      <alignment wrapText="1"/>
      <protection hidden="1"/>
    </xf>
    <xf numFmtId="0" fontId="159" fillId="0" borderId="0" xfId="0" applyFont="1" applyProtection="1">
      <protection hidden="1"/>
    </xf>
    <xf numFmtId="0" fontId="160" fillId="0" borderId="33" xfId="0" applyFont="1" applyBorder="1" applyProtection="1">
      <protection hidden="1"/>
    </xf>
    <xf numFmtId="0" fontId="0" fillId="0" borderId="33" xfId="0" applyBorder="1" applyAlignment="1" applyProtection="1">
      <alignment horizontal="center"/>
      <protection hidden="1"/>
    </xf>
    <xf numFmtId="0" fontId="161" fillId="0" borderId="33" xfId="0" applyFont="1" applyBorder="1" applyProtection="1">
      <protection hidden="1"/>
    </xf>
    <xf numFmtId="0" fontId="161" fillId="31" borderId="65" xfId="0" applyFont="1" applyFill="1" applyBorder="1" applyProtection="1">
      <protection hidden="1"/>
    </xf>
    <xf numFmtId="0" fontId="0" fillId="31" borderId="66" xfId="0" applyFill="1" applyBorder="1" applyAlignment="1" applyProtection="1">
      <alignment horizontal="center"/>
      <protection hidden="1"/>
    </xf>
    <xf numFmtId="0" fontId="161" fillId="31" borderId="28" xfId="0" applyFont="1" applyFill="1" applyBorder="1" applyProtection="1">
      <protection hidden="1"/>
    </xf>
    <xf numFmtId="0" fontId="0" fillId="31" borderId="62" xfId="0" applyFill="1" applyBorder="1" applyAlignment="1" applyProtection="1">
      <alignment horizontal="center"/>
      <protection hidden="1"/>
    </xf>
    <xf numFmtId="0" fontId="161" fillId="31" borderId="67" xfId="0" applyFont="1" applyFill="1" applyBorder="1" applyProtection="1">
      <protection hidden="1"/>
    </xf>
    <xf numFmtId="0" fontId="0" fillId="31" borderId="68" xfId="0" applyFill="1" applyBorder="1" applyAlignment="1" applyProtection="1">
      <alignment horizontal="center"/>
      <protection hidden="1"/>
    </xf>
    <xf numFmtId="0" fontId="161" fillId="32" borderId="14" xfId="0" applyFont="1" applyFill="1" applyBorder="1" applyProtection="1">
      <protection hidden="1"/>
    </xf>
    <xf numFmtId="0" fontId="0" fillId="32" borderId="13" xfId="0" applyFill="1" applyBorder="1" applyAlignment="1" applyProtection="1">
      <alignment horizontal="center"/>
      <protection hidden="1"/>
    </xf>
    <xf numFmtId="1" fontId="162" fillId="24" borderId="1" xfId="0" applyNumberFormat="1" applyFont="1" applyFill="1" applyBorder="1" applyProtection="1">
      <protection locked="0"/>
    </xf>
    <xf numFmtId="0" fontId="161" fillId="32" borderId="18" xfId="0" applyFont="1" applyFill="1" applyBorder="1" applyProtection="1">
      <protection hidden="1"/>
    </xf>
    <xf numFmtId="0" fontId="0" fillId="32" borderId="17" xfId="0" applyFill="1" applyBorder="1" applyAlignment="1" applyProtection="1">
      <alignment horizontal="center"/>
      <protection hidden="1"/>
    </xf>
    <xf numFmtId="0" fontId="17" fillId="33" borderId="22" xfId="0" applyFont="1" applyFill="1" applyBorder="1" applyProtection="1">
      <protection hidden="1"/>
    </xf>
    <xf numFmtId="0" fontId="0" fillId="33" borderId="17" xfId="0" applyFill="1" applyBorder="1" applyAlignment="1" applyProtection="1">
      <alignment horizontal="center"/>
      <protection hidden="1"/>
    </xf>
    <xf numFmtId="1" fontId="162" fillId="0" borderId="1" xfId="0" applyNumberFormat="1" applyFont="1" applyBorder="1" applyProtection="1">
      <protection hidden="1"/>
    </xf>
    <xf numFmtId="0" fontId="0" fillId="33" borderId="21" xfId="0" applyFill="1" applyBorder="1" applyAlignment="1" applyProtection="1">
      <alignment horizontal="center"/>
      <protection hidden="1"/>
    </xf>
    <xf numFmtId="0" fontId="161" fillId="34" borderId="14" xfId="0" applyFont="1" applyFill="1" applyBorder="1" applyProtection="1">
      <protection hidden="1"/>
    </xf>
    <xf numFmtId="0" fontId="0" fillId="34" borderId="13" xfId="0" applyFill="1" applyBorder="1" applyAlignment="1" applyProtection="1">
      <alignment horizontal="center"/>
      <protection hidden="1"/>
    </xf>
    <xf numFmtId="0" fontId="162" fillId="24" borderId="1" xfId="0" applyFont="1" applyFill="1" applyBorder="1" applyProtection="1">
      <protection hidden="1"/>
    </xf>
    <xf numFmtId="0" fontId="161" fillId="34" borderId="18" xfId="0" applyFont="1" applyFill="1" applyBorder="1" applyProtection="1">
      <protection hidden="1"/>
    </xf>
    <xf numFmtId="0" fontId="0" fillId="34" borderId="17" xfId="0" applyFill="1" applyBorder="1" applyAlignment="1" applyProtection="1">
      <alignment horizontal="center"/>
      <protection hidden="1"/>
    </xf>
    <xf numFmtId="0" fontId="17" fillId="34" borderId="22" xfId="0" applyFont="1" applyFill="1" applyBorder="1" applyProtection="1">
      <protection hidden="1"/>
    </xf>
    <xf numFmtId="0" fontId="0" fillId="34" borderId="21" xfId="0" applyFill="1" applyBorder="1" applyAlignment="1" applyProtection="1">
      <alignment horizontal="center"/>
      <protection hidden="1"/>
    </xf>
    <xf numFmtId="0" fontId="161" fillId="35" borderId="14" xfId="0" applyFont="1" applyFill="1" applyBorder="1" applyProtection="1">
      <protection hidden="1"/>
    </xf>
    <xf numFmtId="0" fontId="0" fillId="35" borderId="13" xfId="0" applyFill="1" applyBorder="1" applyAlignment="1" applyProtection="1">
      <alignment horizontal="center"/>
      <protection hidden="1"/>
    </xf>
    <xf numFmtId="0" fontId="161" fillId="35" borderId="18" xfId="0" applyFont="1" applyFill="1" applyBorder="1" applyProtection="1">
      <protection hidden="1"/>
    </xf>
    <xf numFmtId="0" fontId="0" fillId="35" borderId="17" xfId="0" applyFill="1" applyBorder="1" applyAlignment="1" applyProtection="1">
      <alignment horizontal="center"/>
      <protection hidden="1"/>
    </xf>
    <xf numFmtId="0" fontId="161" fillId="36" borderId="22" xfId="0" applyFont="1" applyFill="1" applyBorder="1" applyProtection="1">
      <protection hidden="1"/>
    </xf>
    <xf numFmtId="0" fontId="0" fillId="36" borderId="17" xfId="0" applyFill="1" applyBorder="1" applyAlignment="1" applyProtection="1">
      <alignment horizontal="center"/>
      <protection hidden="1"/>
    </xf>
    <xf numFmtId="0" fontId="163" fillId="36" borderId="22" xfId="0" applyFont="1" applyFill="1" applyBorder="1" applyProtection="1">
      <protection hidden="1"/>
    </xf>
    <xf numFmtId="0" fontId="0" fillId="36" borderId="21" xfId="0" applyFill="1" applyBorder="1" applyAlignment="1" applyProtection="1">
      <alignment horizontal="center"/>
      <protection hidden="1"/>
    </xf>
    <xf numFmtId="1" fontId="162" fillId="0" borderId="62" xfId="0" applyNumberFormat="1" applyFont="1" applyBorder="1" applyProtection="1">
      <protection hidden="1"/>
    </xf>
    <xf numFmtId="0" fontId="164" fillId="0" borderId="69" xfId="0" applyFont="1" applyBorder="1" applyProtection="1">
      <protection hidden="1"/>
    </xf>
    <xf numFmtId="0" fontId="164" fillId="0" borderId="46" xfId="0" applyFont="1" applyBorder="1" applyProtection="1">
      <protection hidden="1"/>
    </xf>
    <xf numFmtId="0" fontId="161" fillId="34" borderId="22" xfId="0" applyFont="1" applyFill="1" applyBorder="1" applyProtection="1">
      <protection hidden="1"/>
    </xf>
    <xf numFmtId="0" fontId="163" fillId="34" borderId="22" xfId="0" applyFont="1" applyFill="1" applyBorder="1" applyProtection="1">
      <protection hidden="1"/>
    </xf>
    <xf numFmtId="0" fontId="17" fillId="37" borderId="65" xfId="0" applyFont="1" applyFill="1" applyBorder="1" applyProtection="1">
      <protection hidden="1"/>
    </xf>
    <xf numFmtId="0" fontId="0" fillId="37" borderId="66" xfId="0" applyFill="1" applyBorder="1" applyAlignment="1" applyProtection="1">
      <alignment horizontal="center"/>
      <protection hidden="1"/>
    </xf>
    <xf numFmtId="0" fontId="17" fillId="37" borderId="28" xfId="0" applyFont="1" applyFill="1" applyBorder="1" applyProtection="1">
      <protection hidden="1"/>
    </xf>
    <xf numFmtId="0" fontId="0" fillId="37" borderId="62" xfId="0" applyFill="1" applyBorder="1" applyAlignment="1" applyProtection="1">
      <alignment horizontal="center"/>
      <protection hidden="1"/>
    </xf>
    <xf numFmtId="0" fontId="17" fillId="37" borderId="67" xfId="0" applyFont="1" applyFill="1" applyBorder="1" applyProtection="1">
      <protection hidden="1"/>
    </xf>
    <xf numFmtId="0" fontId="0" fillId="37" borderId="68" xfId="0" applyFill="1" applyBorder="1" applyAlignment="1" applyProtection="1">
      <alignment horizontal="center"/>
      <protection hidden="1"/>
    </xf>
    <xf numFmtId="0" fontId="162" fillId="0" borderId="62" xfId="0" applyFont="1" applyBorder="1" applyProtection="1">
      <protection hidden="1"/>
    </xf>
    <xf numFmtId="0" fontId="17" fillId="34" borderId="65" xfId="0" applyFont="1" applyFill="1" applyBorder="1" applyProtection="1">
      <protection hidden="1"/>
    </xf>
    <xf numFmtId="0" fontId="0" fillId="34" borderId="66" xfId="0" applyFill="1" applyBorder="1" applyAlignment="1" applyProtection="1">
      <alignment horizontal="center"/>
      <protection hidden="1"/>
    </xf>
    <xf numFmtId="0" fontId="17" fillId="34" borderId="28" xfId="0" applyFont="1" applyFill="1" applyBorder="1" applyProtection="1">
      <protection hidden="1"/>
    </xf>
    <xf numFmtId="0" fontId="0" fillId="34" borderId="62" xfId="0" applyFill="1" applyBorder="1" applyAlignment="1" applyProtection="1">
      <alignment horizontal="center"/>
      <protection hidden="1"/>
    </xf>
    <xf numFmtId="0" fontId="17" fillId="34" borderId="67" xfId="0" applyFont="1" applyFill="1" applyBorder="1" applyProtection="1">
      <protection hidden="1"/>
    </xf>
    <xf numFmtId="0" fontId="0" fillId="34" borderId="68" xfId="0" applyFill="1" applyBorder="1" applyAlignment="1" applyProtection="1">
      <alignment horizontal="center"/>
      <protection hidden="1"/>
    </xf>
    <xf numFmtId="0" fontId="17" fillId="38" borderId="65" xfId="0" applyFont="1" applyFill="1" applyBorder="1" applyProtection="1">
      <protection hidden="1"/>
    </xf>
    <xf numFmtId="0" fontId="165" fillId="38" borderId="66" xfId="0" applyFont="1" applyFill="1" applyBorder="1" applyAlignment="1" applyProtection="1">
      <alignment horizontal="center"/>
      <protection hidden="1"/>
    </xf>
    <xf numFmtId="0" fontId="17" fillId="38" borderId="28" xfId="0" applyFont="1" applyFill="1" applyBorder="1" applyProtection="1">
      <protection hidden="1"/>
    </xf>
    <xf numFmtId="0" fontId="165" fillId="38" borderId="62" xfId="0" applyFont="1" applyFill="1" applyBorder="1" applyAlignment="1" applyProtection="1">
      <alignment horizontal="center"/>
      <protection hidden="1"/>
    </xf>
    <xf numFmtId="0" fontId="17" fillId="38" borderId="67" xfId="0" applyFont="1" applyFill="1" applyBorder="1" applyProtection="1">
      <protection hidden="1"/>
    </xf>
    <xf numFmtId="0" fontId="165" fillId="38" borderId="68" xfId="0" applyFont="1" applyFill="1" applyBorder="1" applyAlignment="1" applyProtection="1">
      <alignment horizontal="center"/>
      <protection hidden="1"/>
    </xf>
    <xf numFmtId="0" fontId="17" fillId="39" borderId="65" xfId="0" applyFont="1" applyFill="1" applyBorder="1" applyProtection="1">
      <protection hidden="1"/>
    </xf>
    <xf numFmtId="0" fontId="165" fillId="39" borderId="66" xfId="0" applyFont="1" applyFill="1" applyBorder="1" applyAlignment="1" applyProtection="1">
      <alignment horizontal="center"/>
      <protection hidden="1"/>
    </xf>
    <xf numFmtId="0" fontId="162" fillId="0" borderId="1" xfId="0" applyFont="1" applyBorder="1" applyProtection="1">
      <protection hidden="1"/>
    </xf>
    <xf numFmtId="0" fontId="17" fillId="39" borderId="28" xfId="0" applyFont="1" applyFill="1" applyBorder="1" applyProtection="1">
      <protection hidden="1"/>
    </xf>
    <xf numFmtId="0" fontId="165" fillId="39" borderId="62" xfId="0" applyFont="1" applyFill="1" applyBorder="1" applyAlignment="1" applyProtection="1">
      <alignment horizontal="center"/>
      <protection hidden="1"/>
    </xf>
    <xf numFmtId="0" fontId="17" fillId="39" borderId="67" xfId="0" applyFont="1" applyFill="1" applyBorder="1" applyProtection="1">
      <protection hidden="1"/>
    </xf>
    <xf numFmtId="0" fontId="165" fillId="39" borderId="68" xfId="0" applyFont="1" applyFill="1" applyBorder="1" applyAlignment="1" applyProtection="1">
      <alignment horizontal="center"/>
      <protection hidden="1"/>
    </xf>
    <xf numFmtId="0" fontId="17" fillId="33" borderId="65" xfId="0" applyFont="1" applyFill="1" applyBorder="1" applyProtection="1">
      <protection hidden="1"/>
    </xf>
    <xf numFmtId="0" fontId="165" fillId="33" borderId="66" xfId="0" applyFont="1" applyFill="1" applyBorder="1" applyAlignment="1" applyProtection="1">
      <alignment horizontal="center"/>
      <protection hidden="1"/>
    </xf>
    <xf numFmtId="0" fontId="17" fillId="33" borderId="28" xfId="0" applyFont="1" applyFill="1" applyBorder="1" applyProtection="1">
      <protection hidden="1"/>
    </xf>
    <xf numFmtId="0" fontId="165" fillId="33" borderId="62" xfId="0" applyFont="1" applyFill="1" applyBorder="1" applyAlignment="1" applyProtection="1">
      <alignment horizontal="center"/>
      <protection hidden="1"/>
    </xf>
    <xf numFmtId="0" fontId="17" fillId="33" borderId="67" xfId="0" applyFont="1" applyFill="1" applyBorder="1" applyProtection="1">
      <protection hidden="1"/>
    </xf>
    <xf numFmtId="0" fontId="165" fillId="33" borderId="68" xfId="0" applyFont="1" applyFill="1" applyBorder="1" applyAlignment="1" applyProtection="1">
      <alignment horizontal="center"/>
      <protection hidden="1"/>
    </xf>
    <xf numFmtId="1" fontId="161" fillId="0" borderId="0" xfId="0" applyNumberFormat="1" applyFont="1" applyProtection="1">
      <protection hidden="1"/>
    </xf>
    <xf numFmtId="0" fontId="161" fillId="0" borderId="59" xfId="0" applyFont="1" applyBorder="1" applyProtection="1">
      <protection hidden="1"/>
    </xf>
    <xf numFmtId="0" fontId="165" fillId="40" borderId="62" xfId="0" applyFont="1" applyFill="1" applyBorder="1" applyAlignment="1" applyProtection="1">
      <alignment horizontal="center"/>
      <protection hidden="1"/>
    </xf>
    <xf numFmtId="1" fontId="161" fillId="0" borderId="1" xfId="0" applyNumberFormat="1" applyFont="1" applyBorder="1" applyProtection="1">
      <protection hidden="1"/>
    </xf>
    <xf numFmtId="0" fontId="161" fillId="0" borderId="10" xfId="0" applyFont="1" applyBorder="1" applyProtection="1">
      <protection hidden="1"/>
    </xf>
    <xf numFmtId="0" fontId="161" fillId="0" borderId="27" xfId="0" applyFont="1" applyBorder="1" applyProtection="1">
      <protection hidden="1"/>
    </xf>
    <xf numFmtId="1" fontId="161" fillId="0" borderId="31" xfId="0" applyNumberFormat="1" applyFont="1" applyBorder="1" applyProtection="1">
      <protection hidden="1"/>
    </xf>
    <xf numFmtId="0" fontId="162" fillId="0" borderId="61" xfId="0" applyFont="1" applyBorder="1" applyProtection="1">
      <protection hidden="1"/>
    </xf>
    <xf numFmtId="0" fontId="155" fillId="0" borderId="30" xfId="0" applyFont="1" applyBorder="1" applyAlignment="1" applyProtection="1">
      <alignment horizontal="center"/>
      <protection hidden="1"/>
    </xf>
    <xf numFmtId="1" fontId="162" fillId="0" borderId="30" xfId="0" applyNumberFormat="1" applyFont="1" applyBorder="1" applyProtection="1">
      <protection hidden="1"/>
    </xf>
    <xf numFmtId="0" fontId="161" fillId="0" borderId="0" xfId="0" applyFont="1" applyProtection="1">
      <protection hidden="1"/>
    </xf>
    <xf numFmtId="0" fontId="0" fillId="0" borderId="35" xfId="0" applyBorder="1" applyProtection="1">
      <protection hidden="1"/>
    </xf>
    <xf numFmtId="0" fontId="164" fillId="30" borderId="1" xfId="0" applyFont="1" applyFill="1" applyBorder="1" applyAlignment="1" applyProtection="1">
      <alignment horizontal="center"/>
      <protection hidden="1"/>
    </xf>
    <xf numFmtId="0" fontId="164" fillId="23" borderId="33" xfId="0" applyFont="1" applyFill="1" applyBorder="1" applyAlignment="1" applyProtection="1">
      <alignment horizontal="center"/>
      <protection hidden="1"/>
    </xf>
    <xf numFmtId="0" fontId="164" fillId="28" borderId="33" xfId="0" applyFont="1" applyFill="1" applyBorder="1" applyAlignment="1" applyProtection="1">
      <alignment horizontal="center"/>
      <protection hidden="1"/>
    </xf>
    <xf numFmtId="1" fontId="161" fillId="23" borderId="1" xfId="0" applyNumberFormat="1" applyFont="1" applyFill="1" applyBorder="1" applyProtection="1">
      <protection hidden="1"/>
    </xf>
    <xf numFmtId="1" fontId="161" fillId="28" borderId="1" xfId="0" applyNumberFormat="1" applyFont="1" applyFill="1" applyBorder="1" applyProtection="1">
      <protection hidden="1"/>
    </xf>
    <xf numFmtId="0" fontId="0" fillId="23" borderId="1" xfId="0" applyFill="1" applyBorder="1" applyProtection="1">
      <protection hidden="1"/>
    </xf>
    <xf numFmtId="0" fontId="0" fillId="28" borderId="1" xfId="0" applyFill="1" applyBorder="1" applyProtection="1">
      <protection hidden="1"/>
    </xf>
    <xf numFmtId="0" fontId="161" fillId="0" borderId="70" xfId="0" applyFont="1" applyBorder="1" applyAlignment="1" applyProtection="1">
      <alignment horizontal="center"/>
      <protection hidden="1"/>
    </xf>
    <xf numFmtId="0" fontId="155" fillId="0" borderId="0" xfId="0" applyFont="1" applyProtection="1">
      <protection hidden="1"/>
    </xf>
    <xf numFmtId="0" fontId="155" fillId="0" borderId="38" xfId="0" applyFont="1" applyBorder="1" applyProtection="1">
      <protection hidden="1"/>
    </xf>
    <xf numFmtId="0" fontId="162" fillId="0" borderId="32" xfId="0" applyFont="1" applyBorder="1" applyAlignment="1" applyProtection="1">
      <alignment horizontal="center"/>
      <protection hidden="1"/>
    </xf>
    <xf numFmtId="1" fontId="162" fillId="30" borderId="28" xfId="0" applyNumberFormat="1" applyFont="1" applyFill="1" applyBorder="1" applyProtection="1">
      <protection hidden="1"/>
    </xf>
    <xf numFmtId="0" fontId="162" fillId="0" borderId="0" xfId="0" applyFont="1" applyAlignment="1" applyProtection="1">
      <alignment horizontal="center"/>
      <protection hidden="1"/>
    </xf>
    <xf numFmtId="0" fontId="161" fillId="0" borderId="1" xfId="0" applyFont="1" applyBorder="1" applyAlignment="1" applyProtection="1">
      <alignment horizontal="center"/>
      <protection hidden="1"/>
    </xf>
    <xf numFmtId="164" fontId="162" fillId="30" borderId="28" xfId="6" applyFont="1" applyFill="1" applyBorder="1" applyProtection="1">
      <protection hidden="1"/>
    </xf>
    <xf numFmtId="164" fontId="162" fillId="23" borderId="28" xfId="6" applyFont="1" applyFill="1" applyBorder="1" applyProtection="1">
      <protection hidden="1"/>
    </xf>
    <xf numFmtId="164" fontId="162" fillId="28" borderId="28" xfId="6" applyFont="1" applyFill="1" applyBorder="1" applyProtection="1">
      <protection hidden="1"/>
    </xf>
    <xf numFmtId="164" fontId="166" fillId="0" borderId="26" xfId="6" applyFont="1" applyBorder="1" applyProtection="1">
      <protection hidden="1"/>
    </xf>
    <xf numFmtId="164" fontId="166" fillId="0" borderId="28" xfId="6" applyFont="1" applyBorder="1" applyProtection="1">
      <protection hidden="1"/>
    </xf>
    <xf numFmtId="0" fontId="155" fillId="23" borderId="0" xfId="0" applyFont="1" applyFill="1" applyProtection="1">
      <protection hidden="1"/>
    </xf>
    <xf numFmtId="0" fontId="155" fillId="28" borderId="0" xfId="0" applyFont="1" applyFill="1" applyProtection="1">
      <protection hidden="1"/>
    </xf>
    <xf numFmtId="0" fontId="164" fillId="28" borderId="1" xfId="0" applyFont="1" applyFill="1" applyBorder="1" applyAlignment="1" applyProtection="1">
      <alignment horizontal="center"/>
      <protection hidden="1"/>
    </xf>
    <xf numFmtId="0" fontId="155" fillId="0" borderId="0" xfId="0" applyFont="1" applyAlignment="1" applyProtection="1">
      <alignment horizontal="center"/>
      <protection hidden="1"/>
    </xf>
    <xf numFmtId="172" fontId="162" fillId="30" borderId="1" xfId="6" applyNumberFormat="1" applyFont="1" applyFill="1" applyBorder="1" applyProtection="1">
      <protection hidden="1"/>
    </xf>
    <xf numFmtId="172" fontId="162" fillId="23" borderId="1" xfId="6" applyNumberFormat="1" applyFont="1" applyFill="1" applyBorder="1" applyProtection="1">
      <protection hidden="1"/>
    </xf>
    <xf numFmtId="172" fontId="162" fillId="28" borderId="1" xfId="6" applyNumberFormat="1" applyFont="1" applyFill="1" applyBorder="1" applyProtection="1">
      <protection hidden="1"/>
    </xf>
    <xf numFmtId="172" fontId="167" fillId="27" borderId="1" xfId="6" applyNumberFormat="1" applyFont="1" applyFill="1" applyBorder="1" applyProtection="1">
      <protection hidden="1"/>
    </xf>
    <xf numFmtId="172" fontId="162" fillId="30" borderId="24" xfId="6" applyNumberFormat="1" applyFont="1" applyFill="1" applyBorder="1" applyProtection="1">
      <protection hidden="1"/>
    </xf>
    <xf numFmtId="172" fontId="162" fillId="23" borderId="0" xfId="6" applyNumberFormat="1" applyFont="1" applyFill="1" applyProtection="1">
      <protection hidden="1"/>
    </xf>
    <xf numFmtId="172" fontId="162" fillId="28" borderId="0" xfId="6" applyNumberFormat="1" applyFont="1" applyFill="1" applyProtection="1">
      <protection hidden="1"/>
    </xf>
    <xf numFmtId="0" fontId="155" fillId="0" borderId="1" xfId="0" applyFont="1" applyBorder="1" applyProtection="1">
      <protection hidden="1"/>
    </xf>
    <xf numFmtId="1" fontId="162" fillId="30" borderId="1" xfId="0" applyNumberFormat="1" applyFont="1" applyFill="1" applyBorder="1" applyProtection="1">
      <protection hidden="1"/>
    </xf>
    <xf numFmtId="1" fontId="162" fillId="0" borderId="26" xfId="0" applyNumberFormat="1" applyFont="1" applyBorder="1" applyProtection="1">
      <protection hidden="1"/>
    </xf>
    <xf numFmtId="0" fontId="168" fillId="0" borderId="1" xfId="0" applyFont="1" applyBorder="1" applyProtection="1">
      <protection hidden="1"/>
    </xf>
    <xf numFmtId="173" fontId="161" fillId="0" borderId="1" xfId="0" applyNumberFormat="1" applyFont="1" applyBorder="1" applyProtection="1">
      <protection hidden="1"/>
    </xf>
    <xf numFmtId="0" fontId="169" fillId="0" borderId="1" xfId="0" applyFont="1" applyBorder="1" applyProtection="1">
      <protection hidden="1"/>
    </xf>
    <xf numFmtId="0" fontId="170" fillId="0" borderId="1" xfId="0" applyFont="1" applyBorder="1" applyProtection="1">
      <protection hidden="1"/>
    </xf>
    <xf numFmtId="17" fontId="162" fillId="0" borderId="1" xfId="0" applyNumberFormat="1" applyFont="1" applyBorder="1" applyAlignment="1" applyProtection="1">
      <alignment horizontal="center" wrapText="1"/>
      <protection locked="0"/>
    </xf>
    <xf numFmtId="1" fontId="164" fillId="0" borderId="46" xfId="0" applyNumberFormat="1" applyFont="1" applyBorder="1" applyProtection="1">
      <protection hidden="1"/>
    </xf>
    <xf numFmtId="1" fontId="164" fillId="0" borderId="58" xfId="0" applyNumberFormat="1" applyFont="1" applyBorder="1" applyProtection="1">
      <protection hidden="1"/>
    </xf>
    <xf numFmtId="2" fontId="156" fillId="27" borderId="1" xfId="0" applyNumberFormat="1" applyFont="1" applyFill="1" applyBorder="1" applyAlignment="1" applyProtection="1">
      <alignment vertical="center" wrapText="1" readingOrder="1"/>
      <protection hidden="1"/>
    </xf>
    <xf numFmtId="2" fontId="0" fillId="0" borderId="0" xfId="0" applyNumberFormat="1" applyAlignment="1" applyProtection="1">
      <alignment vertical="top" wrapText="1"/>
      <protection hidden="1"/>
    </xf>
    <xf numFmtId="2" fontId="94" fillId="0" borderId="28" xfId="0" applyNumberFormat="1" applyFont="1" applyBorder="1" applyAlignment="1" applyProtection="1">
      <alignment horizontal="center" vertical="top" wrapText="1"/>
      <protection hidden="1"/>
    </xf>
    <xf numFmtId="2" fontId="94" fillId="0" borderId="18" xfId="0" applyNumberFormat="1" applyFont="1" applyBorder="1" applyAlignment="1" applyProtection="1">
      <alignment horizontal="center" vertical="top" wrapText="1"/>
      <protection hidden="1"/>
    </xf>
    <xf numFmtId="2" fontId="156" fillId="27" borderId="28" xfId="0" applyNumberFormat="1" applyFont="1" applyFill="1" applyBorder="1" applyAlignment="1" applyProtection="1">
      <alignment vertical="center" wrapText="1" readingOrder="1"/>
      <protection hidden="1"/>
    </xf>
    <xf numFmtId="2" fontId="157" fillId="27" borderId="11" xfId="0" applyNumberFormat="1" applyFont="1" applyFill="1" applyBorder="1" applyAlignment="1" applyProtection="1">
      <alignment horizontal="center" vertical="center" wrapText="1" readingOrder="1"/>
      <protection hidden="1"/>
    </xf>
    <xf numFmtId="2" fontId="94" fillId="0" borderId="62" xfId="0" applyNumberFormat="1" applyFont="1" applyBorder="1" applyAlignment="1" applyProtection="1">
      <alignment horizontal="center" vertical="top" wrapText="1"/>
      <protection hidden="1"/>
    </xf>
    <xf numFmtId="2" fontId="94" fillId="0" borderId="1" xfId="0" applyNumberFormat="1" applyFont="1" applyBorder="1" applyAlignment="1" applyProtection="1">
      <alignment horizontal="center" vertical="top" wrapText="1"/>
      <protection hidden="1"/>
    </xf>
    <xf numFmtId="0" fontId="42" fillId="32" borderId="0" xfId="0" applyFont="1" applyFill="1" applyAlignment="1" applyProtection="1">
      <alignment vertical="top" wrapText="1"/>
      <protection hidden="1"/>
    </xf>
    <xf numFmtId="0" fontId="48" fillId="0" borderId="0" xfId="0" applyFont="1"/>
    <xf numFmtId="168" fontId="48" fillId="0" borderId="0" xfId="0" applyNumberFormat="1" applyFont="1" applyProtection="1">
      <protection hidden="1"/>
    </xf>
    <xf numFmtId="0" fontId="171" fillId="0" borderId="66" xfId="0" applyFont="1" applyBorder="1" applyAlignment="1" applyProtection="1">
      <alignment horizontal="center"/>
      <protection hidden="1"/>
    </xf>
    <xf numFmtId="0" fontId="171" fillId="0" borderId="62" xfId="0" applyFont="1" applyBorder="1" applyAlignment="1" applyProtection="1">
      <alignment horizontal="center"/>
      <protection hidden="1"/>
    </xf>
    <xf numFmtId="0" fontId="171" fillId="0" borderId="2" xfId="0" applyFont="1" applyBorder="1" applyAlignment="1" applyProtection="1">
      <alignment horizontal="center"/>
      <protection hidden="1"/>
    </xf>
    <xf numFmtId="0" fontId="171" fillId="0" borderId="71" xfId="0" applyFont="1" applyBorder="1" applyAlignment="1" applyProtection="1">
      <alignment horizontal="center"/>
      <protection hidden="1"/>
    </xf>
    <xf numFmtId="0" fontId="12" fillId="5" borderId="66" xfId="0" applyFont="1" applyFill="1" applyBorder="1" applyAlignment="1" applyProtection="1">
      <alignment horizontal="center" vertical="center" wrapText="1"/>
      <protection hidden="1"/>
    </xf>
    <xf numFmtId="0" fontId="12" fillId="5" borderId="62" xfId="0" applyFont="1" applyFill="1" applyBorder="1" applyAlignment="1" applyProtection="1">
      <alignment horizontal="center" vertical="center" wrapText="1"/>
      <protection hidden="1"/>
    </xf>
    <xf numFmtId="14" fontId="12" fillId="0" borderId="1" xfId="0" applyNumberFormat="1" applyFont="1" applyBorder="1"/>
    <xf numFmtId="0" fontId="0" fillId="24" borderId="1" xfId="0" applyFill="1" applyBorder="1"/>
    <xf numFmtId="0" fontId="160" fillId="0" borderId="1" xfId="0" applyFont="1" applyBorder="1"/>
    <xf numFmtId="9" fontId="0" fillId="0" borderId="0" xfId="12" applyFont="1"/>
    <xf numFmtId="0" fontId="49" fillId="0" borderId="0" xfId="0" applyFont="1"/>
    <xf numFmtId="0" fontId="12" fillId="6" borderId="62" xfId="0" applyFont="1" applyFill="1" applyBorder="1" applyAlignment="1" applyProtection="1">
      <alignment vertical="center" wrapText="1"/>
      <protection hidden="1"/>
    </xf>
    <xf numFmtId="1" fontId="48" fillId="0" borderId="1" xfId="0" applyNumberFormat="1" applyFont="1" applyBorder="1" applyAlignment="1" applyProtection="1">
      <alignment horizontal="center" vertical="center" wrapText="1"/>
      <protection hidden="1"/>
    </xf>
    <xf numFmtId="0" fontId="55" fillId="24" borderId="0" xfId="0" applyFont="1" applyFill="1" applyAlignment="1">
      <alignment horizontal="center"/>
    </xf>
    <xf numFmtId="176" fontId="0" fillId="0" borderId="0" xfId="0" applyNumberFormat="1"/>
    <xf numFmtId="0" fontId="0" fillId="0" borderId="25" xfId="0" applyBorder="1" applyAlignment="1" applyProtection="1">
      <alignment horizontal="center"/>
      <protection hidden="1"/>
    </xf>
    <xf numFmtId="0" fontId="162" fillId="0" borderId="1" xfId="0" applyFont="1" applyBorder="1" applyAlignment="1" applyProtection="1">
      <alignment horizontal="center"/>
      <protection hidden="1"/>
    </xf>
    <xf numFmtId="1" fontId="5" fillId="0" borderId="1" xfId="0" applyNumberFormat="1" applyFont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1" fontId="161" fillId="30" borderId="10" xfId="0" applyNumberFormat="1" applyFont="1" applyFill="1" applyBorder="1" applyProtection="1">
      <protection hidden="1"/>
    </xf>
    <xf numFmtId="1" fontId="161" fillId="39" borderId="1" xfId="0" applyNumberFormat="1" applyFont="1" applyFill="1" applyBorder="1" applyProtection="1">
      <protection hidden="1"/>
    </xf>
    <xf numFmtId="1" fontId="161" fillId="39" borderId="62" xfId="0" applyNumberFormat="1" applyFont="1" applyFill="1" applyBorder="1" applyProtection="1">
      <protection hidden="1"/>
    </xf>
    <xf numFmtId="0" fontId="0" fillId="39" borderId="1" xfId="0" applyFill="1" applyBorder="1" applyProtection="1">
      <protection hidden="1"/>
    </xf>
    <xf numFmtId="0" fontId="0" fillId="39" borderId="62" xfId="0" applyFill="1" applyBorder="1" applyProtection="1">
      <protection hidden="1"/>
    </xf>
    <xf numFmtId="0" fontId="0" fillId="23" borderId="33" xfId="0" applyFill="1" applyBorder="1" applyProtection="1">
      <protection hidden="1"/>
    </xf>
    <xf numFmtId="0" fontId="0" fillId="28" borderId="33" xfId="0" applyFill="1" applyBorder="1" applyProtection="1">
      <protection hidden="1"/>
    </xf>
    <xf numFmtId="1" fontId="161" fillId="0" borderId="33" xfId="0" applyNumberFormat="1" applyFont="1" applyBorder="1" applyProtection="1">
      <protection hidden="1"/>
    </xf>
    <xf numFmtId="1" fontId="161" fillId="30" borderId="17" xfId="0" applyNumberFormat="1" applyFont="1" applyFill="1" applyBorder="1" applyProtection="1">
      <protection hidden="1"/>
    </xf>
    <xf numFmtId="1" fontId="161" fillId="0" borderId="36" xfId="0" applyNumberFormat="1" applyFont="1" applyBorder="1" applyProtection="1">
      <protection hidden="1"/>
    </xf>
    <xf numFmtId="1" fontId="161" fillId="30" borderId="43" xfId="0" applyNumberFormat="1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1" fontId="162" fillId="30" borderId="61" xfId="0" applyNumberFormat="1" applyFont="1" applyFill="1" applyBorder="1" applyProtection="1">
      <protection hidden="1"/>
    </xf>
    <xf numFmtId="1" fontId="162" fillId="23" borderId="72" xfId="0" applyNumberFormat="1" applyFont="1" applyFill="1" applyBorder="1" applyProtection="1">
      <protection hidden="1"/>
    </xf>
    <xf numFmtId="1" fontId="162" fillId="28" borderId="72" xfId="0" applyNumberFormat="1" applyFont="1" applyFill="1" applyBorder="1" applyProtection="1">
      <protection hidden="1"/>
    </xf>
    <xf numFmtId="1" fontId="162" fillId="39" borderId="72" xfId="0" applyNumberFormat="1" applyFont="1" applyFill="1" applyBorder="1" applyProtection="1">
      <protection hidden="1"/>
    </xf>
    <xf numFmtId="1" fontId="162" fillId="39" borderId="39" xfId="0" applyNumberFormat="1" applyFont="1" applyFill="1" applyBorder="1" applyProtection="1">
      <protection hidden="1"/>
    </xf>
    <xf numFmtId="0" fontId="164" fillId="30" borderId="7" xfId="0" applyFont="1" applyFill="1" applyBorder="1" applyAlignment="1" applyProtection="1">
      <alignment horizontal="center"/>
      <protection hidden="1"/>
    </xf>
    <xf numFmtId="0" fontId="164" fillId="23" borderId="60" xfId="0" applyFont="1" applyFill="1" applyBorder="1" applyAlignment="1" applyProtection="1">
      <alignment horizontal="center"/>
      <protection hidden="1"/>
    </xf>
    <xf numFmtId="0" fontId="164" fillId="28" borderId="60" xfId="0" applyFont="1" applyFill="1" applyBorder="1" applyAlignment="1" applyProtection="1">
      <alignment horizontal="center"/>
      <protection hidden="1"/>
    </xf>
    <xf numFmtId="0" fontId="164" fillId="28" borderId="5" xfId="0" applyFont="1" applyFill="1" applyBorder="1" applyAlignment="1" applyProtection="1">
      <alignment horizontal="center"/>
      <protection hidden="1"/>
    </xf>
    <xf numFmtId="0" fontId="164" fillId="28" borderId="24" xfId="0" applyFont="1" applyFill="1" applyBorder="1" applyAlignment="1" applyProtection="1">
      <alignment horizontal="center"/>
      <protection hidden="1"/>
    </xf>
    <xf numFmtId="0" fontId="155" fillId="0" borderId="8" xfId="0" applyFont="1" applyBorder="1" applyAlignment="1" applyProtection="1">
      <alignment horizontal="center"/>
      <protection hidden="1"/>
    </xf>
    <xf numFmtId="1" fontId="162" fillId="0" borderId="1" xfId="0" applyNumberFormat="1" applyFont="1" applyBorder="1" applyAlignment="1" applyProtection="1">
      <alignment horizontal="center" wrapText="1"/>
      <protection hidden="1"/>
    </xf>
    <xf numFmtId="0" fontId="164" fillId="0" borderId="1" xfId="0" applyFont="1" applyBorder="1" applyAlignment="1" applyProtection="1">
      <alignment wrapText="1"/>
      <protection hidden="1"/>
    </xf>
    <xf numFmtId="1" fontId="164" fillId="0" borderId="1" xfId="0" applyNumberFormat="1" applyFont="1" applyBorder="1" applyAlignment="1" applyProtection="1">
      <alignment wrapText="1"/>
      <protection hidden="1"/>
    </xf>
    <xf numFmtId="1" fontId="161" fillId="0" borderId="7" xfId="0" applyNumberFormat="1" applyFont="1" applyBorder="1" applyProtection="1">
      <protection hidden="1"/>
    </xf>
    <xf numFmtId="0" fontId="167" fillId="0" borderId="0" xfId="0" applyFont="1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0" fontId="160" fillId="30" borderId="1" xfId="0" applyFont="1" applyFill="1" applyBorder="1" applyAlignment="1" applyProtection="1">
      <alignment horizontal="center" wrapText="1"/>
      <protection hidden="1"/>
    </xf>
    <xf numFmtId="0" fontId="5" fillId="0" borderId="1" xfId="0" applyFont="1" applyBorder="1" applyAlignment="1" applyProtection="1">
      <alignment wrapText="1"/>
      <protection hidden="1"/>
    </xf>
    <xf numFmtId="0" fontId="117" fillId="0" borderId="36" xfId="0" applyFont="1" applyBorder="1" applyAlignment="1" applyProtection="1">
      <alignment horizontal="center" vertical="top" wrapText="1"/>
      <protection hidden="1"/>
    </xf>
    <xf numFmtId="2" fontId="117" fillId="0" borderId="36" xfId="0" applyNumberFormat="1" applyFont="1" applyBorder="1" applyAlignment="1" applyProtection="1">
      <alignment horizontal="center" vertical="top" wrapText="1"/>
      <protection hidden="1"/>
    </xf>
    <xf numFmtId="2" fontId="0" fillId="0" borderId="0" xfId="0" applyNumberFormat="1" applyProtection="1">
      <protection hidden="1"/>
    </xf>
    <xf numFmtId="0" fontId="172" fillId="0" borderId="0" xfId="0" applyFont="1" applyAlignment="1" applyProtection="1">
      <alignment horizontal="center" wrapText="1"/>
      <protection hidden="1"/>
    </xf>
    <xf numFmtId="2" fontId="172" fillId="0" borderId="0" xfId="0" applyNumberFormat="1" applyFont="1" applyAlignment="1" applyProtection="1">
      <alignment horizontal="center" wrapText="1"/>
      <protection hidden="1"/>
    </xf>
    <xf numFmtId="14" fontId="0" fillId="0" borderId="0" xfId="0" applyNumberFormat="1"/>
    <xf numFmtId="0" fontId="29" fillId="24" borderId="0" xfId="0" applyFont="1" applyFill="1"/>
    <xf numFmtId="0" fontId="27" fillId="24" borderId="0" xfId="0" applyFont="1" applyFill="1" applyAlignment="1">
      <alignment horizontal="right"/>
    </xf>
    <xf numFmtId="0" fontId="164" fillId="0" borderId="1" xfId="0" applyFont="1" applyBorder="1" applyAlignment="1">
      <alignment horizontal="center" wrapText="1"/>
    </xf>
    <xf numFmtId="0" fontId="173" fillId="30" borderId="1" xfId="0" applyFont="1" applyFill="1" applyBorder="1"/>
    <xf numFmtId="175" fontId="174" fillId="27" borderId="1" xfId="12" applyNumberFormat="1" applyFont="1" applyFill="1" applyBorder="1"/>
    <xf numFmtId="0" fontId="12" fillId="0" borderId="0" xfId="0" applyFont="1"/>
    <xf numFmtId="0" fontId="164" fillId="0" borderId="62" xfId="0" applyFont="1" applyBorder="1" applyAlignment="1">
      <alignment horizontal="center"/>
    </xf>
    <xf numFmtId="0" fontId="12" fillId="5" borderId="0" xfId="0" applyFont="1" applyFill="1" applyAlignment="1" applyProtection="1">
      <alignment vertical="center" wrapText="1"/>
      <protection hidden="1"/>
    </xf>
    <xf numFmtId="0" fontId="12" fillId="6" borderId="0" xfId="0" applyFont="1" applyFill="1" applyAlignment="1" applyProtection="1">
      <alignment vertical="center" wrapText="1"/>
      <protection hidden="1"/>
    </xf>
    <xf numFmtId="0" fontId="12" fillId="0" borderId="39" xfId="0" applyFont="1" applyBorder="1" applyAlignment="1" applyProtection="1">
      <alignment vertical="center" wrapText="1"/>
      <protection hidden="1"/>
    </xf>
    <xf numFmtId="0" fontId="12" fillId="30" borderId="65" xfId="0" applyFont="1" applyFill="1" applyBorder="1" applyAlignment="1" applyProtection="1">
      <alignment horizontal="right" vertical="center" wrapText="1"/>
      <protection locked="0"/>
    </xf>
    <xf numFmtId="0" fontId="141" fillId="23" borderId="1" xfId="0" applyFont="1" applyFill="1" applyBorder="1" applyAlignment="1">
      <alignment vertical="center" wrapText="1" readingOrder="1"/>
    </xf>
    <xf numFmtId="0" fontId="141" fillId="23" borderId="1" xfId="0" applyFont="1" applyFill="1" applyBorder="1" applyAlignment="1">
      <alignment horizontal="center" vertical="center" wrapText="1" readingOrder="1"/>
    </xf>
    <xf numFmtId="0" fontId="141" fillId="23" borderId="1" xfId="0" applyFont="1" applyFill="1" applyBorder="1" applyAlignment="1">
      <alignment vertical="center"/>
    </xf>
    <xf numFmtId="0" fontId="142" fillId="26" borderId="63" xfId="0" applyFont="1" applyFill="1" applyBorder="1" applyAlignment="1" applyProtection="1">
      <alignment vertical="center" textRotation="90"/>
      <protection hidden="1"/>
    </xf>
    <xf numFmtId="0" fontId="142" fillId="29" borderId="35" xfId="0" applyFont="1" applyFill="1" applyBorder="1" applyAlignment="1" applyProtection="1">
      <alignment vertical="center" textRotation="90"/>
      <protection hidden="1"/>
    </xf>
    <xf numFmtId="175" fontId="174" fillId="41" borderId="1" xfId="12" applyNumberFormat="1" applyFont="1" applyFill="1" applyBorder="1"/>
    <xf numFmtId="0" fontId="175" fillId="0" borderId="45" xfId="0" applyFont="1" applyBorder="1" applyAlignment="1" applyProtection="1">
      <alignment horizontal="center"/>
      <protection hidden="1"/>
    </xf>
    <xf numFmtId="3" fontId="17" fillId="27" borderId="1" xfId="0" applyNumberFormat="1" applyFont="1" applyFill="1" applyBorder="1"/>
    <xf numFmtId="1" fontId="176" fillId="0" borderId="1" xfId="0" applyNumberFormat="1" applyFont="1" applyBorder="1" applyAlignment="1" applyProtection="1">
      <alignment vertical="center" wrapText="1"/>
      <protection hidden="1"/>
    </xf>
    <xf numFmtId="0" fontId="177" fillId="42" borderId="1" xfId="0" applyFont="1" applyFill="1" applyBorder="1"/>
    <xf numFmtId="0" fontId="142" fillId="0" borderId="0" xfId="0" applyFont="1" applyAlignment="1" applyProtection="1">
      <alignment vertical="center" textRotation="90"/>
      <protection hidden="1"/>
    </xf>
    <xf numFmtId="0" fontId="168" fillId="0" borderId="0" xfId="0" applyFont="1" applyAlignment="1" applyProtection="1">
      <alignment horizontal="center"/>
      <protection hidden="1"/>
    </xf>
    <xf numFmtId="2" fontId="156" fillId="0" borderId="1" xfId="0" applyNumberFormat="1" applyFont="1" applyBorder="1" applyAlignment="1" applyProtection="1">
      <alignment vertical="center" wrapText="1" readingOrder="1"/>
      <protection hidden="1"/>
    </xf>
    <xf numFmtId="1" fontId="156" fillId="0" borderId="1" xfId="0" applyNumberFormat="1" applyFont="1" applyBorder="1" applyAlignment="1" applyProtection="1">
      <alignment vertical="center" wrapText="1" readingOrder="1"/>
      <protection hidden="1"/>
    </xf>
    <xf numFmtId="0" fontId="17" fillId="24" borderId="0" xfId="0" applyFont="1" applyFill="1"/>
    <xf numFmtId="0" fontId="1" fillId="0" borderId="0" xfId="0" applyFont="1"/>
    <xf numFmtId="0" fontId="0" fillId="0" borderId="1" xfId="0" applyBorder="1" applyAlignment="1">
      <alignment horizontal="center"/>
    </xf>
    <xf numFmtId="10" fontId="0" fillId="0" borderId="1" xfId="12" applyNumberFormat="1" applyFont="1" applyBorder="1"/>
    <xf numFmtId="0" fontId="12" fillId="0" borderId="18" xfId="0" applyFont="1" applyBorder="1"/>
    <xf numFmtId="0" fontId="12" fillId="0" borderId="28" xfId="0" applyFont="1" applyBorder="1"/>
    <xf numFmtId="0" fontId="178" fillId="0" borderId="4" xfId="0" applyFont="1" applyBorder="1"/>
    <xf numFmtId="175" fontId="179" fillId="0" borderId="60" xfId="12" applyNumberFormat="1" applyFont="1" applyBorder="1"/>
    <xf numFmtId="9" fontId="0" fillId="0" borderId="1" xfId="0" applyNumberFormat="1" applyBorder="1"/>
    <xf numFmtId="174" fontId="0" fillId="0" borderId="1" xfId="6" applyNumberFormat="1" applyFont="1" applyBorder="1"/>
    <xf numFmtId="174" fontId="0" fillId="0" borderId="1" xfId="0" applyNumberFormat="1" applyBorder="1"/>
    <xf numFmtId="10" fontId="0" fillId="0" borderId="1" xfId="0" applyNumberFormat="1" applyBorder="1"/>
    <xf numFmtId="0" fontId="180" fillId="43" borderId="94" xfId="0" applyFont="1" applyFill="1" applyBorder="1" applyAlignment="1">
      <alignment horizontal="left" vertical="top" wrapText="1"/>
    </xf>
    <xf numFmtId="0" fontId="181" fillId="44" borderId="94" xfId="0" applyFont="1" applyFill="1" applyBorder="1" applyAlignment="1">
      <alignment horizontal="center" vertical="top"/>
    </xf>
    <xf numFmtId="0" fontId="181" fillId="44" borderId="94" xfId="0" applyFont="1" applyFill="1" applyBorder="1" applyAlignment="1">
      <alignment horizontal="left" vertical="top"/>
    </xf>
    <xf numFmtId="0" fontId="0" fillId="44" borderId="94" xfId="0" applyFill="1" applyBorder="1" applyAlignment="1">
      <alignment horizontal="left" vertical="top"/>
    </xf>
    <xf numFmtId="0" fontId="181" fillId="45" borderId="94" xfId="0" applyFont="1" applyFill="1" applyBorder="1" applyAlignment="1">
      <alignment horizontal="center" vertical="top"/>
    </xf>
    <xf numFmtId="0" fontId="181" fillId="45" borderId="94" xfId="0" applyFont="1" applyFill="1" applyBorder="1" applyAlignment="1">
      <alignment horizontal="left" vertical="top"/>
    </xf>
    <xf numFmtId="0" fontId="0" fillId="45" borderId="94" xfId="0" applyFill="1" applyBorder="1" applyAlignment="1">
      <alignment horizontal="left" vertical="top"/>
    </xf>
    <xf numFmtId="0" fontId="181" fillId="46" borderId="94" xfId="0" applyFont="1" applyFill="1" applyBorder="1" applyAlignment="1">
      <alignment horizontal="center" vertical="top"/>
    </xf>
    <xf numFmtId="0" fontId="181" fillId="46" borderId="94" xfId="0" applyFont="1" applyFill="1" applyBorder="1" applyAlignment="1">
      <alignment horizontal="left" vertical="top"/>
    </xf>
    <xf numFmtId="0" fontId="0" fillId="46" borderId="94" xfId="0" applyFill="1" applyBorder="1" applyAlignment="1">
      <alignment horizontal="left" vertical="top"/>
    </xf>
    <xf numFmtId="0" fontId="181" fillId="47" borderId="94" xfId="0" applyFont="1" applyFill="1" applyBorder="1" applyAlignment="1">
      <alignment horizontal="center" vertical="top"/>
    </xf>
    <xf numFmtId="0" fontId="181" fillId="47" borderId="94" xfId="0" applyFont="1" applyFill="1" applyBorder="1" applyAlignment="1">
      <alignment horizontal="left" vertical="top"/>
    </xf>
    <xf numFmtId="0" fontId="0" fillId="47" borderId="94" xfId="0" applyFill="1" applyBorder="1" applyAlignment="1">
      <alignment horizontal="left" vertical="top"/>
    </xf>
    <xf numFmtId="0" fontId="181" fillId="48" borderId="94" xfId="0" applyFont="1" applyFill="1" applyBorder="1" applyAlignment="1">
      <alignment horizontal="left" vertical="top"/>
    </xf>
    <xf numFmtId="0" fontId="0" fillId="49" borderId="94" xfId="0" applyFill="1" applyBorder="1" applyAlignment="1">
      <alignment horizontal="left" vertical="top"/>
    </xf>
    <xf numFmtId="0" fontId="181" fillId="50" borderId="94" xfId="0" applyFont="1" applyFill="1" applyBorder="1" applyAlignment="1">
      <alignment horizontal="left" vertical="top"/>
    </xf>
    <xf numFmtId="0" fontId="0" fillId="50" borderId="94" xfId="0" applyFill="1" applyBorder="1" applyAlignment="1">
      <alignment horizontal="left" vertical="top"/>
    </xf>
    <xf numFmtId="1" fontId="0" fillId="44" borderId="94" xfId="0" applyNumberFormat="1" applyFill="1" applyBorder="1" applyAlignment="1">
      <alignment horizontal="left" vertical="top"/>
    </xf>
    <xf numFmtId="1" fontId="0" fillId="45" borderId="94" xfId="0" applyNumberFormat="1" applyFill="1" applyBorder="1" applyAlignment="1">
      <alignment horizontal="left" vertical="top"/>
    </xf>
    <xf numFmtId="1" fontId="0" fillId="47" borderId="94" xfId="0" applyNumberFormat="1" applyFill="1" applyBorder="1" applyAlignment="1">
      <alignment horizontal="left" vertical="top"/>
    </xf>
    <xf numFmtId="0" fontId="27" fillId="0" borderId="1" xfId="0" applyFont="1" applyBorder="1" applyAlignment="1">
      <alignment horizontal="center" vertical="top" wrapText="1"/>
    </xf>
    <xf numFmtId="1" fontId="0" fillId="48" borderId="94" xfId="0" applyNumberFormat="1" applyFill="1" applyBorder="1" applyAlignment="1">
      <alignment horizontal="left" vertical="top"/>
    </xf>
    <xf numFmtId="0" fontId="3" fillId="0" borderId="1" xfId="0" applyFont="1" applyBorder="1" applyAlignment="1">
      <alignment horizontal="center" wrapText="1"/>
    </xf>
    <xf numFmtId="1" fontId="0" fillId="33" borderId="1" xfId="0" applyNumberFormat="1" applyFill="1" applyBorder="1"/>
    <xf numFmtId="1" fontId="0" fillId="28" borderId="1" xfId="0" applyNumberFormat="1" applyFill="1" applyBorder="1"/>
    <xf numFmtId="1" fontId="0" fillId="51" borderId="1" xfId="0" applyNumberFormat="1" applyFill="1" applyBorder="1"/>
    <xf numFmtId="1" fontId="0" fillId="52" borderId="1" xfId="0" applyNumberFormat="1" applyFill="1" applyBorder="1"/>
    <xf numFmtId="1" fontId="1" fillId="0" borderId="0" xfId="0" applyNumberFormat="1" applyFont="1"/>
    <xf numFmtId="0" fontId="27" fillId="0" borderId="5" xfId="0" applyFont="1" applyBorder="1" applyAlignment="1">
      <alignment horizontal="center" vertical="top" wrapText="1"/>
    </xf>
    <xf numFmtId="0" fontId="27" fillId="0" borderId="0" xfId="0" applyFont="1" applyAlignment="1">
      <alignment horizontal="center" vertical="top" wrapText="1"/>
    </xf>
    <xf numFmtId="1" fontId="27" fillId="0" borderId="0" xfId="0" applyNumberFormat="1" applyFont="1" applyAlignment="1">
      <alignment horizontal="center" vertical="top" wrapText="1"/>
    </xf>
    <xf numFmtId="0" fontId="0" fillId="0" borderId="5" xfId="0" applyBorder="1" applyAlignment="1" applyProtection="1">
      <alignment horizontal="center"/>
      <protection hidden="1"/>
    </xf>
    <xf numFmtId="0" fontId="3" fillId="9" borderId="1" xfId="0" applyFont="1" applyFill="1" applyBorder="1" applyAlignment="1" applyProtection="1">
      <alignment horizontal="center"/>
      <protection hidden="1"/>
    </xf>
    <xf numFmtId="0" fontId="0" fillId="27" borderId="0" xfId="0" applyFill="1" applyAlignment="1" applyProtection="1">
      <alignment horizontal="center"/>
      <protection hidden="1"/>
    </xf>
    <xf numFmtId="0" fontId="71" fillId="26" borderId="63" xfId="0" applyFont="1" applyFill="1" applyBorder="1" applyAlignment="1" applyProtection="1">
      <alignment vertical="center"/>
      <protection hidden="1"/>
    </xf>
    <xf numFmtId="0" fontId="71" fillId="29" borderId="35" xfId="0" applyFont="1" applyFill="1" applyBorder="1" applyAlignment="1" applyProtection="1">
      <alignment vertical="center"/>
      <protection hidden="1"/>
    </xf>
    <xf numFmtId="0" fontId="94" fillId="0" borderId="18" xfId="0" applyFont="1" applyBorder="1" applyAlignment="1" applyProtection="1">
      <alignment horizontal="center" vertical="top" wrapText="1"/>
      <protection hidden="1"/>
    </xf>
    <xf numFmtId="0" fontId="94" fillId="0" borderId="28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textRotation="90"/>
      <protection hidden="1"/>
    </xf>
    <xf numFmtId="0" fontId="44" fillId="0" borderId="0" xfId="0" applyFont="1" applyProtection="1">
      <protection hidden="1"/>
    </xf>
    <xf numFmtId="0" fontId="2" fillId="0" borderId="0" xfId="1" quotePrefix="1" applyAlignment="1" applyProtection="1">
      <protection hidden="1"/>
    </xf>
    <xf numFmtId="0" fontId="12" fillId="0" borderId="0" xfId="0" applyFont="1" applyProtection="1"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42" fillId="24" borderId="0" xfId="0" applyFont="1" applyFill="1" applyAlignment="1" applyProtection="1">
      <alignment vertical="center" wrapText="1"/>
      <protection hidden="1"/>
    </xf>
    <xf numFmtId="0" fontId="42" fillId="0" borderId="0" xfId="0" applyFont="1" applyProtection="1">
      <protection hidden="1"/>
    </xf>
    <xf numFmtId="0" fontId="3" fillId="0" borderId="0" xfId="0" applyFont="1" applyAlignment="1" applyProtection="1">
      <alignment vertical="center" wrapText="1"/>
      <protection hidden="1"/>
    </xf>
    <xf numFmtId="17" fontId="0" fillId="0" borderId="0" xfId="0" applyNumberFormat="1" applyProtection="1">
      <protection hidden="1"/>
    </xf>
    <xf numFmtId="0" fontId="44" fillId="0" borderId="1" xfId="0" applyFont="1" applyBorder="1" applyAlignment="1" applyProtection="1">
      <alignment horizontal="center"/>
      <protection hidden="1"/>
    </xf>
    <xf numFmtId="0" fontId="44" fillId="24" borderId="1" xfId="0" applyFont="1" applyFill="1" applyBorder="1" applyAlignment="1" applyProtection="1">
      <alignment horizontal="center" vertical="center" wrapText="1"/>
      <protection locked="0" hidden="1"/>
    </xf>
    <xf numFmtId="0" fontId="43" fillId="0" borderId="0" xfId="0" applyFont="1" applyProtection="1"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43" fillId="0" borderId="4" xfId="0" applyFont="1" applyBorder="1" applyAlignment="1" applyProtection="1">
      <alignment horizontal="center" vertical="center" wrapText="1"/>
      <protection hidden="1"/>
    </xf>
    <xf numFmtId="0" fontId="43" fillId="0" borderId="60" xfId="0" applyFont="1" applyBorder="1" applyAlignment="1" applyProtection="1">
      <alignment horizontal="center" vertical="center" wrapText="1"/>
      <protection hidden="1"/>
    </xf>
    <xf numFmtId="0" fontId="42" fillId="0" borderId="1" xfId="0" applyFont="1" applyBorder="1" applyAlignment="1" applyProtection="1">
      <alignment horizontal="center" vertical="center"/>
      <protection hidden="1"/>
    </xf>
    <xf numFmtId="1" fontId="10" fillId="0" borderId="28" xfId="0" applyNumberFormat="1" applyFont="1" applyBorder="1" applyAlignment="1" applyProtection="1">
      <alignment horizontal="center"/>
      <protection hidden="1"/>
    </xf>
    <xf numFmtId="1" fontId="6" fillId="0" borderId="0" xfId="0" applyNumberFormat="1" applyFont="1" applyProtection="1">
      <protection hidden="1"/>
    </xf>
    <xf numFmtId="0" fontId="42" fillId="0" borderId="0" xfId="0" applyFont="1" applyAlignment="1" applyProtection="1">
      <alignment horizontal="center" vertical="center"/>
      <protection hidden="1"/>
    </xf>
    <xf numFmtId="0" fontId="42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43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43" fillId="0" borderId="1" xfId="0" applyFont="1" applyBorder="1" applyAlignment="1" applyProtection="1">
      <alignment horizontal="center" vertical="center" wrapText="1"/>
      <protection hidden="1"/>
    </xf>
    <xf numFmtId="0" fontId="43" fillId="0" borderId="11" xfId="0" applyFont="1" applyBorder="1" applyAlignment="1" applyProtection="1">
      <alignment horizontal="center" vertical="center" wrapText="1"/>
      <protection hidden="1"/>
    </xf>
    <xf numFmtId="0" fontId="43" fillId="0" borderId="33" xfId="0" applyFont="1" applyBorder="1" applyAlignment="1" applyProtection="1">
      <alignment horizontal="center" vertical="center" wrapText="1"/>
      <protection hidden="1"/>
    </xf>
    <xf numFmtId="1" fontId="12" fillId="0" borderId="1" xfId="0" applyNumberFormat="1" applyFont="1" applyBorder="1" applyAlignment="1" applyProtection="1">
      <alignment vertical="center" wrapText="1"/>
      <protection hidden="1"/>
    </xf>
    <xf numFmtId="1" fontId="12" fillId="0" borderId="28" xfId="0" applyNumberFormat="1" applyFont="1" applyBorder="1" applyAlignment="1" applyProtection="1">
      <alignment horizontal="right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9" borderId="3" xfId="0" applyFill="1" applyBorder="1" applyAlignment="1" applyProtection="1">
      <alignment vertical="top" wrapText="1"/>
      <protection hidden="1"/>
    </xf>
    <xf numFmtId="0" fontId="59" fillId="9" borderId="0" xfId="0" applyFont="1" applyFill="1" applyAlignment="1" applyProtection="1">
      <alignment horizontal="center" vertical="top" wrapText="1"/>
      <protection hidden="1"/>
    </xf>
    <xf numFmtId="0" fontId="0" fillId="0" borderId="62" xfId="0" applyBorder="1" applyAlignment="1" applyProtection="1">
      <alignment horizontal="center" vertical="center"/>
      <protection hidden="1"/>
    </xf>
    <xf numFmtId="0" fontId="35" fillId="8" borderId="28" xfId="0" applyFont="1" applyFill="1" applyBorder="1" applyAlignment="1" applyProtection="1">
      <alignment vertical="center" wrapText="1"/>
      <protection hidden="1"/>
    </xf>
    <xf numFmtId="0" fontId="0" fillId="9" borderId="0" xfId="0" applyFill="1" applyAlignment="1" applyProtection="1">
      <alignment vertical="center" wrapText="1"/>
      <protection hidden="1"/>
    </xf>
    <xf numFmtId="0" fontId="12" fillId="16" borderId="0" xfId="0" applyFont="1" applyFill="1" applyAlignment="1" applyProtection="1">
      <alignment horizontal="center" vertical="center" wrapText="1"/>
      <protection hidden="1"/>
    </xf>
    <xf numFmtId="0" fontId="17" fillId="16" borderId="0" xfId="0" applyFont="1" applyFill="1" applyAlignment="1" applyProtection="1">
      <alignment vertical="top" wrapText="1"/>
      <protection hidden="1"/>
    </xf>
    <xf numFmtId="0" fontId="66" fillId="12" borderId="1" xfId="0" applyFont="1" applyFill="1" applyBorder="1" applyAlignment="1" applyProtection="1">
      <alignment horizontal="center" vertical="top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5" fillId="8" borderId="1" xfId="0" applyFont="1" applyFill="1" applyBorder="1" applyAlignment="1" applyProtection="1">
      <alignment horizontal="center" vertical="center" wrapText="1"/>
      <protection hidden="1"/>
    </xf>
    <xf numFmtId="0" fontId="43" fillId="8" borderId="1" xfId="0" applyFont="1" applyFill="1" applyBorder="1" applyAlignment="1" applyProtection="1">
      <alignment horizontal="center" vertical="center" wrapText="1"/>
      <protection hidden="1"/>
    </xf>
    <xf numFmtId="0" fontId="20" fillId="9" borderId="0" xfId="0" applyFont="1" applyFill="1" applyAlignment="1" applyProtection="1">
      <alignment horizontal="center" textRotation="90"/>
      <protection hidden="1"/>
    </xf>
    <xf numFmtId="0" fontId="0" fillId="9" borderId="0" xfId="0" applyFill="1" applyAlignment="1" applyProtection="1">
      <alignment horizontal="center" vertical="center"/>
      <protection hidden="1"/>
    </xf>
    <xf numFmtId="0" fontId="67" fillId="9" borderId="0" xfId="0" applyFont="1" applyFill="1" applyAlignment="1" applyProtection="1">
      <alignment horizontal="center" vertical="center" wrapText="1"/>
      <protection hidden="1"/>
    </xf>
    <xf numFmtId="0" fontId="35" fillId="9" borderId="0" xfId="0" applyFont="1" applyFill="1" applyAlignment="1" applyProtection="1">
      <alignment vertical="center" wrapText="1"/>
      <protection hidden="1"/>
    </xf>
    <xf numFmtId="17" fontId="0" fillId="9" borderId="0" xfId="0" applyNumberFormat="1" applyFill="1" applyProtection="1">
      <protection hidden="1"/>
    </xf>
    <xf numFmtId="0" fontId="0" fillId="9" borderId="1" xfId="0" applyFill="1" applyBorder="1" applyAlignment="1" applyProtection="1">
      <alignment horizontal="center" vertical="center" wrapText="1"/>
      <protection hidden="1"/>
    </xf>
    <xf numFmtId="0" fontId="56" fillId="13" borderId="1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46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horizontal="center" vertical="center" wrapText="1"/>
      <protection hidden="1"/>
    </xf>
    <xf numFmtId="0" fontId="42" fillId="3" borderId="1" xfId="0" applyFont="1" applyFill="1" applyBorder="1" applyAlignment="1" applyProtection="1">
      <alignment horizontal="center" vertical="center"/>
      <protection hidden="1"/>
    </xf>
    <xf numFmtId="0" fontId="43" fillId="9" borderId="1" xfId="0" applyFont="1" applyFill="1" applyBorder="1" applyAlignment="1" applyProtection="1">
      <alignment horizontal="center" vertical="center" wrapText="1"/>
      <protection hidden="1"/>
    </xf>
    <xf numFmtId="1" fontId="12" fillId="0" borderId="31" xfId="0" applyNumberFormat="1" applyFont="1" applyBorder="1" applyAlignment="1" applyProtection="1">
      <alignment horizontal="right"/>
      <protection hidden="1"/>
    </xf>
    <xf numFmtId="0" fontId="50" fillId="2" borderId="31" xfId="0" applyFont="1" applyFill="1" applyBorder="1" applyAlignment="1" applyProtection="1">
      <alignment horizontal="center" vertical="center" wrapText="1"/>
      <protection locked="0" hidden="1"/>
    </xf>
    <xf numFmtId="0" fontId="50" fillId="2" borderId="1" xfId="0" applyFont="1" applyFill="1" applyBorder="1" applyAlignment="1" applyProtection="1">
      <alignment horizontal="center" vertical="center" wrapText="1"/>
      <protection locked="0" hidden="1"/>
    </xf>
    <xf numFmtId="0" fontId="47" fillId="0" borderId="1" xfId="0" applyFont="1" applyBorder="1" applyAlignment="1" applyProtection="1">
      <alignment horizontal="center"/>
      <protection hidden="1"/>
    </xf>
    <xf numFmtId="0" fontId="47" fillId="0" borderId="9" xfId="0" applyFont="1" applyBorder="1" applyProtection="1">
      <protection hidden="1"/>
    </xf>
    <xf numFmtId="1" fontId="12" fillId="0" borderId="7" xfId="0" applyNumberFormat="1" applyFont="1" applyBorder="1" applyAlignment="1" applyProtection="1">
      <alignment horizontal="right"/>
      <protection hidden="1"/>
    </xf>
    <xf numFmtId="0" fontId="50" fillId="2" borderId="7" xfId="0" applyFont="1" applyFill="1" applyBorder="1" applyAlignment="1" applyProtection="1">
      <alignment horizontal="center" vertical="center" wrapText="1"/>
      <protection locked="0" hidden="1"/>
    </xf>
    <xf numFmtId="0" fontId="20" fillId="0" borderId="38" xfId="0" applyFont="1" applyBorder="1" applyAlignment="1" applyProtection="1">
      <alignment horizontal="center" textRotation="90"/>
      <protection hidden="1"/>
    </xf>
    <xf numFmtId="0" fontId="0" fillId="3" borderId="39" xfId="0" applyFill="1" applyBorder="1" applyAlignment="1" applyProtection="1">
      <alignment horizontal="center" vertical="center"/>
      <protection hidden="1"/>
    </xf>
    <xf numFmtId="1" fontId="44" fillId="20" borderId="73" xfId="0" applyNumberFormat="1" applyFont="1" applyFill="1" applyBorder="1" applyAlignment="1" applyProtection="1">
      <alignment horizontal="center" vertical="center" wrapText="1"/>
      <protection hidden="1"/>
    </xf>
    <xf numFmtId="0" fontId="10" fillId="9" borderId="30" xfId="0" applyFont="1" applyFill="1" applyBorder="1" applyAlignment="1" applyProtection="1">
      <alignment vertical="center" wrapText="1"/>
      <protection hidden="1"/>
    </xf>
    <xf numFmtId="0" fontId="10" fillId="9" borderId="32" xfId="0" applyFont="1" applyFill="1" applyBorder="1" applyAlignment="1" applyProtection="1">
      <alignment vertical="center" wrapText="1"/>
      <protection hidden="1"/>
    </xf>
    <xf numFmtId="0" fontId="20" fillId="27" borderId="0" xfId="0" applyFont="1" applyFill="1" applyAlignment="1" applyProtection="1">
      <alignment horizontal="center" textRotation="90"/>
      <protection hidden="1"/>
    </xf>
    <xf numFmtId="0" fontId="0" fillId="27" borderId="0" xfId="0" applyFill="1" applyAlignment="1" applyProtection="1">
      <alignment horizontal="center" vertical="center"/>
      <protection hidden="1"/>
    </xf>
    <xf numFmtId="0" fontId="0" fillId="27" borderId="0" xfId="0" applyFill="1" applyAlignment="1" applyProtection="1">
      <alignment horizontal="left" vertical="center" wrapText="1"/>
      <protection hidden="1"/>
    </xf>
    <xf numFmtId="0" fontId="35" fillId="27" borderId="0" xfId="0" applyFont="1" applyFill="1" applyAlignment="1" applyProtection="1">
      <alignment vertical="center" wrapText="1"/>
      <protection hidden="1"/>
    </xf>
    <xf numFmtId="0" fontId="0" fillId="27" borderId="0" xfId="0" applyFill="1" applyAlignment="1" applyProtection="1">
      <alignment vertical="center" wrapText="1"/>
      <protection hidden="1"/>
    </xf>
    <xf numFmtId="0" fontId="0" fillId="27" borderId="0" xfId="0" applyFill="1" applyProtection="1">
      <protection hidden="1"/>
    </xf>
    <xf numFmtId="0" fontId="3" fillId="27" borderId="60" xfId="0" applyFont="1" applyFill="1" applyBorder="1" applyAlignment="1" applyProtection="1">
      <alignment horizontal="center"/>
      <protection hidden="1"/>
    </xf>
    <xf numFmtId="17" fontId="0" fillId="27" borderId="0" xfId="0" applyNumberFormat="1" applyFill="1" applyProtection="1">
      <protection hidden="1"/>
    </xf>
    <xf numFmtId="0" fontId="0" fillId="27" borderId="1" xfId="0" applyFill="1" applyBorder="1" applyAlignment="1" applyProtection="1">
      <alignment horizontal="center" vertical="center" wrapText="1"/>
      <protection hidden="1"/>
    </xf>
    <xf numFmtId="0" fontId="56" fillId="13" borderId="31" xfId="0" applyFont="1" applyFill="1" applyBorder="1" applyAlignment="1" applyProtection="1">
      <alignment horizontal="center" vertical="center" wrapText="1"/>
      <protection hidden="1"/>
    </xf>
    <xf numFmtId="0" fontId="0" fillId="0" borderId="36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56" fillId="13" borderId="33" xfId="0" applyFont="1" applyFill="1" applyBorder="1" applyAlignment="1" applyProtection="1">
      <alignment horizontal="center" vertical="center" wrapText="1"/>
      <protection hidden="1"/>
    </xf>
    <xf numFmtId="0" fontId="20" fillId="0" borderId="34" xfId="0" applyFont="1" applyBorder="1" applyAlignment="1" applyProtection="1">
      <alignment horizontal="center" textRotation="90"/>
      <protection hidden="1"/>
    </xf>
    <xf numFmtId="0" fontId="0" fillId="0" borderId="7" xfId="0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0" fillId="0" borderId="33" xfId="0" applyBorder="1" applyAlignment="1" applyProtection="1">
      <alignment horizontal="center" vertical="center" wrapText="1"/>
      <protection hidden="1"/>
    </xf>
    <xf numFmtId="0" fontId="42" fillId="3" borderId="13" xfId="0" applyFont="1" applyFill="1" applyBorder="1" applyAlignment="1" applyProtection="1">
      <alignment horizontal="center" vertical="center"/>
      <protection hidden="1"/>
    </xf>
    <xf numFmtId="0" fontId="42" fillId="3" borderId="31" xfId="0" applyFont="1" applyFill="1" applyBorder="1" applyAlignment="1" applyProtection="1">
      <alignment horizontal="left" vertical="center" wrapText="1"/>
      <protection hidden="1"/>
    </xf>
    <xf numFmtId="0" fontId="112" fillId="7" borderId="17" xfId="0" applyFont="1" applyFill="1" applyBorder="1" applyAlignment="1" applyProtection="1">
      <alignment horizontal="center" vertical="center"/>
      <protection hidden="1"/>
    </xf>
    <xf numFmtId="0" fontId="42" fillId="8" borderId="33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vertical="center" wrapText="1"/>
      <protection hidden="1"/>
    </xf>
    <xf numFmtId="0" fontId="112" fillId="7" borderId="0" xfId="0" applyFont="1" applyFill="1" applyAlignment="1" applyProtection="1">
      <alignment horizontal="center" vertical="center"/>
      <protection hidden="1"/>
    </xf>
    <xf numFmtId="0" fontId="42" fillId="3" borderId="34" xfId="0" applyFont="1" applyFill="1" applyBorder="1" applyAlignment="1" applyProtection="1">
      <alignment horizontal="left" vertical="center" wrapText="1"/>
      <protection hidden="1"/>
    </xf>
    <xf numFmtId="0" fontId="42" fillId="3" borderId="0" xfId="0" applyFont="1" applyFill="1" applyAlignment="1" applyProtection="1">
      <alignment horizontal="left" vertical="center" wrapText="1"/>
      <protection hidden="1"/>
    </xf>
    <xf numFmtId="0" fontId="42" fillId="9" borderId="7" xfId="0" applyFont="1" applyFill="1" applyBorder="1" applyAlignment="1" applyProtection="1">
      <alignment horizontal="center" vertical="center" wrapText="1"/>
      <protection hidden="1"/>
    </xf>
    <xf numFmtId="0" fontId="17" fillId="0" borderId="1" xfId="0" applyFont="1" applyBorder="1" applyAlignment="1" applyProtection="1">
      <alignment horizontal="center" vertical="center" wrapText="1"/>
      <protection hidden="1"/>
    </xf>
    <xf numFmtId="0" fontId="112" fillId="3" borderId="24" xfId="0" applyFont="1" applyFill="1" applyBorder="1" applyAlignment="1" applyProtection="1">
      <alignment horizontal="center" vertical="center"/>
      <protection hidden="1"/>
    </xf>
    <xf numFmtId="0" fontId="42" fillId="3" borderId="38" xfId="0" applyFont="1" applyFill="1" applyBorder="1" applyAlignment="1" applyProtection="1">
      <alignment horizontal="left" vertical="center" wrapText="1"/>
      <protection hidden="1"/>
    </xf>
    <xf numFmtId="0" fontId="42" fillId="3" borderId="39" xfId="0" applyFont="1" applyFill="1" applyBorder="1" applyAlignment="1" applyProtection="1">
      <alignment horizontal="left" vertical="center" wrapText="1"/>
      <protection hidden="1"/>
    </xf>
    <xf numFmtId="0" fontId="43" fillId="3" borderId="41" xfId="0" applyFont="1" applyFill="1" applyBorder="1" applyAlignment="1" applyProtection="1">
      <alignment horizontal="center" vertical="center" wrapText="1"/>
      <protection hidden="1"/>
    </xf>
    <xf numFmtId="0" fontId="47" fillId="0" borderId="72" xfId="0" applyFont="1" applyBorder="1" applyAlignment="1" applyProtection="1">
      <alignment horizontal="center" vertical="center" wrapText="1"/>
      <protection hidden="1"/>
    </xf>
    <xf numFmtId="0" fontId="47" fillId="0" borderId="4" xfId="0" applyFont="1" applyBorder="1" applyAlignment="1" applyProtection="1">
      <alignment horizontal="center" vertical="center" wrapText="1"/>
      <protection hidden="1"/>
    </xf>
    <xf numFmtId="0" fontId="5" fillId="0" borderId="72" xfId="0" applyFont="1" applyBorder="1" applyAlignment="1" applyProtection="1">
      <alignment horizontal="center" vertical="center" wrapText="1"/>
      <protection hidden="1"/>
    </xf>
    <xf numFmtId="0" fontId="47" fillId="0" borderId="40" xfId="0" applyFont="1" applyBorder="1" applyAlignment="1" applyProtection="1">
      <alignment horizontal="center" vertical="center" wrapText="1"/>
      <protection hidden="1"/>
    </xf>
    <xf numFmtId="0" fontId="112" fillId="3" borderId="7" xfId="0" applyFont="1" applyFill="1" applyBorder="1" applyAlignment="1" applyProtection="1">
      <alignment horizontal="center" vertical="center"/>
      <protection hidden="1"/>
    </xf>
    <xf numFmtId="0" fontId="42" fillId="3" borderId="24" xfId="0" applyFont="1" applyFill="1" applyBorder="1" applyAlignment="1" applyProtection="1">
      <alignment horizontal="left" vertical="center" wrapText="1"/>
      <protection hidden="1"/>
    </xf>
    <xf numFmtId="0" fontId="42" fillId="3" borderId="25" xfId="0" applyFont="1" applyFill="1" applyBorder="1" applyAlignment="1" applyProtection="1">
      <alignment horizontal="left" vertical="center" wrapText="1"/>
      <protection hidden="1"/>
    </xf>
    <xf numFmtId="0" fontId="43" fillId="3" borderId="7" xfId="0" applyFont="1" applyFill="1" applyBorder="1" applyAlignment="1" applyProtection="1">
      <alignment horizontal="center" vertical="center" wrapText="1"/>
      <protection hidden="1"/>
    </xf>
    <xf numFmtId="0" fontId="5" fillId="0" borderId="26" xfId="0" applyFont="1" applyBorder="1" applyAlignment="1" applyProtection="1">
      <alignment horizontal="center" vertical="center" wrapText="1"/>
      <protection hidden="1"/>
    </xf>
    <xf numFmtId="0" fontId="42" fillId="3" borderId="62" xfId="0" applyFont="1" applyFill="1" applyBorder="1" applyAlignment="1" applyProtection="1">
      <alignment horizontal="left" vertical="center" wrapText="1"/>
      <protection hidden="1"/>
    </xf>
    <xf numFmtId="0" fontId="42" fillId="3" borderId="18" xfId="0" applyFont="1" applyFill="1" applyBorder="1" applyAlignment="1" applyProtection="1">
      <alignment horizontal="left" vertical="center" wrapText="1"/>
      <protection hidden="1"/>
    </xf>
    <xf numFmtId="0" fontId="42" fillId="3" borderId="1" xfId="0" applyFont="1" applyFill="1" applyBorder="1" applyAlignment="1" applyProtection="1">
      <alignment horizontal="left" vertical="center" wrapText="1"/>
      <protection hidden="1"/>
    </xf>
    <xf numFmtId="0" fontId="112" fillId="7" borderId="1" xfId="0" applyFont="1" applyFill="1" applyBorder="1" applyAlignment="1" applyProtection="1">
      <alignment horizontal="center" vertical="center"/>
      <protection hidden="1"/>
    </xf>
    <xf numFmtId="0" fontId="0" fillId="9" borderId="0" xfId="0" applyFill="1" applyAlignment="1" applyProtection="1">
      <alignment horizontal="center" vertical="center" wrapText="1"/>
      <protection hidden="1"/>
    </xf>
    <xf numFmtId="0" fontId="112" fillId="7" borderId="28" xfId="0" applyFont="1" applyFill="1" applyBorder="1" applyAlignment="1" applyProtection="1">
      <alignment horizontal="center" vertical="center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5" fillId="0" borderId="19" xfId="0" applyFont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5" fillId="0" borderId="29" xfId="0" applyFont="1" applyBorder="1" applyAlignment="1" applyProtection="1">
      <alignment horizontal="center" vertical="center" wrapText="1"/>
      <protection hidden="1"/>
    </xf>
    <xf numFmtId="0" fontId="42" fillId="3" borderId="28" xfId="0" applyFont="1" applyFill="1" applyBorder="1" applyAlignment="1" applyProtection="1">
      <alignment horizontal="center" vertical="center"/>
      <protection hidden="1"/>
    </xf>
    <xf numFmtId="1" fontId="0" fillId="9" borderId="0" xfId="0" applyNumberFormat="1" applyFill="1" applyAlignment="1" applyProtection="1">
      <alignment horizontal="center" vertical="center" wrapText="1"/>
      <protection hidden="1"/>
    </xf>
    <xf numFmtId="1" fontId="0" fillId="9" borderId="0" xfId="0" applyNumberFormat="1" applyFill="1" applyAlignment="1" applyProtection="1">
      <alignment vertical="center" wrapText="1"/>
      <protection hidden="1"/>
    </xf>
    <xf numFmtId="0" fontId="42" fillId="9" borderId="67" xfId="0" applyFont="1" applyFill="1" applyBorder="1" applyAlignment="1" applyProtection="1">
      <alignment horizontal="center" vertical="center"/>
      <protection hidden="1"/>
    </xf>
    <xf numFmtId="1" fontId="43" fillId="18" borderId="30" xfId="0" applyNumberFormat="1" applyFont="1" applyFill="1" applyBorder="1" applyAlignment="1" applyProtection="1">
      <alignment horizontal="right"/>
      <protection hidden="1"/>
    </xf>
    <xf numFmtId="1" fontId="3" fillId="9" borderId="0" xfId="0" applyNumberFormat="1" applyFont="1" applyFill="1" applyAlignment="1" applyProtection="1">
      <alignment horizontal="center" vertical="center" wrapText="1"/>
      <protection hidden="1"/>
    </xf>
    <xf numFmtId="0" fontId="33" fillId="27" borderId="0" xfId="0" applyFont="1" applyFill="1" applyAlignment="1" applyProtection="1">
      <alignment horizontal="center" textRotation="90"/>
      <protection hidden="1"/>
    </xf>
    <xf numFmtId="1" fontId="43" fillId="27" borderId="0" xfId="0" applyNumberFormat="1" applyFont="1" applyFill="1" applyAlignment="1" applyProtection="1">
      <alignment horizontal="right"/>
      <protection hidden="1"/>
    </xf>
    <xf numFmtId="1" fontId="43" fillId="27" borderId="0" xfId="0" applyNumberFormat="1" applyFont="1" applyFill="1" applyAlignment="1" applyProtection="1">
      <alignment vertical="center" wrapText="1"/>
      <protection hidden="1"/>
    </xf>
    <xf numFmtId="1" fontId="3" fillId="27" borderId="0" xfId="0" applyNumberFormat="1" applyFont="1" applyFill="1" applyAlignment="1" applyProtection="1">
      <alignment horizontal="center" vertical="center" wrapText="1"/>
      <protection hidden="1"/>
    </xf>
    <xf numFmtId="1" fontId="0" fillId="27" borderId="0" xfId="0" applyNumberFormat="1" applyFill="1" applyAlignment="1" applyProtection="1">
      <alignment vertical="center" wrapText="1"/>
      <protection hidden="1"/>
    </xf>
    <xf numFmtId="0" fontId="0" fillId="0" borderId="25" xfId="0" applyBorder="1" applyAlignment="1" applyProtection="1">
      <alignment horizontal="center" vertical="center" wrapText="1"/>
      <protection hidden="1"/>
    </xf>
    <xf numFmtId="0" fontId="20" fillId="0" borderId="35" xfId="0" applyFont="1" applyBorder="1" applyAlignment="1" applyProtection="1">
      <alignment horizontal="center" textRotation="90"/>
      <protection hidden="1"/>
    </xf>
    <xf numFmtId="0" fontId="0" fillId="0" borderId="36" xfId="0" applyBorder="1" applyAlignment="1" applyProtection="1">
      <alignment horizontal="center" vertical="center"/>
      <protection hidden="1"/>
    </xf>
    <xf numFmtId="0" fontId="0" fillId="0" borderId="24" xfId="0" applyBorder="1" applyAlignment="1" applyProtection="1">
      <alignment horizontal="center" vertical="center" wrapText="1"/>
      <protection hidden="1"/>
    </xf>
    <xf numFmtId="0" fontId="3" fillId="0" borderId="29" xfId="0" applyFont="1" applyBorder="1" applyAlignment="1" applyProtection="1">
      <alignment horizontal="center" vertical="center" wrapText="1"/>
      <protection hidden="1"/>
    </xf>
    <xf numFmtId="1" fontId="3" fillId="0" borderId="0" xfId="0" applyNumberFormat="1" applyFont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3" fillId="0" borderId="74" xfId="0" applyFont="1" applyBorder="1" applyAlignment="1" applyProtection="1">
      <alignment horizontal="center" vertical="center" wrapText="1"/>
      <protection hidden="1"/>
    </xf>
    <xf numFmtId="0" fontId="17" fillId="8" borderId="33" xfId="0" applyFont="1" applyFill="1" applyBorder="1" applyAlignment="1" applyProtection="1">
      <alignment horizontal="center" vertical="center" wrapText="1"/>
      <protection hidden="1"/>
    </xf>
    <xf numFmtId="0" fontId="0" fillId="0" borderId="9" xfId="0" applyBorder="1" applyAlignment="1" applyProtection="1">
      <alignment vertical="center" wrapText="1"/>
      <protection hidden="1"/>
    </xf>
    <xf numFmtId="1" fontId="62" fillId="7" borderId="1" xfId="0" applyNumberFormat="1" applyFont="1" applyFill="1" applyBorder="1" applyAlignment="1" applyProtection="1">
      <alignment horizontal="right"/>
      <protection hidden="1"/>
    </xf>
    <xf numFmtId="0" fontId="17" fillId="8" borderId="1" xfId="0" applyFont="1" applyFill="1" applyBorder="1" applyAlignment="1" applyProtection="1">
      <alignment horizontal="center" vertical="center" wrapText="1"/>
      <protection hidden="1"/>
    </xf>
    <xf numFmtId="0" fontId="17" fillId="8" borderId="62" xfId="0" applyFont="1" applyFill="1" applyBorder="1" applyAlignment="1" applyProtection="1">
      <alignment horizontal="center" vertical="center" wrapText="1"/>
      <protection hidden="1"/>
    </xf>
    <xf numFmtId="1" fontId="0" fillId="0" borderId="0" xfId="0" applyNumberFormat="1" applyAlignment="1" applyProtection="1">
      <alignment vertical="center" wrapText="1"/>
      <protection hidden="1"/>
    </xf>
    <xf numFmtId="1" fontId="10" fillId="5" borderId="43" xfId="0" applyNumberFormat="1" applyFont="1" applyFill="1" applyBorder="1" applyAlignment="1" applyProtection="1">
      <alignment horizontal="center" vertical="center" wrapText="1"/>
      <protection hidden="1"/>
    </xf>
    <xf numFmtId="1" fontId="44" fillId="5" borderId="28" xfId="0" applyNumberFormat="1" applyFont="1" applyFill="1" applyBorder="1" applyAlignment="1" applyProtection="1">
      <alignment horizontal="center"/>
      <protection hidden="1"/>
    </xf>
    <xf numFmtId="0" fontId="55" fillId="18" borderId="30" xfId="0" applyFont="1" applyFill="1" applyBorder="1" applyAlignment="1" applyProtection="1">
      <alignment horizontal="center" vertical="center" wrapText="1"/>
      <protection hidden="1"/>
    </xf>
    <xf numFmtId="0" fontId="55" fillId="0" borderId="32" xfId="0" applyFont="1" applyBorder="1" applyAlignment="1" applyProtection="1">
      <alignment horizontal="center" vertical="center" wrapText="1"/>
      <protection hidden="1"/>
    </xf>
    <xf numFmtId="0" fontId="10" fillId="9" borderId="0" xfId="0" applyFont="1" applyFill="1" applyAlignment="1" applyProtection="1">
      <alignment horizontal="center" vertical="center" wrapText="1"/>
      <protection hidden="1"/>
    </xf>
    <xf numFmtId="0" fontId="12" fillId="9" borderId="0" xfId="0" applyFont="1" applyFill="1" applyAlignment="1" applyProtection="1">
      <alignment horizontal="center" vertical="center" wrapText="1"/>
      <protection hidden="1"/>
    </xf>
    <xf numFmtId="0" fontId="3" fillId="9" borderId="0" xfId="0" applyFont="1" applyFill="1" applyAlignment="1" applyProtection="1">
      <alignment horizontal="center" vertical="center" wrapText="1"/>
      <protection hidden="1"/>
    </xf>
    <xf numFmtId="0" fontId="55" fillId="9" borderId="0" xfId="0" applyFont="1" applyFill="1" applyAlignment="1" applyProtection="1">
      <alignment horizontal="center" vertical="center" wrapText="1"/>
      <protection hidden="1"/>
    </xf>
    <xf numFmtId="0" fontId="55" fillId="9" borderId="29" xfId="0" applyFont="1" applyFill="1" applyBorder="1" applyAlignment="1" applyProtection="1">
      <alignment horizontal="center" vertical="center" wrapText="1"/>
      <protection hidden="1"/>
    </xf>
    <xf numFmtId="1" fontId="0" fillId="0" borderId="31" xfId="0" applyNumberFormat="1" applyBorder="1" applyAlignment="1" applyProtection="1">
      <alignment horizontal="center" vertical="center" wrapText="1"/>
      <protection hidden="1"/>
    </xf>
    <xf numFmtId="0" fontId="12" fillId="8" borderId="30" xfId="0" applyFont="1" applyFill="1" applyBorder="1" applyAlignment="1" applyProtection="1">
      <alignment vertical="center" wrapText="1"/>
      <protection hidden="1"/>
    </xf>
    <xf numFmtId="1" fontId="0" fillId="0" borderId="41" xfId="0" applyNumberFormat="1" applyBorder="1" applyAlignment="1" applyProtection="1">
      <alignment horizontal="center" vertical="center" wrapText="1"/>
      <protection hidden="1"/>
    </xf>
    <xf numFmtId="1" fontId="12" fillId="8" borderId="68" xfId="0" applyNumberFormat="1" applyFont="1" applyFill="1" applyBorder="1" applyAlignment="1" applyProtection="1">
      <alignment horizontal="center" vertical="center" wrapText="1"/>
      <protection hidden="1"/>
    </xf>
    <xf numFmtId="0" fontId="10" fillId="5" borderId="43" xfId="0" applyFont="1" applyFill="1" applyBorder="1" applyAlignment="1" applyProtection="1">
      <alignment horizontal="center" vertical="center" wrapText="1"/>
      <protection hidden="1"/>
    </xf>
    <xf numFmtId="1" fontId="0" fillId="9" borderId="18" xfId="0" applyNumberFormat="1" applyFill="1" applyBorder="1" applyAlignment="1" applyProtection="1">
      <alignment vertical="center" wrapText="1"/>
      <protection hidden="1"/>
    </xf>
    <xf numFmtId="1" fontId="0" fillId="9" borderId="18" xfId="0" applyNumberFormat="1" applyFill="1" applyBorder="1" applyAlignment="1" applyProtection="1">
      <alignment horizontal="center" vertical="center" wrapText="1"/>
      <protection hidden="1"/>
    </xf>
    <xf numFmtId="1" fontId="12" fillId="9" borderId="18" xfId="0" applyNumberFormat="1" applyFont="1" applyFill="1" applyBorder="1" applyAlignment="1" applyProtection="1">
      <alignment horizontal="center" vertical="center" wrapText="1"/>
      <protection hidden="1"/>
    </xf>
    <xf numFmtId="0" fontId="0" fillId="9" borderId="18" xfId="0" applyFill="1" applyBorder="1" applyAlignment="1" applyProtection="1">
      <alignment horizontal="center" vertical="center" wrapText="1"/>
      <protection hidden="1"/>
    </xf>
    <xf numFmtId="0" fontId="0" fillId="9" borderId="19" xfId="0" applyFill="1" applyBorder="1" applyAlignment="1" applyProtection="1">
      <alignment vertical="center" wrapText="1"/>
      <protection hidden="1"/>
    </xf>
    <xf numFmtId="0" fontId="49" fillId="5" borderId="43" xfId="0" applyFont="1" applyFill="1" applyBorder="1" applyAlignment="1" applyProtection="1">
      <alignment horizontal="center" vertical="center" wrapText="1"/>
      <protection hidden="1"/>
    </xf>
    <xf numFmtId="0" fontId="49" fillId="5" borderId="75" xfId="0" applyFont="1" applyFill="1" applyBorder="1" applyAlignment="1" applyProtection="1">
      <alignment horizontal="center" vertical="center" wrapText="1"/>
      <protection hidden="1"/>
    </xf>
    <xf numFmtId="1" fontId="48" fillId="5" borderId="28" xfId="0" applyNumberFormat="1" applyFont="1" applyFill="1" applyBorder="1" applyAlignment="1" applyProtection="1">
      <alignment horizontal="center"/>
      <protection hidden="1"/>
    </xf>
    <xf numFmtId="1" fontId="48" fillId="5" borderId="19" xfId="0" applyNumberFormat="1" applyFont="1" applyFill="1" applyBorder="1" applyAlignment="1" applyProtection="1">
      <alignment horizontal="center"/>
      <protection hidden="1"/>
    </xf>
    <xf numFmtId="1" fontId="48" fillId="0" borderId="28" xfId="0" applyNumberFormat="1" applyFont="1" applyBorder="1" applyAlignment="1" applyProtection="1">
      <alignment horizontal="center"/>
      <protection hidden="1"/>
    </xf>
    <xf numFmtId="174" fontId="48" fillId="0" borderId="28" xfId="0" applyNumberFormat="1" applyFont="1" applyBorder="1" applyAlignment="1" applyProtection="1">
      <alignment horizontal="center"/>
      <protection hidden="1"/>
    </xf>
    <xf numFmtId="9" fontId="49" fillId="0" borderId="0" xfId="12" applyFont="1" applyProtection="1">
      <protection hidden="1"/>
    </xf>
    <xf numFmtId="0" fontId="54" fillId="9" borderId="17" xfId="0" applyFont="1" applyFill="1" applyBorder="1" applyAlignment="1" applyProtection="1">
      <alignment vertical="center" textRotation="90"/>
      <protection hidden="1"/>
    </xf>
    <xf numFmtId="0" fontId="10" fillId="9" borderId="18" xfId="0" applyFont="1" applyFill="1" applyBorder="1" applyAlignment="1" applyProtection="1">
      <alignment vertical="center" wrapText="1"/>
      <protection hidden="1"/>
    </xf>
    <xf numFmtId="0" fontId="0" fillId="9" borderId="18" xfId="0" applyFill="1" applyBorder="1" applyAlignment="1" applyProtection="1">
      <alignment vertical="center" wrapText="1"/>
      <protection hidden="1"/>
    </xf>
    <xf numFmtId="0" fontId="0" fillId="9" borderId="18" xfId="0" applyFill="1" applyBorder="1" applyProtection="1">
      <protection hidden="1"/>
    </xf>
    <xf numFmtId="1" fontId="3" fillId="9" borderId="18" xfId="0" applyNumberFormat="1" applyFont="1" applyFill="1" applyBorder="1" applyAlignment="1" applyProtection="1">
      <alignment vertical="center" wrapText="1"/>
      <protection hidden="1"/>
    </xf>
    <xf numFmtId="0" fontId="0" fillId="9" borderId="3" xfId="0" applyFill="1" applyBorder="1" applyAlignment="1" applyProtection="1">
      <alignment horizontal="center" vertical="center" wrapText="1"/>
      <protection hidden="1"/>
    </xf>
    <xf numFmtId="0" fontId="0" fillId="9" borderId="76" xfId="0" applyFill="1" applyBorder="1" applyAlignment="1" applyProtection="1">
      <alignment vertical="center" wrapText="1"/>
      <protection hidden="1"/>
    </xf>
    <xf numFmtId="0" fontId="63" fillId="7" borderId="1" xfId="0" applyFont="1" applyFill="1" applyBorder="1" applyAlignment="1" applyProtection="1">
      <alignment horizontal="center" vertical="center"/>
      <protection hidden="1"/>
    </xf>
    <xf numFmtId="0" fontId="12" fillId="8" borderId="1" xfId="0" applyFont="1" applyFill="1" applyBorder="1" applyAlignment="1" applyProtection="1">
      <alignment vertical="center" wrapText="1"/>
      <protection hidden="1"/>
    </xf>
    <xf numFmtId="1" fontId="0" fillId="0" borderId="1" xfId="0" applyNumberFormat="1" applyBorder="1" applyAlignment="1" applyProtection="1">
      <alignment horizontal="center" vertical="center" wrapText="1"/>
      <protection hidden="1"/>
    </xf>
    <xf numFmtId="0" fontId="32" fillId="0" borderId="0" xfId="0" applyFont="1" applyAlignment="1" applyProtection="1">
      <alignment horizontal="center" wrapText="1"/>
      <protection hidden="1"/>
    </xf>
    <xf numFmtId="0" fontId="0" fillId="6" borderId="1" xfId="0" applyFill="1" applyBorder="1" applyAlignment="1" applyProtection="1">
      <alignment horizontal="center" vertical="center"/>
      <protection hidden="1"/>
    </xf>
    <xf numFmtId="1" fontId="12" fillId="8" borderId="1" xfId="0" applyNumberFormat="1" applyFont="1" applyFill="1" applyBorder="1" applyAlignment="1" applyProtection="1">
      <alignment horizontal="center" vertical="center" wrapText="1"/>
      <protection hidden="1"/>
    </xf>
    <xf numFmtId="1" fontId="12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Alignment="1" applyProtection="1">
      <alignment vertical="center" wrapText="1"/>
      <protection hidden="1"/>
    </xf>
    <xf numFmtId="0" fontId="0" fillId="3" borderId="0" xfId="0" applyFill="1" applyProtection="1">
      <protection hidden="1"/>
    </xf>
    <xf numFmtId="1" fontId="44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27" borderId="0" xfId="0" applyFont="1" applyFill="1" applyAlignment="1" applyProtection="1">
      <alignment horizontal="center" vertical="center" wrapText="1"/>
      <protection hidden="1"/>
    </xf>
    <xf numFmtId="0" fontId="5" fillId="27" borderId="0" xfId="0" applyFont="1" applyFill="1" applyAlignment="1" applyProtection="1">
      <alignment horizontal="center" vertical="center" wrapText="1"/>
      <protection hidden="1"/>
    </xf>
    <xf numFmtId="1" fontId="12" fillId="27" borderId="0" xfId="0" applyNumberFormat="1" applyFont="1" applyFill="1" applyAlignment="1" applyProtection="1">
      <alignment horizontal="center" vertical="center" wrapText="1"/>
      <protection hidden="1"/>
    </xf>
    <xf numFmtId="0" fontId="54" fillId="27" borderId="34" xfId="0" applyFont="1" applyFill="1" applyBorder="1" applyAlignment="1" applyProtection="1">
      <alignment horizontal="center" vertical="center" textRotation="90"/>
      <protection hidden="1"/>
    </xf>
    <xf numFmtId="0" fontId="54" fillId="9" borderId="34" xfId="0" applyFont="1" applyFill="1" applyBorder="1" applyAlignment="1" applyProtection="1">
      <alignment vertical="center" textRotation="90"/>
      <protection hidden="1"/>
    </xf>
    <xf numFmtId="0" fontId="33" fillId="9" borderId="1" xfId="0" applyFont="1" applyFill="1" applyBorder="1" applyAlignment="1" applyProtection="1">
      <alignment textRotation="90"/>
      <protection hidden="1"/>
    </xf>
    <xf numFmtId="1" fontId="5" fillId="9" borderId="1" xfId="0" applyNumberFormat="1" applyFont="1" applyFill="1" applyBorder="1" applyProtection="1">
      <protection hidden="1"/>
    </xf>
    <xf numFmtId="1" fontId="43" fillId="3" borderId="1" xfId="0" applyNumberFormat="1" applyFont="1" applyFill="1" applyBorder="1" applyProtection="1">
      <protection hidden="1"/>
    </xf>
    <xf numFmtId="1" fontId="5" fillId="9" borderId="9" xfId="0" applyNumberFormat="1" applyFont="1" applyFill="1" applyBorder="1" applyProtection="1">
      <protection hidden="1"/>
    </xf>
    <xf numFmtId="1" fontId="5" fillId="9" borderId="0" xfId="0" applyNumberFormat="1" applyFont="1" applyFill="1" applyProtection="1">
      <protection hidden="1"/>
    </xf>
    <xf numFmtId="0" fontId="33" fillId="7" borderId="1" xfId="0" applyFont="1" applyFill="1" applyBorder="1" applyAlignment="1" applyProtection="1">
      <alignment horizontal="center" textRotation="90"/>
      <protection hidden="1"/>
    </xf>
    <xf numFmtId="1" fontId="5" fillId="3" borderId="1" xfId="0" applyNumberFormat="1" applyFont="1" applyFill="1" applyBorder="1" applyProtection="1">
      <protection hidden="1"/>
    </xf>
    <xf numFmtId="0" fontId="33" fillId="9" borderId="1" xfId="0" applyFont="1" applyFill="1" applyBorder="1" applyAlignment="1" applyProtection="1">
      <alignment horizontal="center" textRotation="90"/>
      <protection hidden="1"/>
    </xf>
    <xf numFmtId="1" fontId="3" fillId="9" borderId="0" xfId="0" applyNumberFormat="1" applyFont="1" applyFill="1" applyAlignment="1" applyProtection="1">
      <alignment vertical="center" wrapText="1"/>
      <protection hidden="1"/>
    </xf>
    <xf numFmtId="1" fontId="0" fillId="9" borderId="0" xfId="0" applyNumberFormat="1" applyFill="1" applyProtection="1">
      <protection hidden="1"/>
    </xf>
    <xf numFmtId="0" fontId="0" fillId="9" borderId="29" xfId="0" applyFill="1" applyBorder="1" applyAlignment="1" applyProtection="1">
      <alignment vertical="center" wrapText="1"/>
      <protection hidden="1"/>
    </xf>
    <xf numFmtId="0" fontId="33" fillId="9" borderId="34" xfId="0" applyFont="1" applyFill="1" applyBorder="1" applyAlignment="1" applyProtection="1">
      <alignment horizontal="center" vertical="center" textRotation="90"/>
      <protection hidden="1"/>
    </xf>
    <xf numFmtId="0" fontId="33" fillId="9" borderId="0" xfId="0" applyFont="1" applyFill="1" applyAlignment="1" applyProtection="1">
      <alignment textRotation="90"/>
      <protection hidden="1"/>
    </xf>
    <xf numFmtId="0" fontId="12" fillId="9" borderId="1" xfId="0" applyFont="1" applyFill="1" applyBorder="1" applyProtection="1">
      <protection hidden="1"/>
    </xf>
    <xf numFmtId="0" fontId="12" fillId="3" borderId="1" xfId="0" applyFont="1" applyFill="1" applyBorder="1" applyProtection="1">
      <protection hidden="1"/>
    </xf>
    <xf numFmtId="0" fontId="12" fillId="9" borderId="9" xfId="0" applyFont="1" applyFill="1" applyBorder="1" applyProtection="1">
      <protection hidden="1"/>
    </xf>
    <xf numFmtId="0" fontId="33" fillId="9" borderId="34" xfId="0" applyFont="1" applyFill="1" applyBorder="1" applyAlignment="1" applyProtection="1">
      <alignment vertical="center" textRotation="90"/>
      <protection hidden="1"/>
    </xf>
    <xf numFmtId="0" fontId="22" fillId="17" borderId="35" xfId="0" applyFont="1" applyFill="1" applyBorder="1" applyAlignment="1" applyProtection="1">
      <alignment vertical="center"/>
      <protection hidden="1"/>
    </xf>
    <xf numFmtId="0" fontId="22" fillId="17" borderId="36" xfId="0" applyFont="1" applyFill="1" applyBorder="1" applyAlignment="1" applyProtection="1">
      <alignment vertical="center"/>
      <protection hidden="1"/>
    </xf>
    <xf numFmtId="0" fontId="22" fillId="17" borderId="77" xfId="0" applyFont="1" applyFill="1" applyBorder="1" applyAlignment="1" applyProtection="1">
      <alignment vertical="center"/>
      <protection hidden="1"/>
    </xf>
    <xf numFmtId="1" fontId="43" fillId="9" borderId="31" xfId="0" applyNumberFormat="1" applyFont="1" applyFill="1" applyBorder="1" applyAlignment="1" applyProtection="1">
      <alignment vertical="center" wrapText="1"/>
      <protection hidden="1"/>
    </xf>
    <xf numFmtId="0" fontId="22" fillId="17" borderId="34" xfId="0" applyFont="1" applyFill="1" applyBorder="1" applyAlignment="1" applyProtection="1">
      <alignment vertical="center"/>
      <protection hidden="1"/>
    </xf>
    <xf numFmtId="0" fontId="22" fillId="17" borderId="0" xfId="0" applyFont="1" applyFill="1" applyAlignment="1" applyProtection="1">
      <alignment vertical="center"/>
      <protection hidden="1"/>
    </xf>
    <xf numFmtId="0" fontId="22" fillId="17" borderId="4" xfId="0" applyFont="1" applyFill="1" applyBorder="1" applyAlignment="1" applyProtection="1">
      <alignment vertical="center"/>
      <protection hidden="1"/>
    </xf>
    <xf numFmtId="1" fontId="43" fillId="9" borderId="1" xfId="0" applyNumberFormat="1" applyFont="1" applyFill="1" applyBorder="1" applyAlignment="1" applyProtection="1">
      <alignment vertical="center" wrapText="1"/>
      <protection hidden="1"/>
    </xf>
    <xf numFmtId="1" fontId="43" fillId="9" borderId="9" xfId="0" applyNumberFormat="1" applyFont="1" applyFill="1" applyBorder="1" applyAlignment="1" applyProtection="1">
      <alignment vertical="center" wrapText="1"/>
      <protection hidden="1"/>
    </xf>
    <xf numFmtId="1" fontId="43" fillId="33" borderId="1" xfId="0" applyNumberFormat="1" applyFont="1" applyFill="1" applyBorder="1" applyAlignment="1" applyProtection="1">
      <alignment vertical="center" wrapText="1"/>
      <protection hidden="1"/>
    </xf>
    <xf numFmtId="1" fontId="43" fillId="5" borderId="30" xfId="0" applyNumberFormat="1" applyFont="1" applyFill="1" applyBorder="1" applyAlignment="1" applyProtection="1">
      <alignment vertical="center" wrapText="1"/>
      <protection hidden="1"/>
    </xf>
    <xf numFmtId="1" fontId="43" fillId="5" borderId="32" xfId="0" applyNumberFormat="1" applyFont="1" applyFill="1" applyBorder="1" applyAlignment="1" applyProtection="1">
      <alignment vertical="center" wrapText="1"/>
      <protection hidden="1"/>
    </xf>
    <xf numFmtId="0" fontId="33" fillId="9" borderId="0" xfId="0" applyFont="1" applyFill="1" applyAlignment="1" applyProtection="1">
      <alignment horizontal="center" vertical="center" textRotation="90"/>
      <protection hidden="1"/>
    </xf>
    <xf numFmtId="0" fontId="0" fillId="0" borderId="18" xfId="0" applyBorder="1" applyAlignment="1" applyProtection="1">
      <alignment vertical="center" wrapText="1"/>
      <protection hidden="1"/>
    </xf>
    <xf numFmtId="1" fontId="44" fillId="0" borderId="18" xfId="0" applyNumberFormat="1" applyFont="1" applyBorder="1" applyAlignment="1" applyProtection="1">
      <alignment vertical="center" wrapText="1"/>
      <protection hidden="1"/>
    </xf>
    <xf numFmtId="1" fontId="0" fillId="0" borderId="18" xfId="0" applyNumberFormat="1" applyBorder="1" applyAlignment="1" applyProtection="1">
      <alignment vertical="center" wrapText="1"/>
      <protection hidden="1"/>
    </xf>
    <xf numFmtId="1" fontId="43" fillId="5" borderId="0" xfId="0" applyNumberFormat="1" applyFont="1" applyFill="1" applyAlignment="1" applyProtection="1">
      <alignment vertical="center" wrapText="1"/>
      <protection hidden="1"/>
    </xf>
    <xf numFmtId="0" fontId="0" fillId="0" borderId="24" xfId="0" applyBorder="1" applyAlignment="1" applyProtection="1">
      <alignment vertical="center" wrapText="1"/>
      <protection hidden="1"/>
    </xf>
    <xf numFmtId="0" fontId="3" fillId="0" borderId="26" xfId="0" applyFont="1" applyBorder="1" applyAlignment="1" applyProtection="1">
      <alignment vertical="center" wrapText="1"/>
      <protection hidden="1"/>
    </xf>
    <xf numFmtId="0" fontId="3" fillId="0" borderId="62" xfId="0" applyFont="1" applyBorder="1" applyAlignment="1" applyProtection="1">
      <alignment horizontal="center" vertical="center" wrapText="1"/>
      <protection hidden="1"/>
    </xf>
    <xf numFmtId="1" fontId="47" fillId="0" borderId="1" xfId="0" applyNumberFormat="1" applyFont="1" applyBorder="1" applyAlignment="1" applyProtection="1">
      <alignment horizontal="center" vertical="center" wrapText="1"/>
      <protection hidden="1"/>
    </xf>
    <xf numFmtId="1" fontId="47" fillId="0" borderId="1" xfId="0" applyNumberFormat="1" applyFont="1" applyBorder="1" applyAlignment="1" applyProtection="1">
      <alignment vertical="center" wrapText="1"/>
      <protection hidden="1"/>
    </xf>
    <xf numFmtId="1" fontId="0" fillId="0" borderId="1" xfId="0" applyNumberFormat="1" applyBorder="1" applyAlignment="1" applyProtection="1">
      <alignment vertical="center" wrapText="1"/>
      <protection hidden="1"/>
    </xf>
    <xf numFmtId="0" fontId="12" fillId="0" borderId="58" xfId="0" applyFont="1" applyBorder="1" applyAlignment="1" applyProtection="1">
      <alignment horizontal="center" vertical="center" wrapText="1"/>
      <protection hidden="1"/>
    </xf>
    <xf numFmtId="0" fontId="12" fillId="8" borderId="62" xfId="0" applyFont="1" applyFill="1" applyBorder="1" applyAlignment="1" applyProtection="1">
      <alignment horizontal="center" vertical="center" wrapText="1"/>
      <protection hidden="1"/>
    </xf>
    <xf numFmtId="0" fontId="43" fillId="8" borderId="66" xfId="0" applyFont="1" applyFill="1" applyBorder="1" applyAlignment="1" applyProtection="1">
      <alignment vertical="center" wrapText="1"/>
      <protection hidden="1"/>
    </xf>
    <xf numFmtId="0" fontId="43" fillId="21" borderId="1" xfId="0" applyFont="1" applyFill="1" applyBorder="1" applyProtection="1">
      <protection hidden="1"/>
    </xf>
    <xf numFmtId="0" fontId="5" fillId="8" borderId="1" xfId="0" applyFont="1" applyFill="1" applyBorder="1" applyAlignment="1" applyProtection="1">
      <alignment horizontal="right" vertical="center" wrapText="1"/>
      <protection hidden="1"/>
    </xf>
    <xf numFmtId="0" fontId="43" fillId="8" borderId="62" xfId="0" applyFont="1" applyFill="1" applyBorder="1" applyAlignment="1" applyProtection="1">
      <alignment vertical="center" wrapText="1"/>
      <protection hidden="1"/>
    </xf>
    <xf numFmtId="0" fontId="43" fillId="8" borderId="68" xfId="0" applyFont="1" applyFill="1" applyBorder="1" applyAlignment="1" applyProtection="1">
      <alignment vertical="center" wrapText="1"/>
      <protection hidden="1"/>
    </xf>
    <xf numFmtId="0" fontId="43" fillId="21" borderId="33" xfId="0" applyFont="1" applyFill="1" applyBorder="1" applyProtection="1">
      <protection hidden="1"/>
    </xf>
    <xf numFmtId="0" fontId="12" fillId="9" borderId="62" xfId="0" applyFont="1" applyFill="1" applyBorder="1" applyAlignment="1" applyProtection="1">
      <alignment horizontal="center" vertical="center" wrapText="1"/>
      <protection hidden="1"/>
    </xf>
    <xf numFmtId="2" fontId="5" fillId="9" borderId="6" xfId="0" applyNumberFormat="1" applyFont="1" applyFill="1" applyBorder="1" applyAlignment="1" applyProtection="1">
      <alignment horizontal="center" vertical="center" wrapText="1"/>
      <protection hidden="1"/>
    </xf>
    <xf numFmtId="0" fontId="78" fillId="0" borderId="0" xfId="0" applyFont="1" applyAlignment="1" applyProtection="1">
      <alignment horizontal="center" vertical="center" textRotation="90"/>
      <protection hidden="1"/>
    </xf>
    <xf numFmtId="0" fontId="12" fillId="0" borderId="0" xfId="0" applyFont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center"/>
      <protection hidden="1"/>
    </xf>
    <xf numFmtId="2" fontId="50" fillId="0" borderId="0" xfId="0" applyNumberFormat="1" applyFont="1" applyAlignment="1" applyProtection="1">
      <alignment horizontal="center" vertical="center" wrapText="1"/>
      <protection hidden="1"/>
    </xf>
    <xf numFmtId="2" fontId="5" fillId="0" borderId="0" xfId="0" applyNumberFormat="1" applyFont="1" applyAlignment="1" applyProtection="1">
      <alignment horizontal="center" vertical="center" wrapText="1"/>
      <protection hidden="1"/>
    </xf>
    <xf numFmtId="0" fontId="5" fillId="0" borderId="62" xfId="0" applyFont="1" applyBorder="1" applyAlignment="1" applyProtection="1">
      <alignment vertical="center" wrapText="1"/>
      <protection hidden="1"/>
    </xf>
    <xf numFmtId="0" fontId="5" fillId="30" borderId="0" xfId="0" applyFont="1" applyFill="1" applyAlignment="1" applyProtection="1">
      <alignment horizontal="center" vertical="center" wrapText="1"/>
      <protection hidden="1"/>
    </xf>
    <xf numFmtId="0" fontId="5" fillId="30" borderId="3" xfId="0" applyFont="1" applyFill="1" applyBorder="1" applyAlignment="1" applyProtection="1">
      <alignment vertical="center" wrapText="1"/>
      <protection hidden="1"/>
    </xf>
    <xf numFmtId="0" fontId="43" fillId="2" borderId="1" xfId="0" applyFont="1" applyFill="1" applyBorder="1" applyAlignment="1" applyProtection="1">
      <alignment horizontal="right" vertical="center" wrapText="1"/>
      <protection hidden="1"/>
    </xf>
    <xf numFmtId="1" fontId="47" fillId="0" borderId="26" xfId="0" applyNumberFormat="1" applyFont="1" applyBorder="1" applyAlignment="1" applyProtection="1">
      <alignment horizontal="center" vertical="center" wrapText="1"/>
      <protection hidden="1"/>
    </xf>
    <xf numFmtId="1" fontId="47" fillId="0" borderId="7" xfId="0" applyNumberFormat="1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5" fillId="51" borderId="1" xfId="0" applyFont="1" applyFill="1" applyBorder="1" applyAlignment="1" applyProtection="1">
      <alignment horizontal="center" vertical="center" wrapText="1"/>
      <protection hidden="1"/>
    </xf>
    <xf numFmtId="0" fontId="43" fillId="51" borderId="1" xfId="0" applyFont="1" applyFill="1" applyBorder="1" applyAlignment="1" applyProtection="1">
      <alignment horizontal="right" vertical="center" wrapText="1"/>
      <protection hidden="1"/>
    </xf>
    <xf numFmtId="0" fontId="43" fillId="2" borderId="0" xfId="0" applyFont="1" applyFill="1" applyAlignment="1" applyProtection="1">
      <alignment horizontal="right" vertical="center" wrapText="1"/>
      <protection hidden="1"/>
    </xf>
    <xf numFmtId="0" fontId="5" fillId="54" borderId="0" xfId="0" applyFont="1" applyFill="1" applyAlignment="1" applyProtection="1">
      <alignment horizontal="center" vertical="center" wrapText="1"/>
      <protection hidden="1"/>
    </xf>
    <xf numFmtId="0" fontId="43" fillId="54" borderId="0" xfId="0" applyFont="1" applyFill="1" applyAlignment="1" applyProtection="1">
      <alignment horizontal="right" vertical="center" wrapText="1"/>
      <protection hidden="1"/>
    </xf>
    <xf numFmtId="0" fontId="43" fillId="32" borderId="0" xfId="0" applyFont="1" applyFill="1" applyAlignment="1" applyProtection="1">
      <alignment horizontal="right" vertical="center" wrapText="1"/>
      <protection hidden="1"/>
    </xf>
    <xf numFmtId="0" fontId="43" fillId="55" borderId="0" xfId="0" applyFont="1" applyFill="1" applyAlignment="1" applyProtection="1">
      <alignment horizontal="right" vertical="center" wrapText="1"/>
      <protection hidden="1"/>
    </xf>
    <xf numFmtId="0" fontId="139" fillId="0" borderId="0" xfId="0" applyFont="1" applyAlignment="1" applyProtection="1">
      <alignment horizontal="center" vertical="center" textRotation="90"/>
      <protection hidden="1"/>
    </xf>
    <xf numFmtId="0" fontId="44" fillId="0" borderId="0" xfId="0" applyFont="1" applyAlignment="1" applyProtection="1">
      <alignment horizontal="center" vertical="center" wrapText="1"/>
      <protection hidden="1"/>
    </xf>
    <xf numFmtId="0" fontId="44" fillId="0" borderId="0" xfId="0" applyFont="1" applyAlignment="1" applyProtection="1">
      <alignment horizontal="center"/>
      <protection hidden="1"/>
    </xf>
    <xf numFmtId="0" fontId="44" fillId="0" borderId="3" xfId="0" applyFont="1" applyBorder="1" applyAlignment="1" applyProtection="1">
      <alignment vertical="center" wrapText="1"/>
      <protection hidden="1"/>
    </xf>
    <xf numFmtId="2" fontId="44" fillId="0" borderId="0" xfId="0" applyNumberFormat="1" applyFont="1" applyAlignment="1" applyProtection="1">
      <alignment horizontal="center" vertical="center" wrapText="1"/>
      <protection hidden="1"/>
    </xf>
    <xf numFmtId="0" fontId="48" fillId="0" borderId="0" xfId="0" applyFont="1" applyAlignment="1" applyProtection="1">
      <alignment vertical="center" wrapText="1"/>
      <protection hidden="1"/>
    </xf>
    <xf numFmtId="0" fontId="48" fillId="0" borderId="0" xfId="0" applyFont="1" applyProtection="1">
      <protection hidden="1"/>
    </xf>
    <xf numFmtId="0" fontId="68" fillId="9" borderId="0" xfId="0" applyFont="1" applyFill="1" applyAlignment="1" applyProtection="1">
      <alignment horizontal="center" vertical="center" textRotation="90"/>
      <protection hidden="1"/>
    </xf>
    <xf numFmtId="0" fontId="43" fillId="9" borderId="0" xfId="0" applyFont="1" applyFill="1" applyAlignment="1" applyProtection="1">
      <alignment horizontal="center"/>
      <protection hidden="1"/>
    </xf>
    <xf numFmtId="2" fontId="5" fillId="9" borderId="0" xfId="0" applyNumberFormat="1" applyFont="1" applyFill="1" applyAlignment="1" applyProtection="1">
      <alignment horizontal="center" vertical="center" wrapText="1"/>
      <protection hidden="1"/>
    </xf>
    <xf numFmtId="0" fontId="48" fillId="0" borderId="0" xfId="0" applyFont="1" applyAlignment="1" applyProtection="1">
      <alignment horizontal="center"/>
      <protection hidden="1"/>
    </xf>
    <xf numFmtId="0" fontId="42" fillId="0" borderId="1" xfId="0" applyFont="1" applyBorder="1" applyAlignment="1" applyProtection="1">
      <alignment horizontal="center" vertical="center" wrapText="1"/>
      <protection hidden="1"/>
    </xf>
    <xf numFmtId="0" fontId="42" fillId="0" borderId="7" xfId="0" applyFont="1" applyBorder="1" applyAlignment="1" applyProtection="1">
      <alignment horizontal="center" vertical="center" wrapText="1"/>
      <protection hidden="1"/>
    </xf>
    <xf numFmtId="0" fontId="50" fillId="0" borderId="1" xfId="0" applyFont="1" applyBorder="1" applyAlignment="1" applyProtection="1">
      <alignment horizontal="center"/>
      <protection hidden="1"/>
    </xf>
    <xf numFmtId="1" fontId="151" fillId="0" borderId="1" xfId="0" applyNumberFormat="1" applyFont="1" applyBorder="1" applyAlignment="1" applyProtection="1">
      <alignment horizontal="center" vertical="center" wrapText="1"/>
      <protection hidden="1"/>
    </xf>
    <xf numFmtId="1" fontId="55" fillId="0" borderId="0" xfId="0" applyNumberFormat="1" applyFont="1" applyProtection="1">
      <protection hidden="1"/>
    </xf>
    <xf numFmtId="2" fontId="48" fillId="0" borderId="1" xfId="0" applyNumberFormat="1" applyFont="1" applyBorder="1" applyAlignment="1" applyProtection="1">
      <alignment horizontal="center" vertical="center" wrapText="1"/>
      <protection hidden="1"/>
    </xf>
    <xf numFmtId="0" fontId="48" fillId="0" borderId="28" xfId="0" applyFont="1" applyBorder="1" applyAlignment="1" applyProtection="1">
      <alignment horizontal="center" vertical="center" wrapText="1"/>
      <protection hidden="1"/>
    </xf>
    <xf numFmtId="0" fontId="48" fillId="0" borderId="1" xfId="0" applyFont="1" applyBorder="1" applyAlignment="1" applyProtection="1">
      <alignment horizontal="center" vertical="center" wrapText="1"/>
      <protection hidden="1"/>
    </xf>
    <xf numFmtId="1" fontId="151" fillId="33" borderId="1" xfId="0" applyNumberFormat="1" applyFont="1" applyFill="1" applyBorder="1" applyAlignment="1" applyProtection="1">
      <alignment horizontal="center" vertical="center" wrapText="1"/>
      <protection hidden="1"/>
    </xf>
    <xf numFmtId="1" fontId="48" fillId="0" borderId="0" xfId="0" applyNumberFormat="1" applyFont="1" applyProtection="1">
      <protection hidden="1"/>
    </xf>
    <xf numFmtId="0" fontId="48" fillId="0" borderId="1" xfId="0" applyFont="1" applyBorder="1" applyAlignment="1" applyProtection="1">
      <alignment vertical="center" wrapText="1"/>
      <protection hidden="1"/>
    </xf>
    <xf numFmtId="0" fontId="140" fillId="0" borderId="1" xfId="0" applyFont="1" applyBorder="1" applyAlignment="1" applyProtection="1">
      <alignment vertical="center" wrapText="1"/>
      <protection hidden="1"/>
    </xf>
    <xf numFmtId="0" fontId="182" fillId="0" borderId="28" xfId="0" applyFont="1" applyBorder="1" applyAlignment="1" applyProtection="1">
      <alignment horizontal="center" vertical="center" wrapText="1"/>
      <protection hidden="1"/>
    </xf>
    <xf numFmtId="0" fontId="182" fillId="0" borderId="1" xfId="0" applyFont="1" applyBorder="1" applyAlignment="1" applyProtection="1">
      <alignment horizontal="center" vertical="center" wrapText="1"/>
      <protection hidden="1"/>
    </xf>
    <xf numFmtId="2" fontId="0" fillId="0" borderId="0" xfId="0" applyNumberFormat="1" applyAlignment="1" applyProtection="1">
      <alignment vertical="center" wrapText="1"/>
      <protection hidden="1"/>
    </xf>
    <xf numFmtId="1" fontId="182" fillId="0" borderId="28" xfId="0" applyNumberFormat="1" applyFont="1" applyBorder="1" applyAlignment="1" applyProtection="1">
      <alignment horizontal="center" vertical="center" wrapText="1"/>
      <protection hidden="1"/>
    </xf>
    <xf numFmtId="1" fontId="182" fillId="0" borderId="1" xfId="0" applyNumberFormat="1" applyFont="1" applyBorder="1" applyAlignment="1" applyProtection="1">
      <alignment horizontal="center" vertical="center" wrapText="1"/>
      <protection hidden="1"/>
    </xf>
    <xf numFmtId="2" fontId="182" fillId="0" borderId="28" xfId="0" applyNumberFormat="1" applyFont="1" applyBorder="1" applyAlignment="1" applyProtection="1">
      <alignment horizontal="center" vertical="center" wrapText="1"/>
      <protection hidden="1"/>
    </xf>
    <xf numFmtId="2" fontId="182" fillId="0" borderId="1" xfId="0" applyNumberFormat="1" applyFont="1" applyBorder="1" applyAlignment="1" applyProtection="1">
      <alignment horizontal="center" vertical="center" wrapText="1"/>
      <protection hidden="1"/>
    </xf>
    <xf numFmtId="2" fontId="48" fillId="0" borderId="0" xfId="0" applyNumberFormat="1" applyFont="1" applyAlignment="1" applyProtection="1">
      <alignment horizontal="center" vertical="center" wrapText="1"/>
      <protection hidden="1"/>
    </xf>
    <xf numFmtId="1" fontId="48" fillId="0" borderId="0" xfId="0" applyNumberFormat="1" applyFont="1" applyAlignment="1" applyProtection="1">
      <alignment horizontal="center" vertical="center" wrapText="1"/>
      <protection hidden="1"/>
    </xf>
    <xf numFmtId="1" fontId="151" fillId="0" borderId="0" xfId="0" applyNumberFormat="1" applyFont="1" applyAlignment="1" applyProtection="1">
      <alignment horizontal="center" vertical="center" wrapText="1"/>
      <protection hidden="1"/>
    </xf>
    <xf numFmtId="2" fontId="151" fillId="32" borderId="1" xfId="0" applyNumberFormat="1" applyFont="1" applyFill="1" applyBorder="1" applyProtection="1">
      <protection hidden="1"/>
    </xf>
    <xf numFmtId="168" fontId="183" fillId="32" borderId="1" xfId="0" applyNumberFormat="1" applyFont="1" applyFill="1" applyBorder="1" applyAlignment="1" applyProtection="1">
      <alignment horizontal="center" vertical="center" wrapText="1"/>
      <protection hidden="1"/>
    </xf>
    <xf numFmtId="166" fontId="48" fillId="0" borderId="1" xfId="0" applyNumberFormat="1" applyFont="1" applyBorder="1" applyAlignment="1" applyProtection="1">
      <alignment vertical="center" wrapText="1"/>
      <protection hidden="1"/>
    </xf>
    <xf numFmtId="0" fontId="1" fillId="0" borderId="0" xfId="0" applyFont="1" applyProtection="1">
      <protection hidden="1"/>
    </xf>
    <xf numFmtId="1" fontId="151" fillId="33" borderId="0" xfId="0" applyNumberFormat="1" applyFont="1" applyFill="1" applyAlignment="1" applyProtection="1">
      <alignment horizontal="center" vertical="center" wrapText="1"/>
      <protection hidden="1"/>
    </xf>
    <xf numFmtId="1" fontId="42" fillId="9" borderId="0" xfId="0" applyNumberFormat="1" applyFont="1" applyFill="1" applyAlignment="1" applyProtection="1">
      <alignment vertical="center" wrapText="1"/>
      <protection hidden="1"/>
    </xf>
    <xf numFmtId="1" fontId="48" fillId="32" borderId="0" xfId="0" applyNumberFormat="1" applyFont="1" applyFill="1" applyProtection="1">
      <protection hidden="1"/>
    </xf>
    <xf numFmtId="0" fontId="184" fillId="0" borderId="0" xfId="0" applyFont="1" applyAlignment="1" applyProtection="1">
      <alignment horizontal="center" vertical="center" wrapText="1"/>
      <protection hidden="1"/>
    </xf>
    <xf numFmtId="0" fontId="185" fillId="32" borderId="0" xfId="0" applyFont="1" applyFill="1" applyAlignment="1" applyProtection="1">
      <alignment horizontal="center" vertical="center" wrapText="1"/>
      <protection hidden="1"/>
    </xf>
    <xf numFmtId="1" fontId="47" fillId="0" borderId="0" xfId="0" applyNumberFormat="1" applyFont="1" applyAlignment="1" applyProtection="1">
      <alignment vertical="center" wrapText="1"/>
      <protection hidden="1"/>
    </xf>
    <xf numFmtId="0" fontId="122" fillId="0" borderId="0" xfId="0" applyFont="1" applyAlignment="1" applyProtection="1">
      <alignment horizontal="center"/>
      <protection hidden="1"/>
    </xf>
    <xf numFmtId="10" fontId="42" fillId="0" borderId="0" xfId="12" applyNumberFormat="1" applyFont="1" applyAlignment="1" applyProtection="1">
      <alignment horizontal="center" vertical="center" wrapText="1"/>
      <protection hidden="1"/>
    </xf>
    <xf numFmtId="0" fontId="42" fillId="0" borderId="0" xfId="0" applyFont="1" applyAlignment="1" applyProtection="1">
      <alignment vertical="center" wrapText="1"/>
      <protection hidden="1"/>
    </xf>
    <xf numFmtId="1" fontId="184" fillId="0" borderId="0" xfId="0" applyNumberFormat="1" applyFont="1" applyAlignment="1" applyProtection="1">
      <alignment horizontal="center" vertical="center" wrapText="1"/>
      <protection hidden="1"/>
    </xf>
    <xf numFmtId="1" fontId="49" fillId="0" borderId="0" xfId="0" applyNumberFormat="1" applyFont="1" applyAlignment="1" applyProtection="1">
      <alignment vertical="center" wrapText="1"/>
      <protection hidden="1"/>
    </xf>
    <xf numFmtId="0" fontId="33" fillId="0" borderId="0" xfId="0" applyFont="1" applyAlignment="1" applyProtection="1">
      <alignment horizontal="center" textRotation="90"/>
      <protection hidden="1"/>
    </xf>
    <xf numFmtId="1" fontId="42" fillId="0" borderId="0" xfId="0" applyNumberFormat="1" applyFont="1" applyAlignment="1" applyProtection="1">
      <alignment vertical="center" wrapText="1"/>
      <protection hidden="1"/>
    </xf>
    <xf numFmtId="1" fontId="186" fillId="0" borderId="1" xfId="0" applyNumberFormat="1" applyFont="1" applyBorder="1" applyAlignment="1" applyProtection="1">
      <alignment vertical="center" wrapText="1"/>
      <protection hidden="1"/>
    </xf>
    <xf numFmtId="0" fontId="81" fillId="23" borderId="1" xfId="0" applyFont="1" applyFill="1" applyBorder="1" applyAlignment="1" applyProtection="1">
      <alignment horizontal="center" vertical="center" wrapText="1" readingOrder="1"/>
      <protection hidden="1"/>
    </xf>
    <xf numFmtId="1" fontId="42" fillId="0" borderId="0" xfId="0" applyNumberFormat="1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84" fillId="0" borderId="0" xfId="0" applyFont="1" applyAlignment="1" applyProtection="1">
      <alignment horizontal="left" vertical="center"/>
      <protection hidden="1"/>
    </xf>
    <xf numFmtId="1" fontId="0" fillId="0" borderId="0" xfId="0" applyNumberFormat="1" applyAlignment="1" applyProtection="1">
      <alignment horizontal="left" vertical="center"/>
      <protection hidden="1"/>
    </xf>
    <xf numFmtId="1" fontId="49" fillId="0" borderId="0" xfId="0" applyNumberFormat="1" applyFont="1" applyAlignment="1" applyProtection="1">
      <alignment horizontal="left" vertical="center"/>
      <protection hidden="1"/>
    </xf>
    <xf numFmtId="0" fontId="56" fillId="27" borderId="46" xfId="0" applyFont="1" applyFill="1" applyBorder="1" applyAlignment="1" applyProtection="1">
      <alignment horizontal="right" vertical="center" wrapText="1"/>
      <protection hidden="1"/>
    </xf>
    <xf numFmtId="0" fontId="187" fillId="0" borderId="0" xfId="0" applyFont="1" applyProtection="1">
      <protection hidden="1"/>
    </xf>
    <xf numFmtId="0" fontId="178" fillId="0" borderId="0" xfId="0" applyFont="1" applyProtection="1">
      <protection hidden="1"/>
    </xf>
    <xf numFmtId="0" fontId="188" fillId="0" borderId="0" xfId="0" applyFont="1" applyAlignment="1" applyProtection="1">
      <alignment horizontal="center"/>
      <protection hidden="1"/>
    </xf>
    <xf numFmtId="0" fontId="189" fillId="56" borderId="0" xfId="0" applyFont="1" applyFill="1" applyAlignment="1" applyProtection="1">
      <alignment vertical="center" wrapText="1"/>
      <protection hidden="1"/>
    </xf>
    <xf numFmtId="1" fontId="44" fillId="27" borderId="1" xfId="0" applyNumberFormat="1" applyFont="1" applyFill="1" applyBorder="1" applyAlignment="1" applyProtection="1">
      <alignment horizontal="center" vertical="center" wrapText="1"/>
      <protection hidden="1"/>
    </xf>
    <xf numFmtId="0" fontId="156" fillId="31" borderId="31" xfId="0" applyFont="1" applyFill="1" applyBorder="1" applyAlignment="1" applyProtection="1">
      <alignment horizontal="center" vertical="center" wrapText="1" readingOrder="1"/>
      <protection hidden="1"/>
    </xf>
    <xf numFmtId="1" fontId="49" fillId="0" borderId="7" xfId="0" applyNumberFormat="1" applyFont="1" applyBorder="1" applyAlignment="1" applyProtection="1">
      <alignment horizontal="center" vertical="center" wrapText="1"/>
      <protection hidden="1"/>
    </xf>
    <xf numFmtId="1" fontId="49" fillId="0" borderId="1" xfId="0" applyNumberFormat="1" applyFont="1" applyBorder="1" applyAlignment="1" applyProtection="1">
      <alignment horizontal="center" vertical="center" wrapText="1"/>
      <protection hidden="1"/>
    </xf>
    <xf numFmtId="1" fontId="10" fillId="30" borderId="1" xfId="0" applyNumberFormat="1" applyFont="1" applyFill="1" applyBorder="1" applyAlignment="1" applyProtection="1">
      <alignment horizontal="center" vertical="center" wrapText="1"/>
      <protection hidden="1"/>
    </xf>
    <xf numFmtId="10" fontId="0" fillId="0" borderId="0" xfId="12" applyNumberFormat="1" applyFont="1" applyAlignment="1" applyProtection="1">
      <alignment horizontal="center" vertical="center" wrapText="1"/>
      <protection hidden="1"/>
    </xf>
    <xf numFmtId="0" fontId="156" fillId="31" borderId="78" xfId="0" applyFont="1" applyFill="1" applyBorder="1" applyAlignment="1" applyProtection="1">
      <alignment horizontal="center" vertical="center" wrapText="1" readingOrder="1"/>
      <protection hidden="1"/>
    </xf>
    <xf numFmtId="0" fontId="156" fillId="31" borderId="37" xfId="0" applyFont="1" applyFill="1" applyBorder="1" applyAlignment="1" applyProtection="1">
      <alignment horizontal="center" vertical="center" wrapText="1" readingOrder="1"/>
      <protection hidden="1"/>
    </xf>
    <xf numFmtId="0" fontId="156" fillId="57" borderId="1" xfId="0" applyFont="1" applyFill="1" applyBorder="1" applyAlignment="1" applyProtection="1">
      <alignment horizontal="center" vertical="center" wrapText="1" readingOrder="1"/>
      <protection hidden="1"/>
    </xf>
    <xf numFmtId="0" fontId="81" fillId="23" borderId="79" xfId="0" applyFont="1" applyFill="1" applyBorder="1" applyAlignment="1" applyProtection="1">
      <alignment horizontal="center" vertical="center" wrapText="1" readingOrder="1"/>
      <protection hidden="1"/>
    </xf>
    <xf numFmtId="1" fontId="0" fillId="0" borderId="0" xfId="0" applyNumberFormat="1" applyAlignment="1" applyProtection="1">
      <alignment horizontal="center" vertical="center" wrapText="1"/>
      <protection hidden="1"/>
    </xf>
    <xf numFmtId="0" fontId="79" fillId="23" borderId="8" xfId="0" applyFont="1" applyFill="1" applyBorder="1" applyAlignment="1" applyProtection="1">
      <alignment vertical="center" wrapText="1" readingOrder="1"/>
      <protection hidden="1"/>
    </xf>
    <xf numFmtId="0" fontId="156" fillId="57" borderId="16" xfId="0" applyFont="1" applyFill="1" applyBorder="1" applyAlignment="1" applyProtection="1">
      <alignment vertical="center" wrapText="1" readingOrder="1"/>
      <protection hidden="1"/>
    </xf>
    <xf numFmtId="0" fontId="81" fillId="23" borderId="79" xfId="0" applyFont="1" applyFill="1" applyBorder="1" applyAlignment="1" applyProtection="1">
      <alignment vertical="center" wrapText="1" readingOrder="1"/>
      <protection hidden="1"/>
    </xf>
    <xf numFmtId="0" fontId="156" fillId="38" borderId="16" xfId="0" applyFont="1" applyFill="1" applyBorder="1" applyAlignment="1" applyProtection="1">
      <alignment vertical="center" wrapText="1" readingOrder="1"/>
      <protection hidden="1"/>
    </xf>
    <xf numFmtId="0" fontId="81" fillId="23" borderId="70" xfId="0" applyFont="1" applyFill="1" applyBorder="1" applyAlignment="1" applyProtection="1">
      <alignment vertical="center" wrapText="1" readingOrder="1"/>
      <protection hidden="1"/>
    </xf>
    <xf numFmtId="0" fontId="157" fillId="24" borderId="1" xfId="0" applyFont="1" applyFill="1" applyBorder="1" applyAlignment="1" applyProtection="1">
      <alignment horizontal="center" vertical="center" wrapText="1" readingOrder="1"/>
      <protection hidden="1"/>
    </xf>
    <xf numFmtId="0" fontId="191" fillId="41" borderId="62" xfId="0" applyFont="1" applyFill="1" applyBorder="1" applyAlignment="1" applyProtection="1">
      <alignment horizontal="center" vertical="center" wrapText="1" readingOrder="1"/>
      <protection hidden="1"/>
    </xf>
    <xf numFmtId="0" fontId="156" fillId="59" borderId="16" xfId="0" applyFont="1" applyFill="1" applyBorder="1" applyAlignment="1" applyProtection="1">
      <alignment vertical="center" wrapText="1" readingOrder="1"/>
      <protection hidden="1"/>
    </xf>
    <xf numFmtId="0" fontId="156" fillId="59" borderId="80" xfId="0" applyFont="1" applyFill="1" applyBorder="1" applyAlignment="1" applyProtection="1">
      <alignment vertical="center" wrapText="1" readingOrder="1"/>
      <protection hidden="1"/>
    </xf>
    <xf numFmtId="0" fontId="79" fillId="23" borderId="8" xfId="0" applyFont="1" applyFill="1" applyBorder="1" applyAlignment="1" applyProtection="1">
      <alignment horizontal="center" vertical="center" wrapText="1" readingOrder="1"/>
      <protection hidden="1"/>
    </xf>
    <xf numFmtId="0" fontId="192" fillId="41" borderId="19" xfId="0" applyFont="1" applyFill="1" applyBorder="1" applyAlignment="1" applyProtection="1">
      <alignment horizontal="center" vertical="center" wrapText="1" readingOrder="1"/>
      <protection hidden="1"/>
    </xf>
    <xf numFmtId="0" fontId="81" fillId="23" borderId="8" xfId="0" applyFont="1" applyFill="1" applyBorder="1" applyAlignment="1" applyProtection="1">
      <alignment vertical="center" wrapText="1" readingOrder="1"/>
      <protection hidden="1"/>
    </xf>
    <xf numFmtId="0" fontId="156" fillId="60" borderId="20" xfId="0" applyFont="1" applyFill="1" applyBorder="1" applyAlignment="1" applyProtection="1">
      <alignment vertical="center" wrapText="1" readingOrder="1"/>
      <protection hidden="1"/>
    </xf>
    <xf numFmtId="0" fontId="81" fillId="23" borderId="0" xfId="0" applyFont="1" applyFill="1" applyAlignment="1" applyProtection="1">
      <alignment vertical="center" wrapText="1" readingOrder="1"/>
      <protection hidden="1"/>
    </xf>
    <xf numFmtId="0" fontId="156" fillId="60" borderId="29" xfId="0" applyFont="1" applyFill="1" applyBorder="1" applyAlignment="1" applyProtection="1">
      <alignment vertical="center" wrapText="1" readingOrder="1"/>
      <protection hidden="1"/>
    </xf>
    <xf numFmtId="0" fontId="81" fillId="23" borderId="6" xfId="0" applyFont="1" applyFill="1" applyBorder="1" applyAlignment="1" applyProtection="1">
      <alignment horizontal="center" vertical="center" wrapText="1" readingOrder="1"/>
      <protection hidden="1"/>
    </xf>
    <xf numFmtId="0" fontId="156" fillId="31" borderId="7" xfId="0" applyFont="1" applyFill="1" applyBorder="1" applyAlignment="1" applyProtection="1">
      <alignment horizontal="center" vertical="center" wrapText="1" readingOrder="1"/>
      <protection hidden="1"/>
    </xf>
    <xf numFmtId="0" fontId="156" fillId="57" borderId="62" xfId="0" applyFont="1" applyFill="1" applyBorder="1" applyAlignment="1" applyProtection="1">
      <alignment horizontal="center" vertical="center" wrapText="1" readingOrder="1"/>
      <protection hidden="1"/>
    </xf>
    <xf numFmtId="0" fontId="156" fillId="60" borderId="0" xfId="0" applyFont="1" applyFill="1" applyAlignment="1" applyProtection="1">
      <alignment vertical="center" wrapText="1" readingOrder="1"/>
      <protection hidden="1"/>
    </xf>
    <xf numFmtId="0" fontId="157" fillId="31" borderId="7" xfId="0" applyFont="1" applyFill="1" applyBorder="1" applyAlignment="1" applyProtection="1">
      <alignment horizontal="center" vertical="center" wrapText="1" readingOrder="1"/>
      <protection hidden="1"/>
    </xf>
    <xf numFmtId="0" fontId="156" fillId="31" borderId="5" xfId="0" applyFont="1" applyFill="1" applyBorder="1" applyAlignment="1" applyProtection="1">
      <alignment horizontal="center" vertical="center" wrapText="1" readingOrder="1"/>
      <protection hidden="1"/>
    </xf>
    <xf numFmtId="0" fontId="156" fillId="31" borderId="0" xfId="0" applyFont="1" applyFill="1" applyAlignment="1" applyProtection="1">
      <alignment horizontal="center" vertical="center" wrapText="1" readingOrder="1"/>
      <protection hidden="1"/>
    </xf>
    <xf numFmtId="0" fontId="157" fillId="57" borderId="62" xfId="0" applyFont="1" applyFill="1" applyBorder="1" applyAlignment="1" applyProtection="1">
      <alignment horizontal="center" vertical="center" wrapText="1" readingOrder="1"/>
      <protection hidden="1"/>
    </xf>
    <xf numFmtId="0" fontId="156" fillId="57" borderId="17" xfId="0" applyFont="1" applyFill="1" applyBorder="1" applyAlignment="1" applyProtection="1">
      <alignment vertical="center" wrapText="1" readingOrder="1"/>
      <protection hidden="1"/>
    </xf>
    <xf numFmtId="0" fontId="156" fillId="38" borderId="17" xfId="0" applyFont="1" applyFill="1" applyBorder="1" applyAlignment="1" applyProtection="1">
      <alignment vertical="center" wrapText="1" readingOrder="1"/>
      <protection hidden="1"/>
    </xf>
    <xf numFmtId="0" fontId="190" fillId="41" borderId="62" xfId="0" applyFont="1" applyFill="1" applyBorder="1" applyAlignment="1" applyProtection="1">
      <alignment horizontal="center" vertical="center" wrapText="1" readingOrder="1"/>
      <protection hidden="1"/>
    </xf>
    <xf numFmtId="0" fontId="44" fillId="27" borderId="64" xfId="0" applyFont="1" applyFill="1" applyBorder="1" applyAlignment="1" applyProtection="1">
      <alignment horizontal="right" vertical="center" wrapText="1"/>
      <protection hidden="1"/>
    </xf>
    <xf numFmtId="0" fontId="0" fillId="0" borderId="7" xfId="0" applyBorder="1" applyAlignment="1" applyProtection="1">
      <alignment vertical="center" wrapText="1"/>
      <protection hidden="1"/>
    </xf>
    <xf numFmtId="1" fontId="49" fillId="0" borderId="7" xfId="0" applyNumberFormat="1" applyFont="1" applyBorder="1" applyProtection="1">
      <protection hidden="1"/>
    </xf>
    <xf numFmtId="0" fontId="47" fillId="0" borderId="0" xfId="0" applyFont="1" applyProtection="1">
      <protection hidden="1"/>
    </xf>
    <xf numFmtId="0" fontId="0" fillId="0" borderId="62" xfId="0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vertical="center" wrapText="1"/>
      <protection hidden="1"/>
    </xf>
    <xf numFmtId="1" fontId="49" fillId="0" borderId="1" xfId="0" applyNumberFormat="1" applyFont="1" applyBorder="1" applyAlignment="1" applyProtection="1">
      <alignment vertical="center" wrapText="1"/>
      <protection hidden="1"/>
    </xf>
    <xf numFmtId="1" fontId="122" fillId="0" borderId="0" xfId="0" applyNumberFormat="1" applyFont="1" applyAlignment="1" applyProtection="1">
      <alignment vertical="center" wrapText="1"/>
      <protection hidden="1"/>
    </xf>
    <xf numFmtId="0" fontId="0" fillId="0" borderId="1" xfId="0" applyBorder="1" applyAlignment="1" applyProtection="1">
      <alignment horizontal="left" vertical="center" wrapText="1"/>
      <protection hidden="1"/>
    </xf>
    <xf numFmtId="176" fontId="128" fillId="24" borderId="1" xfId="12" applyNumberFormat="1" applyFont="1" applyFill="1" applyBorder="1" applyProtection="1">
      <protection hidden="1"/>
    </xf>
    <xf numFmtId="0" fontId="127" fillId="0" borderId="1" xfId="0" applyFont="1" applyBorder="1" applyAlignment="1" applyProtection="1">
      <alignment horizontal="center"/>
      <protection hidden="1"/>
    </xf>
    <xf numFmtId="0" fontId="186" fillId="0" borderId="0" xfId="0" applyFont="1" applyAlignment="1" applyProtection="1">
      <alignment horizontal="center"/>
      <protection hidden="1"/>
    </xf>
    <xf numFmtId="0" fontId="193" fillId="0" borderId="0" xfId="0" applyFont="1" applyAlignment="1" applyProtection="1">
      <alignment horizontal="center"/>
      <protection hidden="1"/>
    </xf>
    <xf numFmtId="10" fontId="128" fillId="0" borderId="0" xfId="12" applyNumberFormat="1" applyFont="1" applyProtection="1">
      <protection hidden="1"/>
    </xf>
    <xf numFmtId="0" fontId="127" fillId="0" borderId="0" xfId="0" applyFont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10" fontId="24" fillId="0" borderId="0" xfId="12" applyNumberFormat="1" applyFont="1" applyProtection="1">
      <protection hidden="1"/>
    </xf>
    <xf numFmtId="0" fontId="44" fillId="0" borderId="33" xfId="0" applyFont="1" applyBorder="1" applyAlignment="1" applyProtection="1">
      <alignment horizontal="center"/>
      <protection hidden="1"/>
    </xf>
    <xf numFmtId="1" fontId="44" fillId="0" borderId="59" xfId="0" applyNumberFormat="1" applyFont="1" applyBorder="1" applyAlignment="1" applyProtection="1">
      <alignment horizontal="center"/>
      <protection hidden="1"/>
    </xf>
    <xf numFmtId="1" fontId="44" fillId="0" borderId="31" xfId="0" applyNumberFormat="1" applyFont="1" applyBorder="1" applyAlignment="1" applyProtection="1">
      <alignment horizontal="center"/>
      <protection hidden="1"/>
    </xf>
    <xf numFmtId="0" fontId="43" fillId="0" borderId="0" xfId="0" applyFont="1" applyAlignment="1" applyProtection="1">
      <alignment horizontal="center"/>
      <protection hidden="1"/>
    </xf>
    <xf numFmtId="0" fontId="43" fillId="0" borderId="0" xfId="0" applyFont="1" applyAlignment="1" applyProtection="1">
      <alignment horizontal="right" vertical="center" wrapText="1"/>
      <protection hidden="1"/>
    </xf>
    <xf numFmtId="0" fontId="194" fillId="0" borderId="0" xfId="0" applyFont="1" applyAlignment="1" applyProtection="1">
      <alignment horizontal="center" vertical="center" wrapText="1" readingOrder="1"/>
      <protection hidden="1"/>
    </xf>
    <xf numFmtId="1" fontId="44" fillId="0" borderId="10" xfId="0" applyNumberFormat="1" applyFont="1" applyBorder="1" applyAlignment="1" applyProtection="1">
      <alignment horizontal="center"/>
      <protection hidden="1"/>
    </xf>
    <xf numFmtId="1" fontId="44" fillId="0" borderId="1" xfId="0" applyNumberFormat="1" applyFont="1" applyBorder="1" applyAlignment="1" applyProtection="1">
      <alignment horizontal="center"/>
      <protection hidden="1"/>
    </xf>
    <xf numFmtId="10" fontId="44" fillId="0" borderId="9" xfId="12" applyNumberFormat="1" applyFont="1" applyBorder="1" applyAlignment="1" applyProtection="1">
      <alignment horizontal="center"/>
      <protection hidden="1"/>
    </xf>
    <xf numFmtId="0" fontId="157" fillId="60" borderId="1" xfId="0" applyFont="1" applyFill="1" applyBorder="1" applyAlignment="1" applyProtection="1">
      <alignment horizontal="center" vertical="center" wrapText="1" readingOrder="1"/>
      <protection hidden="1"/>
    </xf>
    <xf numFmtId="0" fontId="77" fillId="27" borderId="81" xfId="0" applyFont="1" applyFill="1" applyBorder="1" applyAlignment="1" applyProtection="1">
      <alignment vertical="center" textRotation="90"/>
      <protection hidden="1"/>
    </xf>
    <xf numFmtId="0" fontId="77" fillId="27" borderId="34" xfId="0" applyFont="1" applyFill="1" applyBorder="1" applyAlignment="1" applyProtection="1">
      <alignment vertical="center" textRotation="90"/>
      <protection hidden="1"/>
    </xf>
    <xf numFmtId="0" fontId="48" fillId="0" borderId="1" xfId="0" applyFont="1" applyBorder="1" applyAlignment="1" applyProtection="1">
      <alignment horizontal="center"/>
      <protection hidden="1"/>
    </xf>
    <xf numFmtId="176" fontId="127" fillId="24" borderId="61" xfId="12" applyNumberFormat="1" applyFont="1" applyFill="1" applyBorder="1" applyAlignment="1" applyProtection="1">
      <alignment horizontal="center"/>
      <protection hidden="1"/>
    </xf>
    <xf numFmtId="0" fontId="48" fillId="0" borderId="30" xfId="0" applyFont="1" applyBorder="1" applyAlignment="1" applyProtection="1">
      <alignment horizontal="center"/>
      <protection hidden="1"/>
    </xf>
    <xf numFmtId="0" fontId="48" fillId="0" borderId="32" xfId="0" applyFont="1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left"/>
      <protection hidden="1"/>
    </xf>
    <xf numFmtId="0" fontId="12" fillId="2" borderId="1" xfId="0" applyFont="1" applyFill="1" applyBorder="1" applyProtection="1">
      <protection hidden="1"/>
    </xf>
    <xf numFmtId="0" fontId="3" fillId="22" borderId="0" xfId="0" applyFont="1" applyFill="1" applyProtection="1">
      <protection hidden="1"/>
    </xf>
    <xf numFmtId="0" fontId="0" fillId="8" borderId="1" xfId="0" applyFill="1" applyBorder="1" applyProtection="1">
      <protection hidden="1"/>
    </xf>
    <xf numFmtId="0" fontId="3" fillId="22" borderId="0" xfId="0" applyFont="1" applyFill="1" applyAlignment="1" applyProtection="1">
      <alignment horizontal="center"/>
      <protection hidden="1"/>
    </xf>
    <xf numFmtId="0" fontId="3" fillId="4" borderId="24" xfId="0" applyFont="1" applyFill="1" applyBorder="1" applyAlignment="1" applyProtection="1">
      <alignment horizontal="center"/>
      <protection hidden="1"/>
    </xf>
    <xf numFmtId="0" fontId="3" fillId="4" borderId="26" xfId="0" applyFont="1" applyFill="1" applyBorder="1" applyAlignment="1" applyProtection="1">
      <alignment horizontal="center"/>
      <protection hidden="1"/>
    </xf>
    <xf numFmtId="0" fontId="3" fillId="22" borderId="4" xfId="0" applyFont="1" applyFill="1" applyBorder="1" applyProtection="1">
      <protection hidden="1"/>
    </xf>
    <xf numFmtId="1" fontId="12" fillId="2" borderId="1" xfId="4" applyNumberFormat="1" applyFont="1" applyFill="1" applyBorder="1" applyProtection="1">
      <protection hidden="1"/>
    </xf>
    <xf numFmtId="166" fontId="50" fillId="14" borderId="1" xfId="0" applyNumberFormat="1" applyFont="1" applyFill="1" applyBorder="1" applyAlignment="1" applyProtection="1">
      <alignment horizontal="center" vertical="center" wrapText="1"/>
      <protection hidden="1"/>
    </xf>
    <xf numFmtId="2" fontId="50" fillId="14" borderId="1" xfId="0" applyNumberFormat="1" applyFont="1" applyFill="1" applyBorder="1" applyAlignment="1" applyProtection="1">
      <alignment horizontal="center" vertical="center" wrapText="1"/>
      <protection hidden="1"/>
    </xf>
    <xf numFmtId="0" fontId="36" fillId="8" borderId="1" xfId="0" applyFont="1" applyFill="1" applyBorder="1" applyAlignment="1" applyProtection="1">
      <alignment horizontal="center"/>
      <protection hidden="1"/>
    </xf>
    <xf numFmtId="1" fontId="12" fillId="8" borderId="1" xfId="0" applyNumberFormat="1" applyFont="1" applyFill="1" applyBorder="1" applyProtection="1">
      <protection hidden="1"/>
    </xf>
    <xf numFmtId="0" fontId="3" fillId="8" borderId="0" xfId="0" applyFont="1" applyFill="1" applyAlignment="1" applyProtection="1">
      <alignment horizontal="left" vertical="center" wrapText="1"/>
      <protection hidden="1"/>
    </xf>
    <xf numFmtId="1" fontId="12" fillId="2" borderId="0" xfId="4" applyNumberFormat="1" applyFont="1" applyFill="1" applyProtection="1">
      <protection hidden="1"/>
    </xf>
    <xf numFmtId="166" fontId="0" fillId="0" borderId="0" xfId="0" applyNumberFormat="1" applyAlignment="1" applyProtection="1">
      <alignment horizontal="center" vertical="center" wrapText="1"/>
      <protection hidden="1"/>
    </xf>
    <xf numFmtId="2" fontId="0" fillId="0" borderId="0" xfId="0" applyNumberFormat="1" applyAlignment="1" applyProtection="1">
      <alignment horizontal="center" vertical="center" wrapText="1"/>
      <protection hidden="1"/>
    </xf>
    <xf numFmtId="0" fontId="36" fillId="19" borderId="1" xfId="0" applyFont="1" applyFill="1" applyBorder="1" applyAlignment="1" applyProtection="1">
      <alignment horizontal="center"/>
      <protection hidden="1"/>
    </xf>
    <xf numFmtId="10" fontId="0" fillId="0" borderId="0" xfId="12" applyNumberFormat="1" applyFont="1" applyProtection="1">
      <protection hidden="1"/>
    </xf>
    <xf numFmtId="0" fontId="3" fillId="9" borderId="0" xfId="0" applyFont="1" applyFill="1" applyAlignment="1" applyProtection="1">
      <alignment vertical="center" wrapText="1"/>
      <protection hidden="1"/>
    </xf>
    <xf numFmtId="0" fontId="17" fillId="0" borderId="0" xfId="0" applyFont="1" applyProtection="1">
      <protection hidden="1"/>
    </xf>
    <xf numFmtId="0" fontId="48" fillId="0" borderId="36" xfId="0" applyFont="1" applyBorder="1" applyAlignment="1" applyProtection="1">
      <alignment horizontal="center"/>
      <protection hidden="1"/>
    </xf>
    <xf numFmtId="0" fontId="48" fillId="0" borderId="37" xfId="0" applyFont="1" applyBorder="1" applyAlignment="1" applyProtection="1">
      <alignment horizontal="center"/>
      <protection hidden="1"/>
    </xf>
    <xf numFmtId="0" fontId="48" fillId="0" borderId="29" xfId="0" applyFont="1" applyBorder="1" applyAlignment="1" applyProtection="1">
      <alignment horizontal="center"/>
      <protection hidden="1"/>
    </xf>
    <xf numFmtId="0" fontId="34" fillId="0" borderId="34" xfId="0" applyFont="1" applyBorder="1" applyAlignment="1" applyProtection="1">
      <alignment horizontal="center" wrapText="1"/>
      <protection hidden="1"/>
    </xf>
    <xf numFmtId="0" fontId="132" fillId="0" borderId="0" xfId="0" applyFont="1" applyAlignment="1" applyProtection="1">
      <alignment horizontal="center" wrapText="1"/>
      <protection hidden="1"/>
    </xf>
    <xf numFmtId="0" fontId="91" fillId="0" borderId="0" xfId="0" applyFont="1" applyAlignment="1" applyProtection="1">
      <alignment horizontal="center" wrapText="1"/>
      <protection hidden="1"/>
    </xf>
    <xf numFmtId="0" fontId="0" fillId="0" borderId="34" xfId="0" applyBorder="1" applyAlignment="1" applyProtection="1">
      <alignment horizontal="center"/>
      <protection hidden="1"/>
    </xf>
    <xf numFmtId="0" fontId="47" fillId="0" borderId="0" xfId="0" applyFont="1" applyAlignment="1" applyProtection="1">
      <alignment horizontal="center"/>
      <protection hidden="1"/>
    </xf>
    <xf numFmtId="0" fontId="25" fillId="0" borderId="34" xfId="0" applyFont="1" applyBorder="1" applyAlignment="1" applyProtection="1">
      <alignment vertical="top" wrapText="1"/>
      <protection hidden="1"/>
    </xf>
    <xf numFmtId="0" fontId="133" fillId="0" borderId="0" xfId="0" applyFont="1" applyAlignment="1" applyProtection="1">
      <alignment vertical="top" wrapText="1"/>
      <protection hidden="1"/>
    </xf>
    <xf numFmtId="0" fontId="86" fillId="0" borderId="0" xfId="0" applyFont="1" applyAlignment="1" applyProtection="1">
      <alignment vertical="top" wrapText="1"/>
      <protection hidden="1"/>
    </xf>
    <xf numFmtId="0" fontId="148" fillId="0" borderId="0" xfId="0" applyFont="1" applyAlignment="1" applyProtection="1">
      <alignment vertical="top" wrapText="1"/>
      <protection hidden="1"/>
    </xf>
    <xf numFmtId="0" fontId="83" fillId="0" borderId="0" xfId="0" applyFont="1" applyAlignment="1" applyProtection="1">
      <alignment vertical="top" wrapText="1"/>
      <protection hidden="1"/>
    </xf>
    <xf numFmtId="0" fontId="25" fillId="0" borderId="0" xfId="0" applyFont="1" applyAlignment="1" applyProtection="1">
      <alignment vertical="top" wrapText="1"/>
      <protection hidden="1"/>
    </xf>
    <xf numFmtId="0" fontId="0" fillId="0" borderId="82" xfId="0" applyBorder="1" applyProtection="1">
      <protection hidden="1"/>
    </xf>
    <xf numFmtId="0" fontId="48" fillId="0" borderId="83" xfId="0" applyFont="1" applyBorder="1" applyProtection="1">
      <protection hidden="1"/>
    </xf>
    <xf numFmtId="0" fontId="47" fillId="0" borderId="83" xfId="0" applyFont="1" applyBorder="1" applyProtection="1">
      <protection hidden="1"/>
    </xf>
    <xf numFmtId="0" fontId="42" fillId="0" borderId="83" xfId="0" applyFont="1" applyBorder="1" applyProtection="1">
      <protection hidden="1"/>
    </xf>
    <xf numFmtId="0" fontId="17" fillId="0" borderId="83" xfId="0" applyFont="1" applyBorder="1" applyProtection="1">
      <protection hidden="1"/>
    </xf>
    <xf numFmtId="0" fontId="0" fillId="0" borderId="83" xfId="0" applyBorder="1" applyProtection="1">
      <protection hidden="1"/>
    </xf>
    <xf numFmtId="0" fontId="111" fillId="0" borderId="0" xfId="0" applyFont="1" applyAlignment="1" applyProtection="1">
      <alignment horizontal="center" vertical="top" wrapText="1"/>
      <protection hidden="1"/>
    </xf>
    <xf numFmtId="2" fontId="111" fillId="0" borderId="0" xfId="0" applyNumberFormat="1" applyFont="1" applyAlignment="1" applyProtection="1">
      <alignment horizontal="center" vertical="top" wrapText="1"/>
      <protection hidden="1"/>
    </xf>
    <xf numFmtId="17" fontId="111" fillId="0" borderId="0" xfId="0" applyNumberFormat="1" applyFont="1" applyAlignment="1" applyProtection="1">
      <alignment vertical="top" wrapText="1"/>
      <protection hidden="1"/>
    </xf>
    <xf numFmtId="17" fontId="84" fillId="0" borderId="0" xfId="0" applyNumberFormat="1" applyFont="1" applyAlignment="1" applyProtection="1">
      <alignment vertical="top" wrapText="1"/>
      <protection hidden="1"/>
    </xf>
    <xf numFmtId="0" fontId="28" fillId="0" borderId="0" xfId="0" applyFont="1" applyAlignment="1" applyProtection="1">
      <alignment vertical="top" wrapText="1"/>
      <protection hidden="1"/>
    </xf>
    <xf numFmtId="0" fontId="43" fillId="30" borderId="0" xfId="0" applyFont="1" applyFill="1" applyProtection="1">
      <protection hidden="1"/>
    </xf>
    <xf numFmtId="0" fontId="0" fillId="0" borderId="34" xfId="0" applyBorder="1" applyAlignment="1" applyProtection="1">
      <alignment vertical="top" wrapText="1"/>
      <protection hidden="1"/>
    </xf>
    <xf numFmtId="0" fontId="48" fillId="0" borderId="0" xfId="0" applyFont="1" applyAlignment="1" applyProtection="1">
      <alignment vertical="top" wrapText="1"/>
      <protection hidden="1"/>
    </xf>
    <xf numFmtId="0" fontId="42" fillId="0" borderId="0" xfId="0" applyFont="1" applyAlignment="1" applyProtection="1">
      <alignment vertical="top" wrapText="1"/>
      <protection hidden="1"/>
    </xf>
    <xf numFmtId="1" fontId="129" fillId="0" borderId="0" xfId="0" applyNumberFormat="1" applyFont="1" applyAlignment="1" applyProtection="1">
      <alignment vertical="top" wrapText="1"/>
      <protection hidden="1"/>
    </xf>
    <xf numFmtId="0" fontId="48" fillId="0" borderId="0" xfId="0" applyFont="1" applyAlignment="1" applyProtection="1">
      <alignment horizontal="center" vertical="top" wrapText="1"/>
      <protection hidden="1"/>
    </xf>
    <xf numFmtId="0" fontId="48" fillId="0" borderId="29" xfId="0" applyFont="1" applyBorder="1" applyAlignment="1" applyProtection="1">
      <alignment horizontal="center" vertical="top" wrapText="1"/>
      <protection hidden="1"/>
    </xf>
    <xf numFmtId="0" fontId="95" fillId="0" borderId="1" xfId="0" applyFont="1" applyBorder="1" applyAlignment="1" applyProtection="1">
      <alignment horizontal="center" vertical="top" wrapText="1"/>
      <protection hidden="1"/>
    </xf>
    <xf numFmtId="0" fontId="95" fillId="0" borderId="9" xfId="0" applyFont="1" applyBorder="1" applyAlignment="1" applyProtection="1">
      <alignment horizontal="center" vertical="top" wrapText="1"/>
      <protection hidden="1"/>
    </xf>
    <xf numFmtId="1" fontId="156" fillId="24" borderId="10" xfId="0" applyNumberFormat="1" applyFont="1" applyFill="1" applyBorder="1" applyAlignment="1" applyProtection="1">
      <alignment vertical="center" wrapText="1" readingOrder="1"/>
      <protection hidden="1"/>
    </xf>
    <xf numFmtId="1" fontId="157" fillId="27" borderId="1" xfId="0" applyNumberFormat="1" applyFont="1" applyFill="1" applyBorder="1" applyAlignment="1" applyProtection="1">
      <alignment horizontal="center" vertical="center" wrapText="1"/>
      <protection hidden="1"/>
    </xf>
    <xf numFmtId="1" fontId="157" fillId="27" borderId="9" xfId="0" applyNumberFormat="1" applyFont="1" applyFill="1" applyBorder="1" applyAlignment="1" applyProtection="1">
      <alignment horizontal="center" vertical="center" wrapText="1"/>
      <protection hidden="1"/>
    </xf>
    <xf numFmtId="0" fontId="194" fillId="57" borderId="16" xfId="0" applyFont="1" applyFill="1" applyBorder="1" applyAlignment="1" applyProtection="1">
      <alignment horizontal="center" vertical="center" wrapText="1" readingOrder="1"/>
      <protection hidden="1"/>
    </xf>
    <xf numFmtId="0" fontId="192" fillId="58" borderId="1" xfId="0" applyFont="1" applyFill="1" applyBorder="1" applyAlignment="1" applyProtection="1">
      <alignment horizontal="center" vertical="center" wrapText="1" readingOrder="1"/>
      <protection hidden="1"/>
    </xf>
    <xf numFmtId="1" fontId="157" fillId="40" borderId="1" xfId="0" applyNumberFormat="1" applyFont="1" applyFill="1" applyBorder="1" applyAlignment="1" applyProtection="1">
      <alignment vertical="center" wrapText="1" readingOrder="1"/>
      <protection hidden="1"/>
    </xf>
    <xf numFmtId="0" fontId="194" fillId="24" borderId="1" xfId="0" applyFont="1" applyFill="1" applyBorder="1" applyAlignment="1" applyProtection="1">
      <alignment horizontal="center" vertical="center" wrapText="1" readingOrder="1"/>
      <protection hidden="1"/>
    </xf>
    <xf numFmtId="0" fontId="156" fillId="0" borderId="34" xfId="0" applyFont="1" applyBorder="1" applyAlignment="1" applyProtection="1">
      <alignment vertical="center" wrapText="1" readingOrder="1"/>
      <protection hidden="1"/>
    </xf>
    <xf numFmtId="1" fontId="157" fillId="25" borderId="61" xfId="0" applyNumberFormat="1" applyFont="1" applyFill="1" applyBorder="1" applyAlignment="1" applyProtection="1">
      <alignment horizontal="center" vertical="center" wrapText="1" readingOrder="1"/>
      <protection hidden="1"/>
    </xf>
    <xf numFmtId="1" fontId="157" fillId="25" borderId="33" xfId="0" applyNumberFormat="1" applyFont="1" applyFill="1" applyBorder="1" applyAlignment="1" applyProtection="1">
      <alignment horizontal="center" vertical="center" wrapText="1"/>
      <protection hidden="1"/>
    </xf>
    <xf numFmtId="1" fontId="157" fillId="25" borderId="74" xfId="0" applyNumberFormat="1" applyFont="1" applyFill="1" applyBorder="1" applyAlignment="1" applyProtection="1">
      <alignment horizontal="center" vertical="center" wrapText="1"/>
      <protection hidden="1"/>
    </xf>
    <xf numFmtId="1" fontId="157" fillId="24" borderId="11" xfId="0" applyNumberFormat="1" applyFont="1" applyFill="1" applyBorder="1" applyAlignment="1" applyProtection="1">
      <alignment horizontal="center" vertical="center" wrapText="1"/>
      <protection hidden="1"/>
    </xf>
    <xf numFmtId="1" fontId="156" fillId="24" borderId="11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7" borderId="11" xfId="0" applyNumberFormat="1" applyFont="1" applyFill="1" applyBorder="1" applyAlignment="1" applyProtection="1">
      <alignment horizontal="right" vertical="center" wrapText="1" readingOrder="1"/>
      <protection hidden="1"/>
    </xf>
    <xf numFmtId="2" fontId="156" fillId="27" borderId="11" xfId="0" applyNumberFormat="1" applyFont="1" applyFill="1" applyBorder="1" applyAlignment="1" applyProtection="1">
      <alignment horizontal="right" vertical="center" wrapText="1" readingOrder="1"/>
      <protection hidden="1"/>
    </xf>
    <xf numFmtId="0" fontId="156" fillId="56" borderId="4" xfId="0" applyFont="1" applyFill="1" applyBorder="1" applyAlignment="1" applyProtection="1">
      <alignment vertical="center" wrapText="1" readingOrder="1"/>
      <protection hidden="1"/>
    </xf>
    <xf numFmtId="1" fontId="156" fillId="27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157" fillId="27" borderId="1" xfId="0" applyNumberFormat="1" applyFont="1" applyFill="1" applyBorder="1" applyAlignment="1" applyProtection="1">
      <alignment vertical="center" wrapText="1" readingOrder="1"/>
      <protection hidden="1"/>
    </xf>
    <xf numFmtId="1" fontId="157" fillId="24" borderId="1" xfId="0" applyNumberFormat="1" applyFont="1" applyFill="1" applyBorder="1" applyAlignment="1" applyProtection="1">
      <alignment vertical="center" wrapText="1" readingOrder="1"/>
      <protection hidden="1"/>
    </xf>
    <xf numFmtId="1" fontId="157" fillId="30" borderId="1" xfId="0" applyNumberFormat="1" applyFont="1" applyFill="1" applyBorder="1" applyAlignment="1" applyProtection="1">
      <alignment vertical="center" wrapText="1" readingOrder="1"/>
      <protection hidden="1"/>
    </xf>
    <xf numFmtId="1" fontId="55" fillId="0" borderId="1" xfId="0" applyNumberFormat="1" applyFont="1" applyBorder="1" applyProtection="1">
      <protection hidden="1"/>
    </xf>
    <xf numFmtId="0" fontId="156" fillId="56" borderId="27" xfId="0" applyFont="1" applyFill="1" applyBorder="1" applyAlignment="1" applyProtection="1">
      <alignment vertical="center" wrapText="1" readingOrder="1"/>
      <protection hidden="1"/>
    </xf>
    <xf numFmtId="1" fontId="157" fillId="25" borderId="1" xfId="0" applyNumberFormat="1" applyFont="1" applyFill="1" applyBorder="1" applyAlignment="1" applyProtection="1">
      <alignment horizontal="center" vertical="center" wrapText="1" readingOrder="1"/>
      <protection hidden="1"/>
    </xf>
    <xf numFmtId="2" fontId="157" fillId="27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157" fillId="25" borderId="1" xfId="0" applyNumberFormat="1" applyFont="1" applyFill="1" applyBorder="1" applyAlignment="1" applyProtection="1">
      <alignment horizontal="center" vertical="center" wrapText="1"/>
      <protection hidden="1"/>
    </xf>
    <xf numFmtId="1" fontId="157" fillId="25" borderId="9" xfId="0" applyNumberFormat="1" applyFont="1" applyFill="1" applyBorder="1" applyAlignment="1" applyProtection="1">
      <alignment horizontal="center" vertical="center" wrapText="1"/>
      <protection hidden="1"/>
    </xf>
    <xf numFmtId="1" fontId="156" fillId="24" borderId="26" xfId="0" applyNumberFormat="1" applyFont="1" applyFill="1" applyBorder="1" applyAlignment="1" applyProtection="1">
      <alignment vertical="center" wrapText="1" readingOrder="1"/>
      <protection hidden="1"/>
    </xf>
    <xf numFmtId="0" fontId="156" fillId="27" borderId="44" xfId="0" applyFont="1" applyFill="1" applyBorder="1" applyAlignment="1" applyProtection="1">
      <alignment vertical="center" wrapText="1" readingOrder="1"/>
      <protection hidden="1"/>
    </xf>
    <xf numFmtId="0" fontId="156" fillId="27" borderId="3" xfId="0" applyFont="1" applyFill="1" applyBorder="1" applyAlignment="1" applyProtection="1">
      <alignment vertical="center" wrapText="1" readingOrder="1"/>
      <protection hidden="1"/>
    </xf>
    <xf numFmtId="0" fontId="194" fillId="27" borderId="3" xfId="0" applyFont="1" applyFill="1" applyBorder="1" applyAlignment="1" applyProtection="1">
      <alignment vertical="center" wrapText="1" readingOrder="1"/>
      <protection hidden="1"/>
    </xf>
    <xf numFmtId="0" fontId="156" fillId="27" borderId="76" xfId="0" applyFont="1" applyFill="1" applyBorder="1" applyAlignment="1" applyProtection="1">
      <alignment vertical="center" wrapText="1" readingOrder="1"/>
      <protection hidden="1"/>
    </xf>
    <xf numFmtId="1" fontId="157" fillId="27" borderId="1" xfId="0" applyNumberFormat="1" applyFont="1" applyFill="1" applyBorder="1" applyAlignment="1" applyProtection="1">
      <alignment horizontal="center" vertical="center" wrapText="1" readingOrder="1"/>
      <protection hidden="1"/>
    </xf>
    <xf numFmtId="0" fontId="156" fillId="27" borderId="43" xfId="0" applyFont="1" applyFill="1" applyBorder="1" applyAlignment="1" applyProtection="1">
      <alignment vertical="center" wrapText="1" readingOrder="1"/>
      <protection hidden="1"/>
    </xf>
    <xf numFmtId="0" fontId="156" fillId="27" borderId="25" xfId="0" applyFont="1" applyFill="1" applyBorder="1" applyAlignment="1" applyProtection="1">
      <alignment vertical="center" wrapText="1" readingOrder="1"/>
      <protection hidden="1"/>
    </xf>
    <xf numFmtId="0" fontId="194" fillId="27" borderId="25" xfId="0" applyFont="1" applyFill="1" applyBorder="1" applyAlignment="1" applyProtection="1">
      <alignment vertical="center" wrapText="1" readingOrder="1"/>
      <protection hidden="1"/>
    </xf>
    <xf numFmtId="0" fontId="156" fillId="27" borderId="84" xfId="0" applyFont="1" applyFill="1" applyBorder="1" applyAlignment="1" applyProtection="1">
      <alignment vertical="center" wrapText="1" readingOrder="1"/>
      <protection hidden="1"/>
    </xf>
    <xf numFmtId="0" fontId="156" fillId="61" borderId="11" xfId="0" applyFont="1" applyFill="1" applyBorder="1" applyAlignment="1" applyProtection="1">
      <alignment vertical="center" wrapText="1" readingOrder="1"/>
      <protection hidden="1"/>
    </xf>
    <xf numFmtId="0" fontId="156" fillId="61" borderId="4" xfId="0" applyFont="1" applyFill="1" applyBorder="1" applyAlignment="1" applyProtection="1">
      <alignment vertical="center" wrapText="1" readingOrder="1"/>
      <protection hidden="1"/>
    </xf>
    <xf numFmtId="0" fontId="192" fillId="58" borderId="28" xfId="0" applyFont="1" applyFill="1" applyBorder="1" applyAlignment="1" applyProtection="1">
      <alignment horizontal="center" vertical="center" wrapText="1" readingOrder="1"/>
      <protection hidden="1"/>
    </xf>
    <xf numFmtId="0" fontId="194" fillId="24" borderId="28" xfId="0" applyFont="1" applyFill="1" applyBorder="1" applyAlignment="1" applyProtection="1">
      <alignment horizontal="center" vertical="center" wrapText="1" readingOrder="1"/>
      <protection hidden="1"/>
    </xf>
    <xf numFmtId="0" fontId="192" fillId="41" borderId="28" xfId="0" applyFont="1" applyFill="1" applyBorder="1" applyAlignment="1" applyProtection="1">
      <alignment horizontal="center" vertical="center" wrapText="1" readingOrder="1"/>
      <protection hidden="1"/>
    </xf>
    <xf numFmtId="0" fontId="156" fillId="61" borderId="27" xfId="0" applyFont="1" applyFill="1" applyBorder="1" applyAlignment="1" applyProtection="1">
      <alignment vertical="center" wrapText="1" readingOrder="1"/>
      <protection hidden="1"/>
    </xf>
    <xf numFmtId="0" fontId="156" fillId="61" borderId="24" xfId="0" applyFont="1" applyFill="1" applyBorder="1" applyAlignment="1" applyProtection="1">
      <alignment vertical="center" wrapText="1" readingOrder="1"/>
      <protection hidden="1"/>
    </xf>
    <xf numFmtId="0" fontId="156" fillId="61" borderId="25" xfId="0" applyFont="1" applyFill="1" applyBorder="1" applyAlignment="1" applyProtection="1">
      <alignment vertical="center" wrapText="1" readingOrder="1"/>
      <protection hidden="1"/>
    </xf>
    <xf numFmtId="0" fontId="194" fillId="61" borderId="25" xfId="0" applyFont="1" applyFill="1" applyBorder="1" applyAlignment="1" applyProtection="1">
      <alignment vertical="center" wrapText="1" readingOrder="1"/>
      <protection hidden="1"/>
    </xf>
    <xf numFmtId="1" fontId="157" fillId="0" borderId="1" xfId="0" applyNumberFormat="1" applyFont="1" applyBorder="1" applyAlignment="1" applyProtection="1">
      <alignment horizontal="center" vertical="center" wrapText="1" readingOrder="1"/>
      <protection hidden="1"/>
    </xf>
    <xf numFmtId="1" fontId="0" fillId="27" borderId="0" xfId="0" applyNumberFormat="1" applyFill="1" applyProtection="1">
      <protection hidden="1"/>
    </xf>
    <xf numFmtId="0" fontId="94" fillId="27" borderId="1" xfId="0" applyFont="1" applyFill="1" applyBorder="1" applyAlignment="1" applyProtection="1">
      <alignment horizontal="center" vertical="top" wrapText="1"/>
      <protection hidden="1"/>
    </xf>
    <xf numFmtId="0" fontId="94" fillId="27" borderId="62" xfId="0" applyFont="1" applyFill="1" applyBorder="1" applyAlignment="1" applyProtection="1">
      <alignment horizontal="center" vertical="top" wrapText="1"/>
      <protection hidden="1"/>
    </xf>
    <xf numFmtId="0" fontId="156" fillId="62" borderId="11" xfId="0" applyFont="1" applyFill="1" applyBorder="1" applyAlignment="1" applyProtection="1">
      <alignment vertical="center" wrapText="1" readingOrder="1"/>
      <protection hidden="1"/>
    </xf>
    <xf numFmtId="0" fontId="194" fillId="57" borderId="19" xfId="0" applyFont="1" applyFill="1" applyBorder="1" applyAlignment="1" applyProtection="1">
      <alignment horizontal="center" vertical="center" wrapText="1" readingOrder="1"/>
      <protection hidden="1"/>
    </xf>
    <xf numFmtId="0" fontId="156" fillId="62" borderId="4" xfId="0" applyFont="1" applyFill="1" applyBorder="1" applyAlignment="1" applyProtection="1">
      <alignment vertical="center" wrapText="1" readingOrder="1"/>
      <protection hidden="1"/>
    </xf>
    <xf numFmtId="0" fontId="156" fillId="62" borderId="27" xfId="0" applyFont="1" applyFill="1" applyBorder="1" applyAlignment="1" applyProtection="1">
      <alignment vertical="center" wrapText="1" readingOrder="1"/>
      <protection hidden="1"/>
    </xf>
    <xf numFmtId="0" fontId="95" fillId="0" borderId="28" xfId="0" applyFont="1" applyBorder="1" applyAlignment="1" applyProtection="1">
      <alignment horizontal="center" vertical="top" wrapText="1"/>
      <protection hidden="1"/>
    </xf>
    <xf numFmtId="2" fontId="156" fillId="27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157" fillId="27" borderId="28" xfId="0" applyNumberFormat="1" applyFont="1" applyFill="1" applyBorder="1" applyAlignment="1" applyProtection="1">
      <alignment horizontal="center" vertical="center" wrapText="1"/>
      <protection hidden="1"/>
    </xf>
    <xf numFmtId="0" fontId="156" fillId="63" borderId="3" xfId="0" applyFont="1" applyFill="1" applyBorder="1" applyAlignment="1" applyProtection="1">
      <alignment vertical="center" wrapText="1" readingOrder="1"/>
      <protection hidden="1"/>
    </xf>
    <xf numFmtId="0" fontId="194" fillId="57" borderId="18" xfId="0" applyFont="1" applyFill="1" applyBorder="1" applyAlignment="1" applyProtection="1">
      <alignment horizontal="center" vertical="center" wrapText="1" readingOrder="1"/>
      <protection hidden="1"/>
    </xf>
    <xf numFmtId="0" fontId="156" fillId="63" borderId="0" xfId="0" applyFont="1" applyFill="1" applyAlignment="1" applyProtection="1">
      <alignment vertical="center" wrapText="1" readingOrder="1"/>
      <protection hidden="1"/>
    </xf>
    <xf numFmtId="0" fontId="156" fillId="63" borderId="34" xfId="0" applyFont="1" applyFill="1" applyBorder="1" applyAlignment="1" applyProtection="1">
      <alignment vertical="center" wrapText="1" readingOrder="1"/>
      <protection hidden="1"/>
    </xf>
    <xf numFmtId="1" fontId="156" fillId="27" borderId="28" xfId="0" applyNumberFormat="1" applyFont="1" applyFill="1" applyBorder="1" applyAlignment="1" applyProtection="1">
      <alignment vertical="center" wrapText="1" readingOrder="1"/>
      <protection hidden="1"/>
    </xf>
    <xf numFmtId="1" fontId="156" fillId="24" borderId="0" xfId="0" applyNumberFormat="1" applyFont="1" applyFill="1" applyAlignment="1" applyProtection="1">
      <alignment vertical="center" wrapText="1" readingOrder="1"/>
      <protection hidden="1"/>
    </xf>
    <xf numFmtId="2" fontId="157" fillId="27" borderId="1" xfId="0" applyNumberFormat="1" applyFont="1" applyFill="1" applyBorder="1" applyAlignment="1" applyProtection="1">
      <alignment vertical="center" wrapText="1" readingOrder="1"/>
      <protection hidden="1"/>
    </xf>
    <xf numFmtId="1" fontId="48" fillId="24" borderId="0" xfId="0" applyNumberFormat="1" applyFont="1" applyFill="1" applyProtection="1">
      <protection hidden="1"/>
    </xf>
    <xf numFmtId="1" fontId="5" fillId="27" borderId="0" xfId="0" applyNumberFormat="1" applyFont="1" applyFill="1" applyAlignment="1" applyProtection="1">
      <alignment horizontal="center" wrapText="1"/>
      <protection hidden="1"/>
    </xf>
    <xf numFmtId="2" fontId="0" fillId="27" borderId="0" xfId="0" applyNumberFormat="1" applyFill="1" applyProtection="1">
      <protection hidden="1"/>
    </xf>
    <xf numFmtId="0" fontId="48" fillId="27" borderId="0" xfId="0" applyFont="1" applyFill="1" applyAlignment="1" applyProtection="1">
      <alignment horizontal="center"/>
      <protection hidden="1"/>
    </xf>
    <xf numFmtId="0" fontId="48" fillId="27" borderId="29" xfId="0" applyFont="1" applyFill="1" applyBorder="1" applyAlignment="1" applyProtection="1">
      <alignment horizontal="center"/>
      <protection hidden="1"/>
    </xf>
    <xf numFmtId="0" fontId="28" fillId="27" borderId="0" xfId="0" applyFont="1" applyFill="1" applyAlignment="1" applyProtection="1">
      <alignment vertical="top" wrapText="1"/>
      <protection hidden="1"/>
    </xf>
    <xf numFmtId="0" fontId="94" fillId="0" borderId="10" xfId="0" applyFont="1" applyBorder="1" applyAlignment="1" applyProtection="1">
      <alignment horizontal="center" vertical="top" wrapText="1"/>
      <protection hidden="1"/>
    </xf>
    <xf numFmtId="1" fontId="44" fillId="36" borderId="61" xfId="0" applyNumberFormat="1" applyFont="1" applyFill="1" applyBorder="1" applyAlignment="1" applyProtection="1">
      <alignment horizontal="center" wrapText="1"/>
      <protection hidden="1"/>
    </xf>
    <xf numFmtId="1" fontId="44" fillId="36" borderId="30" xfId="0" applyNumberFormat="1" applyFont="1" applyFill="1" applyBorder="1" applyAlignment="1" applyProtection="1">
      <alignment horizontal="center" wrapText="1"/>
      <protection hidden="1"/>
    </xf>
    <xf numFmtId="1" fontId="44" fillId="36" borderId="32" xfId="0" applyNumberFormat="1" applyFont="1" applyFill="1" applyBorder="1" applyAlignment="1" applyProtection="1">
      <alignment horizontal="center" wrapText="1"/>
      <protection hidden="1"/>
    </xf>
    <xf numFmtId="1" fontId="44" fillId="27" borderId="0" xfId="0" applyNumberFormat="1" applyFont="1" applyFill="1" applyAlignment="1" applyProtection="1">
      <alignment horizontal="center" wrapText="1"/>
      <protection hidden="1"/>
    </xf>
    <xf numFmtId="1" fontId="49" fillId="27" borderId="0" xfId="0" applyNumberFormat="1" applyFont="1" applyFill="1" applyProtection="1">
      <protection hidden="1"/>
    </xf>
    <xf numFmtId="2" fontId="94" fillId="27" borderId="1" xfId="0" applyNumberFormat="1" applyFont="1" applyFill="1" applyBorder="1" applyAlignment="1" applyProtection="1">
      <alignment horizontal="center" vertical="top" wrapText="1"/>
      <protection hidden="1"/>
    </xf>
    <xf numFmtId="0" fontId="94" fillId="27" borderId="28" xfId="0" applyFont="1" applyFill="1" applyBorder="1" applyAlignment="1" applyProtection="1">
      <alignment horizontal="center" vertical="top" wrapText="1"/>
      <protection hidden="1"/>
    </xf>
    <xf numFmtId="1" fontId="156" fillId="24" borderId="74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4" borderId="1" xfId="0" applyNumberFormat="1" applyFont="1" applyFill="1" applyBorder="1" applyAlignment="1" applyProtection="1">
      <alignment horizontal="right" vertical="center" wrapText="1" readingOrder="1"/>
      <protection hidden="1"/>
    </xf>
    <xf numFmtId="2" fontId="156" fillId="24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5" fillId="0" borderId="3" xfId="0" applyNumberFormat="1" applyFont="1" applyBorder="1" applyAlignment="1" applyProtection="1">
      <alignment wrapText="1"/>
      <protection hidden="1"/>
    </xf>
    <xf numFmtId="1" fontId="5" fillId="0" borderId="76" xfId="0" applyNumberFormat="1" applyFont="1" applyBorder="1" applyAlignment="1" applyProtection="1">
      <alignment wrapText="1"/>
      <protection hidden="1"/>
    </xf>
    <xf numFmtId="1" fontId="5" fillId="0" borderId="0" xfId="0" applyNumberFormat="1" applyFont="1" applyAlignment="1" applyProtection="1">
      <alignment wrapText="1"/>
      <protection hidden="1"/>
    </xf>
    <xf numFmtId="1" fontId="5" fillId="0" borderId="29" xfId="0" applyNumberFormat="1" applyFont="1" applyBorder="1" applyAlignment="1" applyProtection="1">
      <alignment wrapText="1"/>
      <protection hidden="1"/>
    </xf>
    <xf numFmtId="1" fontId="195" fillId="26" borderId="22" xfId="0" applyNumberFormat="1" applyFont="1" applyFill="1" applyBorder="1" applyAlignment="1" applyProtection="1">
      <alignment vertical="center" wrapText="1" readingOrder="1"/>
      <protection hidden="1"/>
    </xf>
    <xf numFmtId="1" fontId="195" fillId="26" borderId="21" xfId="0" applyNumberFormat="1" applyFont="1" applyFill="1" applyBorder="1" applyAlignment="1" applyProtection="1">
      <alignment vertical="center" wrapText="1" readingOrder="1"/>
      <protection hidden="1"/>
    </xf>
    <xf numFmtId="1" fontId="195" fillId="64" borderId="22" xfId="0" applyNumberFormat="1" applyFont="1" applyFill="1" applyBorder="1" applyAlignment="1" applyProtection="1">
      <alignment vertical="center" wrapText="1" readingOrder="1"/>
      <protection hidden="1"/>
    </xf>
    <xf numFmtId="1" fontId="195" fillId="64" borderId="21" xfId="0" applyNumberFormat="1" applyFont="1" applyFill="1" applyBorder="1" applyAlignment="1" applyProtection="1">
      <alignment vertical="center" wrapText="1" readingOrder="1"/>
      <protection hidden="1"/>
    </xf>
    <xf numFmtId="1" fontId="156" fillId="24" borderId="9" xfId="0" applyNumberFormat="1" applyFont="1" applyFill="1" applyBorder="1" applyAlignment="1" applyProtection="1">
      <alignment horizontal="right" vertical="center" wrapText="1" readingOrder="1"/>
      <protection hidden="1"/>
    </xf>
    <xf numFmtId="1" fontId="196" fillId="33" borderId="3" xfId="0" applyNumberFormat="1" applyFont="1" applyFill="1" applyBorder="1" applyAlignment="1" applyProtection="1">
      <alignment vertical="center" wrapText="1" readingOrder="1"/>
      <protection hidden="1"/>
    </xf>
    <xf numFmtId="1" fontId="196" fillId="33" borderId="44" xfId="0" applyNumberFormat="1" applyFont="1" applyFill="1" applyBorder="1" applyAlignment="1" applyProtection="1">
      <alignment vertical="center" wrapText="1" readingOrder="1"/>
      <protection hidden="1"/>
    </xf>
    <xf numFmtId="0" fontId="99" fillId="27" borderId="34" xfId="0" applyFont="1" applyFill="1" applyBorder="1" applyAlignment="1" applyProtection="1">
      <alignment horizontal="center" vertical="center" wrapText="1"/>
      <protection hidden="1"/>
    </xf>
    <xf numFmtId="0" fontId="99" fillId="27" borderId="0" xfId="0" applyFont="1" applyFill="1" applyAlignment="1" applyProtection="1">
      <alignment horizontal="center" vertical="center" wrapText="1"/>
      <protection hidden="1"/>
    </xf>
    <xf numFmtId="0" fontId="108" fillId="27" borderId="0" xfId="0" applyFont="1" applyFill="1" applyAlignment="1" applyProtection="1">
      <alignment horizontal="center" vertical="center" wrapText="1"/>
      <protection hidden="1"/>
    </xf>
    <xf numFmtId="0" fontId="156" fillId="27" borderId="0" xfId="0" applyFont="1" applyFill="1" applyAlignment="1" applyProtection="1">
      <alignment horizontal="center" vertical="center" wrapText="1" readingOrder="1"/>
      <protection hidden="1"/>
    </xf>
    <xf numFmtId="1" fontId="196" fillId="27" borderId="0" xfId="0" applyNumberFormat="1" applyFont="1" applyFill="1" applyAlignment="1" applyProtection="1">
      <alignment vertical="center" wrapText="1" readingOrder="1"/>
      <protection hidden="1"/>
    </xf>
    <xf numFmtId="2" fontId="5" fillId="27" borderId="0" xfId="0" applyNumberFormat="1" applyFont="1" applyFill="1" applyAlignment="1" applyProtection="1">
      <alignment horizontal="center" wrapText="1"/>
      <protection hidden="1"/>
    </xf>
    <xf numFmtId="1" fontId="44" fillId="27" borderId="29" xfId="0" applyNumberFormat="1" applyFont="1" applyFill="1" applyBorder="1" applyAlignment="1" applyProtection="1">
      <alignment horizontal="center" wrapText="1"/>
      <protection hidden="1"/>
    </xf>
    <xf numFmtId="0" fontId="3" fillId="27" borderId="65" xfId="0" applyFont="1" applyFill="1" applyBorder="1" applyAlignment="1" applyProtection="1">
      <alignment wrapText="1"/>
      <protection hidden="1"/>
    </xf>
    <xf numFmtId="0" fontId="94" fillId="27" borderId="31" xfId="0" applyFont="1" applyFill="1" applyBorder="1" applyAlignment="1" applyProtection="1">
      <alignment horizontal="center" vertical="top" wrapText="1"/>
      <protection hidden="1"/>
    </xf>
    <xf numFmtId="2" fontId="94" fillId="27" borderId="31" xfId="0" applyNumberFormat="1" applyFont="1" applyFill="1" applyBorder="1" applyAlignment="1" applyProtection="1">
      <alignment horizontal="center" vertical="top" wrapText="1"/>
      <protection hidden="1"/>
    </xf>
    <xf numFmtId="0" fontId="3" fillId="27" borderId="28" xfId="0" applyFont="1" applyFill="1" applyBorder="1" applyAlignment="1" applyProtection="1">
      <alignment wrapText="1"/>
      <protection hidden="1"/>
    </xf>
    <xf numFmtId="0" fontId="94" fillId="27" borderId="9" xfId="0" applyFont="1" applyFill="1" applyBorder="1" applyAlignment="1" applyProtection="1">
      <alignment horizontal="center" vertical="top" wrapText="1"/>
      <protection hidden="1"/>
    </xf>
    <xf numFmtId="1" fontId="156" fillId="25" borderId="28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5" borderId="11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5" borderId="76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5" borderId="67" xfId="0" applyNumberFormat="1" applyFont="1" applyFill="1" applyBorder="1" applyAlignment="1" applyProtection="1">
      <alignment horizontal="right" vertical="center" wrapText="1" readingOrder="1"/>
      <protection hidden="1"/>
    </xf>
    <xf numFmtId="2" fontId="156" fillId="25" borderId="67" xfId="0" applyNumberFormat="1" applyFont="1" applyFill="1" applyBorder="1" applyAlignment="1" applyProtection="1">
      <alignment horizontal="right" vertical="center" wrapText="1" readingOrder="1"/>
      <protection hidden="1"/>
    </xf>
    <xf numFmtId="1" fontId="157" fillId="25" borderId="67" xfId="0" applyNumberFormat="1" applyFont="1" applyFill="1" applyBorder="1" applyAlignment="1" applyProtection="1">
      <alignment horizontal="center" vertical="center" wrapText="1"/>
      <protection hidden="1"/>
    </xf>
    <xf numFmtId="1" fontId="157" fillId="25" borderId="23" xfId="0" applyNumberFormat="1" applyFont="1" applyFill="1" applyBorder="1" applyAlignment="1" applyProtection="1">
      <alignment horizontal="center" vertical="center" wrapText="1"/>
      <protection hidden="1"/>
    </xf>
    <xf numFmtId="0" fontId="156" fillId="27" borderId="0" xfId="0" applyFont="1" applyFill="1" applyAlignment="1" applyProtection="1">
      <alignment vertical="center" wrapText="1" readingOrder="1"/>
      <protection hidden="1"/>
    </xf>
    <xf numFmtId="1" fontId="5" fillId="0" borderId="36" xfId="0" applyNumberFormat="1" applyFont="1" applyBorder="1" applyAlignment="1" applyProtection="1">
      <alignment wrapText="1"/>
      <protection hidden="1"/>
    </xf>
    <xf numFmtId="2" fontId="5" fillId="0" borderId="36" xfId="0" applyNumberFormat="1" applyFont="1" applyBorder="1" applyAlignment="1" applyProtection="1">
      <alignment wrapText="1"/>
      <protection hidden="1"/>
    </xf>
    <xf numFmtId="1" fontId="44" fillId="0" borderId="36" xfId="0" applyNumberFormat="1" applyFont="1" applyBorder="1" applyAlignment="1" applyProtection="1">
      <alignment horizontal="center" wrapText="1"/>
      <protection hidden="1"/>
    </xf>
    <xf numFmtId="1" fontId="44" fillId="0" borderId="37" xfId="0" applyNumberFormat="1" applyFont="1" applyBorder="1" applyAlignment="1" applyProtection="1">
      <alignment horizontal="center" wrapText="1"/>
      <protection hidden="1"/>
    </xf>
    <xf numFmtId="0" fontId="156" fillId="27" borderId="39" xfId="0" applyFont="1" applyFill="1" applyBorder="1" applyAlignment="1" applyProtection="1">
      <alignment vertical="center" wrapText="1" readingOrder="1"/>
      <protection hidden="1"/>
    </xf>
    <xf numFmtId="1" fontId="94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94" fillId="25" borderId="30" xfId="0" applyNumberFormat="1" applyFont="1" applyFill="1" applyBorder="1" applyAlignment="1" applyProtection="1">
      <alignment horizontal="center" vertical="top" wrapText="1"/>
      <protection hidden="1"/>
    </xf>
    <xf numFmtId="1" fontId="94" fillId="25" borderId="32" xfId="0" applyNumberFormat="1" applyFont="1" applyFill="1" applyBorder="1" applyAlignment="1" applyProtection="1">
      <alignment horizontal="center" vertical="top" wrapText="1"/>
      <protection hidden="1"/>
    </xf>
    <xf numFmtId="1" fontId="185" fillId="0" borderId="0" xfId="0" applyNumberFormat="1" applyFont="1" applyAlignment="1" applyProtection="1">
      <alignment wrapText="1"/>
      <protection hidden="1"/>
    </xf>
    <xf numFmtId="2" fontId="185" fillId="0" borderId="0" xfId="0" applyNumberFormat="1" applyFont="1" applyAlignment="1" applyProtection="1">
      <alignment wrapText="1"/>
      <protection hidden="1"/>
    </xf>
    <xf numFmtId="1" fontId="44" fillId="0" borderId="0" xfId="0" applyNumberFormat="1" applyFont="1" applyAlignment="1" applyProtection="1">
      <alignment horizontal="center" wrapText="1"/>
      <protection hidden="1"/>
    </xf>
    <xf numFmtId="1" fontId="44" fillId="0" borderId="29" xfId="0" applyNumberFormat="1" applyFont="1" applyBorder="1" applyAlignment="1" applyProtection="1">
      <alignment horizontal="center" wrapText="1"/>
      <protection hidden="1"/>
    </xf>
    <xf numFmtId="0" fontId="196" fillId="27" borderId="34" xfId="0" applyFont="1" applyFill="1" applyBorder="1" applyAlignment="1" applyProtection="1">
      <alignment horizontal="center" vertical="center" wrapText="1"/>
      <protection hidden="1"/>
    </xf>
    <xf numFmtId="0" fontId="196" fillId="27" borderId="0" xfId="0" applyFont="1" applyFill="1" applyAlignment="1" applyProtection="1">
      <alignment horizontal="center" vertical="center" wrapText="1"/>
      <protection hidden="1"/>
    </xf>
    <xf numFmtId="0" fontId="197" fillId="27" borderId="0" xfId="0" applyFont="1" applyFill="1" applyAlignment="1" applyProtection="1">
      <alignment horizontal="center" vertical="center" wrapText="1"/>
      <protection hidden="1"/>
    </xf>
    <xf numFmtId="1" fontId="94" fillId="27" borderId="0" xfId="0" applyNumberFormat="1" applyFont="1" applyFill="1" applyAlignment="1" applyProtection="1">
      <alignment horizontal="center" vertical="top" wrapText="1"/>
      <protection hidden="1"/>
    </xf>
    <xf numFmtId="2" fontId="5" fillId="0" borderId="0" xfId="0" applyNumberFormat="1" applyFont="1" applyAlignment="1" applyProtection="1">
      <alignment wrapText="1"/>
      <protection hidden="1"/>
    </xf>
    <xf numFmtId="0" fontId="198" fillId="27" borderId="0" xfId="0" applyFont="1" applyFill="1" applyAlignment="1" applyProtection="1">
      <alignment horizontal="center" vertical="top" wrapText="1"/>
      <protection hidden="1"/>
    </xf>
    <xf numFmtId="2" fontId="198" fillId="27" borderId="0" xfId="0" applyNumberFormat="1" applyFont="1" applyFill="1" applyAlignment="1" applyProtection="1">
      <alignment horizontal="center" vertical="top" wrapText="1"/>
      <protection hidden="1"/>
    </xf>
    <xf numFmtId="0" fontId="198" fillId="27" borderId="29" xfId="0" applyFont="1" applyFill="1" applyBorder="1" applyAlignment="1" applyProtection="1">
      <alignment horizontal="center" vertical="top" wrapText="1"/>
      <protection hidden="1"/>
    </xf>
    <xf numFmtId="0" fontId="196" fillId="0" borderId="26" xfId="0" applyFont="1" applyBorder="1" applyAlignment="1" applyProtection="1">
      <alignment horizontal="center" vertical="center" wrapText="1"/>
      <protection hidden="1"/>
    </xf>
    <xf numFmtId="0" fontId="5" fillId="27" borderId="7" xfId="0" applyFont="1" applyFill="1" applyBorder="1" applyAlignment="1" applyProtection="1">
      <alignment horizontal="center" wrapText="1"/>
      <protection hidden="1"/>
    </xf>
    <xf numFmtId="0" fontId="197" fillId="0" borderId="7" xfId="0" applyFont="1" applyBorder="1" applyAlignment="1" applyProtection="1">
      <alignment horizontal="center" vertical="center" wrapText="1"/>
      <protection hidden="1"/>
    </xf>
    <xf numFmtId="0" fontId="156" fillId="0" borderId="29" xfId="0" applyFont="1" applyBorder="1" applyAlignment="1" applyProtection="1">
      <alignment vertical="center" wrapText="1" readingOrder="1"/>
      <protection hidden="1"/>
    </xf>
    <xf numFmtId="0" fontId="94" fillId="27" borderId="7" xfId="0" applyFont="1" applyFill="1" applyBorder="1" applyAlignment="1" applyProtection="1">
      <alignment horizontal="center" vertical="top" wrapText="1"/>
      <protection hidden="1"/>
    </xf>
    <xf numFmtId="2" fontId="94" fillId="27" borderId="7" xfId="0" applyNumberFormat="1" applyFont="1" applyFill="1" applyBorder="1" applyAlignment="1" applyProtection="1">
      <alignment horizontal="center" vertical="top" wrapText="1"/>
      <protection hidden="1"/>
    </xf>
    <xf numFmtId="0" fontId="196" fillId="0" borderId="0" xfId="0" applyFont="1" applyAlignment="1" applyProtection="1">
      <alignment horizontal="center" vertical="center" wrapText="1"/>
      <protection hidden="1"/>
    </xf>
    <xf numFmtId="0" fontId="197" fillId="0" borderId="0" xfId="0" applyFont="1" applyAlignment="1" applyProtection="1">
      <alignment horizontal="center" vertical="center" wrapText="1"/>
      <protection hidden="1"/>
    </xf>
    <xf numFmtId="0" fontId="196" fillId="0" borderId="28" xfId="0" applyFont="1" applyBorder="1" applyAlignment="1" applyProtection="1">
      <alignment horizontal="center" vertical="center" wrapText="1"/>
      <protection hidden="1"/>
    </xf>
    <xf numFmtId="1" fontId="196" fillId="24" borderId="1" xfId="0" applyNumberFormat="1" applyFont="1" applyFill="1" applyBorder="1" applyAlignment="1" applyProtection="1">
      <alignment horizontal="right" vertical="center" wrapText="1"/>
      <protection hidden="1"/>
    </xf>
    <xf numFmtId="1" fontId="197" fillId="24" borderId="1" xfId="0" applyNumberFormat="1" applyFont="1" applyFill="1" applyBorder="1" applyAlignment="1" applyProtection="1">
      <alignment horizontal="right" vertical="center" wrapText="1"/>
      <protection hidden="1"/>
    </xf>
    <xf numFmtId="0" fontId="156" fillId="0" borderId="29" xfId="0" applyFont="1" applyBorder="1" applyAlignment="1" applyProtection="1">
      <alignment horizontal="right" vertical="center" wrapText="1" readingOrder="1"/>
      <protection hidden="1"/>
    </xf>
    <xf numFmtId="1" fontId="196" fillId="24" borderId="28" xfId="0" applyNumberFormat="1" applyFont="1" applyFill="1" applyBorder="1" applyAlignment="1" applyProtection="1">
      <alignment horizontal="right" vertical="center" wrapText="1"/>
      <protection hidden="1"/>
    </xf>
    <xf numFmtId="1" fontId="196" fillId="24" borderId="11" xfId="0" applyNumberFormat="1" applyFont="1" applyFill="1" applyBorder="1" applyAlignment="1" applyProtection="1">
      <alignment horizontal="right" vertical="center" wrapText="1"/>
      <protection hidden="1"/>
    </xf>
    <xf numFmtId="2" fontId="196" fillId="24" borderId="11" xfId="0" applyNumberFormat="1" applyFont="1" applyFill="1" applyBorder="1" applyAlignment="1" applyProtection="1">
      <alignment horizontal="right" vertical="center" wrapText="1"/>
      <protection hidden="1"/>
    </xf>
    <xf numFmtId="1" fontId="185" fillId="27" borderId="0" xfId="0" applyNumberFormat="1" applyFont="1" applyFill="1" applyAlignment="1" applyProtection="1">
      <alignment wrapText="1"/>
      <protection hidden="1"/>
    </xf>
    <xf numFmtId="2" fontId="185" fillId="27" borderId="0" xfId="0" applyNumberFormat="1" applyFont="1" applyFill="1" applyAlignment="1" applyProtection="1">
      <alignment wrapText="1"/>
      <protection hidden="1"/>
    </xf>
    <xf numFmtId="0" fontId="196" fillId="0" borderId="29" xfId="0" applyFont="1" applyBorder="1" applyAlignment="1" applyProtection="1">
      <alignment horizontal="center" vertical="center" wrapText="1"/>
      <protection hidden="1"/>
    </xf>
    <xf numFmtId="0" fontId="196" fillId="0" borderId="0" xfId="0" applyFont="1" applyAlignment="1" applyProtection="1">
      <alignment vertical="center" wrapText="1"/>
      <protection hidden="1"/>
    </xf>
    <xf numFmtId="2" fontId="196" fillId="24" borderId="1" xfId="0" applyNumberFormat="1" applyFont="1" applyFill="1" applyBorder="1" applyAlignment="1" applyProtection="1">
      <alignment horizontal="right" vertical="center" wrapText="1"/>
      <protection hidden="1"/>
    </xf>
    <xf numFmtId="0" fontId="196" fillId="0" borderId="29" xfId="0" applyFont="1" applyBorder="1" applyAlignment="1" applyProtection="1">
      <alignment vertical="center" wrapText="1"/>
      <protection hidden="1"/>
    </xf>
    <xf numFmtId="2" fontId="94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95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95" fillId="25" borderId="23" xfId="0" applyNumberFormat="1" applyFont="1" applyFill="1" applyBorder="1" applyAlignment="1" applyProtection="1">
      <alignment horizontal="center" vertical="top" wrapText="1"/>
      <protection hidden="1"/>
    </xf>
    <xf numFmtId="0" fontId="196" fillId="0" borderId="65" xfId="0" applyFont="1" applyBorder="1" applyAlignment="1" applyProtection="1">
      <alignment horizontal="center" vertical="center" wrapText="1"/>
      <protection hidden="1"/>
    </xf>
    <xf numFmtId="0" fontId="5" fillId="27" borderId="31" xfId="0" applyFont="1" applyFill="1" applyBorder="1" applyAlignment="1" applyProtection="1">
      <alignment horizontal="center" wrapText="1"/>
      <protection hidden="1"/>
    </xf>
    <xf numFmtId="0" fontId="197" fillId="0" borderId="31" xfId="0" applyFont="1" applyBorder="1" applyAlignment="1" applyProtection="1">
      <alignment horizontal="center" vertical="center" wrapText="1"/>
      <protection hidden="1"/>
    </xf>
    <xf numFmtId="0" fontId="156" fillId="0" borderId="37" xfId="0" applyFont="1" applyBorder="1" applyAlignment="1" applyProtection="1">
      <alignment vertical="center" wrapText="1" readingOrder="1"/>
      <protection hidden="1"/>
    </xf>
    <xf numFmtId="1" fontId="94" fillId="25" borderId="11" xfId="0" applyNumberFormat="1" applyFont="1" applyFill="1" applyBorder="1" applyAlignment="1" applyProtection="1">
      <alignment horizontal="center" vertical="top" wrapText="1"/>
      <protection hidden="1"/>
    </xf>
    <xf numFmtId="1" fontId="94" fillId="27" borderId="11" xfId="0" applyNumberFormat="1" applyFont="1" applyFill="1" applyBorder="1" applyAlignment="1" applyProtection="1">
      <alignment horizontal="center" vertical="top" wrapText="1"/>
      <protection hidden="1"/>
    </xf>
    <xf numFmtId="1" fontId="5" fillId="27" borderId="0" xfId="0" applyNumberFormat="1" applyFont="1" applyFill="1" applyAlignment="1" applyProtection="1">
      <alignment wrapText="1"/>
      <protection hidden="1"/>
    </xf>
    <xf numFmtId="2" fontId="5" fillId="27" borderId="0" xfId="0" applyNumberFormat="1" applyFont="1" applyFill="1" applyAlignment="1" applyProtection="1">
      <alignment wrapText="1"/>
      <protection hidden="1"/>
    </xf>
    <xf numFmtId="1" fontId="196" fillId="24" borderId="33" xfId="0" applyNumberFormat="1" applyFont="1" applyFill="1" applyBorder="1" applyAlignment="1" applyProtection="1">
      <alignment horizontal="right" vertical="center" wrapText="1"/>
      <protection hidden="1"/>
    </xf>
    <xf numFmtId="2" fontId="196" fillId="24" borderId="33" xfId="0" applyNumberFormat="1" applyFont="1" applyFill="1" applyBorder="1" applyAlignment="1" applyProtection="1">
      <alignment horizontal="right" vertical="center" wrapText="1"/>
      <protection hidden="1"/>
    </xf>
    <xf numFmtId="1" fontId="196" fillId="27" borderId="0" xfId="0" applyNumberFormat="1" applyFont="1" applyFill="1" applyAlignment="1" applyProtection="1">
      <alignment horizontal="right" vertical="center" wrapText="1"/>
      <protection hidden="1"/>
    </xf>
    <xf numFmtId="2" fontId="196" fillId="27" borderId="0" xfId="0" applyNumberFormat="1" applyFont="1" applyFill="1" applyAlignment="1" applyProtection="1">
      <alignment horizontal="right" vertical="center" wrapText="1"/>
      <protection hidden="1"/>
    </xf>
    <xf numFmtId="1" fontId="157" fillId="27" borderId="0" xfId="0" applyNumberFormat="1" applyFont="1" applyFill="1" applyAlignment="1" applyProtection="1">
      <alignment horizontal="center" vertical="center" wrapText="1"/>
      <protection hidden="1"/>
    </xf>
    <xf numFmtId="1" fontId="157" fillId="27" borderId="29" xfId="0" applyNumberFormat="1" applyFont="1" applyFill="1" applyBorder="1" applyAlignment="1" applyProtection="1">
      <alignment horizontal="center" vertical="center" wrapText="1"/>
      <protection hidden="1"/>
    </xf>
    <xf numFmtId="1" fontId="196" fillId="27" borderId="39" xfId="0" applyNumberFormat="1" applyFont="1" applyFill="1" applyBorder="1" applyAlignment="1" applyProtection="1">
      <alignment horizontal="right" vertical="center" wrapText="1"/>
      <protection hidden="1"/>
    </xf>
    <xf numFmtId="2" fontId="196" fillId="27" borderId="39" xfId="0" applyNumberFormat="1" applyFont="1" applyFill="1" applyBorder="1" applyAlignment="1" applyProtection="1">
      <alignment horizontal="right" vertical="center" wrapText="1"/>
      <protection hidden="1"/>
    </xf>
    <xf numFmtId="1" fontId="157" fillId="27" borderId="39" xfId="0" applyNumberFormat="1" applyFont="1" applyFill="1" applyBorder="1" applyAlignment="1" applyProtection="1">
      <alignment horizontal="center" vertical="center" wrapText="1"/>
      <protection hidden="1"/>
    </xf>
    <xf numFmtId="1" fontId="157" fillId="27" borderId="40" xfId="0" applyNumberFormat="1" applyFont="1" applyFill="1" applyBorder="1" applyAlignment="1" applyProtection="1">
      <alignment horizontal="center" vertical="center" wrapText="1"/>
      <protection hidden="1"/>
    </xf>
    <xf numFmtId="0" fontId="103" fillId="27" borderId="34" xfId="0" applyFont="1" applyFill="1" applyBorder="1" applyAlignment="1" applyProtection="1">
      <alignment horizontal="center"/>
      <protection hidden="1"/>
    </xf>
    <xf numFmtId="0" fontId="81" fillId="27" borderId="0" xfId="0" applyFont="1" applyFill="1" applyAlignment="1" applyProtection="1">
      <alignment horizontal="center"/>
      <protection hidden="1"/>
    </xf>
    <xf numFmtId="0" fontId="103" fillId="27" borderId="0" xfId="0" applyFont="1" applyFill="1" applyAlignment="1" applyProtection="1">
      <alignment horizontal="center"/>
      <protection hidden="1"/>
    </xf>
    <xf numFmtId="0" fontId="149" fillId="27" borderId="0" xfId="0" applyFont="1" applyFill="1" applyAlignment="1" applyProtection="1">
      <alignment horizontal="center"/>
      <protection hidden="1"/>
    </xf>
    <xf numFmtId="1" fontId="94" fillId="24" borderId="30" xfId="0" applyNumberFormat="1" applyFont="1" applyFill="1" applyBorder="1" applyAlignment="1" applyProtection="1">
      <alignment horizontal="center" vertical="top" wrapText="1"/>
      <protection hidden="1"/>
    </xf>
    <xf numFmtId="1" fontId="94" fillId="24" borderId="32" xfId="0" applyNumberFormat="1" applyFont="1" applyFill="1" applyBorder="1" applyAlignment="1" applyProtection="1">
      <alignment horizontal="center" vertical="top" wrapText="1"/>
      <protection hidden="1"/>
    </xf>
    <xf numFmtId="1" fontId="94" fillId="27" borderId="4" xfId="0" applyNumberFormat="1" applyFont="1" applyFill="1" applyBorder="1" applyAlignment="1" applyProtection="1">
      <alignment horizontal="center" vertical="top" wrapText="1"/>
      <protection hidden="1"/>
    </xf>
    <xf numFmtId="1" fontId="196" fillId="25" borderId="11" xfId="0" applyNumberFormat="1" applyFont="1" applyFill="1" applyBorder="1" applyAlignment="1" applyProtection="1">
      <alignment horizontal="right" vertical="center" wrapText="1"/>
      <protection hidden="1"/>
    </xf>
    <xf numFmtId="2" fontId="196" fillId="25" borderId="11" xfId="0" applyNumberFormat="1" applyFont="1" applyFill="1" applyBorder="1" applyAlignment="1" applyProtection="1">
      <alignment horizontal="right" vertical="center" wrapText="1"/>
      <protection hidden="1"/>
    </xf>
    <xf numFmtId="1" fontId="196" fillId="25" borderId="11" xfId="0" applyNumberFormat="1" applyFont="1" applyFill="1" applyBorder="1" applyAlignment="1" applyProtection="1">
      <alignment horizontal="center" vertical="center" wrapText="1"/>
      <protection hidden="1"/>
    </xf>
    <xf numFmtId="1" fontId="196" fillId="25" borderId="76" xfId="0" applyNumberFormat="1" applyFont="1" applyFill="1" applyBorder="1" applyAlignment="1" applyProtection="1">
      <alignment horizontal="center" vertical="center" wrapText="1"/>
      <protection hidden="1"/>
    </xf>
    <xf numFmtId="1" fontId="199" fillId="27" borderId="62" xfId="0" applyNumberFormat="1" applyFont="1" applyFill="1" applyBorder="1" applyAlignment="1" applyProtection="1">
      <alignment horizontal="center" wrapText="1"/>
      <protection hidden="1"/>
    </xf>
    <xf numFmtId="1" fontId="199" fillId="27" borderId="18" xfId="0" applyNumberFormat="1" applyFont="1" applyFill="1" applyBorder="1" applyAlignment="1" applyProtection="1">
      <alignment horizontal="center" wrapText="1"/>
      <protection hidden="1"/>
    </xf>
    <xf numFmtId="1" fontId="199" fillId="27" borderId="19" xfId="0" applyNumberFormat="1" applyFont="1" applyFill="1" applyBorder="1" applyAlignment="1" applyProtection="1">
      <alignment horizontal="center" wrapText="1"/>
      <protection hidden="1"/>
    </xf>
    <xf numFmtId="1" fontId="156" fillId="25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156" fillId="25" borderId="62" xfId="0" applyNumberFormat="1" applyFont="1" applyFill="1" applyBorder="1" applyAlignment="1" applyProtection="1">
      <alignment horizontal="right" vertical="center" wrapText="1" readingOrder="1"/>
      <protection hidden="1"/>
    </xf>
    <xf numFmtId="1" fontId="47" fillId="0" borderId="0" xfId="0" applyNumberFormat="1" applyFont="1" applyAlignment="1" applyProtection="1">
      <alignment horizontal="center" wrapText="1"/>
      <protection hidden="1"/>
    </xf>
    <xf numFmtId="0" fontId="95" fillId="27" borderId="34" xfId="0" applyFont="1" applyFill="1" applyBorder="1" applyAlignment="1" applyProtection="1">
      <alignment horizontal="center" vertical="center" wrapText="1"/>
      <protection hidden="1"/>
    </xf>
    <xf numFmtId="0" fontId="95" fillId="27" borderId="0" xfId="0" applyFont="1" applyFill="1" applyAlignment="1" applyProtection="1">
      <alignment horizontal="center" vertical="center" wrapText="1"/>
      <protection hidden="1"/>
    </xf>
    <xf numFmtId="0" fontId="80" fillId="27" borderId="0" xfId="0" applyFont="1" applyFill="1" applyAlignment="1" applyProtection="1">
      <alignment horizontal="center" vertical="center" wrapText="1"/>
      <protection hidden="1"/>
    </xf>
    <xf numFmtId="1" fontId="156" fillId="27" borderId="0" xfId="0" applyNumberFormat="1" applyFont="1" applyFill="1" applyAlignment="1" applyProtection="1">
      <alignment horizontal="right" vertical="center" wrapText="1" readingOrder="1"/>
      <protection hidden="1"/>
    </xf>
    <xf numFmtId="1" fontId="47" fillId="27" borderId="0" xfId="0" applyNumberFormat="1" applyFont="1" applyFill="1" applyAlignment="1" applyProtection="1">
      <alignment horizontal="center" wrapText="1"/>
      <protection hidden="1"/>
    </xf>
    <xf numFmtId="0" fontId="95" fillId="0" borderId="0" xfId="0" applyFont="1" applyAlignment="1" applyProtection="1">
      <alignment horizontal="center" vertical="top" wrapText="1"/>
      <protection hidden="1"/>
    </xf>
    <xf numFmtId="1" fontId="47" fillId="40" borderId="1" xfId="0" applyNumberFormat="1" applyFont="1" applyFill="1" applyBorder="1" applyAlignment="1" applyProtection="1">
      <alignment horizontal="center" wrapText="1"/>
      <protection hidden="1"/>
    </xf>
    <xf numFmtId="1" fontId="47" fillId="40" borderId="62" xfId="0" applyNumberFormat="1" applyFont="1" applyFill="1" applyBorder="1" applyAlignment="1" applyProtection="1">
      <alignment horizontal="center" wrapText="1"/>
      <protection hidden="1"/>
    </xf>
    <xf numFmtId="1" fontId="48" fillId="0" borderId="0" xfId="0" applyNumberFormat="1" applyFont="1" applyAlignment="1" applyProtection="1">
      <alignment horizontal="center" wrapText="1"/>
      <protection hidden="1"/>
    </xf>
    <xf numFmtId="0" fontId="104" fillId="27" borderId="34" xfId="0" applyFont="1" applyFill="1" applyBorder="1" applyAlignment="1" applyProtection="1">
      <alignment horizontal="center" vertical="center" wrapText="1"/>
      <protection hidden="1"/>
    </xf>
    <xf numFmtId="0" fontId="81" fillId="27" borderId="0" xfId="0" applyFont="1" applyFill="1" applyAlignment="1" applyProtection="1">
      <alignment horizontal="center" vertical="center" wrapText="1"/>
      <protection hidden="1"/>
    </xf>
    <xf numFmtId="0" fontId="104" fillId="27" borderId="0" xfId="0" applyFont="1" applyFill="1" applyAlignment="1" applyProtection="1">
      <alignment horizontal="center" vertical="center" wrapText="1"/>
      <protection hidden="1"/>
    </xf>
    <xf numFmtId="0" fontId="149" fillId="27" borderId="0" xfId="0" applyFont="1" applyFill="1" applyAlignment="1" applyProtection="1">
      <alignment horizontal="center" vertical="center" wrapText="1"/>
      <protection hidden="1"/>
    </xf>
    <xf numFmtId="1" fontId="47" fillId="27" borderId="33" xfId="0" applyNumberFormat="1" applyFont="1" applyFill="1" applyBorder="1" applyAlignment="1" applyProtection="1">
      <alignment horizontal="center" wrapText="1"/>
      <protection hidden="1"/>
    </xf>
    <xf numFmtId="1" fontId="47" fillId="27" borderId="2" xfId="0" applyNumberFormat="1" applyFont="1" applyFill="1" applyBorder="1" applyAlignment="1" applyProtection="1">
      <alignment horizontal="center" wrapText="1"/>
      <protection hidden="1"/>
    </xf>
    <xf numFmtId="1" fontId="47" fillId="27" borderId="69" xfId="0" applyNumberFormat="1" applyFont="1" applyFill="1" applyBorder="1" applyAlignment="1" applyProtection="1">
      <alignment horizontal="center" wrapText="1"/>
      <protection hidden="1"/>
    </xf>
    <xf numFmtId="1" fontId="47" fillId="27" borderId="46" xfId="0" applyNumberFormat="1" applyFont="1" applyFill="1" applyBorder="1" applyAlignment="1" applyProtection="1">
      <alignment horizontal="center" wrapText="1"/>
      <protection hidden="1"/>
    </xf>
    <xf numFmtId="1" fontId="47" fillId="27" borderId="71" xfId="0" applyNumberFormat="1" applyFont="1" applyFill="1" applyBorder="1" applyAlignment="1" applyProtection="1">
      <alignment horizontal="center" wrapText="1"/>
      <protection hidden="1"/>
    </xf>
    <xf numFmtId="0" fontId="29" fillId="0" borderId="38" xfId="0" applyFont="1" applyBorder="1" applyAlignment="1" applyProtection="1">
      <alignment vertical="center" wrapText="1"/>
      <protection hidden="1"/>
    </xf>
    <xf numFmtId="0" fontId="134" fillId="0" borderId="39" xfId="0" applyFont="1" applyBorder="1" applyAlignment="1" applyProtection="1">
      <alignment vertical="center" wrapText="1"/>
      <protection hidden="1"/>
    </xf>
    <xf numFmtId="0" fontId="89" fillId="0" borderId="39" xfId="0" applyFont="1" applyBorder="1" applyAlignment="1" applyProtection="1">
      <alignment vertical="center" wrapText="1"/>
      <protection hidden="1"/>
    </xf>
    <xf numFmtId="0" fontId="42" fillId="0" borderId="39" xfId="0" applyFont="1" applyBorder="1" applyAlignment="1" applyProtection="1">
      <alignment wrapText="1"/>
      <protection hidden="1"/>
    </xf>
    <xf numFmtId="0" fontId="17" fillId="0" borderId="39" xfId="0" applyFont="1" applyBorder="1" applyAlignment="1" applyProtection="1">
      <alignment wrapText="1"/>
      <protection hidden="1"/>
    </xf>
    <xf numFmtId="1" fontId="47" fillId="0" borderId="39" xfId="0" applyNumberFormat="1" applyFont="1" applyBorder="1" applyAlignment="1" applyProtection="1">
      <alignment horizontal="center" wrapText="1"/>
      <protection hidden="1"/>
    </xf>
    <xf numFmtId="2" fontId="0" fillId="0" borderId="39" xfId="0" applyNumberFormat="1" applyBorder="1" applyProtection="1">
      <protection hidden="1"/>
    </xf>
    <xf numFmtId="0" fontId="48" fillId="0" borderId="39" xfId="0" applyFont="1" applyBorder="1" applyAlignment="1" applyProtection="1">
      <alignment horizontal="center"/>
      <protection hidden="1"/>
    </xf>
    <xf numFmtId="0" fontId="48" fillId="0" borderId="40" xfId="0" applyFont="1" applyBorder="1" applyAlignment="1" applyProtection="1">
      <alignment horizontal="center"/>
      <protection hidden="1"/>
    </xf>
    <xf numFmtId="0" fontId="26" fillId="0" borderId="0" xfId="0" applyFont="1" applyAlignment="1" applyProtection="1">
      <alignment vertical="top" wrapText="1"/>
      <protection hidden="1"/>
    </xf>
    <xf numFmtId="0" fontId="131" fillId="0" borderId="0" xfId="0" applyFont="1" applyAlignment="1" applyProtection="1">
      <alignment vertical="top" wrapText="1"/>
      <protection hidden="1"/>
    </xf>
    <xf numFmtId="0" fontId="88" fillId="0" borderId="0" xfId="0" applyFont="1" applyAlignment="1" applyProtection="1">
      <alignment vertical="top" wrapText="1"/>
      <protection hidden="1"/>
    </xf>
    <xf numFmtId="49" fontId="111" fillId="0" borderId="0" xfId="0" applyNumberFormat="1" applyFont="1" applyAlignment="1" applyProtection="1">
      <alignment vertical="top" wrapText="1"/>
      <protection hidden="1"/>
    </xf>
    <xf numFmtId="49" fontId="84" fillId="0" borderId="0" xfId="0" applyNumberFormat="1" applyFont="1" applyAlignment="1" applyProtection="1">
      <alignment vertical="top" wrapText="1"/>
      <protection hidden="1"/>
    </xf>
    <xf numFmtId="2" fontId="28" fillId="0" borderId="0" xfId="0" applyNumberFormat="1" applyFont="1" applyAlignment="1" applyProtection="1">
      <alignment vertical="top" wrapText="1"/>
      <protection hidden="1"/>
    </xf>
    <xf numFmtId="0" fontId="47" fillId="0" borderId="0" xfId="0" applyFont="1" applyAlignment="1" applyProtection="1">
      <alignment vertical="top" wrapText="1"/>
      <protection hidden="1"/>
    </xf>
    <xf numFmtId="0" fontId="17" fillId="0" borderId="0" xfId="0" applyFont="1" applyAlignment="1" applyProtection="1">
      <alignment vertical="top" wrapText="1"/>
      <protection hidden="1"/>
    </xf>
    <xf numFmtId="0" fontId="131" fillId="0" borderId="0" xfId="0" applyFont="1" applyAlignment="1" applyProtection="1">
      <alignment wrapText="1"/>
      <protection hidden="1"/>
    </xf>
    <xf numFmtId="0" fontId="88" fillId="0" borderId="0" xfId="0" applyFont="1" applyAlignment="1" applyProtection="1">
      <alignment wrapText="1"/>
      <protection hidden="1"/>
    </xf>
    <xf numFmtId="0" fontId="150" fillId="0" borderId="0" xfId="0" applyFont="1" applyAlignment="1" applyProtection="1">
      <alignment wrapText="1"/>
      <protection hidden="1"/>
    </xf>
    <xf numFmtId="0" fontId="85" fillId="0" borderId="0" xfId="0" applyFont="1" applyAlignment="1" applyProtection="1">
      <alignment wrapText="1"/>
      <protection hidden="1"/>
    </xf>
    <xf numFmtId="0" fontId="61" fillId="0" borderId="0" xfId="0" applyFont="1" applyAlignment="1" applyProtection="1">
      <alignment wrapText="1"/>
      <protection hidden="1"/>
    </xf>
    <xf numFmtId="0" fontId="135" fillId="0" borderId="0" xfId="0" applyFont="1" applyAlignment="1" applyProtection="1">
      <alignment wrapText="1"/>
      <protection hidden="1"/>
    </xf>
    <xf numFmtId="0" fontId="93" fillId="0" borderId="0" xfId="0" applyFont="1" applyAlignment="1" applyProtection="1">
      <alignment wrapText="1"/>
      <protection hidden="1"/>
    </xf>
    <xf numFmtId="0" fontId="94" fillId="0" borderId="33" xfId="0" applyFont="1" applyBorder="1" applyAlignment="1" applyProtection="1">
      <alignment horizontal="center" vertical="top" wrapText="1"/>
      <protection hidden="1"/>
    </xf>
    <xf numFmtId="2" fontId="94" fillId="0" borderId="33" xfId="0" applyNumberFormat="1" applyFont="1" applyBorder="1" applyAlignment="1" applyProtection="1">
      <alignment horizontal="center" vertical="top" wrapText="1"/>
      <protection hidden="1"/>
    </xf>
    <xf numFmtId="0" fontId="95" fillId="0" borderId="33" xfId="0" applyFont="1" applyBorder="1" applyAlignment="1" applyProtection="1">
      <alignment horizontal="center" vertical="top" wrapText="1"/>
      <protection hidden="1"/>
    </xf>
    <xf numFmtId="0" fontId="95" fillId="0" borderId="60" xfId="0" applyFont="1" applyBorder="1" applyAlignment="1" applyProtection="1">
      <alignment horizontal="center" vertical="top" wrapText="1"/>
      <protection hidden="1"/>
    </xf>
    <xf numFmtId="0" fontId="200" fillId="31" borderId="31" xfId="0" applyFont="1" applyFill="1" applyBorder="1" applyAlignment="1" applyProtection="1">
      <alignment horizontal="center" vertical="center" wrapText="1" readingOrder="1"/>
      <protection hidden="1"/>
    </xf>
    <xf numFmtId="1" fontId="156" fillId="0" borderId="77" xfId="0" applyNumberFormat="1" applyFont="1" applyBorder="1" applyAlignment="1" applyProtection="1">
      <alignment horizontal="center" vertical="center" wrapText="1" readingOrder="1"/>
      <protection hidden="1"/>
    </xf>
    <xf numFmtId="2" fontId="48" fillId="0" borderId="36" xfId="0" applyNumberFormat="1" applyFont="1" applyBorder="1" applyAlignment="1" applyProtection="1">
      <alignment horizontal="center"/>
      <protection hidden="1"/>
    </xf>
    <xf numFmtId="2" fontId="48" fillId="0" borderId="37" xfId="0" applyNumberFormat="1" applyFont="1" applyBorder="1" applyAlignment="1" applyProtection="1">
      <alignment horizontal="center"/>
      <protection hidden="1"/>
    </xf>
    <xf numFmtId="0" fontId="66" fillId="30" borderId="0" xfId="0" applyFont="1" applyFill="1" applyAlignment="1" applyProtection="1">
      <alignment horizontal="center" vertical="top" wrapText="1"/>
      <protection hidden="1"/>
    </xf>
    <xf numFmtId="0" fontId="200" fillId="57" borderId="1" xfId="0" applyFont="1" applyFill="1" applyBorder="1" applyAlignment="1" applyProtection="1">
      <alignment horizontal="center" vertical="center" wrapText="1" readingOrder="1"/>
      <protection hidden="1"/>
    </xf>
    <xf numFmtId="0" fontId="145" fillId="23" borderId="79" xfId="0" applyFont="1" applyFill="1" applyBorder="1" applyAlignment="1" applyProtection="1">
      <alignment horizontal="center" vertical="center" wrapText="1" readingOrder="1"/>
      <protection hidden="1"/>
    </xf>
    <xf numFmtId="1" fontId="156" fillId="0" borderId="0" xfId="0" applyNumberFormat="1" applyFont="1" applyAlignment="1" applyProtection="1">
      <alignment horizontal="center" vertical="center" wrapText="1" readingOrder="1"/>
      <protection hidden="1"/>
    </xf>
    <xf numFmtId="2" fontId="156" fillId="0" borderId="0" xfId="0" applyNumberFormat="1" applyFont="1" applyAlignment="1" applyProtection="1">
      <alignment horizontal="center" vertical="center" wrapText="1" readingOrder="1"/>
      <protection hidden="1"/>
    </xf>
    <xf numFmtId="0" fontId="5" fillId="30" borderId="0" xfId="0" applyFont="1" applyFill="1" applyAlignment="1" applyProtection="1">
      <alignment horizontal="center"/>
      <protection hidden="1"/>
    </xf>
    <xf numFmtId="0" fontId="200" fillId="38" borderId="62" xfId="0" applyFont="1" applyFill="1" applyBorder="1" applyAlignment="1" applyProtection="1">
      <alignment horizontal="center" vertical="center" wrapText="1" readingOrder="1"/>
      <protection hidden="1"/>
    </xf>
    <xf numFmtId="0" fontId="194" fillId="60" borderId="1" xfId="0" applyFont="1" applyFill="1" applyBorder="1" applyAlignment="1" applyProtection="1">
      <alignment horizontal="center" vertical="center" wrapText="1" readingOrder="1"/>
      <protection hidden="1"/>
    </xf>
    <xf numFmtId="0" fontId="201" fillId="41" borderId="62" xfId="0" applyFont="1" applyFill="1" applyBorder="1" applyAlignment="1" applyProtection="1">
      <alignment horizontal="center" vertical="center" wrapText="1" readingOrder="1"/>
      <protection hidden="1"/>
    </xf>
    <xf numFmtId="0" fontId="145" fillId="23" borderId="1" xfId="0" applyFont="1" applyFill="1" applyBorder="1" applyAlignment="1" applyProtection="1">
      <alignment horizontal="center" vertical="center" wrapText="1" readingOrder="1"/>
      <protection hidden="1"/>
    </xf>
    <xf numFmtId="1" fontId="156" fillId="0" borderId="36" xfId="0" applyNumberFormat="1" applyFont="1" applyBorder="1" applyAlignment="1" applyProtection="1">
      <alignment horizontal="center" vertical="center" wrapText="1" readingOrder="1"/>
      <protection hidden="1"/>
    </xf>
    <xf numFmtId="2" fontId="156" fillId="0" borderId="36" xfId="0" applyNumberFormat="1" applyFont="1" applyBorder="1" applyAlignment="1" applyProtection="1">
      <alignment horizontal="center" vertical="center" wrapText="1" readingOrder="1"/>
      <protection hidden="1"/>
    </xf>
    <xf numFmtId="0" fontId="200" fillId="38" borderId="19" xfId="0" applyFont="1" applyFill="1" applyBorder="1" applyAlignment="1" applyProtection="1">
      <alignment horizontal="center" vertical="center" wrapText="1" readingOrder="1"/>
      <protection hidden="1"/>
    </xf>
    <xf numFmtId="0" fontId="200" fillId="38" borderId="18" xfId="0" applyFont="1" applyFill="1" applyBorder="1" applyAlignment="1" applyProtection="1">
      <alignment horizontal="center" vertical="center" wrapText="1" readingOrder="1"/>
      <protection hidden="1"/>
    </xf>
    <xf numFmtId="0" fontId="200" fillId="60" borderId="1" xfId="0" applyFont="1" applyFill="1" applyBorder="1" applyAlignment="1" applyProtection="1">
      <alignment horizontal="center" vertical="center" wrapText="1" readingOrder="1"/>
      <protection hidden="1"/>
    </xf>
    <xf numFmtId="1" fontId="156" fillId="0" borderId="39" xfId="0" applyNumberFormat="1" applyFont="1" applyBorder="1" applyAlignment="1" applyProtection="1">
      <alignment horizontal="center" vertical="center" wrapText="1" readingOrder="1"/>
      <protection hidden="1"/>
    </xf>
    <xf numFmtId="2" fontId="156" fillId="0" borderId="39" xfId="0" applyNumberFormat="1" applyFont="1" applyBorder="1" applyAlignment="1" applyProtection="1">
      <alignment horizontal="center" vertical="center" wrapText="1" readingOrder="1"/>
      <protection hidden="1"/>
    </xf>
    <xf numFmtId="2" fontId="5" fillId="30" borderId="0" xfId="0" applyNumberFormat="1" applyFont="1" applyFill="1" applyAlignment="1" applyProtection="1">
      <alignment horizontal="center"/>
      <protection hidden="1"/>
    </xf>
    <xf numFmtId="1" fontId="138" fillId="0" borderId="0" xfId="0" applyNumberFormat="1" applyFont="1" applyAlignment="1" applyProtection="1">
      <alignment vertical="top" wrapText="1"/>
      <protection hidden="1"/>
    </xf>
    <xf numFmtId="0" fontId="200" fillId="24" borderId="1" xfId="0" applyFont="1" applyFill="1" applyBorder="1" applyAlignment="1" applyProtection="1">
      <alignment horizontal="center" vertical="center" wrapText="1" readingOrder="1"/>
      <protection hidden="1"/>
    </xf>
    <xf numFmtId="0" fontId="145" fillId="23" borderId="8" xfId="0" applyFont="1" applyFill="1" applyBorder="1" applyAlignment="1" applyProtection="1">
      <alignment horizontal="center" vertical="center" wrapText="1" readingOrder="1"/>
      <protection hidden="1"/>
    </xf>
    <xf numFmtId="0" fontId="0" fillId="30" borderId="0" xfId="0" applyFill="1" applyProtection="1">
      <protection hidden="1"/>
    </xf>
    <xf numFmtId="168" fontId="0" fillId="30" borderId="0" xfId="0" applyNumberFormat="1" applyFill="1" applyProtection="1">
      <protection hidden="1"/>
    </xf>
    <xf numFmtId="0" fontId="200" fillId="60" borderId="28" xfId="0" applyFont="1" applyFill="1" applyBorder="1" applyAlignment="1" applyProtection="1">
      <alignment horizontal="center" vertical="center" wrapText="1" readingOrder="1"/>
      <protection hidden="1"/>
    </xf>
    <xf numFmtId="0" fontId="194" fillId="60" borderId="28" xfId="0" applyFont="1" applyFill="1" applyBorder="1" applyAlignment="1" applyProtection="1">
      <alignment horizontal="center" vertical="center" wrapText="1" readingOrder="1"/>
      <protection hidden="1"/>
    </xf>
    <xf numFmtId="0" fontId="200" fillId="24" borderId="28" xfId="0" applyFont="1" applyFill="1" applyBorder="1" applyAlignment="1" applyProtection="1">
      <alignment horizontal="center" vertical="center" wrapText="1" readingOrder="1"/>
      <protection hidden="1"/>
    </xf>
    <xf numFmtId="0" fontId="145" fillId="23" borderId="6" xfId="0" applyFont="1" applyFill="1" applyBorder="1" applyAlignment="1" applyProtection="1">
      <alignment horizontal="center" vertical="center" wrapText="1" readingOrder="1"/>
      <protection hidden="1"/>
    </xf>
    <xf numFmtId="0" fontId="200" fillId="31" borderId="7" xfId="0" applyFont="1" applyFill="1" applyBorder="1" applyAlignment="1" applyProtection="1">
      <alignment horizontal="center" vertical="center" wrapText="1" readingOrder="1"/>
      <protection hidden="1"/>
    </xf>
    <xf numFmtId="0" fontId="200" fillId="57" borderId="62" xfId="0" applyFont="1" applyFill="1" applyBorder="1" applyAlignment="1" applyProtection="1">
      <alignment horizontal="center" vertical="center" wrapText="1" readingOrder="1"/>
      <protection hidden="1"/>
    </xf>
    <xf numFmtId="2" fontId="5" fillId="0" borderId="0" xfId="0" applyNumberFormat="1" applyFont="1" applyAlignment="1" applyProtection="1">
      <alignment horizontal="center"/>
      <protection hidden="1"/>
    </xf>
    <xf numFmtId="0" fontId="202" fillId="0" borderId="0" xfId="0" applyFont="1" applyAlignment="1" applyProtection="1">
      <alignment vertical="center" wrapText="1" readingOrder="1"/>
      <protection hidden="1"/>
    </xf>
    <xf numFmtId="0" fontId="202" fillId="0" borderId="0" xfId="0" applyFont="1" applyAlignment="1" applyProtection="1">
      <alignment horizontal="center" vertical="center" wrapText="1" readingOrder="1"/>
      <protection hidden="1"/>
    </xf>
    <xf numFmtId="0" fontId="141" fillId="0" borderId="0" xfId="0" applyFont="1" applyAlignment="1" applyProtection="1">
      <alignment vertical="center" wrapText="1" readingOrder="1"/>
      <protection hidden="1"/>
    </xf>
    <xf numFmtId="2" fontId="44" fillId="25" borderId="1" xfId="0" applyNumberFormat="1" applyFont="1" applyFill="1" applyBorder="1" applyAlignment="1" applyProtection="1">
      <alignment wrapText="1"/>
      <protection hidden="1"/>
    </xf>
    <xf numFmtId="2" fontId="5" fillId="25" borderId="1" xfId="0" applyNumberFormat="1" applyFont="1" applyFill="1" applyBorder="1" applyAlignment="1" applyProtection="1">
      <alignment wrapText="1"/>
      <protection hidden="1"/>
    </xf>
    <xf numFmtId="2" fontId="5" fillId="52" borderId="1" xfId="0" applyNumberFormat="1" applyFont="1" applyFill="1" applyBorder="1" applyAlignment="1" applyProtection="1">
      <alignment wrapText="1"/>
      <protection hidden="1"/>
    </xf>
    <xf numFmtId="2" fontId="44" fillId="52" borderId="1" xfId="0" applyNumberFormat="1" applyFont="1" applyFill="1" applyBorder="1" applyAlignment="1" applyProtection="1">
      <alignment horizontal="center" wrapText="1"/>
      <protection hidden="1"/>
    </xf>
    <xf numFmtId="0" fontId="203" fillId="0" borderId="0" xfId="0" applyFont="1" applyAlignment="1" applyProtection="1">
      <alignment vertical="center" wrapText="1" readingOrder="1"/>
      <protection hidden="1"/>
    </xf>
    <xf numFmtId="0" fontId="192" fillId="0" borderId="0" xfId="0" applyFont="1" applyAlignment="1" applyProtection="1">
      <alignment vertical="center" wrapText="1" readingOrder="1"/>
      <protection hidden="1"/>
    </xf>
    <xf numFmtId="1" fontId="94" fillId="0" borderId="18" xfId="0" applyNumberFormat="1" applyFont="1" applyBorder="1" applyAlignment="1" applyProtection="1">
      <alignment horizontal="center" vertical="top" wrapText="1"/>
      <protection hidden="1"/>
    </xf>
    <xf numFmtId="0" fontId="85" fillId="0" borderId="0" xfId="0" applyFont="1" applyAlignment="1" applyProtection="1">
      <alignment vertical="top" wrapText="1"/>
      <protection hidden="1"/>
    </xf>
    <xf numFmtId="0" fontId="150" fillId="0" borderId="0" xfId="0" applyFont="1" applyAlignment="1" applyProtection="1">
      <alignment vertical="top" wrapText="1"/>
      <protection hidden="1"/>
    </xf>
    <xf numFmtId="2" fontId="130" fillId="0" borderId="0" xfId="0" applyNumberFormat="1" applyFont="1" applyAlignment="1" applyProtection="1">
      <alignment horizontal="center" vertical="top" wrapText="1"/>
      <protection hidden="1"/>
    </xf>
    <xf numFmtId="0" fontId="94" fillId="0" borderId="0" xfId="0" applyFont="1" applyAlignment="1" applyProtection="1">
      <alignment horizontal="center" vertical="top" wrapText="1"/>
      <protection hidden="1"/>
    </xf>
    <xf numFmtId="2" fontId="94" fillId="0" borderId="0" xfId="0" applyNumberFormat="1" applyFont="1" applyAlignment="1" applyProtection="1">
      <alignment horizontal="center" vertical="top" wrapText="1"/>
      <protection hidden="1"/>
    </xf>
    <xf numFmtId="0" fontId="29" fillId="0" borderId="0" xfId="0" applyFont="1" applyAlignment="1" applyProtection="1">
      <alignment wrapText="1"/>
      <protection hidden="1"/>
    </xf>
    <xf numFmtId="0" fontId="95" fillId="0" borderId="0" xfId="0" applyFont="1" applyAlignment="1" applyProtection="1">
      <alignment horizontal="center" wrapText="1"/>
      <protection hidden="1"/>
    </xf>
    <xf numFmtId="0" fontId="53" fillId="0" borderId="0" xfId="0" applyFont="1" applyAlignment="1" applyProtection="1">
      <alignment horizontal="center" wrapText="1"/>
      <protection hidden="1"/>
    </xf>
    <xf numFmtId="0" fontId="32" fillId="0" borderId="0" xfId="0" applyFont="1" applyAlignment="1" applyProtection="1">
      <alignment wrapText="1"/>
      <protection hidden="1"/>
    </xf>
    <xf numFmtId="0" fontId="53" fillId="0" borderId="1" xfId="0" applyFont="1" applyBorder="1" applyAlignment="1" applyProtection="1">
      <alignment horizontal="center" wrapText="1"/>
      <protection hidden="1"/>
    </xf>
    <xf numFmtId="2" fontId="53" fillId="0" borderId="1" xfId="0" applyNumberFormat="1" applyFont="1" applyBorder="1" applyAlignment="1" applyProtection="1">
      <alignment horizontal="center" wrapText="1"/>
      <protection hidden="1"/>
    </xf>
    <xf numFmtId="0" fontId="95" fillId="0" borderId="1" xfId="0" applyFont="1" applyBorder="1" applyAlignment="1" applyProtection="1">
      <alignment horizontal="center" wrapText="1"/>
      <protection hidden="1"/>
    </xf>
    <xf numFmtId="0" fontId="53" fillId="0" borderId="1" xfId="0" applyFont="1" applyBorder="1" applyAlignment="1" applyProtection="1">
      <alignment horizontal="center" vertical="top" wrapText="1"/>
      <protection hidden="1"/>
    </xf>
    <xf numFmtId="0" fontId="0" fillId="0" borderId="0" xfId="0" applyAlignment="1" applyProtection="1">
      <alignment horizontal="center" vertical="top" wrapText="1"/>
      <protection hidden="1"/>
    </xf>
    <xf numFmtId="0" fontId="47" fillId="0" borderId="0" xfId="0" applyFont="1" applyAlignment="1" applyProtection="1">
      <alignment horizontal="center" vertical="top" wrapText="1"/>
      <protection hidden="1"/>
    </xf>
    <xf numFmtId="0" fontId="42" fillId="0" borderId="0" xfId="0" applyFont="1" applyAlignment="1" applyProtection="1">
      <alignment horizontal="center" vertical="top" wrapText="1"/>
      <protection hidden="1"/>
    </xf>
    <xf numFmtId="0" fontId="17" fillId="0" borderId="0" xfId="0" applyFont="1" applyAlignment="1" applyProtection="1">
      <alignment horizontal="center" vertical="top" wrapText="1"/>
      <protection hidden="1"/>
    </xf>
    <xf numFmtId="0" fontId="30" fillId="0" borderId="79" xfId="0" applyFont="1" applyBorder="1" applyAlignment="1" applyProtection="1">
      <alignment vertical="center" wrapText="1"/>
      <protection hidden="1"/>
    </xf>
    <xf numFmtId="0" fontId="134" fillId="0" borderId="28" xfId="0" applyFont="1" applyBorder="1" applyAlignment="1" applyProtection="1">
      <alignment vertical="top" wrapText="1"/>
      <protection hidden="1"/>
    </xf>
    <xf numFmtId="0" fontId="87" fillId="0" borderId="1" xfId="0" applyFont="1" applyBorder="1" applyAlignment="1" applyProtection="1">
      <alignment vertical="top" wrapText="1"/>
      <protection hidden="1"/>
    </xf>
    <xf numFmtId="1" fontId="42" fillId="0" borderId="1" xfId="0" applyNumberFormat="1" applyFont="1" applyBorder="1" applyAlignment="1" applyProtection="1">
      <alignment horizontal="center" vertical="top" wrapText="1"/>
      <protection hidden="1"/>
    </xf>
    <xf numFmtId="1" fontId="17" fillId="0" borderId="1" xfId="0" applyNumberFormat="1" applyFont="1" applyBorder="1" applyAlignment="1" applyProtection="1">
      <alignment horizontal="center" vertical="top" wrapText="1"/>
      <protection hidden="1"/>
    </xf>
    <xf numFmtId="2" fontId="17" fillId="0" borderId="1" xfId="0" applyNumberFormat="1" applyFont="1" applyBorder="1" applyAlignment="1" applyProtection="1">
      <alignment horizontal="center" vertical="top" wrapText="1"/>
      <protection hidden="1"/>
    </xf>
    <xf numFmtId="1" fontId="48" fillId="0" borderId="1" xfId="0" applyNumberFormat="1" applyFont="1" applyBorder="1" applyAlignment="1" applyProtection="1">
      <alignment horizontal="center" vertical="top" wrapText="1"/>
      <protection hidden="1"/>
    </xf>
    <xf numFmtId="1" fontId="48" fillId="24" borderId="1" xfId="0" applyNumberFormat="1" applyFont="1" applyFill="1" applyBorder="1" applyAlignment="1" applyProtection="1">
      <alignment horizontal="center"/>
      <protection hidden="1"/>
    </xf>
    <xf numFmtId="1" fontId="0" fillId="24" borderId="1" xfId="0" applyNumberFormat="1" applyFill="1" applyBorder="1" applyProtection="1">
      <protection hidden="1"/>
    </xf>
    <xf numFmtId="2" fontId="43" fillId="25" borderId="1" xfId="0" applyNumberFormat="1" applyFont="1" applyFill="1" applyBorder="1" applyAlignment="1" applyProtection="1">
      <alignment wrapText="1"/>
      <protection hidden="1"/>
    </xf>
    <xf numFmtId="2" fontId="5" fillId="52" borderId="1" xfId="0" applyNumberFormat="1" applyFont="1" applyFill="1" applyBorder="1" applyAlignment="1" applyProtection="1">
      <alignment horizontal="center" vertical="top" wrapText="1"/>
      <protection hidden="1"/>
    </xf>
    <xf numFmtId="2" fontId="44" fillId="52" borderId="1" xfId="0" applyNumberFormat="1" applyFont="1" applyFill="1" applyBorder="1" applyAlignment="1" applyProtection="1">
      <alignment horizontal="center" vertical="top" wrapText="1"/>
      <protection hidden="1"/>
    </xf>
    <xf numFmtId="0" fontId="80" fillId="0" borderId="0" xfId="0" applyFont="1" applyAlignment="1" applyProtection="1">
      <alignment wrapText="1"/>
      <protection hidden="1"/>
    </xf>
    <xf numFmtId="0" fontId="29" fillId="0" borderId="0" xfId="0" applyFont="1" applyAlignment="1" applyProtection="1">
      <alignment horizontal="center" wrapText="1"/>
      <protection hidden="1"/>
    </xf>
    <xf numFmtId="2" fontId="29" fillId="0" borderId="0" xfId="0" applyNumberFormat="1" applyFont="1" applyAlignment="1" applyProtection="1">
      <alignment horizontal="center" wrapText="1"/>
      <protection hidden="1"/>
    </xf>
    <xf numFmtId="0" fontId="134" fillId="0" borderId="33" xfId="0" applyFont="1" applyBorder="1" applyAlignment="1" applyProtection="1">
      <alignment vertical="center" wrapText="1"/>
      <protection hidden="1"/>
    </xf>
    <xf numFmtId="0" fontId="134" fillId="0" borderId="1" xfId="0" applyFont="1" applyBorder="1" applyAlignment="1" applyProtection="1">
      <alignment vertical="top" wrapText="1"/>
      <protection hidden="1"/>
    </xf>
    <xf numFmtId="1" fontId="48" fillId="0" borderId="0" xfId="0" applyNumberFormat="1" applyFont="1" applyAlignment="1" applyProtection="1">
      <alignment horizontal="center"/>
      <protection hidden="1"/>
    </xf>
    <xf numFmtId="1" fontId="42" fillId="0" borderId="0" xfId="0" applyNumberFormat="1" applyFont="1" applyAlignment="1" applyProtection="1">
      <alignment horizontal="center" vertical="top" wrapText="1"/>
      <protection hidden="1"/>
    </xf>
    <xf numFmtId="1" fontId="17" fillId="0" borderId="0" xfId="0" applyNumberFormat="1" applyFont="1" applyAlignment="1" applyProtection="1">
      <alignment horizontal="center" vertical="top" wrapText="1"/>
      <protection hidden="1"/>
    </xf>
    <xf numFmtId="1" fontId="0" fillId="0" borderId="0" xfId="0" applyNumberFormat="1" applyAlignment="1" applyProtection="1">
      <alignment horizontal="center" vertical="top" wrapText="1"/>
      <protection hidden="1"/>
    </xf>
    <xf numFmtId="1" fontId="5" fillId="52" borderId="1" xfId="0" applyNumberFormat="1" applyFont="1" applyFill="1" applyBorder="1" applyAlignment="1" applyProtection="1">
      <alignment horizontal="center" vertical="top" wrapText="1"/>
      <protection hidden="1"/>
    </xf>
    <xf numFmtId="1" fontId="44" fillId="52" borderId="1" xfId="0" applyNumberFormat="1" applyFont="1" applyFill="1" applyBorder="1" applyAlignment="1" applyProtection="1">
      <alignment horizontal="center" vertical="top" wrapText="1"/>
      <protection hidden="1"/>
    </xf>
    <xf numFmtId="2" fontId="26" fillId="0" borderId="0" xfId="0" applyNumberFormat="1" applyFont="1" applyAlignment="1" applyProtection="1">
      <alignment vertical="top" wrapText="1"/>
      <protection hidden="1"/>
    </xf>
    <xf numFmtId="0" fontId="131" fillId="0" borderId="0" xfId="0" applyFont="1" applyAlignment="1" applyProtection="1">
      <alignment horizontal="center" vertical="top" wrapText="1"/>
      <protection hidden="1"/>
    </xf>
    <xf numFmtId="0" fontId="30" fillId="0" borderId="33" xfId="0" applyFont="1" applyBorder="1" applyAlignment="1" applyProtection="1">
      <alignment vertical="center" wrapText="1"/>
      <protection hidden="1"/>
    </xf>
    <xf numFmtId="0" fontId="17" fillId="0" borderId="1" xfId="0" applyFont="1" applyBorder="1" applyProtection="1">
      <protection hidden="1"/>
    </xf>
    <xf numFmtId="2" fontId="17" fillId="0" borderId="1" xfId="0" applyNumberFormat="1" applyFont="1" applyBorder="1" applyProtection="1">
      <protection hidden="1"/>
    </xf>
    <xf numFmtId="1" fontId="48" fillId="27" borderId="1" xfId="0" applyNumberFormat="1" applyFont="1" applyFill="1" applyBorder="1" applyAlignment="1" applyProtection="1">
      <alignment horizontal="center"/>
      <protection hidden="1"/>
    </xf>
    <xf numFmtId="1" fontId="0" fillId="27" borderId="1" xfId="0" applyNumberFormat="1" applyFill="1" applyBorder="1" applyProtection="1">
      <protection hidden="1"/>
    </xf>
    <xf numFmtId="1" fontId="5" fillId="52" borderId="1" xfId="0" applyNumberFormat="1" applyFont="1" applyFill="1" applyBorder="1" applyAlignment="1" applyProtection="1">
      <alignment wrapText="1"/>
      <protection hidden="1"/>
    </xf>
    <xf numFmtId="1" fontId="44" fillId="52" borderId="1" xfId="0" applyNumberFormat="1" applyFont="1" applyFill="1" applyBorder="1" applyAlignment="1" applyProtection="1">
      <alignment horizontal="center" wrapText="1"/>
      <protection hidden="1"/>
    </xf>
    <xf numFmtId="1" fontId="0" fillId="14" borderId="1" xfId="0" applyNumberFormat="1" applyFill="1" applyBorder="1" applyAlignment="1" applyProtection="1">
      <alignment horizontal="center" vertical="top" wrapText="1"/>
      <protection hidden="1"/>
    </xf>
    <xf numFmtId="2" fontId="0" fillId="14" borderId="1" xfId="0" applyNumberFormat="1" applyFill="1" applyBorder="1" applyAlignment="1" applyProtection="1">
      <alignment horizontal="center" vertical="top" wrapText="1"/>
      <protection hidden="1"/>
    </xf>
    <xf numFmtId="1" fontId="48" fillId="14" borderId="1" xfId="0" applyNumberFormat="1" applyFont="1" applyFill="1" applyBorder="1" applyAlignment="1" applyProtection="1">
      <alignment horizontal="center" vertical="top" wrapText="1"/>
      <protection hidden="1"/>
    </xf>
    <xf numFmtId="0" fontId="0" fillId="52" borderId="0" xfId="0" applyFill="1" applyProtection="1">
      <protection hidden="1"/>
    </xf>
    <xf numFmtId="1" fontId="47" fillId="52" borderId="0" xfId="0" applyNumberFormat="1" applyFont="1" applyFill="1" applyAlignment="1" applyProtection="1">
      <alignment horizontal="right" vertical="top" wrapText="1"/>
      <protection hidden="1"/>
    </xf>
    <xf numFmtId="2" fontId="47" fillId="52" borderId="0" xfId="0" applyNumberFormat="1" applyFont="1" applyFill="1" applyAlignment="1" applyProtection="1">
      <alignment horizontal="right" vertical="top" wrapText="1"/>
      <protection hidden="1"/>
    </xf>
    <xf numFmtId="1" fontId="48" fillId="52" borderId="0" xfId="0" applyNumberFormat="1" applyFont="1" applyFill="1" applyAlignment="1" applyProtection="1">
      <alignment horizontal="center" vertical="top" wrapText="1"/>
      <protection hidden="1"/>
    </xf>
    <xf numFmtId="0" fontId="48" fillId="0" borderId="0" xfId="0" applyFont="1" applyAlignment="1" applyProtection="1">
      <alignment horizontal="left"/>
      <protection hidden="1"/>
    </xf>
    <xf numFmtId="0" fontId="47" fillId="0" borderId="0" xfId="0" applyFont="1" applyAlignment="1" applyProtection="1">
      <alignment horizontal="left"/>
      <protection hidden="1"/>
    </xf>
    <xf numFmtId="0" fontId="29" fillId="0" borderId="1" xfId="0" applyFont="1" applyBorder="1" applyAlignment="1" applyProtection="1">
      <alignment horizontal="center" wrapText="1"/>
      <protection hidden="1"/>
    </xf>
    <xf numFmtId="0" fontId="94" fillId="0" borderId="1" xfId="0" applyFont="1" applyBorder="1" applyAlignment="1" applyProtection="1">
      <alignment horizontal="center" wrapText="1"/>
      <protection hidden="1"/>
    </xf>
    <xf numFmtId="2" fontId="29" fillId="0" borderId="1" xfId="0" applyNumberFormat="1" applyFont="1" applyBorder="1" applyAlignment="1" applyProtection="1">
      <alignment horizontal="center" wrapText="1"/>
      <protection hidden="1"/>
    </xf>
    <xf numFmtId="1" fontId="95" fillId="0" borderId="1" xfId="0" applyNumberFormat="1" applyFont="1" applyBorder="1" applyAlignment="1" applyProtection="1">
      <alignment horizontal="center" wrapText="1"/>
      <protection hidden="1"/>
    </xf>
    <xf numFmtId="2" fontId="95" fillId="0" borderId="1" xfId="0" applyNumberFormat="1" applyFont="1" applyBorder="1" applyAlignment="1" applyProtection="1">
      <alignment horizontal="center" wrapText="1"/>
      <protection hidden="1"/>
    </xf>
    <xf numFmtId="0" fontId="80" fillId="0" borderId="1" xfId="0" applyFont="1" applyBorder="1" applyAlignment="1" applyProtection="1">
      <alignment horizontal="center" wrapText="1"/>
      <protection hidden="1"/>
    </xf>
    <xf numFmtId="1" fontId="94" fillId="52" borderId="1" xfId="0" applyNumberFormat="1" applyFont="1" applyFill="1" applyBorder="1" applyAlignment="1" applyProtection="1">
      <alignment horizontal="center" wrapText="1"/>
      <protection hidden="1"/>
    </xf>
    <xf numFmtId="1" fontId="90" fillId="53" borderId="0" xfId="0" applyNumberFormat="1" applyFont="1" applyFill="1" applyAlignment="1" applyProtection="1">
      <alignment horizontal="center" wrapText="1"/>
      <protection hidden="1"/>
    </xf>
    <xf numFmtId="0" fontId="31" fillId="0" borderId="0" xfId="0" applyFont="1" applyAlignment="1" applyProtection="1">
      <alignment horizontal="left"/>
      <protection hidden="1"/>
    </xf>
    <xf numFmtId="0" fontId="136" fillId="0" borderId="0" xfId="0" applyFont="1" applyAlignment="1" applyProtection="1">
      <alignment horizontal="left"/>
      <protection hidden="1"/>
    </xf>
    <xf numFmtId="0" fontId="90" fillId="0" borderId="0" xfId="0" applyFont="1" applyAlignment="1" applyProtection="1">
      <alignment horizontal="left"/>
      <protection hidden="1"/>
    </xf>
    <xf numFmtId="0" fontId="2" fillId="0" borderId="0" xfId="1" applyAlignment="1" applyProtection="1">
      <alignment horizontal="left"/>
      <protection hidden="1"/>
    </xf>
    <xf numFmtId="0" fontId="137" fillId="0" borderId="0" xfId="1" applyFont="1" applyAlignment="1" applyProtection="1">
      <alignment horizontal="left"/>
      <protection hidden="1"/>
    </xf>
    <xf numFmtId="0" fontId="92" fillId="0" borderId="0" xfId="1" applyFont="1" applyAlignment="1" applyProtection="1">
      <alignment horizontal="left"/>
      <protection hidden="1"/>
    </xf>
    <xf numFmtId="166" fontId="204" fillId="41" borderId="0" xfId="0" applyNumberFormat="1" applyFont="1" applyFill="1" applyProtection="1">
      <protection hidden="1"/>
    </xf>
    <xf numFmtId="0" fontId="205" fillId="31" borderId="31" xfId="0" applyFont="1" applyFill="1" applyBorder="1" applyAlignment="1" applyProtection="1">
      <alignment horizontal="center" vertical="center" wrapText="1" readingOrder="1"/>
      <protection hidden="1"/>
    </xf>
    <xf numFmtId="1" fontId="156" fillId="0" borderId="11" xfId="0" applyNumberFormat="1" applyFont="1" applyBorder="1" applyAlignment="1" applyProtection="1">
      <alignment horizontal="center" vertical="center" wrapText="1" readingOrder="1"/>
      <protection hidden="1"/>
    </xf>
    <xf numFmtId="2" fontId="0" fillId="24" borderId="1" xfId="0" applyNumberFormat="1" applyFill="1" applyBorder="1" applyAlignment="1" applyProtection="1">
      <alignment horizontal="center" wrapText="1"/>
      <protection hidden="1"/>
    </xf>
    <xf numFmtId="2" fontId="0" fillId="24" borderId="0" xfId="0" applyNumberFormat="1" applyFill="1" applyAlignment="1" applyProtection="1">
      <alignment horizontal="center" wrapText="1"/>
      <protection hidden="1"/>
    </xf>
    <xf numFmtId="2" fontId="48" fillId="0" borderId="0" xfId="0" applyNumberFormat="1" applyFont="1" applyAlignment="1" applyProtection="1">
      <alignment horizontal="center"/>
      <protection hidden="1"/>
    </xf>
    <xf numFmtId="2" fontId="48" fillId="0" borderId="1" xfId="0" applyNumberFormat="1" applyFont="1" applyBorder="1" applyProtection="1">
      <protection hidden="1"/>
    </xf>
    <xf numFmtId="1" fontId="48" fillId="0" borderId="1" xfId="0" applyNumberFormat="1" applyFont="1" applyBorder="1" applyProtection="1">
      <protection hidden="1"/>
    </xf>
    <xf numFmtId="0" fontId="205" fillId="57" borderId="1" xfId="0" applyFont="1" applyFill="1" applyBorder="1" applyAlignment="1" applyProtection="1">
      <alignment horizontal="center" vertical="center" wrapText="1" readingOrder="1"/>
      <protection hidden="1"/>
    </xf>
    <xf numFmtId="0" fontId="144" fillId="23" borderId="79" xfId="0" applyFont="1" applyFill="1" applyBorder="1" applyAlignment="1" applyProtection="1">
      <alignment horizontal="center" vertical="center" wrapText="1" readingOrder="1"/>
      <protection hidden="1"/>
    </xf>
    <xf numFmtId="0" fontId="205" fillId="38" borderId="62" xfId="0" applyFont="1" applyFill="1" applyBorder="1" applyAlignment="1" applyProtection="1">
      <alignment horizontal="center" vertical="center" wrapText="1" readingOrder="1"/>
      <protection hidden="1"/>
    </xf>
    <xf numFmtId="0" fontId="206" fillId="41" borderId="62" xfId="0" applyFont="1" applyFill="1" applyBorder="1" applyAlignment="1" applyProtection="1">
      <alignment horizontal="center" vertical="center" wrapText="1" readingOrder="1"/>
      <protection hidden="1"/>
    </xf>
    <xf numFmtId="0" fontId="144" fillId="23" borderId="1" xfId="0" applyFont="1" applyFill="1" applyBorder="1" applyAlignment="1" applyProtection="1">
      <alignment horizontal="center" vertical="center" wrapText="1" readingOrder="1"/>
      <protection hidden="1"/>
    </xf>
    <xf numFmtId="0" fontId="205" fillId="38" borderId="19" xfId="0" applyFont="1" applyFill="1" applyBorder="1" applyAlignment="1" applyProtection="1">
      <alignment horizontal="center" vertical="center" wrapText="1" readingOrder="1"/>
      <protection hidden="1"/>
    </xf>
    <xf numFmtId="0" fontId="194" fillId="38" borderId="19" xfId="0" applyFont="1" applyFill="1" applyBorder="1" applyAlignment="1" applyProtection="1">
      <alignment horizontal="center" vertical="center" wrapText="1" readingOrder="1"/>
      <protection hidden="1"/>
    </xf>
    <xf numFmtId="0" fontId="205" fillId="38" borderId="18" xfId="0" applyFont="1" applyFill="1" applyBorder="1" applyAlignment="1" applyProtection="1">
      <alignment horizontal="center" vertical="center" wrapText="1" readingOrder="1"/>
      <protection hidden="1"/>
    </xf>
    <xf numFmtId="0" fontId="205" fillId="60" borderId="1" xfId="0" applyFont="1" applyFill="1" applyBorder="1" applyAlignment="1" applyProtection="1">
      <alignment horizontal="center" vertical="center" wrapText="1" readingOrder="1"/>
      <protection hidden="1"/>
    </xf>
    <xf numFmtId="0" fontId="194" fillId="24" borderId="62" xfId="0" applyFont="1" applyFill="1" applyBorder="1" applyAlignment="1" applyProtection="1">
      <alignment horizontal="center" vertical="center" wrapText="1" readingOrder="1"/>
      <protection hidden="1"/>
    </xf>
    <xf numFmtId="0" fontId="205" fillId="24" borderId="1" xfId="0" applyFont="1" applyFill="1" applyBorder="1" applyAlignment="1" applyProtection="1">
      <alignment horizontal="center" vertical="center" wrapText="1" readingOrder="1"/>
      <protection hidden="1"/>
    </xf>
    <xf numFmtId="0" fontId="144" fillId="23" borderId="8" xfId="0" applyFont="1" applyFill="1" applyBorder="1" applyAlignment="1" applyProtection="1">
      <alignment horizontal="center" vertical="center" wrapText="1" readingOrder="1"/>
      <protection hidden="1"/>
    </xf>
    <xf numFmtId="0" fontId="207" fillId="38" borderId="19" xfId="0" applyFont="1" applyFill="1" applyBorder="1" applyAlignment="1" applyProtection="1">
      <alignment horizontal="center" vertical="center" wrapText="1" readingOrder="1"/>
      <protection hidden="1"/>
    </xf>
    <xf numFmtId="0" fontId="207" fillId="60" borderId="28" xfId="0" applyFont="1" applyFill="1" applyBorder="1" applyAlignment="1" applyProtection="1">
      <alignment horizontal="center" vertical="center" wrapText="1" readingOrder="1"/>
      <protection hidden="1"/>
    </xf>
    <xf numFmtId="0" fontId="205" fillId="60" borderId="28" xfId="0" applyFont="1" applyFill="1" applyBorder="1" applyAlignment="1" applyProtection="1">
      <alignment horizontal="center" vertical="center" wrapText="1" readingOrder="1"/>
      <protection hidden="1"/>
    </xf>
    <xf numFmtId="0" fontId="207" fillId="24" borderId="28" xfId="0" applyFont="1" applyFill="1" applyBorder="1" applyAlignment="1" applyProtection="1">
      <alignment horizontal="center" vertical="center" wrapText="1" readingOrder="1"/>
      <protection hidden="1"/>
    </xf>
    <xf numFmtId="0" fontId="207" fillId="24" borderId="18" xfId="0" applyFont="1" applyFill="1" applyBorder="1" applyAlignment="1" applyProtection="1">
      <alignment horizontal="center" vertical="center" wrapText="1" readingOrder="1"/>
      <protection hidden="1"/>
    </xf>
    <xf numFmtId="0" fontId="205" fillId="24" borderId="28" xfId="0" applyFont="1" applyFill="1" applyBorder="1" applyAlignment="1" applyProtection="1">
      <alignment horizontal="center" vertical="center" wrapText="1" readingOrder="1"/>
      <protection hidden="1"/>
    </xf>
    <xf numFmtId="0" fontId="144" fillId="23" borderId="6" xfId="0" applyFont="1" applyFill="1" applyBorder="1" applyAlignment="1" applyProtection="1">
      <alignment horizontal="center" vertical="center" wrapText="1" readingOrder="1"/>
      <protection hidden="1"/>
    </xf>
    <xf numFmtId="0" fontId="205" fillId="31" borderId="7" xfId="0" applyFont="1" applyFill="1" applyBorder="1" applyAlignment="1" applyProtection="1">
      <alignment horizontal="center" vertical="center" wrapText="1" readingOrder="1"/>
      <protection hidden="1"/>
    </xf>
    <xf numFmtId="0" fontId="205" fillId="57" borderId="62" xfId="0" applyFont="1" applyFill="1" applyBorder="1" applyAlignment="1" applyProtection="1">
      <alignment horizontal="center" vertical="center" wrapText="1" readingOrder="1"/>
      <protection hidden="1"/>
    </xf>
    <xf numFmtId="0" fontId="207" fillId="60" borderId="1" xfId="0" applyFont="1" applyFill="1" applyBorder="1" applyAlignment="1" applyProtection="1">
      <alignment horizontal="center" vertical="center" wrapText="1" readingOrder="1"/>
      <protection hidden="1"/>
    </xf>
    <xf numFmtId="0" fontId="207" fillId="24" borderId="1" xfId="0" applyFont="1" applyFill="1" applyBorder="1" applyAlignment="1" applyProtection="1">
      <alignment horizontal="center" vertical="center" wrapText="1" readingOrder="1"/>
      <protection hidden="1"/>
    </xf>
    <xf numFmtId="0" fontId="202" fillId="38" borderId="19" xfId="0" applyFont="1" applyFill="1" applyBorder="1" applyAlignment="1" applyProtection="1">
      <alignment horizontal="center" vertical="center" wrapText="1" readingOrder="1"/>
      <protection hidden="1"/>
    </xf>
    <xf numFmtId="0" fontId="202" fillId="60" borderId="1" xfId="0" applyFont="1" applyFill="1" applyBorder="1" applyAlignment="1" applyProtection="1">
      <alignment horizontal="center" vertical="center" wrapText="1" readingOrder="1"/>
      <protection hidden="1"/>
    </xf>
    <xf numFmtId="0" fontId="202" fillId="24" borderId="1" xfId="0" applyFont="1" applyFill="1" applyBorder="1" applyAlignment="1" applyProtection="1">
      <alignment horizontal="center" vertical="center" wrapText="1" readingOrder="1"/>
      <protection hidden="1"/>
    </xf>
    <xf numFmtId="2" fontId="48" fillId="0" borderId="0" xfId="0" applyNumberFormat="1" applyFont="1" applyProtection="1">
      <protection hidden="1"/>
    </xf>
    <xf numFmtId="0" fontId="12" fillId="52" borderId="4" xfId="0" applyFont="1" applyFill="1" applyBorder="1" applyAlignment="1" applyProtection="1">
      <alignment wrapText="1"/>
      <protection hidden="1"/>
    </xf>
    <xf numFmtId="2" fontId="5" fillId="52" borderId="1" xfId="0" applyNumberFormat="1" applyFont="1" applyFill="1" applyBorder="1" applyAlignment="1" applyProtection="1">
      <alignment horizontal="center" wrapText="1"/>
      <protection hidden="1"/>
    </xf>
    <xf numFmtId="1" fontId="208" fillId="0" borderId="62" xfId="0" applyNumberFormat="1" applyFont="1" applyBorder="1" applyAlignment="1" applyProtection="1">
      <alignment horizontal="center" vertical="center" wrapText="1" readingOrder="1"/>
      <protection hidden="1"/>
    </xf>
    <xf numFmtId="2" fontId="48" fillId="32" borderId="0" xfId="0" applyNumberFormat="1" applyFont="1" applyFill="1" applyProtection="1">
      <protection hidden="1"/>
    </xf>
    <xf numFmtId="0" fontId="3" fillId="27" borderId="0" xfId="0" applyFont="1" applyFill="1" applyAlignment="1" applyProtection="1">
      <alignment horizontal="center" wrapText="1"/>
      <protection hidden="1"/>
    </xf>
    <xf numFmtId="0" fontId="44" fillId="27" borderId="0" xfId="0" applyFont="1" applyFill="1" applyAlignment="1" applyProtection="1">
      <alignment horizontal="center" wrapText="1"/>
      <protection hidden="1"/>
    </xf>
    <xf numFmtId="0" fontId="43" fillId="27" borderId="0" xfId="0" applyFont="1" applyFill="1" applyAlignment="1" applyProtection="1">
      <alignment horizontal="center" wrapText="1"/>
      <protection hidden="1"/>
    </xf>
    <xf numFmtId="0" fontId="12" fillId="27" borderId="0" xfId="0" applyFont="1" applyFill="1" applyAlignment="1" applyProtection="1">
      <alignment wrapText="1"/>
      <protection hidden="1"/>
    </xf>
    <xf numFmtId="2" fontId="5" fillId="27" borderId="62" xfId="0" applyNumberFormat="1" applyFont="1" applyFill="1" applyBorder="1" applyAlignment="1" applyProtection="1">
      <alignment horizontal="center" wrapText="1"/>
      <protection hidden="1"/>
    </xf>
    <xf numFmtId="2" fontId="44" fillId="27" borderId="62" xfId="0" applyNumberFormat="1" applyFont="1" applyFill="1" applyBorder="1" applyAlignment="1" applyProtection="1">
      <alignment horizontal="center" wrapText="1"/>
      <protection hidden="1"/>
    </xf>
    <xf numFmtId="2" fontId="44" fillId="27" borderId="18" xfId="0" applyNumberFormat="1" applyFont="1" applyFill="1" applyBorder="1" applyAlignment="1" applyProtection="1">
      <alignment horizontal="center" wrapText="1"/>
      <protection hidden="1"/>
    </xf>
    <xf numFmtId="2" fontId="44" fillId="27" borderId="28" xfId="0" applyNumberFormat="1" applyFont="1" applyFill="1" applyBorder="1" applyAlignment="1" applyProtection="1">
      <alignment horizontal="center" wrapText="1"/>
      <protection hidden="1"/>
    </xf>
    <xf numFmtId="0" fontId="48" fillId="27" borderId="0" xfId="0" applyFont="1" applyFill="1" applyProtection="1">
      <protection hidden="1"/>
    </xf>
    <xf numFmtId="1" fontId="0" fillId="0" borderId="1" xfId="0" applyNumberFormat="1" applyBorder="1" applyAlignment="1" applyProtection="1">
      <alignment horizontal="center" vertical="top" wrapText="1"/>
      <protection hidden="1"/>
    </xf>
    <xf numFmtId="1" fontId="48" fillId="32" borderId="1" xfId="0" applyNumberFormat="1" applyFont="1" applyFill="1" applyBorder="1" applyProtection="1">
      <protection hidden="1"/>
    </xf>
    <xf numFmtId="0" fontId="29" fillId="52" borderId="0" xfId="0" applyFont="1" applyFill="1" applyAlignment="1" applyProtection="1">
      <alignment horizontal="center" wrapText="1"/>
      <protection hidden="1"/>
    </xf>
    <xf numFmtId="0" fontId="95" fillId="52" borderId="0" xfId="0" applyFont="1" applyFill="1" applyAlignment="1" applyProtection="1">
      <alignment horizontal="center" wrapText="1"/>
      <protection hidden="1"/>
    </xf>
    <xf numFmtId="0" fontId="53" fillId="52" borderId="0" xfId="0" applyFont="1" applyFill="1" applyAlignment="1" applyProtection="1">
      <alignment horizontal="center" wrapText="1"/>
      <protection hidden="1"/>
    </xf>
    <xf numFmtId="1" fontId="43" fillId="52" borderId="1" xfId="0" applyNumberFormat="1" applyFont="1" applyFill="1" applyBorder="1" applyAlignment="1" applyProtection="1">
      <alignment horizontal="center" vertical="top" wrapText="1"/>
      <protection hidden="1"/>
    </xf>
    <xf numFmtId="1" fontId="12" fillId="52" borderId="1" xfId="0" applyNumberFormat="1" applyFont="1" applyFill="1" applyBorder="1" applyAlignment="1" applyProtection="1">
      <alignment horizontal="center" vertical="top" wrapText="1"/>
      <protection hidden="1"/>
    </xf>
    <xf numFmtId="1" fontId="48" fillId="6" borderId="7" xfId="0" applyNumberFormat="1" applyFont="1" applyFill="1" applyBorder="1" applyProtection="1">
      <protection hidden="1"/>
    </xf>
    <xf numFmtId="166" fontId="0" fillId="14" borderId="1" xfId="0" applyNumberFormat="1" applyFill="1" applyBorder="1" applyAlignment="1" applyProtection="1">
      <alignment horizontal="center" vertical="top" wrapText="1"/>
      <protection hidden="1"/>
    </xf>
    <xf numFmtId="0" fontId="48" fillId="32" borderId="0" xfId="0" applyFont="1" applyFill="1" applyProtection="1">
      <protection hidden="1"/>
    </xf>
    <xf numFmtId="2" fontId="131" fillId="0" borderId="0" xfId="0" applyNumberFormat="1" applyFont="1" applyAlignment="1" applyProtection="1">
      <alignment vertical="top" wrapText="1"/>
      <protection hidden="1"/>
    </xf>
    <xf numFmtId="0" fontId="42" fillId="0" borderId="1" xfId="0" applyFont="1" applyBorder="1" applyProtection="1">
      <protection hidden="1"/>
    </xf>
    <xf numFmtId="0" fontId="29" fillId="52" borderId="0" xfId="0" applyFont="1" applyFill="1" applyAlignment="1" applyProtection="1">
      <alignment horizontal="right" wrapText="1"/>
      <protection hidden="1"/>
    </xf>
    <xf numFmtId="0" fontId="95" fillId="52" borderId="0" xfId="0" applyFont="1" applyFill="1" applyAlignment="1" applyProtection="1">
      <alignment horizontal="right" wrapText="1"/>
      <protection hidden="1"/>
    </xf>
    <xf numFmtId="0" fontId="53" fillId="52" borderId="0" xfId="0" applyFont="1" applyFill="1" applyAlignment="1" applyProtection="1">
      <alignment horizontal="right" wrapText="1"/>
      <protection hidden="1"/>
    </xf>
    <xf numFmtId="1" fontId="43" fillId="52" borderId="1" xfId="0" applyNumberFormat="1" applyFont="1" applyFill="1" applyBorder="1" applyAlignment="1" applyProtection="1">
      <alignment wrapText="1"/>
      <protection hidden="1"/>
    </xf>
    <xf numFmtId="1" fontId="12" fillId="52" borderId="1" xfId="0" applyNumberFormat="1" applyFont="1" applyFill="1" applyBorder="1" applyAlignment="1" applyProtection="1">
      <alignment wrapText="1"/>
      <protection hidden="1"/>
    </xf>
    <xf numFmtId="0" fontId="29" fillId="27" borderId="0" xfId="0" applyFont="1" applyFill="1" applyAlignment="1" applyProtection="1">
      <alignment horizontal="right" wrapText="1"/>
      <protection hidden="1"/>
    </xf>
    <xf numFmtId="0" fontId="95" fillId="27" borderId="0" xfId="0" applyFont="1" applyFill="1" applyAlignment="1" applyProtection="1">
      <alignment horizontal="right" wrapText="1"/>
      <protection hidden="1"/>
    </xf>
    <xf numFmtId="0" fontId="53" fillId="27" borderId="0" xfId="0" applyFont="1" applyFill="1" applyAlignment="1" applyProtection="1">
      <alignment horizontal="right" wrapText="1"/>
      <protection hidden="1"/>
    </xf>
    <xf numFmtId="1" fontId="43" fillId="27" borderId="0" xfId="0" applyNumberFormat="1" applyFont="1" applyFill="1" applyAlignment="1" applyProtection="1">
      <alignment wrapText="1"/>
      <protection hidden="1"/>
    </xf>
    <xf numFmtId="1" fontId="12" fillId="27" borderId="0" xfId="0" applyNumberFormat="1" applyFont="1" applyFill="1" applyAlignment="1" applyProtection="1">
      <alignment wrapText="1"/>
      <protection hidden="1"/>
    </xf>
    <xf numFmtId="1" fontId="5" fillId="27" borderId="1" xfId="0" applyNumberFormat="1" applyFont="1" applyFill="1" applyBorder="1" applyAlignment="1" applyProtection="1">
      <alignment wrapText="1"/>
      <protection hidden="1"/>
    </xf>
    <xf numFmtId="2" fontId="5" fillId="27" borderId="1" xfId="0" applyNumberFormat="1" applyFont="1" applyFill="1" applyBorder="1" applyAlignment="1" applyProtection="1">
      <alignment wrapText="1"/>
      <protection hidden="1"/>
    </xf>
    <xf numFmtId="1" fontId="44" fillId="27" borderId="1" xfId="0" applyNumberFormat="1" applyFont="1" applyFill="1" applyBorder="1" applyAlignment="1" applyProtection="1">
      <alignment horizontal="center" wrapText="1"/>
      <protection hidden="1"/>
    </xf>
    <xf numFmtId="1" fontId="48" fillId="27" borderId="0" xfId="0" applyNumberFormat="1" applyFont="1" applyFill="1" applyProtection="1">
      <protection hidden="1"/>
    </xf>
    <xf numFmtId="175" fontId="0" fillId="0" borderId="0" xfId="12" applyNumberFormat="1" applyFont="1" applyProtection="1">
      <protection hidden="1"/>
    </xf>
    <xf numFmtId="1" fontId="124" fillId="53" borderId="0" xfId="0" applyNumberFormat="1" applyFont="1" applyFill="1" applyAlignment="1" applyProtection="1">
      <alignment horizontal="center" wrapText="1"/>
      <protection hidden="1"/>
    </xf>
    <xf numFmtId="174" fontId="204" fillId="41" borderId="0" xfId="0" applyNumberFormat="1" applyFont="1" applyFill="1" applyProtection="1">
      <protection hidden="1"/>
    </xf>
    <xf numFmtId="0" fontId="129" fillId="0" borderId="0" xfId="0" applyFont="1" applyProtection="1">
      <protection hidden="1"/>
    </xf>
    <xf numFmtId="0" fontId="48" fillId="30" borderId="0" xfId="0" applyFont="1" applyFill="1" applyProtection="1">
      <protection hidden="1"/>
    </xf>
    <xf numFmtId="0" fontId="182" fillId="0" borderId="0" xfId="0" applyFont="1" applyProtection="1">
      <protection hidden="1"/>
    </xf>
    <xf numFmtId="1" fontId="48" fillId="30" borderId="0" xfId="0" applyNumberFormat="1" applyFont="1" applyFill="1" applyProtection="1">
      <protection hidden="1"/>
    </xf>
    <xf numFmtId="1" fontId="182" fillId="0" borderId="0" xfId="0" applyNumberFormat="1" applyFont="1" applyProtection="1">
      <protection hidden="1"/>
    </xf>
    <xf numFmtId="0" fontId="42" fillId="0" borderId="0" xfId="0" applyFont="1" applyAlignment="1" applyProtection="1">
      <alignment wrapText="1"/>
      <protection hidden="1"/>
    </xf>
    <xf numFmtId="0" fontId="17" fillId="0" borderId="0" xfId="0" applyFont="1" applyAlignment="1" applyProtection="1">
      <alignment wrapText="1"/>
      <protection hidden="1"/>
    </xf>
    <xf numFmtId="0" fontId="44" fillId="30" borderId="0" xfId="0" applyFont="1" applyFill="1" applyProtection="1">
      <protection hidden="1"/>
    </xf>
    <xf numFmtId="2" fontId="182" fillId="0" borderId="0" xfId="0" applyNumberFormat="1" applyFont="1" applyProtection="1">
      <protection hidden="1"/>
    </xf>
    <xf numFmtId="2" fontId="48" fillId="33" borderId="0" xfId="0" applyNumberFormat="1" applyFont="1" applyFill="1" applyProtection="1">
      <protection hidden="1"/>
    </xf>
    <xf numFmtId="2" fontId="182" fillId="33" borderId="0" xfId="0" applyNumberFormat="1" applyFont="1" applyFill="1" applyProtection="1">
      <protection hidden="1"/>
    </xf>
    <xf numFmtId="2" fontId="44" fillId="33" borderId="0" xfId="0" applyNumberFormat="1" applyFont="1" applyFill="1" applyProtection="1">
      <protection hidden="1"/>
    </xf>
    <xf numFmtId="1" fontId="151" fillId="0" borderId="0" xfId="0" applyNumberFormat="1" applyFont="1" applyProtection="1">
      <protection hidden="1"/>
    </xf>
    <xf numFmtId="1" fontId="151" fillId="33" borderId="0" xfId="0" applyNumberFormat="1" applyFont="1" applyFill="1" applyProtection="1">
      <protection hidden="1"/>
    </xf>
    <xf numFmtId="1" fontId="209" fillId="0" borderId="0" xfId="0" applyNumberFormat="1" applyFont="1" applyProtection="1">
      <protection hidden="1"/>
    </xf>
    <xf numFmtId="1" fontId="122" fillId="0" borderId="0" xfId="0" applyNumberFormat="1" applyFont="1" applyProtection="1">
      <protection hidden="1"/>
    </xf>
    <xf numFmtId="0" fontId="3" fillId="33" borderId="0" xfId="0" applyFont="1" applyFill="1" applyAlignment="1" applyProtection="1">
      <alignment horizontal="center"/>
      <protection hidden="1"/>
    </xf>
    <xf numFmtId="0" fontId="27" fillId="33" borderId="1" xfId="0" applyFont="1" applyFill="1" applyBorder="1" applyAlignment="1" applyProtection="1">
      <alignment horizontal="center" vertical="top" wrapText="1"/>
      <protection hidden="1"/>
    </xf>
    <xf numFmtId="0" fontId="27" fillId="33" borderId="9" xfId="0" applyFont="1" applyFill="1" applyBorder="1" applyAlignment="1" applyProtection="1">
      <alignment horizontal="center" vertical="top" wrapText="1"/>
      <protection hidden="1"/>
    </xf>
    <xf numFmtId="0" fontId="0" fillId="33" borderId="0" xfId="0" applyFill="1" applyProtection="1">
      <protection hidden="1"/>
    </xf>
    <xf numFmtId="0" fontId="0" fillId="33" borderId="29" xfId="0" applyFill="1" applyBorder="1" applyProtection="1">
      <protection hidden="1"/>
    </xf>
    <xf numFmtId="0" fontId="0" fillId="33" borderId="1" xfId="0" applyFill="1" applyBorder="1" applyProtection="1">
      <protection hidden="1"/>
    </xf>
    <xf numFmtId="1" fontId="0" fillId="33" borderId="1" xfId="0" applyNumberFormat="1" applyFill="1" applyBorder="1" applyProtection="1">
      <protection hidden="1"/>
    </xf>
    <xf numFmtId="1" fontId="0" fillId="33" borderId="9" xfId="0" applyNumberFormat="1" applyFill="1" applyBorder="1" applyProtection="1">
      <protection hidden="1"/>
    </xf>
    <xf numFmtId="0" fontId="3" fillId="30" borderId="1" xfId="0" applyFont="1" applyFill="1" applyBorder="1" applyAlignment="1" applyProtection="1">
      <alignment horizontal="center"/>
      <protection hidden="1"/>
    </xf>
    <xf numFmtId="0" fontId="0" fillId="30" borderId="1" xfId="0" applyFill="1" applyBorder="1" applyProtection="1">
      <protection hidden="1"/>
    </xf>
    <xf numFmtId="0" fontId="27" fillId="30" borderId="1" xfId="0" applyFont="1" applyFill="1" applyBorder="1" applyAlignment="1" applyProtection="1">
      <alignment horizontal="center" vertical="top" wrapText="1"/>
      <protection hidden="1"/>
    </xf>
    <xf numFmtId="1" fontId="50" fillId="2" borderId="1" xfId="11" applyNumberFormat="1" applyFont="1" applyFill="1" applyBorder="1" applyAlignment="1" applyProtection="1">
      <alignment horizontal="center"/>
      <protection locked="0" hidden="1"/>
    </xf>
    <xf numFmtId="1" fontId="189" fillId="56" borderId="0" xfId="0" applyNumberFormat="1" applyFont="1" applyFill="1" applyAlignment="1" applyProtection="1">
      <alignment vertical="center" wrapText="1"/>
      <protection hidden="1"/>
    </xf>
    <xf numFmtId="0" fontId="144" fillId="23" borderId="1" xfId="0" applyFont="1" applyFill="1" applyBorder="1" applyAlignment="1" applyProtection="1">
      <alignment vertical="center" wrapText="1" readingOrder="1"/>
      <protection hidden="1"/>
    </xf>
    <xf numFmtId="1" fontId="56" fillId="27" borderId="46" xfId="0" applyNumberFormat="1" applyFont="1" applyFill="1" applyBorder="1" applyAlignment="1" applyProtection="1">
      <alignment horizontal="right" vertical="center" wrapText="1"/>
      <protection hidden="1"/>
    </xf>
    <xf numFmtId="0" fontId="1" fillId="0" borderId="1" xfId="0" applyFont="1" applyBorder="1"/>
    <xf numFmtId="0" fontId="35" fillId="2" borderId="65" xfId="11" applyFont="1" applyFill="1" applyBorder="1" applyAlignment="1" applyProtection="1">
      <alignment horizontal="right" vertical="center" wrapText="1"/>
      <protection locked="0" hidden="1"/>
    </xf>
    <xf numFmtId="0" fontId="144" fillId="23" borderId="1" xfId="0" applyFont="1" applyFill="1" applyBorder="1" applyAlignment="1" applyProtection="1">
      <alignment vertical="center"/>
      <protection hidden="1"/>
    </xf>
    <xf numFmtId="0" fontId="27" fillId="33" borderId="0" xfId="0" applyFont="1" applyFill="1" applyAlignment="1" applyProtection="1">
      <alignment horizontal="center" vertical="top" wrapText="1"/>
      <protection hidden="1"/>
    </xf>
    <xf numFmtId="1" fontId="0" fillId="33" borderId="0" xfId="0" applyNumberFormat="1" applyFill="1" applyProtection="1">
      <protection hidden="1"/>
    </xf>
    <xf numFmtId="0" fontId="3" fillId="30" borderId="0" xfId="0" applyFont="1" applyFill="1" applyAlignment="1" applyProtection="1">
      <alignment horizontal="center"/>
      <protection hidden="1"/>
    </xf>
    <xf numFmtId="0" fontId="27" fillId="30" borderId="0" xfId="0" applyFont="1" applyFill="1" applyAlignment="1" applyProtection="1">
      <alignment horizontal="center" vertical="top" wrapText="1"/>
      <protection hidden="1"/>
    </xf>
    <xf numFmtId="1" fontId="0" fillId="30" borderId="0" xfId="0" applyNumberFormat="1" applyFill="1" applyProtection="1">
      <protection hidden="1"/>
    </xf>
    <xf numFmtId="1" fontId="0" fillId="33" borderId="0" xfId="0" applyNumberFormat="1" applyFill="1"/>
    <xf numFmtId="1" fontId="0" fillId="28" borderId="0" xfId="0" applyNumberFormat="1" applyFill="1"/>
    <xf numFmtId="1" fontId="0" fillId="51" borderId="0" xfId="0" applyNumberFormat="1" applyFill="1"/>
    <xf numFmtId="1" fontId="0" fillId="52" borderId="0" xfId="0" applyNumberFormat="1" applyFill="1"/>
    <xf numFmtId="0" fontId="27" fillId="0" borderId="62" xfId="0" applyFont="1" applyBorder="1" applyAlignment="1">
      <alignment horizontal="center" vertical="top" wrapText="1"/>
    </xf>
    <xf numFmtId="0" fontId="27" fillId="0" borderId="18" xfId="0" applyFont="1" applyBorder="1" applyAlignment="1">
      <alignment horizontal="center" vertical="top" wrapText="1"/>
    </xf>
    <xf numFmtId="0" fontId="27" fillId="0" borderId="28" xfId="0" applyFont="1" applyBorder="1" applyAlignment="1">
      <alignment horizontal="center" vertical="top" wrapText="1"/>
    </xf>
    <xf numFmtId="1" fontId="1" fillId="24" borderId="0" xfId="0" applyNumberFormat="1" applyFont="1" applyFill="1"/>
    <xf numFmtId="1" fontId="168" fillId="33" borderId="1" xfId="0" applyNumberFormat="1" applyFont="1" applyFill="1" applyBorder="1"/>
    <xf numFmtId="1" fontId="168" fillId="28" borderId="1" xfId="0" applyNumberFormat="1" applyFont="1" applyFill="1" applyBorder="1"/>
    <xf numFmtId="1" fontId="168" fillId="51" borderId="1" xfId="0" applyNumberFormat="1" applyFont="1" applyFill="1" applyBorder="1"/>
    <xf numFmtId="1" fontId="168" fillId="52" borderId="1" xfId="0" applyNumberFormat="1" applyFont="1" applyFill="1" applyBorder="1"/>
    <xf numFmtId="172" fontId="0" fillId="0" borderId="0" xfId="0" applyNumberFormat="1"/>
    <xf numFmtId="177" fontId="0" fillId="0" borderId="0" xfId="0" applyNumberFormat="1"/>
    <xf numFmtId="0" fontId="0" fillId="0" borderId="35" xfId="0" applyBorder="1"/>
    <xf numFmtId="0" fontId="0" fillId="0" borderId="37" xfId="0" applyBorder="1"/>
    <xf numFmtId="0" fontId="0" fillId="0" borderId="38" xfId="0" applyBorder="1"/>
    <xf numFmtId="0" fontId="0" fillId="0" borderId="40" xfId="0" applyBorder="1"/>
    <xf numFmtId="1" fontId="0" fillId="0" borderId="29" xfId="0" applyNumberFormat="1" applyBorder="1"/>
    <xf numFmtId="0" fontId="0" fillId="24" borderId="79" xfId="0" applyFill="1" applyBorder="1"/>
    <xf numFmtId="0" fontId="0" fillId="24" borderId="70" xfId="0" applyFill="1" applyBorder="1"/>
    <xf numFmtId="0" fontId="0" fillId="24" borderId="8" xfId="0" applyFill="1" applyBorder="1"/>
    <xf numFmtId="0" fontId="0" fillId="30" borderId="79" xfId="0" applyFill="1" applyBorder="1"/>
    <xf numFmtId="0" fontId="0" fillId="30" borderId="70" xfId="0" applyFill="1" applyBorder="1"/>
    <xf numFmtId="1" fontId="0" fillId="30" borderId="70" xfId="0" applyNumberFormat="1" applyFill="1" applyBorder="1"/>
    <xf numFmtId="0" fontId="0" fillId="30" borderId="8" xfId="0" applyFill="1" applyBorder="1"/>
    <xf numFmtId="0" fontId="0" fillId="40" borderId="0" xfId="0" applyFill="1"/>
    <xf numFmtId="1" fontId="0" fillId="40" borderId="0" xfId="0" applyNumberFormat="1" applyFill="1"/>
    <xf numFmtId="0" fontId="0" fillId="55" borderId="0" xfId="0" applyFill="1"/>
    <xf numFmtId="1" fontId="0" fillId="55" borderId="0" xfId="0" applyNumberFormat="1" applyFill="1"/>
    <xf numFmtId="175" fontId="0" fillId="0" borderId="0" xfId="12" applyNumberFormat="1" applyFont="1" applyBorder="1"/>
    <xf numFmtId="175" fontId="0" fillId="0" borderId="0" xfId="0" applyNumberFormat="1"/>
    <xf numFmtId="0" fontId="167" fillId="31" borderId="65" xfId="0" applyFont="1" applyFill="1" applyBorder="1" applyAlignment="1" applyProtection="1">
      <alignment horizontal="center"/>
      <protection hidden="1"/>
    </xf>
    <xf numFmtId="0" fontId="167" fillId="31" borderId="28" xfId="0" applyFont="1" applyFill="1" applyBorder="1" applyAlignment="1" applyProtection="1">
      <alignment horizontal="center"/>
      <protection hidden="1"/>
    </xf>
    <xf numFmtId="0" fontId="167" fillId="31" borderId="67" xfId="0" applyFont="1" applyFill="1" applyBorder="1" applyAlignment="1" applyProtection="1">
      <alignment horizontal="center"/>
      <protection hidden="1"/>
    </xf>
    <xf numFmtId="0" fontId="165" fillId="39" borderId="2" xfId="0" applyFont="1" applyFill="1" applyBorder="1" applyAlignment="1" applyProtection="1">
      <alignment horizontal="center"/>
      <protection hidden="1"/>
    </xf>
    <xf numFmtId="0" fontId="0" fillId="0" borderId="62" xfId="0" applyBorder="1" applyProtection="1">
      <protection hidden="1"/>
    </xf>
    <xf numFmtId="0" fontId="0" fillId="0" borderId="59" xfId="0" applyBorder="1" applyProtection="1">
      <protection hidden="1"/>
    </xf>
    <xf numFmtId="0" fontId="161" fillId="0" borderId="62" xfId="0" applyFont="1" applyBorder="1" applyProtection="1">
      <protection hidden="1"/>
    </xf>
    <xf numFmtId="0" fontId="155" fillId="0" borderId="61" xfId="0" applyFont="1" applyBorder="1" applyProtection="1">
      <protection hidden="1"/>
    </xf>
    <xf numFmtId="0" fontId="221" fillId="0" borderId="0" xfId="0" applyFont="1" applyProtection="1">
      <protection hidden="1"/>
    </xf>
    <xf numFmtId="2" fontId="221" fillId="0" borderId="0" xfId="0" applyNumberFormat="1" applyFont="1" applyProtection="1">
      <protection hidden="1"/>
    </xf>
    <xf numFmtId="0" fontId="221" fillId="0" borderId="0" xfId="0" applyFont="1" applyAlignment="1" applyProtection="1">
      <alignment horizontal="center"/>
      <protection hidden="1"/>
    </xf>
    <xf numFmtId="0" fontId="221" fillId="0" borderId="29" xfId="0" applyFont="1" applyBorder="1" applyAlignment="1" applyProtection="1">
      <alignment horizontal="center"/>
      <protection hidden="1"/>
    </xf>
    <xf numFmtId="0" fontId="224" fillId="0" borderId="34" xfId="0" applyFont="1" applyBorder="1" applyAlignment="1" applyProtection="1">
      <alignment horizontal="center" wrapText="1"/>
      <protection hidden="1"/>
    </xf>
    <xf numFmtId="0" fontId="224" fillId="0" borderId="0" xfId="0" applyFont="1" applyAlignment="1" applyProtection="1">
      <alignment horizontal="center" wrapText="1"/>
      <protection hidden="1"/>
    </xf>
    <xf numFmtId="0" fontId="221" fillId="0" borderId="34" xfId="0" applyFont="1" applyBorder="1" applyAlignment="1" applyProtection="1">
      <alignment horizontal="center"/>
      <protection hidden="1"/>
    </xf>
    <xf numFmtId="0" fontId="227" fillId="0" borderId="34" xfId="0" applyFont="1" applyBorder="1" applyAlignment="1" applyProtection="1">
      <alignment vertical="top" wrapText="1"/>
      <protection hidden="1"/>
    </xf>
    <xf numFmtId="0" fontId="221" fillId="0" borderId="82" xfId="0" applyFont="1" applyBorder="1" applyProtection="1">
      <protection hidden="1"/>
    </xf>
    <xf numFmtId="0" fontId="221" fillId="0" borderId="83" xfId="0" applyFont="1" applyBorder="1" applyProtection="1">
      <protection hidden="1"/>
    </xf>
    <xf numFmtId="0" fontId="221" fillId="0" borderId="34" xfId="0" applyFont="1" applyBorder="1" applyProtection="1">
      <protection hidden="1"/>
    </xf>
    <xf numFmtId="0" fontId="230" fillId="0" borderId="0" xfId="0" applyFont="1" applyAlignment="1" applyProtection="1">
      <alignment horizontal="center" vertical="top" wrapText="1"/>
      <protection hidden="1"/>
    </xf>
    <xf numFmtId="2" fontId="230" fillId="0" borderId="0" xfId="0" applyNumberFormat="1" applyFont="1" applyAlignment="1" applyProtection="1">
      <alignment horizontal="center" vertical="top" wrapText="1"/>
      <protection hidden="1"/>
    </xf>
    <xf numFmtId="17" fontId="230" fillId="0" borderId="0" xfId="0" applyNumberFormat="1" applyFont="1" applyAlignment="1" applyProtection="1">
      <alignment vertical="top" wrapText="1"/>
      <protection hidden="1"/>
    </xf>
    <xf numFmtId="0" fontId="230" fillId="0" borderId="0" xfId="0" applyFont="1" applyAlignment="1" applyProtection="1">
      <alignment vertical="top" wrapText="1"/>
      <protection hidden="1"/>
    </xf>
    <xf numFmtId="0" fontId="231" fillId="30" borderId="0" xfId="0" applyFont="1" applyFill="1" applyProtection="1">
      <protection hidden="1"/>
    </xf>
    <xf numFmtId="0" fontId="221" fillId="0" borderId="34" xfId="0" applyFont="1" applyBorder="1" applyAlignment="1" applyProtection="1">
      <alignment vertical="top" wrapText="1"/>
      <protection hidden="1"/>
    </xf>
    <xf numFmtId="0" fontId="221" fillId="0" borderId="0" xfId="0" applyFont="1" applyAlignment="1" applyProtection="1">
      <alignment vertical="top" wrapText="1"/>
      <protection hidden="1"/>
    </xf>
    <xf numFmtId="1" fontId="221" fillId="0" borderId="0" xfId="0" applyNumberFormat="1" applyFont="1" applyAlignment="1" applyProtection="1">
      <alignment vertical="top" wrapText="1"/>
      <protection hidden="1"/>
    </xf>
    <xf numFmtId="0" fontId="221" fillId="32" borderId="0" xfId="0" applyFont="1" applyFill="1" applyAlignment="1" applyProtection="1">
      <alignment vertical="top" wrapText="1"/>
      <protection hidden="1"/>
    </xf>
    <xf numFmtId="2" fontId="221" fillId="0" borderId="0" xfId="0" applyNumberFormat="1" applyFont="1" applyAlignment="1" applyProtection="1">
      <alignment vertical="top" wrapText="1"/>
      <protection hidden="1"/>
    </xf>
    <xf numFmtId="0" fontId="221" fillId="0" borderId="0" xfId="0" applyFont="1" applyAlignment="1" applyProtection="1">
      <alignment horizontal="center" vertical="top" wrapText="1"/>
      <protection hidden="1"/>
    </xf>
    <xf numFmtId="0" fontId="221" fillId="0" borderId="29" xfId="0" applyFont="1" applyBorder="1" applyAlignment="1" applyProtection="1">
      <alignment horizontal="center" vertical="top" wrapText="1"/>
      <protection hidden="1"/>
    </xf>
    <xf numFmtId="0" fontId="232" fillId="0" borderId="0" xfId="0" applyFont="1" applyAlignment="1" applyProtection="1">
      <alignment horizontal="center" wrapText="1"/>
      <protection hidden="1"/>
    </xf>
    <xf numFmtId="2" fontId="232" fillId="0" borderId="0" xfId="0" applyNumberFormat="1" applyFont="1" applyAlignment="1" applyProtection="1">
      <alignment horizontal="center" wrapText="1"/>
      <protection hidden="1"/>
    </xf>
    <xf numFmtId="2" fontId="229" fillId="0" borderId="28" xfId="0" applyNumberFormat="1" applyFont="1" applyBorder="1" applyAlignment="1" applyProtection="1">
      <alignment horizontal="center" vertical="top" wrapText="1"/>
      <protection hidden="1"/>
    </xf>
    <xf numFmtId="0" fontId="229" fillId="0" borderId="1" xfId="0" applyFont="1" applyBorder="1" applyAlignment="1" applyProtection="1">
      <alignment horizontal="center" vertical="top" wrapText="1"/>
      <protection hidden="1"/>
    </xf>
    <xf numFmtId="0" fontId="229" fillId="0" borderId="62" xfId="0" applyFont="1" applyBorder="1" applyAlignment="1" applyProtection="1">
      <alignment horizontal="center" vertical="top" wrapText="1"/>
      <protection hidden="1"/>
    </xf>
    <xf numFmtId="0" fontId="229" fillId="0" borderId="9" xfId="0" applyFont="1" applyBorder="1" applyAlignment="1" applyProtection="1">
      <alignment horizontal="center" vertical="top" wrapText="1"/>
      <protection hidden="1"/>
    </xf>
    <xf numFmtId="2" fontId="229" fillId="0" borderId="18" xfId="0" applyNumberFormat="1" applyFont="1" applyBorder="1" applyAlignment="1" applyProtection="1">
      <alignment horizontal="center" vertical="top" wrapText="1"/>
      <protection hidden="1"/>
    </xf>
    <xf numFmtId="0" fontId="231" fillId="0" borderId="1" xfId="0" applyFont="1" applyBorder="1" applyAlignment="1" applyProtection="1">
      <alignment horizontal="center"/>
      <protection hidden="1"/>
    </xf>
    <xf numFmtId="1" fontId="226" fillId="24" borderId="10" xfId="0" applyNumberFormat="1" applyFont="1" applyFill="1" applyBorder="1" applyAlignment="1" applyProtection="1">
      <alignment vertical="center" wrapText="1" readingOrder="1"/>
      <protection hidden="1"/>
    </xf>
    <xf numFmtId="1" fontId="226" fillId="27" borderId="1" xfId="0" applyNumberFormat="1" applyFont="1" applyFill="1" applyBorder="1" applyAlignment="1" applyProtection="1">
      <alignment vertical="center" wrapText="1" readingOrder="1"/>
      <protection hidden="1"/>
    </xf>
    <xf numFmtId="1" fontId="226" fillId="27" borderId="9" xfId="0" applyNumberFormat="1" applyFont="1" applyFill="1" applyBorder="1" applyAlignment="1" applyProtection="1">
      <alignment vertical="center" wrapText="1" readingOrder="1"/>
      <protection hidden="1"/>
    </xf>
    <xf numFmtId="2" fontId="226" fillId="27" borderId="1" xfId="0" applyNumberFormat="1" applyFont="1" applyFill="1" applyBorder="1" applyAlignment="1" applyProtection="1">
      <alignment vertical="center" wrapText="1" readingOrder="1"/>
      <protection hidden="1"/>
    </xf>
    <xf numFmtId="1" fontId="226" fillId="27" borderId="1" xfId="0" applyNumberFormat="1" applyFont="1" applyFill="1" applyBorder="1" applyAlignment="1" applyProtection="1">
      <alignment horizontal="center" vertical="center" wrapText="1"/>
      <protection hidden="1"/>
    </xf>
    <xf numFmtId="2" fontId="221" fillId="0" borderId="7" xfId="0" applyNumberFormat="1" applyFont="1" applyBorder="1" applyProtection="1">
      <protection hidden="1"/>
    </xf>
    <xf numFmtId="1" fontId="234" fillId="0" borderId="24" xfId="0" applyNumberFormat="1" applyFont="1" applyBorder="1" applyAlignment="1" applyProtection="1">
      <alignment horizontal="center"/>
      <protection hidden="1"/>
    </xf>
    <xf numFmtId="0" fontId="234" fillId="0" borderId="24" xfId="0" applyFont="1" applyBorder="1" applyAlignment="1" applyProtection="1">
      <alignment horizontal="center"/>
      <protection hidden="1"/>
    </xf>
    <xf numFmtId="1" fontId="226" fillId="0" borderId="1" xfId="0" applyNumberFormat="1" applyFont="1" applyBorder="1" applyAlignment="1" applyProtection="1">
      <alignment vertical="center" wrapText="1" readingOrder="1"/>
      <protection hidden="1"/>
    </xf>
    <xf numFmtId="0" fontId="234" fillId="0" borderId="62" xfId="0" applyFont="1" applyBorder="1" applyAlignment="1" applyProtection="1">
      <alignment horizontal="center"/>
      <protection hidden="1"/>
    </xf>
    <xf numFmtId="1" fontId="226" fillId="40" borderId="1" xfId="0" applyNumberFormat="1" applyFont="1" applyFill="1" applyBorder="1" applyAlignment="1" applyProtection="1">
      <alignment vertical="center" wrapText="1" readingOrder="1"/>
      <protection hidden="1"/>
    </xf>
    <xf numFmtId="0" fontId="226" fillId="24" borderId="1" xfId="0" applyFont="1" applyFill="1" applyBorder="1" applyAlignment="1" applyProtection="1">
      <alignment horizontal="center" vertical="center" wrapText="1" readingOrder="1"/>
      <protection hidden="1"/>
    </xf>
    <xf numFmtId="0" fontId="235" fillId="41" borderId="62" xfId="0" applyFont="1" applyFill="1" applyBorder="1" applyAlignment="1" applyProtection="1">
      <alignment horizontal="center" vertical="center" wrapText="1" readingOrder="1"/>
      <protection hidden="1"/>
    </xf>
    <xf numFmtId="0" fontId="226" fillId="0" borderId="34" xfId="0" applyFont="1" applyBorder="1" applyAlignment="1" applyProtection="1">
      <alignment vertical="center" wrapText="1" readingOrder="1"/>
      <protection hidden="1"/>
    </xf>
    <xf numFmtId="1" fontId="226" fillId="25" borderId="61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30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32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33" xfId="0" applyNumberFormat="1" applyFont="1" applyFill="1" applyBorder="1" applyAlignment="1" applyProtection="1">
      <alignment horizontal="center" vertical="center" wrapText="1"/>
      <protection hidden="1"/>
    </xf>
    <xf numFmtId="1" fontId="226" fillId="25" borderId="74" xfId="0" applyNumberFormat="1" applyFont="1" applyFill="1" applyBorder="1" applyAlignment="1" applyProtection="1">
      <alignment horizontal="center" vertical="center" wrapText="1"/>
      <protection hidden="1"/>
    </xf>
    <xf numFmtId="1" fontId="226" fillId="24" borderId="11" xfId="0" applyNumberFormat="1" applyFont="1" applyFill="1" applyBorder="1" applyAlignment="1" applyProtection="1">
      <alignment horizontal="center" vertical="center" wrapText="1"/>
      <protection hidden="1"/>
    </xf>
    <xf numFmtId="0" fontId="221" fillId="27" borderId="0" xfId="0" applyFont="1" applyFill="1" applyProtection="1">
      <protection hidden="1"/>
    </xf>
    <xf numFmtId="2" fontId="221" fillId="27" borderId="0" xfId="0" applyNumberFormat="1" applyFont="1" applyFill="1" applyProtection="1">
      <protection hidden="1"/>
    </xf>
    <xf numFmtId="2" fontId="229" fillId="0" borderId="62" xfId="0" applyNumberFormat="1" applyFont="1" applyBorder="1" applyAlignment="1" applyProtection="1">
      <alignment horizontal="center" vertical="top" wrapText="1"/>
      <protection hidden="1"/>
    </xf>
    <xf numFmtId="1" fontId="226" fillId="24" borderId="11" xfId="0" applyNumberFormat="1" applyFont="1" applyFill="1" applyBorder="1" applyAlignment="1" applyProtection="1">
      <alignment horizontal="right" vertical="center" wrapText="1" readingOrder="1"/>
      <protection hidden="1"/>
    </xf>
    <xf numFmtId="1" fontId="226" fillId="27" borderId="11" xfId="0" applyNumberFormat="1" applyFont="1" applyFill="1" applyBorder="1" applyAlignment="1" applyProtection="1">
      <alignment horizontal="right" vertical="center" wrapText="1" readingOrder="1"/>
      <protection hidden="1"/>
    </xf>
    <xf numFmtId="1" fontId="226" fillId="27" borderId="9" xfId="0" applyNumberFormat="1" applyFont="1" applyFill="1" applyBorder="1" applyAlignment="1" applyProtection="1">
      <alignment horizontal="center" vertical="center" wrapText="1"/>
      <protection hidden="1"/>
    </xf>
    <xf numFmtId="0" fontId="226" fillId="56" borderId="4" xfId="0" applyFont="1" applyFill="1" applyBorder="1" applyAlignment="1" applyProtection="1">
      <alignment vertical="center" wrapText="1" readingOrder="1"/>
      <protection hidden="1"/>
    </xf>
    <xf numFmtId="1" fontId="226" fillId="27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221" fillId="0" borderId="1" xfId="0" applyNumberFormat="1" applyFont="1" applyBorder="1" applyProtection="1">
      <protection hidden="1"/>
    </xf>
    <xf numFmtId="0" fontId="221" fillId="0" borderId="1" xfId="0" applyFont="1" applyBorder="1" applyProtection="1">
      <protection hidden="1"/>
    </xf>
    <xf numFmtId="0" fontId="234" fillId="0" borderId="66" xfId="0" applyFont="1" applyBorder="1" applyAlignment="1" applyProtection="1">
      <alignment horizontal="center"/>
      <protection hidden="1"/>
    </xf>
    <xf numFmtId="0" fontId="103" fillId="23" borderId="1" xfId="0" applyFont="1" applyFill="1" applyBorder="1" applyAlignment="1" applyProtection="1">
      <alignment horizontal="center" vertical="center" wrapText="1" readingOrder="1"/>
      <protection hidden="1"/>
    </xf>
    <xf numFmtId="0" fontId="226" fillId="60" borderId="1" xfId="0" applyFont="1" applyFill="1" applyBorder="1" applyAlignment="1" applyProtection="1">
      <alignment horizontal="center" vertical="center" wrapText="1" readingOrder="1"/>
      <protection hidden="1"/>
    </xf>
    <xf numFmtId="1" fontId="226" fillId="24" borderId="1" xfId="0" applyNumberFormat="1" applyFont="1" applyFill="1" applyBorder="1" applyAlignment="1" applyProtection="1">
      <alignment vertical="center" wrapText="1" readingOrder="1"/>
      <protection hidden="1"/>
    </xf>
    <xf numFmtId="1" fontId="226" fillId="30" borderId="1" xfId="0" applyNumberFormat="1" applyFont="1" applyFill="1" applyBorder="1" applyAlignment="1" applyProtection="1">
      <alignment vertical="center" wrapText="1" readingOrder="1"/>
      <protection hidden="1"/>
    </xf>
    <xf numFmtId="1" fontId="231" fillId="0" borderId="1" xfId="0" applyNumberFormat="1" applyFont="1" applyBorder="1" applyProtection="1">
      <protection hidden="1"/>
    </xf>
    <xf numFmtId="0" fontId="226" fillId="56" borderId="27" xfId="0" applyFont="1" applyFill="1" applyBorder="1" applyAlignment="1" applyProtection="1">
      <alignment vertical="center" wrapText="1" readingOrder="1"/>
      <protection hidden="1"/>
    </xf>
    <xf numFmtId="1" fontId="226" fillId="25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1" xfId="0" applyNumberFormat="1" applyFont="1" applyFill="1" applyBorder="1" applyAlignment="1" applyProtection="1">
      <alignment horizontal="center" vertical="center" wrapText="1"/>
      <protection hidden="1"/>
    </xf>
    <xf numFmtId="1" fontId="226" fillId="25" borderId="9" xfId="0" applyNumberFormat="1" applyFont="1" applyFill="1" applyBorder="1" applyAlignment="1" applyProtection="1">
      <alignment horizontal="center" vertical="center" wrapText="1"/>
      <protection hidden="1"/>
    </xf>
    <xf numFmtId="1" fontId="226" fillId="24" borderId="26" xfId="0" applyNumberFormat="1" applyFont="1" applyFill="1" applyBorder="1" applyAlignment="1" applyProtection="1">
      <alignment vertical="center" wrapText="1" readingOrder="1"/>
      <protection hidden="1"/>
    </xf>
    <xf numFmtId="0" fontId="226" fillId="27" borderId="44" xfId="0" applyFont="1" applyFill="1" applyBorder="1" applyAlignment="1" applyProtection="1">
      <alignment vertical="center" wrapText="1" readingOrder="1"/>
      <protection hidden="1"/>
    </xf>
    <xf numFmtId="0" fontId="226" fillId="27" borderId="3" xfId="0" applyFont="1" applyFill="1" applyBorder="1" applyAlignment="1" applyProtection="1">
      <alignment vertical="center" wrapText="1" readingOrder="1"/>
      <protection hidden="1"/>
    </xf>
    <xf numFmtId="0" fontId="226" fillId="27" borderId="76" xfId="0" applyFont="1" applyFill="1" applyBorder="1" applyAlignment="1" applyProtection="1">
      <alignment vertical="center" wrapText="1" readingOrder="1"/>
      <protection hidden="1"/>
    </xf>
    <xf numFmtId="1" fontId="226" fillId="27" borderId="1" xfId="0" applyNumberFormat="1" applyFont="1" applyFill="1" applyBorder="1" applyAlignment="1" applyProtection="1">
      <alignment horizontal="center" vertical="center" wrapText="1" readingOrder="1"/>
      <protection hidden="1"/>
    </xf>
    <xf numFmtId="0" fontId="226" fillId="27" borderId="43" xfId="0" applyFont="1" applyFill="1" applyBorder="1" applyAlignment="1" applyProtection="1">
      <alignment vertical="center" wrapText="1" readingOrder="1"/>
      <protection hidden="1"/>
    </xf>
    <xf numFmtId="0" fontId="226" fillId="27" borderId="25" xfId="0" applyFont="1" applyFill="1" applyBorder="1" applyAlignment="1" applyProtection="1">
      <alignment vertical="center" wrapText="1" readingOrder="1"/>
      <protection hidden="1"/>
    </xf>
    <xf numFmtId="0" fontId="226" fillId="27" borderId="84" xfId="0" applyFont="1" applyFill="1" applyBorder="1" applyAlignment="1" applyProtection="1">
      <alignment vertical="center" wrapText="1" readingOrder="1"/>
      <protection hidden="1"/>
    </xf>
    <xf numFmtId="0" fontId="226" fillId="61" borderId="11" xfId="0" applyFont="1" applyFill="1" applyBorder="1" applyAlignment="1" applyProtection="1">
      <alignment vertical="center" wrapText="1" readingOrder="1"/>
      <protection hidden="1"/>
    </xf>
    <xf numFmtId="0" fontId="234" fillId="0" borderId="1" xfId="0" applyFont="1" applyBorder="1" applyAlignment="1" applyProtection="1">
      <alignment horizontal="center"/>
      <protection hidden="1"/>
    </xf>
    <xf numFmtId="0" fontId="226" fillId="61" borderId="4" xfId="0" applyFont="1" applyFill="1" applyBorder="1" applyAlignment="1" applyProtection="1">
      <alignment vertical="center" wrapText="1" readingOrder="1"/>
      <protection hidden="1"/>
    </xf>
    <xf numFmtId="1" fontId="236" fillId="24" borderId="11" xfId="0" applyNumberFormat="1" applyFont="1" applyFill="1" applyBorder="1" applyAlignment="1" applyProtection="1">
      <alignment horizontal="right" vertical="center" wrapText="1" readingOrder="1"/>
      <protection hidden="1"/>
    </xf>
    <xf numFmtId="0" fontId="226" fillId="61" borderId="27" xfId="0" applyFont="1" applyFill="1" applyBorder="1" applyAlignment="1" applyProtection="1">
      <alignment vertical="center" wrapText="1" readingOrder="1"/>
      <protection hidden="1"/>
    </xf>
    <xf numFmtId="1" fontId="221" fillId="0" borderId="0" xfId="0" applyNumberFormat="1" applyFont="1" applyProtection="1">
      <protection hidden="1"/>
    </xf>
    <xf numFmtId="1" fontId="221" fillId="27" borderId="0" xfId="0" applyNumberFormat="1" applyFont="1" applyFill="1" applyProtection="1">
      <protection hidden="1"/>
    </xf>
    <xf numFmtId="0" fontId="229" fillId="27" borderId="1" xfId="0" applyFont="1" applyFill="1" applyBorder="1" applyAlignment="1" applyProtection="1">
      <alignment horizontal="center" vertical="top" wrapText="1"/>
      <protection hidden="1"/>
    </xf>
    <xf numFmtId="0" fontId="229" fillId="27" borderId="62" xfId="0" applyFont="1" applyFill="1" applyBorder="1" applyAlignment="1" applyProtection="1">
      <alignment horizontal="center" vertical="top" wrapText="1"/>
      <protection hidden="1"/>
    </xf>
    <xf numFmtId="0" fontId="226" fillId="62" borderId="11" xfId="0" applyFont="1" applyFill="1" applyBorder="1" applyAlignment="1" applyProtection="1">
      <alignment vertical="center" wrapText="1" readingOrder="1"/>
      <protection hidden="1"/>
    </xf>
    <xf numFmtId="0" fontId="103" fillId="23" borderId="1" xfId="0" applyFont="1" applyFill="1" applyBorder="1" applyAlignment="1" applyProtection="1">
      <alignment vertical="center" wrapText="1" readingOrder="1"/>
      <protection hidden="1"/>
    </xf>
    <xf numFmtId="0" fontId="226" fillId="62" borderId="4" xfId="0" applyFont="1" applyFill="1" applyBorder="1" applyAlignment="1" applyProtection="1">
      <alignment vertical="center" wrapText="1" readingOrder="1"/>
      <protection hidden="1"/>
    </xf>
    <xf numFmtId="0" fontId="226" fillId="62" borderId="27" xfId="0" applyFont="1" applyFill="1" applyBorder="1" applyAlignment="1" applyProtection="1">
      <alignment vertical="center" wrapText="1" readingOrder="1"/>
      <protection hidden="1"/>
    </xf>
    <xf numFmtId="2" fontId="229" fillId="0" borderId="1" xfId="0" applyNumberFormat="1" applyFont="1" applyBorder="1" applyAlignment="1" applyProtection="1">
      <alignment horizontal="center" vertical="top" wrapText="1"/>
      <protection hidden="1"/>
    </xf>
    <xf numFmtId="0" fontId="229" fillId="0" borderId="28" xfId="0" applyFont="1" applyBorder="1" applyAlignment="1" applyProtection="1">
      <alignment horizontal="center" vertical="top" wrapText="1"/>
      <protection hidden="1"/>
    </xf>
    <xf numFmtId="1" fontId="226" fillId="27" borderId="28" xfId="0" applyNumberFormat="1" applyFont="1" applyFill="1" applyBorder="1" applyAlignment="1" applyProtection="1">
      <alignment horizontal="center" vertical="center" wrapText="1"/>
      <protection hidden="1"/>
    </xf>
    <xf numFmtId="0" fontId="226" fillId="63" borderId="3" xfId="0" applyFont="1" applyFill="1" applyBorder="1" applyAlignment="1" applyProtection="1">
      <alignment vertical="center" wrapText="1" readingOrder="1"/>
      <protection hidden="1"/>
    </xf>
    <xf numFmtId="0" fontId="226" fillId="63" borderId="0" xfId="0" applyFont="1" applyFill="1" applyAlignment="1" applyProtection="1">
      <alignment vertical="center" wrapText="1" readingOrder="1"/>
      <protection hidden="1"/>
    </xf>
    <xf numFmtId="0" fontId="226" fillId="63" borderId="34" xfId="0" applyFont="1" applyFill="1" applyBorder="1" applyAlignment="1" applyProtection="1">
      <alignment vertical="center" wrapText="1" readingOrder="1"/>
      <protection hidden="1"/>
    </xf>
    <xf numFmtId="1" fontId="226" fillId="24" borderId="0" xfId="0" applyNumberFormat="1" applyFont="1" applyFill="1" applyAlignment="1" applyProtection="1">
      <alignment vertical="center" wrapText="1" readingOrder="1"/>
      <protection hidden="1"/>
    </xf>
    <xf numFmtId="0" fontId="226" fillId="31" borderId="7" xfId="0" applyFont="1" applyFill="1" applyBorder="1" applyAlignment="1" applyProtection="1">
      <alignment horizontal="center" vertical="center" wrapText="1" readingOrder="1"/>
      <protection hidden="1"/>
    </xf>
    <xf numFmtId="0" fontId="226" fillId="31" borderId="5" xfId="0" applyFont="1" applyFill="1" applyBorder="1" applyAlignment="1" applyProtection="1">
      <alignment vertical="center" wrapText="1" readingOrder="1"/>
      <protection hidden="1"/>
    </xf>
    <xf numFmtId="0" fontId="226" fillId="31" borderId="0" xfId="0" applyFont="1" applyFill="1" applyAlignment="1" applyProtection="1">
      <alignment vertical="center" wrapText="1" readingOrder="1"/>
      <protection hidden="1"/>
    </xf>
    <xf numFmtId="0" fontId="235" fillId="41" borderId="28" xfId="0" applyFont="1" applyFill="1" applyBorder="1" applyAlignment="1" applyProtection="1">
      <alignment horizontal="center" vertical="center" wrapText="1" readingOrder="1"/>
      <protection hidden="1"/>
    </xf>
    <xf numFmtId="1" fontId="221" fillId="24" borderId="0" xfId="0" applyNumberFormat="1" applyFont="1" applyFill="1" applyProtection="1">
      <protection hidden="1"/>
    </xf>
    <xf numFmtId="1" fontId="231" fillId="27" borderId="0" xfId="0" applyNumberFormat="1" applyFont="1" applyFill="1" applyAlignment="1" applyProtection="1">
      <alignment wrapText="1"/>
      <protection hidden="1"/>
    </xf>
    <xf numFmtId="0" fontId="228" fillId="0" borderId="0" xfId="0" applyFont="1" applyAlignment="1" applyProtection="1">
      <alignment vertical="top" wrapText="1"/>
      <protection hidden="1"/>
    </xf>
    <xf numFmtId="49" fontId="230" fillId="0" borderId="0" xfId="0" applyNumberFormat="1" applyFont="1" applyAlignment="1" applyProtection="1">
      <alignment vertical="top" wrapText="1"/>
      <protection hidden="1"/>
    </xf>
    <xf numFmtId="2" fontId="230" fillId="0" borderId="0" xfId="0" applyNumberFormat="1" applyFont="1" applyAlignment="1" applyProtection="1">
      <alignment vertical="top" wrapText="1"/>
      <protection hidden="1"/>
    </xf>
    <xf numFmtId="0" fontId="221" fillId="0" borderId="0" xfId="0" applyFont="1" applyAlignment="1" applyProtection="1">
      <alignment wrapText="1"/>
      <protection hidden="1"/>
    </xf>
    <xf numFmtId="0" fontId="228" fillId="0" borderId="0" xfId="0" applyFont="1" applyAlignment="1" applyProtection="1">
      <alignment wrapText="1"/>
      <protection hidden="1"/>
    </xf>
    <xf numFmtId="0" fontId="237" fillId="0" borderId="0" xfId="0" applyFont="1" applyAlignment="1" applyProtection="1">
      <alignment wrapText="1"/>
      <protection hidden="1"/>
    </xf>
    <xf numFmtId="0" fontId="229" fillId="0" borderId="33" xfId="0" applyFont="1" applyBorder="1" applyAlignment="1" applyProtection="1">
      <alignment horizontal="center" vertical="top" wrapText="1"/>
      <protection hidden="1"/>
    </xf>
    <xf numFmtId="2" fontId="229" fillId="0" borderId="33" xfId="0" applyNumberFormat="1" applyFont="1" applyBorder="1" applyAlignment="1" applyProtection="1">
      <alignment horizontal="center" vertical="top" wrapText="1"/>
      <protection hidden="1"/>
    </xf>
    <xf numFmtId="1" fontId="226" fillId="0" borderId="77" xfId="0" applyNumberFormat="1" applyFont="1" applyBorder="1" applyAlignment="1" applyProtection="1">
      <alignment horizontal="center" vertical="center" wrapText="1" readingOrder="1"/>
      <protection hidden="1"/>
    </xf>
    <xf numFmtId="2" fontId="221" fillId="0" borderId="36" xfId="0" applyNumberFormat="1" applyFont="1" applyBorder="1" applyAlignment="1" applyProtection="1">
      <alignment horizontal="center"/>
      <protection hidden="1"/>
    </xf>
    <xf numFmtId="2" fontId="221" fillId="0" borderId="37" xfId="0" applyNumberFormat="1" applyFont="1" applyBorder="1" applyAlignment="1" applyProtection="1">
      <alignment horizontal="center"/>
      <protection hidden="1"/>
    </xf>
    <xf numFmtId="1" fontId="226" fillId="0" borderId="0" xfId="0" applyNumberFormat="1" applyFont="1" applyAlignment="1" applyProtection="1">
      <alignment horizontal="center" vertical="center" wrapText="1" readingOrder="1"/>
      <protection hidden="1"/>
    </xf>
    <xf numFmtId="2" fontId="226" fillId="0" borderId="0" xfId="0" applyNumberFormat="1" applyFont="1" applyAlignment="1" applyProtection="1">
      <alignment horizontal="center" vertical="center" wrapText="1" readingOrder="1"/>
      <protection hidden="1"/>
    </xf>
    <xf numFmtId="1" fontId="226" fillId="0" borderId="36" xfId="0" applyNumberFormat="1" applyFont="1" applyBorder="1" applyAlignment="1" applyProtection="1">
      <alignment horizontal="center" vertical="center" wrapText="1" readingOrder="1"/>
      <protection hidden="1"/>
    </xf>
    <xf numFmtId="2" fontId="226" fillId="0" borderId="36" xfId="0" applyNumberFormat="1" applyFont="1" applyBorder="1" applyAlignment="1" applyProtection="1">
      <alignment horizontal="center" vertical="center" wrapText="1" readingOrder="1"/>
      <protection hidden="1"/>
    </xf>
    <xf numFmtId="2" fontId="231" fillId="30" borderId="0" xfId="0" applyNumberFormat="1" applyFont="1" applyFill="1" applyAlignment="1" applyProtection="1">
      <alignment horizontal="center"/>
      <protection hidden="1"/>
    </xf>
    <xf numFmtId="0" fontId="221" fillId="30" borderId="0" xfId="0" applyFont="1" applyFill="1" applyProtection="1">
      <protection hidden="1"/>
    </xf>
    <xf numFmtId="0" fontId="103" fillId="23" borderId="1" xfId="0" applyFont="1" applyFill="1" applyBorder="1" applyAlignment="1" applyProtection="1">
      <alignment vertical="center"/>
      <protection hidden="1"/>
    </xf>
    <xf numFmtId="0" fontId="238" fillId="26" borderId="63" xfId="0" applyFont="1" applyFill="1" applyBorder="1" applyAlignment="1" applyProtection="1">
      <alignment vertical="center" textRotation="90"/>
      <protection hidden="1"/>
    </xf>
    <xf numFmtId="0" fontId="238" fillId="29" borderId="35" xfId="0" applyFont="1" applyFill="1" applyBorder="1" applyAlignment="1" applyProtection="1">
      <alignment vertical="center" textRotation="90"/>
      <protection hidden="1"/>
    </xf>
    <xf numFmtId="0" fontId="226" fillId="38" borderId="19" xfId="0" applyFont="1" applyFill="1" applyBorder="1" applyAlignment="1" applyProtection="1">
      <alignment horizontal="center" vertical="center" wrapText="1" readingOrder="1"/>
      <protection hidden="1"/>
    </xf>
    <xf numFmtId="0" fontId="226" fillId="38" borderId="18" xfId="0" applyFont="1" applyFill="1" applyBorder="1" applyAlignment="1" applyProtection="1">
      <alignment horizontal="center" vertical="center" wrapText="1" readingOrder="1"/>
      <protection hidden="1"/>
    </xf>
    <xf numFmtId="0" fontId="226" fillId="63" borderId="4" xfId="0" applyFont="1" applyFill="1" applyBorder="1" applyAlignment="1" applyProtection="1">
      <alignment vertical="center" wrapText="1" readingOrder="1"/>
      <protection hidden="1"/>
    </xf>
    <xf numFmtId="0" fontId="226" fillId="57" borderId="62" xfId="0" applyFont="1" applyFill="1" applyBorder="1" applyAlignment="1" applyProtection="1">
      <alignment horizontal="center" vertical="center" wrapText="1" readingOrder="1"/>
      <protection hidden="1"/>
    </xf>
    <xf numFmtId="0" fontId="226" fillId="57" borderId="18" xfId="0" applyFont="1" applyFill="1" applyBorder="1" applyAlignment="1" applyProtection="1">
      <alignment horizontal="center" vertical="center" wrapText="1" readingOrder="1"/>
      <protection hidden="1"/>
    </xf>
    <xf numFmtId="2" fontId="221" fillId="0" borderId="0" xfId="0" applyNumberFormat="1" applyFont="1" applyAlignment="1" applyProtection="1">
      <alignment horizontal="center"/>
      <protection hidden="1"/>
    </xf>
    <xf numFmtId="0" fontId="235" fillId="26" borderId="86" xfId="0" applyFont="1" applyFill="1" applyBorder="1" applyAlignment="1" applyProtection="1">
      <alignment vertical="center" wrapText="1" readingOrder="1"/>
      <protection hidden="1"/>
    </xf>
    <xf numFmtId="0" fontId="235" fillId="26" borderId="39" xfId="0" applyFont="1" applyFill="1" applyBorder="1" applyAlignment="1" applyProtection="1">
      <alignment vertical="center" wrapText="1" readingOrder="1"/>
      <protection hidden="1"/>
    </xf>
    <xf numFmtId="0" fontId="235" fillId="26" borderId="40" xfId="0" applyFont="1" applyFill="1" applyBorder="1" applyAlignment="1" applyProtection="1">
      <alignment vertical="center" wrapText="1" readingOrder="1"/>
      <protection hidden="1"/>
    </xf>
    <xf numFmtId="2" fontId="231" fillId="0" borderId="0" xfId="0" applyNumberFormat="1" applyFont="1" applyAlignment="1" applyProtection="1">
      <alignment horizontal="center"/>
      <protection hidden="1"/>
    </xf>
    <xf numFmtId="0" fontId="235" fillId="29" borderId="71" xfId="0" applyFont="1" applyFill="1" applyBorder="1" applyAlignment="1" applyProtection="1">
      <alignment vertical="center" wrapText="1" readingOrder="1"/>
      <protection hidden="1"/>
    </xf>
    <xf numFmtId="0" fontId="235" fillId="29" borderId="73" xfId="0" applyFont="1" applyFill="1" applyBorder="1" applyAlignment="1" applyProtection="1">
      <alignment vertical="center" wrapText="1" readingOrder="1"/>
      <protection hidden="1"/>
    </xf>
    <xf numFmtId="0" fontId="235" fillId="29" borderId="58" xfId="0" applyFont="1" applyFill="1" applyBorder="1" applyAlignment="1" applyProtection="1">
      <alignment vertical="center" wrapText="1" readingOrder="1"/>
      <protection hidden="1"/>
    </xf>
    <xf numFmtId="0" fontId="226" fillId="0" borderId="0" xfId="0" applyFont="1" applyAlignment="1" applyProtection="1">
      <alignment vertical="center" wrapText="1" readingOrder="1"/>
      <protection hidden="1"/>
    </xf>
    <xf numFmtId="0" fontId="226" fillId="0" borderId="0" xfId="0" applyFont="1" applyAlignment="1" applyProtection="1">
      <alignment horizontal="center" vertical="center" wrapText="1" readingOrder="1"/>
      <protection hidden="1"/>
    </xf>
    <xf numFmtId="0" fontId="103" fillId="0" borderId="0" xfId="0" applyFont="1" applyAlignment="1" applyProtection="1">
      <alignment vertical="center" wrapText="1" readingOrder="1"/>
      <protection hidden="1"/>
    </xf>
    <xf numFmtId="2" fontId="231" fillId="25" borderId="1" xfId="0" applyNumberFormat="1" applyFont="1" applyFill="1" applyBorder="1" applyAlignment="1" applyProtection="1">
      <alignment wrapText="1"/>
      <protection hidden="1"/>
    </xf>
    <xf numFmtId="2" fontId="231" fillId="52" borderId="1" xfId="0" applyNumberFormat="1" applyFont="1" applyFill="1" applyBorder="1" applyAlignment="1" applyProtection="1">
      <alignment wrapText="1"/>
      <protection hidden="1"/>
    </xf>
    <xf numFmtId="2" fontId="231" fillId="52" borderId="1" xfId="0" applyNumberFormat="1" applyFont="1" applyFill="1" applyBorder="1" applyAlignment="1" applyProtection="1">
      <alignment horizontal="center" wrapText="1"/>
      <protection hidden="1"/>
    </xf>
    <xf numFmtId="0" fontId="238" fillId="0" borderId="0" xfId="0" applyFont="1" applyAlignment="1" applyProtection="1">
      <alignment vertical="center" textRotation="90"/>
      <protection hidden="1"/>
    </xf>
    <xf numFmtId="0" fontId="235" fillId="0" borderId="0" xfId="0" applyFont="1" applyAlignment="1" applyProtection="1">
      <alignment vertical="center" wrapText="1" readingOrder="1"/>
      <protection hidden="1"/>
    </xf>
    <xf numFmtId="0" fontId="229" fillId="0" borderId="18" xfId="0" applyFont="1" applyBorder="1" applyAlignment="1" applyProtection="1">
      <alignment horizontal="center" vertical="top" wrapText="1"/>
      <protection hidden="1"/>
    </xf>
    <xf numFmtId="1" fontId="229" fillId="0" borderId="18" xfId="0" applyNumberFormat="1" applyFont="1" applyBorder="1" applyAlignment="1" applyProtection="1">
      <alignment horizontal="center" vertical="top" wrapText="1"/>
      <protection hidden="1"/>
    </xf>
    <xf numFmtId="2" fontId="229" fillId="0" borderId="0" xfId="0" applyNumberFormat="1" applyFont="1" applyAlignment="1" applyProtection="1">
      <alignment horizontal="center" vertical="top" wrapText="1"/>
      <protection hidden="1"/>
    </xf>
    <xf numFmtId="0" fontId="229" fillId="0" borderId="0" xfId="0" applyFont="1" applyAlignment="1" applyProtection="1">
      <alignment horizontal="center" vertical="top" wrapText="1"/>
      <protection hidden="1"/>
    </xf>
    <xf numFmtId="0" fontId="229" fillId="0" borderId="0" xfId="0" applyFont="1" applyAlignment="1" applyProtection="1">
      <alignment wrapText="1"/>
      <protection hidden="1"/>
    </xf>
    <xf numFmtId="0" fontId="229" fillId="0" borderId="0" xfId="0" applyFont="1" applyAlignment="1" applyProtection="1">
      <alignment horizontal="center" wrapText="1"/>
      <protection hidden="1"/>
    </xf>
    <xf numFmtId="0" fontId="229" fillId="0" borderId="1" xfId="0" applyFont="1" applyBorder="1" applyAlignment="1" applyProtection="1">
      <alignment horizontal="center" wrapText="1"/>
      <protection hidden="1"/>
    </xf>
    <xf numFmtId="2" fontId="229" fillId="0" borderId="1" xfId="0" applyNumberFormat="1" applyFont="1" applyBorder="1" applyAlignment="1" applyProtection="1">
      <alignment horizontal="center" wrapText="1"/>
      <protection hidden="1"/>
    </xf>
    <xf numFmtId="0" fontId="230" fillId="0" borderId="79" xfId="0" applyFont="1" applyBorder="1" applyAlignment="1" applyProtection="1">
      <alignment vertical="center" wrapText="1"/>
      <protection hidden="1"/>
    </xf>
    <xf numFmtId="0" fontId="230" fillId="0" borderId="28" xfId="0" applyFont="1" applyBorder="1" applyAlignment="1" applyProtection="1">
      <alignment vertical="top" wrapText="1"/>
      <protection hidden="1"/>
    </xf>
    <xf numFmtId="0" fontId="230" fillId="0" borderId="1" xfId="0" applyFont="1" applyBorder="1" applyAlignment="1" applyProtection="1">
      <alignment vertical="top" wrapText="1"/>
      <protection hidden="1"/>
    </xf>
    <xf numFmtId="1" fontId="221" fillId="0" borderId="1" xfId="0" applyNumberFormat="1" applyFont="1" applyBorder="1" applyAlignment="1" applyProtection="1">
      <alignment horizontal="center" vertical="top" wrapText="1"/>
      <protection hidden="1"/>
    </xf>
    <xf numFmtId="2" fontId="221" fillId="0" borderId="1" xfId="0" applyNumberFormat="1" applyFont="1" applyBorder="1" applyAlignment="1" applyProtection="1">
      <alignment horizontal="center" vertical="top" wrapText="1"/>
      <protection hidden="1"/>
    </xf>
    <xf numFmtId="1" fontId="221" fillId="24" borderId="1" xfId="0" applyNumberFormat="1" applyFont="1" applyFill="1" applyBorder="1" applyAlignment="1" applyProtection="1">
      <alignment horizontal="center"/>
      <protection hidden="1"/>
    </xf>
    <xf numFmtId="1" fontId="221" fillId="24" borderId="1" xfId="0" applyNumberFormat="1" applyFont="1" applyFill="1" applyBorder="1" applyProtection="1">
      <protection hidden="1"/>
    </xf>
    <xf numFmtId="2" fontId="231" fillId="52" borderId="1" xfId="0" applyNumberFormat="1" applyFont="1" applyFill="1" applyBorder="1" applyAlignment="1" applyProtection="1">
      <alignment horizontal="center" vertical="top" wrapText="1"/>
      <protection hidden="1"/>
    </xf>
    <xf numFmtId="2" fontId="229" fillId="0" borderId="0" xfId="0" applyNumberFormat="1" applyFont="1" applyAlignment="1" applyProtection="1">
      <alignment horizontal="center" wrapText="1"/>
      <protection hidden="1"/>
    </xf>
    <xf numFmtId="0" fontId="230" fillId="0" borderId="33" xfId="0" applyFont="1" applyBorder="1" applyAlignment="1" applyProtection="1">
      <alignment vertical="center" wrapText="1"/>
      <protection hidden="1"/>
    </xf>
    <xf numFmtId="1" fontId="221" fillId="0" borderId="0" xfId="0" applyNumberFormat="1" applyFont="1" applyAlignment="1" applyProtection="1">
      <alignment horizontal="center"/>
      <protection hidden="1"/>
    </xf>
    <xf numFmtId="168" fontId="221" fillId="0" borderId="0" xfId="0" applyNumberFormat="1" applyFont="1" applyProtection="1">
      <protection hidden="1"/>
    </xf>
    <xf numFmtId="1" fontId="221" fillId="0" borderId="0" xfId="0" applyNumberFormat="1" applyFont="1" applyAlignment="1" applyProtection="1">
      <alignment horizontal="center" vertical="top" wrapText="1"/>
      <protection hidden="1"/>
    </xf>
    <xf numFmtId="1" fontId="231" fillId="52" borderId="1" xfId="0" applyNumberFormat="1" applyFont="1" applyFill="1" applyBorder="1" applyAlignment="1" applyProtection="1">
      <alignment horizontal="center" vertical="top" wrapText="1"/>
      <protection hidden="1"/>
    </xf>
    <xf numFmtId="2" fontId="228" fillId="0" borderId="0" xfId="0" applyNumberFormat="1" applyFont="1" applyAlignment="1" applyProtection="1">
      <alignment vertical="top" wrapText="1"/>
      <protection hidden="1"/>
    </xf>
    <xf numFmtId="0" fontId="228" fillId="0" borderId="0" xfId="0" applyFont="1" applyAlignment="1" applyProtection="1">
      <alignment horizontal="center" vertical="top" wrapText="1"/>
      <protection hidden="1"/>
    </xf>
    <xf numFmtId="2" fontId="221" fillId="0" borderId="1" xfId="0" applyNumberFormat="1" applyFont="1" applyBorder="1" applyProtection="1">
      <protection hidden="1"/>
    </xf>
    <xf numFmtId="0" fontId="221" fillId="0" borderId="1" xfId="0" applyFont="1" applyBorder="1" applyAlignment="1" applyProtection="1">
      <alignment horizontal="center"/>
      <protection hidden="1"/>
    </xf>
    <xf numFmtId="1" fontId="221" fillId="27" borderId="1" xfId="0" applyNumberFormat="1" applyFont="1" applyFill="1" applyBorder="1" applyAlignment="1" applyProtection="1">
      <alignment horizontal="center"/>
      <protection hidden="1"/>
    </xf>
    <xf numFmtId="1" fontId="221" fillId="27" borderId="1" xfId="0" applyNumberFormat="1" applyFont="1" applyFill="1" applyBorder="1" applyProtection="1">
      <protection hidden="1"/>
    </xf>
    <xf numFmtId="1" fontId="231" fillId="52" borderId="1" xfId="0" applyNumberFormat="1" applyFont="1" applyFill="1" applyBorder="1" applyAlignment="1" applyProtection="1">
      <alignment wrapText="1"/>
      <protection hidden="1"/>
    </xf>
    <xf numFmtId="1" fontId="231" fillId="52" borderId="1" xfId="0" applyNumberFormat="1" applyFont="1" applyFill="1" applyBorder="1" applyAlignment="1" applyProtection="1">
      <alignment horizontal="center" wrapText="1"/>
      <protection hidden="1"/>
    </xf>
    <xf numFmtId="0" fontId="231" fillId="0" borderId="0" xfId="0" applyFont="1" applyProtection="1">
      <protection hidden="1"/>
    </xf>
    <xf numFmtId="1" fontId="221" fillId="14" borderId="1" xfId="0" applyNumberFormat="1" applyFont="1" applyFill="1" applyBorder="1" applyAlignment="1" applyProtection="1">
      <alignment horizontal="center" vertical="top" wrapText="1"/>
      <protection hidden="1"/>
    </xf>
    <xf numFmtId="2" fontId="221" fillId="14" borderId="1" xfId="0" applyNumberFormat="1" applyFont="1" applyFill="1" applyBorder="1" applyAlignment="1" applyProtection="1">
      <alignment horizontal="center" vertical="top" wrapText="1"/>
      <protection hidden="1"/>
    </xf>
    <xf numFmtId="0" fontId="221" fillId="52" borderId="0" xfId="0" applyFont="1" applyFill="1" applyProtection="1">
      <protection hidden="1"/>
    </xf>
    <xf numFmtId="1" fontId="221" fillId="52" borderId="0" xfId="0" applyNumberFormat="1" applyFont="1" applyFill="1" applyAlignment="1" applyProtection="1">
      <alignment horizontal="right" vertical="top" wrapText="1"/>
      <protection hidden="1"/>
    </xf>
    <xf numFmtId="2" fontId="221" fillId="52" borderId="0" xfId="0" applyNumberFormat="1" applyFont="1" applyFill="1" applyAlignment="1" applyProtection="1">
      <alignment horizontal="right" vertical="top" wrapText="1"/>
      <protection hidden="1"/>
    </xf>
    <xf numFmtId="1" fontId="221" fillId="52" borderId="0" xfId="0" applyNumberFormat="1" applyFont="1" applyFill="1" applyAlignment="1" applyProtection="1">
      <alignment horizontal="center" vertical="top" wrapText="1"/>
      <protection hidden="1"/>
    </xf>
    <xf numFmtId="0" fontId="221" fillId="0" borderId="0" xfId="0" applyFont="1" applyAlignment="1" applyProtection="1">
      <alignment horizontal="left"/>
      <protection hidden="1"/>
    </xf>
    <xf numFmtId="1" fontId="229" fillId="0" borderId="1" xfId="0" applyNumberFormat="1" applyFont="1" applyBorder="1" applyAlignment="1" applyProtection="1">
      <alignment horizontal="center" wrapText="1"/>
      <protection hidden="1"/>
    </xf>
    <xf numFmtId="1" fontId="229" fillId="52" borderId="1" xfId="0" applyNumberFormat="1" applyFont="1" applyFill="1" applyBorder="1" applyAlignment="1" applyProtection="1">
      <alignment horizontal="center" wrapText="1"/>
      <protection hidden="1"/>
    </xf>
    <xf numFmtId="1" fontId="239" fillId="53" borderId="0" xfId="0" applyNumberFormat="1" applyFont="1" applyFill="1" applyAlignment="1" applyProtection="1">
      <alignment horizontal="center" wrapText="1"/>
      <protection hidden="1"/>
    </xf>
    <xf numFmtId="0" fontId="239" fillId="0" borderId="0" xfId="0" applyFont="1" applyAlignment="1" applyProtection="1">
      <alignment horizontal="left"/>
      <protection hidden="1"/>
    </xf>
    <xf numFmtId="0" fontId="240" fillId="0" borderId="0" xfId="1" applyFont="1" applyAlignment="1" applyProtection="1">
      <alignment horizontal="left"/>
      <protection hidden="1"/>
    </xf>
    <xf numFmtId="166" fontId="241" fillId="41" borderId="0" xfId="0" applyNumberFormat="1" applyFont="1" applyFill="1" applyProtection="1">
      <protection hidden="1"/>
    </xf>
    <xf numFmtId="1" fontId="226" fillId="0" borderId="11" xfId="0" applyNumberFormat="1" applyFont="1" applyBorder="1" applyAlignment="1" applyProtection="1">
      <alignment horizontal="center" vertical="center" wrapText="1" readingOrder="1"/>
      <protection hidden="1"/>
    </xf>
    <xf numFmtId="2" fontId="221" fillId="24" borderId="1" xfId="0" applyNumberFormat="1" applyFont="1" applyFill="1" applyBorder="1" applyAlignment="1" applyProtection="1">
      <alignment horizontal="center" wrapText="1"/>
      <protection hidden="1"/>
    </xf>
    <xf numFmtId="2" fontId="221" fillId="24" borderId="0" xfId="0" applyNumberFormat="1" applyFont="1" applyFill="1" applyAlignment="1" applyProtection="1">
      <alignment horizontal="center" wrapText="1"/>
      <protection hidden="1"/>
    </xf>
    <xf numFmtId="0" fontId="238" fillId="26" borderId="63" xfId="0" applyFont="1" applyFill="1" applyBorder="1" applyAlignment="1" applyProtection="1">
      <alignment vertical="center"/>
      <protection hidden="1"/>
    </xf>
    <xf numFmtId="0" fontId="238" fillId="26" borderId="0" xfId="0" applyFont="1" applyFill="1" applyAlignment="1" applyProtection="1">
      <alignment vertical="center"/>
      <protection hidden="1"/>
    </xf>
    <xf numFmtId="0" fontId="238" fillId="29" borderId="35" xfId="0" applyFont="1" applyFill="1" applyBorder="1" applyAlignment="1" applyProtection="1">
      <alignment vertical="center"/>
      <protection hidden="1"/>
    </xf>
    <xf numFmtId="0" fontId="238" fillId="29" borderId="0" xfId="0" applyFont="1" applyFill="1" applyAlignment="1" applyProtection="1">
      <alignment vertical="center"/>
      <protection hidden="1"/>
    </xf>
    <xf numFmtId="0" fontId="226" fillId="24" borderId="0" xfId="0" applyFont="1" applyFill="1" applyAlignment="1" applyProtection="1">
      <alignment horizontal="center" vertical="center" wrapText="1" readingOrder="1"/>
      <protection hidden="1"/>
    </xf>
    <xf numFmtId="0" fontId="231" fillId="52" borderId="4" xfId="0" applyFont="1" applyFill="1" applyBorder="1" applyAlignment="1" applyProtection="1">
      <alignment wrapText="1"/>
      <protection hidden="1"/>
    </xf>
    <xf numFmtId="1" fontId="211" fillId="0" borderId="62" xfId="0" applyNumberFormat="1" applyFont="1" applyBorder="1" applyAlignment="1" applyProtection="1">
      <alignment horizontal="center" vertical="center" wrapText="1" readingOrder="1"/>
      <protection hidden="1"/>
    </xf>
    <xf numFmtId="1" fontId="211" fillId="0" borderId="0" xfId="0" applyNumberFormat="1" applyFont="1" applyAlignment="1" applyProtection="1">
      <alignment horizontal="center" vertical="center" wrapText="1" readingOrder="1"/>
      <protection hidden="1"/>
    </xf>
    <xf numFmtId="2" fontId="221" fillId="32" borderId="0" xfId="0" applyNumberFormat="1" applyFont="1" applyFill="1" applyProtection="1">
      <protection hidden="1"/>
    </xf>
    <xf numFmtId="0" fontId="231" fillId="27" borderId="0" xfId="0" applyFont="1" applyFill="1" applyAlignment="1" applyProtection="1">
      <alignment horizontal="center" wrapText="1"/>
      <protection hidden="1"/>
    </xf>
    <xf numFmtId="0" fontId="231" fillId="27" borderId="0" xfId="0" applyFont="1" applyFill="1" applyAlignment="1" applyProtection="1">
      <alignment wrapText="1"/>
      <protection hidden="1"/>
    </xf>
    <xf numFmtId="2" fontId="231" fillId="27" borderId="62" xfId="0" applyNumberFormat="1" applyFont="1" applyFill="1" applyBorder="1" applyAlignment="1" applyProtection="1">
      <alignment horizontal="center" wrapText="1"/>
      <protection hidden="1"/>
    </xf>
    <xf numFmtId="2" fontId="231" fillId="27" borderId="18" xfId="0" applyNumberFormat="1" applyFont="1" applyFill="1" applyBorder="1" applyAlignment="1" applyProtection="1">
      <alignment horizontal="center" wrapText="1"/>
      <protection hidden="1"/>
    </xf>
    <xf numFmtId="2" fontId="231" fillId="27" borderId="28" xfId="0" applyNumberFormat="1" applyFont="1" applyFill="1" applyBorder="1" applyAlignment="1" applyProtection="1">
      <alignment horizontal="center" wrapText="1"/>
      <protection hidden="1"/>
    </xf>
    <xf numFmtId="1" fontId="221" fillId="32" borderId="1" xfId="0" applyNumberFormat="1" applyFont="1" applyFill="1" applyBorder="1" applyProtection="1">
      <protection hidden="1"/>
    </xf>
    <xf numFmtId="0" fontId="229" fillId="52" borderId="0" xfId="0" applyFont="1" applyFill="1" applyAlignment="1" applyProtection="1">
      <alignment horizontal="center" wrapText="1"/>
      <protection hidden="1"/>
    </xf>
    <xf numFmtId="1" fontId="221" fillId="6" borderId="7" xfId="0" applyNumberFormat="1" applyFont="1" applyFill="1" applyBorder="1" applyProtection="1">
      <protection hidden="1"/>
    </xf>
    <xf numFmtId="1" fontId="221" fillId="0" borderId="1" xfId="0" applyNumberFormat="1" applyFont="1" applyBorder="1" applyAlignment="1" applyProtection="1">
      <alignment horizontal="center" vertical="center" wrapText="1"/>
      <protection hidden="1"/>
    </xf>
    <xf numFmtId="166" fontId="221" fillId="14" borderId="1" xfId="0" applyNumberFormat="1" applyFont="1" applyFill="1" applyBorder="1" applyAlignment="1" applyProtection="1">
      <alignment horizontal="center" vertical="top" wrapText="1"/>
      <protection hidden="1"/>
    </xf>
    <xf numFmtId="0" fontId="221" fillId="32" borderId="0" xfId="0" applyFont="1" applyFill="1" applyProtection="1">
      <protection hidden="1"/>
    </xf>
    <xf numFmtId="0" fontId="229" fillId="52" borderId="0" xfId="0" applyFont="1" applyFill="1" applyAlignment="1" applyProtection="1">
      <alignment horizontal="right" wrapText="1"/>
      <protection hidden="1"/>
    </xf>
    <xf numFmtId="0" fontId="229" fillId="27" borderId="0" xfId="0" applyFont="1" applyFill="1" applyAlignment="1" applyProtection="1">
      <alignment horizontal="right" wrapText="1"/>
      <protection hidden="1"/>
    </xf>
    <xf numFmtId="1" fontId="231" fillId="27" borderId="1" xfId="0" applyNumberFormat="1" applyFont="1" applyFill="1" applyBorder="1" applyAlignment="1" applyProtection="1">
      <alignment wrapText="1"/>
      <protection hidden="1"/>
    </xf>
    <xf numFmtId="2" fontId="231" fillId="27" borderId="1" xfId="0" applyNumberFormat="1" applyFont="1" applyFill="1" applyBorder="1" applyAlignment="1" applyProtection="1">
      <alignment wrapText="1"/>
      <protection hidden="1"/>
    </xf>
    <xf numFmtId="1" fontId="231" fillId="27" borderId="1" xfId="0" applyNumberFormat="1" applyFont="1" applyFill="1" applyBorder="1" applyAlignment="1" applyProtection="1">
      <alignment horizontal="center" wrapText="1"/>
      <protection hidden="1"/>
    </xf>
    <xf numFmtId="175" fontId="221" fillId="0" borderId="0" xfId="12" applyNumberFormat="1" applyFont="1" applyProtection="1">
      <protection hidden="1"/>
    </xf>
    <xf numFmtId="174" fontId="241" fillId="41" borderId="0" xfId="0" applyNumberFormat="1" applyFont="1" applyFill="1" applyProtection="1">
      <protection hidden="1"/>
    </xf>
    <xf numFmtId="0" fontId="234" fillId="0" borderId="0" xfId="0" applyFont="1" applyProtection="1">
      <protection hidden="1"/>
    </xf>
    <xf numFmtId="1" fontId="221" fillId="30" borderId="0" xfId="0" applyNumberFormat="1" applyFont="1" applyFill="1" applyProtection="1">
      <protection hidden="1"/>
    </xf>
    <xf numFmtId="1" fontId="234" fillId="0" borderId="0" xfId="0" applyNumberFormat="1" applyFont="1" applyProtection="1">
      <protection hidden="1"/>
    </xf>
    <xf numFmtId="1" fontId="221" fillId="32" borderId="0" xfId="0" applyNumberFormat="1" applyFont="1" applyFill="1" applyProtection="1">
      <protection hidden="1"/>
    </xf>
    <xf numFmtId="2" fontId="234" fillId="0" borderId="0" xfId="0" applyNumberFormat="1" applyFont="1" applyProtection="1">
      <protection hidden="1"/>
    </xf>
    <xf numFmtId="2" fontId="221" fillId="33" borderId="0" xfId="0" applyNumberFormat="1" applyFont="1" applyFill="1" applyProtection="1">
      <protection hidden="1"/>
    </xf>
    <xf numFmtId="2" fontId="234" fillId="33" borderId="0" xfId="0" applyNumberFormat="1" applyFont="1" applyFill="1" applyProtection="1">
      <protection hidden="1"/>
    </xf>
    <xf numFmtId="2" fontId="231" fillId="33" borderId="0" xfId="0" applyNumberFormat="1" applyFont="1" applyFill="1" applyProtection="1">
      <protection hidden="1"/>
    </xf>
    <xf numFmtId="0" fontId="231" fillId="0" borderId="0" xfId="0" applyFont="1" applyAlignment="1" applyProtection="1">
      <alignment horizontal="center"/>
      <protection hidden="1"/>
    </xf>
    <xf numFmtId="1" fontId="221" fillId="33" borderId="0" xfId="0" applyNumberFormat="1" applyFont="1" applyFill="1" applyProtection="1">
      <protection hidden="1"/>
    </xf>
    <xf numFmtId="0" fontId="1" fillId="0" borderId="0" xfId="0" applyFont="1" applyAlignment="1">
      <alignment horizontal="center"/>
    </xf>
    <xf numFmtId="0" fontId="79" fillId="23" borderId="70" xfId="0" applyFont="1" applyFill="1" applyBorder="1" applyAlignment="1" applyProtection="1">
      <alignment vertical="center" wrapText="1" readingOrder="1"/>
      <protection hidden="1"/>
    </xf>
    <xf numFmtId="0" fontId="244" fillId="58" borderId="1" xfId="0" applyFont="1" applyFill="1" applyBorder="1" applyAlignment="1" applyProtection="1">
      <alignment horizontal="center" vertical="center" wrapText="1" readingOrder="1"/>
      <protection hidden="1"/>
    </xf>
    <xf numFmtId="0" fontId="245" fillId="65" borderId="1" xfId="0" applyFont="1" applyFill="1" applyBorder="1" applyAlignment="1" applyProtection="1">
      <alignment horizontal="center" vertical="center" wrapText="1" readingOrder="1"/>
      <protection hidden="1"/>
    </xf>
    <xf numFmtId="1" fontId="50" fillId="27" borderId="0" xfId="0" applyNumberFormat="1" applyFont="1" applyFill="1" applyAlignment="1" applyProtection="1">
      <alignment horizontal="center" wrapText="1"/>
      <protection hidden="1"/>
    </xf>
    <xf numFmtId="0" fontId="122" fillId="27" borderId="0" xfId="0" applyFont="1" applyFill="1" applyProtection="1">
      <protection hidden="1"/>
    </xf>
    <xf numFmtId="2" fontId="122" fillId="27" borderId="0" xfId="0" applyNumberFormat="1" applyFont="1" applyFill="1" applyProtection="1">
      <protection hidden="1"/>
    </xf>
    <xf numFmtId="0" fontId="122" fillId="27" borderId="0" xfId="0" applyFont="1" applyFill="1" applyAlignment="1" applyProtection="1">
      <alignment horizontal="center"/>
      <protection hidden="1"/>
    </xf>
    <xf numFmtId="0" fontId="122" fillId="27" borderId="29" xfId="0" applyFont="1" applyFill="1" applyBorder="1" applyAlignment="1" applyProtection="1">
      <alignment horizontal="center"/>
      <protection hidden="1"/>
    </xf>
    <xf numFmtId="0" fontId="247" fillId="27" borderId="0" xfId="0" applyFont="1" applyFill="1" applyAlignment="1" applyProtection="1">
      <alignment vertical="top" wrapText="1"/>
      <protection hidden="1"/>
    </xf>
    <xf numFmtId="0" fontId="246" fillId="0" borderId="10" xfId="0" applyFont="1" applyBorder="1" applyAlignment="1" applyProtection="1">
      <alignment horizontal="center" vertical="top" wrapText="1"/>
      <protection hidden="1"/>
    </xf>
    <xf numFmtId="0" fontId="246" fillId="0" borderId="1" xfId="0" applyFont="1" applyBorder="1" applyAlignment="1" applyProtection="1">
      <alignment horizontal="center" vertical="top" wrapText="1"/>
      <protection hidden="1"/>
    </xf>
    <xf numFmtId="0" fontId="246" fillId="0" borderId="9" xfId="0" applyFont="1" applyBorder="1" applyAlignment="1" applyProtection="1">
      <alignment horizontal="center" vertical="top" wrapText="1"/>
      <protection hidden="1"/>
    </xf>
    <xf numFmtId="1" fontId="50" fillId="36" borderId="61" xfId="0" applyNumberFormat="1" applyFont="1" applyFill="1" applyBorder="1" applyAlignment="1" applyProtection="1">
      <alignment horizontal="center" wrapText="1"/>
      <protection hidden="1"/>
    </xf>
    <xf numFmtId="1" fontId="50" fillId="36" borderId="30" xfId="0" applyNumberFormat="1" applyFont="1" applyFill="1" applyBorder="1" applyAlignment="1" applyProtection="1">
      <alignment horizontal="center" wrapText="1"/>
      <protection hidden="1"/>
    </xf>
    <xf numFmtId="1" fontId="50" fillId="36" borderId="32" xfId="0" applyNumberFormat="1" applyFont="1" applyFill="1" applyBorder="1" applyAlignment="1" applyProtection="1">
      <alignment horizontal="center" wrapText="1"/>
      <protection hidden="1"/>
    </xf>
    <xf numFmtId="1" fontId="122" fillId="27" borderId="0" xfId="0" applyNumberFormat="1" applyFont="1" applyFill="1" applyProtection="1">
      <protection hidden="1"/>
    </xf>
    <xf numFmtId="0" fontId="247" fillId="0" borderId="0" xfId="0" applyFont="1" applyAlignment="1" applyProtection="1">
      <alignment vertical="top" wrapText="1"/>
      <protection hidden="1"/>
    </xf>
    <xf numFmtId="2" fontId="122" fillId="0" borderId="0" xfId="0" applyNumberFormat="1" applyFont="1" applyProtection="1">
      <protection hidden="1"/>
    </xf>
    <xf numFmtId="0" fontId="246" fillId="27" borderId="1" xfId="0" applyFont="1" applyFill="1" applyBorder="1" applyAlignment="1" applyProtection="1">
      <alignment horizontal="center" vertical="top" wrapText="1"/>
      <protection hidden="1"/>
    </xf>
    <xf numFmtId="2" fontId="246" fillId="27" borderId="1" xfId="0" applyNumberFormat="1" applyFont="1" applyFill="1" applyBorder="1" applyAlignment="1" applyProtection="1">
      <alignment horizontal="center" vertical="top" wrapText="1"/>
      <protection hidden="1"/>
    </xf>
    <xf numFmtId="0" fontId="246" fillId="27" borderId="28" xfId="0" applyFont="1" applyFill="1" applyBorder="1" applyAlignment="1" applyProtection="1">
      <alignment horizontal="center" vertical="top" wrapText="1"/>
      <protection hidden="1"/>
    </xf>
    <xf numFmtId="1" fontId="243" fillId="24" borderId="74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4" borderId="1" xfId="0" applyNumberFormat="1" applyFont="1" applyFill="1" applyBorder="1" applyAlignment="1" applyProtection="1">
      <alignment horizontal="right" vertical="center" wrapText="1" readingOrder="1"/>
      <protection hidden="1"/>
    </xf>
    <xf numFmtId="2" fontId="243" fillId="27" borderId="1" xfId="0" applyNumberFormat="1" applyFont="1" applyFill="1" applyBorder="1" applyAlignment="1" applyProtection="1">
      <alignment vertical="center" wrapText="1" readingOrder="1"/>
      <protection hidden="1"/>
    </xf>
    <xf numFmtId="1" fontId="243" fillId="25" borderId="1" xfId="0" applyNumberFormat="1" applyFont="1" applyFill="1" applyBorder="1" applyAlignment="1" applyProtection="1">
      <alignment horizontal="center" vertical="center" wrapText="1"/>
      <protection hidden="1"/>
    </xf>
    <xf numFmtId="1" fontId="243" fillId="25" borderId="9" xfId="0" applyNumberFormat="1" applyFont="1" applyFill="1" applyBorder="1" applyAlignment="1" applyProtection="1">
      <alignment horizontal="center" vertical="center" wrapText="1"/>
      <protection hidden="1"/>
    </xf>
    <xf numFmtId="1" fontId="122" fillId="24" borderId="0" xfId="0" applyNumberFormat="1" applyFont="1" applyFill="1" applyProtection="1">
      <protection hidden="1"/>
    </xf>
    <xf numFmtId="2" fontId="122" fillId="0" borderId="7" xfId="0" applyNumberFormat="1" applyFont="1" applyBorder="1" applyProtection="1">
      <protection hidden="1"/>
    </xf>
    <xf numFmtId="1" fontId="171" fillId="0" borderId="24" xfId="0" applyNumberFormat="1" applyFont="1" applyBorder="1" applyAlignment="1" applyProtection="1">
      <alignment horizontal="center"/>
      <protection hidden="1"/>
    </xf>
    <xf numFmtId="1" fontId="50" fillId="0" borderId="3" xfId="0" applyNumberFormat="1" applyFont="1" applyBorder="1" applyAlignment="1" applyProtection="1">
      <alignment wrapText="1"/>
      <protection hidden="1"/>
    </xf>
    <xf numFmtId="1" fontId="50" fillId="0" borderId="76" xfId="0" applyNumberFormat="1" applyFont="1" applyBorder="1" applyAlignment="1" applyProtection="1">
      <alignment wrapText="1"/>
      <protection hidden="1"/>
    </xf>
    <xf numFmtId="0" fontId="246" fillId="0" borderId="28" xfId="0" applyFont="1" applyBorder="1" applyAlignment="1" applyProtection="1">
      <alignment horizontal="center" vertical="top" wrapText="1"/>
      <protection hidden="1"/>
    </xf>
    <xf numFmtId="1" fontId="50" fillId="0" borderId="0" xfId="0" applyNumberFormat="1" applyFont="1" applyAlignment="1" applyProtection="1">
      <alignment wrapText="1"/>
      <protection hidden="1"/>
    </xf>
    <xf numFmtId="1" fontId="50" fillId="0" borderId="29" xfId="0" applyNumberFormat="1" applyFont="1" applyBorder="1" applyAlignment="1" applyProtection="1">
      <alignment wrapText="1"/>
      <protection hidden="1"/>
    </xf>
    <xf numFmtId="1" fontId="248" fillId="26" borderId="22" xfId="0" applyNumberFormat="1" applyFont="1" applyFill="1" applyBorder="1" applyAlignment="1" applyProtection="1">
      <alignment vertical="center" wrapText="1" readingOrder="1"/>
      <protection hidden="1"/>
    </xf>
    <xf numFmtId="1" fontId="248" fillId="26" borderId="21" xfId="0" applyNumberFormat="1" applyFont="1" applyFill="1" applyBorder="1" applyAlignment="1" applyProtection="1">
      <alignment vertical="center" wrapText="1" readingOrder="1"/>
      <protection hidden="1"/>
    </xf>
    <xf numFmtId="1" fontId="248" fillId="64" borderId="22" xfId="0" applyNumberFormat="1" applyFont="1" applyFill="1" applyBorder="1" applyAlignment="1" applyProtection="1">
      <alignment vertical="center" wrapText="1" readingOrder="1"/>
      <protection hidden="1"/>
    </xf>
    <xf numFmtId="1" fontId="248" fillId="64" borderId="21" xfId="0" applyNumberFormat="1" applyFont="1" applyFill="1" applyBorder="1" applyAlignment="1" applyProtection="1">
      <alignment vertical="center" wrapText="1" readingOrder="1"/>
      <protection hidden="1"/>
    </xf>
    <xf numFmtId="1" fontId="243" fillId="24" borderId="9" xfId="0" applyNumberFormat="1" applyFont="1" applyFill="1" applyBorder="1" applyAlignment="1" applyProtection="1">
      <alignment horizontal="right" vertical="center" wrapText="1" readingOrder="1"/>
      <protection hidden="1"/>
    </xf>
    <xf numFmtId="2" fontId="243" fillId="24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245" fillId="33" borderId="3" xfId="0" applyNumberFormat="1" applyFont="1" applyFill="1" applyBorder="1" applyAlignment="1" applyProtection="1">
      <alignment vertical="center" wrapText="1" readingOrder="1"/>
      <protection hidden="1"/>
    </xf>
    <xf numFmtId="1" fontId="245" fillId="33" borderId="44" xfId="0" applyNumberFormat="1" applyFont="1" applyFill="1" applyBorder="1" applyAlignment="1" applyProtection="1">
      <alignment vertical="center" wrapText="1" readingOrder="1"/>
      <protection hidden="1"/>
    </xf>
    <xf numFmtId="0" fontId="251" fillId="27" borderId="34" xfId="0" applyFont="1" applyFill="1" applyBorder="1" applyAlignment="1" applyProtection="1">
      <alignment horizontal="center" vertical="center" wrapText="1"/>
      <protection hidden="1"/>
    </xf>
    <xf numFmtId="0" fontId="251" fillId="27" borderId="0" xfId="0" applyFont="1" applyFill="1" applyAlignment="1" applyProtection="1">
      <alignment horizontal="center" vertical="center" wrapText="1"/>
      <protection hidden="1"/>
    </xf>
    <xf numFmtId="0" fontId="243" fillId="27" borderId="0" xfId="0" applyFont="1" applyFill="1" applyAlignment="1" applyProtection="1">
      <alignment horizontal="center" vertical="center" wrapText="1" readingOrder="1"/>
      <protection hidden="1"/>
    </xf>
    <xf numFmtId="1" fontId="245" fillId="27" borderId="0" xfId="0" applyNumberFormat="1" applyFont="1" applyFill="1" applyAlignment="1" applyProtection="1">
      <alignment vertical="center" wrapText="1" readingOrder="1"/>
      <protection hidden="1"/>
    </xf>
    <xf numFmtId="2" fontId="50" fillId="27" borderId="0" xfId="0" applyNumberFormat="1" applyFont="1" applyFill="1" applyAlignment="1" applyProtection="1">
      <alignment horizontal="center" wrapText="1"/>
      <protection hidden="1"/>
    </xf>
    <xf numFmtId="1" fontId="50" fillId="27" borderId="29" xfId="0" applyNumberFormat="1" applyFont="1" applyFill="1" applyBorder="1" applyAlignment="1" applyProtection="1">
      <alignment horizontal="center" wrapText="1"/>
      <protection hidden="1"/>
    </xf>
    <xf numFmtId="0" fontId="50" fillId="27" borderId="65" xfId="0" applyFont="1" applyFill="1" applyBorder="1" applyAlignment="1" applyProtection="1">
      <alignment wrapText="1"/>
      <protection hidden="1"/>
    </xf>
    <xf numFmtId="0" fontId="246" fillId="27" borderId="31" xfId="0" applyFont="1" applyFill="1" applyBorder="1" applyAlignment="1" applyProtection="1">
      <alignment horizontal="center" vertical="top" wrapText="1"/>
      <protection hidden="1"/>
    </xf>
    <xf numFmtId="2" fontId="246" fillId="27" borderId="31" xfId="0" applyNumberFormat="1" applyFont="1" applyFill="1" applyBorder="1" applyAlignment="1" applyProtection="1">
      <alignment horizontal="center" vertical="top" wrapText="1"/>
      <protection hidden="1"/>
    </xf>
    <xf numFmtId="0" fontId="50" fillId="27" borderId="28" xfId="0" applyFont="1" applyFill="1" applyBorder="1" applyAlignment="1" applyProtection="1">
      <alignment wrapText="1"/>
      <protection hidden="1"/>
    </xf>
    <xf numFmtId="0" fontId="246" fillId="27" borderId="9" xfId="0" applyFont="1" applyFill="1" applyBorder="1" applyAlignment="1" applyProtection="1">
      <alignment horizontal="center" vertical="top" wrapText="1"/>
      <protection hidden="1"/>
    </xf>
    <xf numFmtId="1" fontId="243" fillId="25" borderId="28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11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76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67" xfId="0" applyNumberFormat="1" applyFont="1" applyFill="1" applyBorder="1" applyAlignment="1" applyProtection="1">
      <alignment horizontal="right" vertical="center" wrapText="1" readingOrder="1"/>
      <protection hidden="1"/>
    </xf>
    <xf numFmtId="2" fontId="243" fillId="25" borderId="67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67" xfId="0" applyNumberFormat="1" applyFont="1" applyFill="1" applyBorder="1" applyAlignment="1" applyProtection="1">
      <alignment horizontal="center" vertical="center" wrapText="1"/>
      <protection hidden="1"/>
    </xf>
    <xf numFmtId="1" fontId="243" fillId="25" borderId="23" xfId="0" applyNumberFormat="1" applyFont="1" applyFill="1" applyBorder="1" applyAlignment="1" applyProtection="1">
      <alignment horizontal="center" vertical="center" wrapText="1"/>
      <protection hidden="1"/>
    </xf>
    <xf numFmtId="0" fontId="243" fillId="27" borderId="0" xfId="0" applyFont="1" applyFill="1" applyAlignment="1" applyProtection="1">
      <alignment vertical="center" wrapText="1" readingOrder="1"/>
      <protection hidden="1"/>
    </xf>
    <xf numFmtId="1" fontId="50" fillId="0" borderId="36" xfId="0" applyNumberFormat="1" applyFont="1" applyBorder="1" applyAlignment="1" applyProtection="1">
      <alignment wrapText="1"/>
      <protection hidden="1"/>
    </xf>
    <xf numFmtId="2" fontId="50" fillId="0" borderId="36" xfId="0" applyNumberFormat="1" applyFont="1" applyBorder="1" applyAlignment="1" applyProtection="1">
      <alignment wrapText="1"/>
      <protection hidden="1"/>
    </xf>
    <xf numFmtId="1" fontId="50" fillId="0" borderId="36" xfId="0" applyNumberFormat="1" applyFont="1" applyBorder="1" applyAlignment="1" applyProtection="1">
      <alignment horizontal="center" wrapText="1"/>
      <protection hidden="1"/>
    </xf>
    <xf numFmtId="1" fontId="50" fillId="0" borderId="37" xfId="0" applyNumberFormat="1" applyFont="1" applyBorder="1" applyAlignment="1" applyProtection="1">
      <alignment horizontal="center" wrapText="1"/>
      <protection hidden="1"/>
    </xf>
    <xf numFmtId="0" fontId="243" fillId="27" borderId="39" xfId="0" applyFont="1" applyFill="1" applyBorder="1" applyAlignment="1" applyProtection="1">
      <alignment vertical="center" wrapText="1" readingOrder="1"/>
      <protection hidden="1"/>
    </xf>
    <xf numFmtId="1" fontId="246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246" fillId="25" borderId="30" xfId="0" applyNumberFormat="1" applyFont="1" applyFill="1" applyBorder="1" applyAlignment="1" applyProtection="1">
      <alignment horizontal="center" vertical="top" wrapText="1"/>
      <protection hidden="1"/>
    </xf>
    <xf numFmtId="1" fontId="246" fillId="25" borderId="32" xfId="0" applyNumberFormat="1" applyFont="1" applyFill="1" applyBorder="1" applyAlignment="1" applyProtection="1">
      <alignment horizontal="center" vertical="top" wrapText="1"/>
      <protection hidden="1"/>
    </xf>
    <xf numFmtId="1" fontId="213" fillId="0" borderId="0" xfId="0" applyNumberFormat="1" applyFont="1" applyAlignment="1" applyProtection="1">
      <alignment wrapText="1"/>
      <protection hidden="1"/>
    </xf>
    <xf numFmtId="2" fontId="213" fillId="0" borderId="0" xfId="0" applyNumberFormat="1" applyFont="1" applyAlignment="1" applyProtection="1">
      <alignment wrapText="1"/>
      <protection hidden="1"/>
    </xf>
    <xf numFmtId="1" fontId="50" fillId="0" borderId="0" xfId="0" applyNumberFormat="1" applyFont="1" applyAlignment="1" applyProtection="1">
      <alignment horizontal="center" wrapText="1"/>
      <protection hidden="1"/>
    </xf>
    <xf numFmtId="1" fontId="50" fillId="0" borderId="29" xfId="0" applyNumberFormat="1" applyFont="1" applyBorder="1" applyAlignment="1" applyProtection="1">
      <alignment horizontal="center" wrapText="1"/>
      <protection hidden="1"/>
    </xf>
    <xf numFmtId="0" fontId="245" fillId="27" borderId="34" xfId="0" applyFont="1" applyFill="1" applyBorder="1" applyAlignment="1" applyProtection="1">
      <alignment horizontal="center" vertical="center" wrapText="1"/>
      <protection hidden="1"/>
    </xf>
    <xf numFmtId="0" fontId="245" fillId="27" borderId="0" xfId="0" applyFont="1" applyFill="1" applyAlignment="1" applyProtection="1">
      <alignment horizontal="center" vertical="center" wrapText="1"/>
      <protection hidden="1"/>
    </xf>
    <xf numFmtId="1" fontId="246" fillId="27" borderId="0" xfId="0" applyNumberFormat="1" applyFont="1" applyFill="1" applyAlignment="1" applyProtection="1">
      <alignment horizontal="center" vertical="top" wrapText="1"/>
      <protection hidden="1"/>
    </xf>
    <xf numFmtId="2" fontId="50" fillId="0" borderId="0" xfId="0" applyNumberFormat="1" applyFont="1" applyAlignment="1" applyProtection="1">
      <alignment wrapText="1"/>
      <protection hidden="1"/>
    </xf>
    <xf numFmtId="0" fontId="252" fillId="27" borderId="0" xfId="0" applyFont="1" applyFill="1" applyAlignment="1" applyProtection="1">
      <alignment horizontal="center" vertical="top" wrapText="1"/>
      <protection hidden="1"/>
    </xf>
    <xf numFmtId="2" fontId="252" fillId="27" borderId="0" xfId="0" applyNumberFormat="1" applyFont="1" applyFill="1" applyAlignment="1" applyProtection="1">
      <alignment horizontal="center" vertical="top" wrapText="1"/>
      <protection hidden="1"/>
    </xf>
    <xf numFmtId="0" fontId="252" fillId="27" borderId="29" xfId="0" applyFont="1" applyFill="1" applyBorder="1" applyAlignment="1" applyProtection="1">
      <alignment horizontal="center" vertical="top" wrapText="1"/>
      <protection hidden="1"/>
    </xf>
    <xf numFmtId="0" fontId="245" fillId="0" borderId="26" xfId="0" applyFont="1" applyBorder="1" applyAlignment="1" applyProtection="1">
      <alignment horizontal="center" vertical="center" wrapText="1"/>
      <protection hidden="1"/>
    </xf>
    <xf numFmtId="0" fontId="50" fillId="27" borderId="7" xfId="0" applyFont="1" applyFill="1" applyBorder="1" applyAlignment="1" applyProtection="1">
      <alignment horizontal="center" wrapText="1"/>
      <protection hidden="1"/>
    </xf>
    <xf numFmtId="0" fontId="245" fillId="0" borderId="7" xfId="0" applyFont="1" applyBorder="1" applyAlignment="1" applyProtection="1">
      <alignment horizontal="center" vertical="center" wrapText="1"/>
      <protection hidden="1"/>
    </xf>
    <xf numFmtId="0" fontId="243" fillId="0" borderId="29" xfId="0" applyFont="1" applyBorder="1" applyAlignment="1" applyProtection="1">
      <alignment vertical="center" wrapText="1" readingOrder="1"/>
      <protection hidden="1"/>
    </xf>
    <xf numFmtId="0" fontId="246" fillId="27" borderId="7" xfId="0" applyFont="1" applyFill="1" applyBorder="1" applyAlignment="1" applyProtection="1">
      <alignment horizontal="center" vertical="top" wrapText="1"/>
      <protection hidden="1"/>
    </xf>
    <xf numFmtId="2" fontId="246" fillId="27" borderId="7" xfId="0" applyNumberFormat="1" applyFont="1" applyFill="1" applyBorder="1" applyAlignment="1" applyProtection="1">
      <alignment horizontal="center" vertical="top" wrapText="1"/>
      <protection hidden="1"/>
    </xf>
    <xf numFmtId="0" fontId="245" fillId="0" borderId="0" xfId="0" applyFont="1" applyAlignment="1" applyProtection="1">
      <alignment horizontal="center" vertical="center" wrapText="1"/>
      <protection hidden="1"/>
    </xf>
    <xf numFmtId="0" fontId="245" fillId="0" borderId="28" xfId="0" applyFont="1" applyBorder="1" applyAlignment="1" applyProtection="1">
      <alignment horizontal="center" vertical="center" wrapText="1"/>
      <protection hidden="1"/>
    </xf>
    <xf numFmtId="1" fontId="245" fillId="24" borderId="1" xfId="0" applyNumberFormat="1" applyFont="1" applyFill="1" applyBorder="1" applyAlignment="1" applyProtection="1">
      <alignment horizontal="right" vertical="center" wrapText="1"/>
      <protection hidden="1"/>
    </xf>
    <xf numFmtId="0" fontId="243" fillId="0" borderId="29" xfId="0" applyFont="1" applyBorder="1" applyAlignment="1" applyProtection="1">
      <alignment horizontal="right" vertical="center" wrapText="1" readingOrder="1"/>
      <protection hidden="1"/>
    </xf>
    <xf numFmtId="1" fontId="245" fillId="24" borderId="28" xfId="0" applyNumberFormat="1" applyFont="1" applyFill="1" applyBorder="1" applyAlignment="1" applyProtection="1">
      <alignment horizontal="right" vertical="center" wrapText="1"/>
      <protection hidden="1"/>
    </xf>
    <xf numFmtId="1" fontId="245" fillId="24" borderId="11" xfId="0" applyNumberFormat="1" applyFont="1" applyFill="1" applyBorder="1" applyAlignment="1" applyProtection="1">
      <alignment horizontal="right" vertical="center" wrapText="1"/>
      <protection hidden="1"/>
    </xf>
    <xf numFmtId="2" fontId="245" fillId="24" borderId="11" xfId="0" applyNumberFormat="1" applyFont="1" applyFill="1" applyBorder="1" applyAlignment="1" applyProtection="1">
      <alignment horizontal="right" vertical="center" wrapText="1"/>
      <protection hidden="1"/>
    </xf>
    <xf numFmtId="1" fontId="213" fillId="27" borderId="0" xfId="0" applyNumberFormat="1" applyFont="1" applyFill="1" applyAlignment="1" applyProtection="1">
      <alignment wrapText="1"/>
      <protection hidden="1"/>
    </xf>
    <xf numFmtId="2" fontId="213" fillId="27" borderId="0" xfId="0" applyNumberFormat="1" applyFont="1" applyFill="1" applyAlignment="1" applyProtection="1">
      <alignment wrapText="1"/>
      <protection hidden="1"/>
    </xf>
    <xf numFmtId="0" fontId="245" fillId="0" borderId="29" xfId="0" applyFont="1" applyBorder="1" applyAlignment="1" applyProtection="1">
      <alignment horizontal="center" vertical="center" wrapText="1"/>
      <protection hidden="1"/>
    </xf>
    <xf numFmtId="0" fontId="245" fillId="0" borderId="0" xfId="0" applyFont="1" applyAlignment="1" applyProtection="1">
      <alignment vertical="center" wrapText="1"/>
      <protection hidden="1"/>
    </xf>
    <xf numFmtId="2" fontId="245" fillId="24" borderId="1" xfId="0" applyNumberFormat="1" applyFont="1" applyFill="1" applyBorder="1" applyAlignment="1" applyProtection="1">
      <alignment horizontal="right" vertical="center" wrapText="1"/>
      <protection hidden="1"/>
    </xf>
    <xf numFmtId="0" fontId="245" fillId="0" borderId="29" xfId="0" applyFont="1" applyBorder="1" applyAlignment="1" applyProtection="1">
      <alignment vertical="center" wrapText="1"/>
      <protection hidden="1"/>
    </xf>
    <xf numFmtId="2" fontId="246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246" fillId="25" borderId="23" xfId="0" applyNumberFormat="1" applyFont="1" applyFill="1" applyBorder="1" applyAlignment="1" applyProtection="1">
      <alignment horizontal="center" vertical="top" wrapText="1"/>
      <protection hidden="1"/>
    </xf>
    <xf numFmtId="0" fontId="245" fillId="0" borderId="65" xfId="0" applyFont="1" applyBorder="1" applyAlignment="1" applyProtection="1">
      <alignment horizontal="center" vertical="center" wrapText="1"/>
      <protection hidden="1"/>
    </xf>
    <xf numFmtId="0" fontId="50" fillId="27" borderId="31" xfId="0" applyFont="1" applyFill="1" applyBorder="1" applyAlignment="1" applyProtection="1">
      <alignment horizontal="center" wrapText="1"/>
      <protection hidden="1"/>
    </xf>
    <xf numFmtId="0" fontId="245" fillId="0" borderId="31" xfId="0" applyFont="1" applyBorder="1" applyAlignment="1" applyProtection="1">
      <alignment horizontal="center" vertical="center" wrapText="1"/>
      <protection hidden="1"/>
    </xf>
    <xf numFmtId="0" fontId="243" fillId="0" borderId="37" xfId="0" applyFont="1" applyBorder="1" applyAlignment="1" applyProtection="1">
      <alignment vertical="center" wrapText="1" readingOrder="1"/>
      <protection hidden="1"/>
    </xf>
    <xf numFmtId="1" fontId="246" fillId="25" borderId="11" xfId="0" applyNumberFormat="1" applyFont="1" applyFill="1" applyBorder="1" applyAlignment="1" applyProtection="1">
      <alignment horizontal="center" vertical="top" wrapText="1"/>
      <protection hidden="1"/>
    </xf>
    <xf numFmtId="1" fontId="246" fillId="27" borderId="11" xfId="0" applyNumberFormat="1" applyFont="1" applyFill="1" applyBorder="1" applyAlignment="1" applyProtection="1">
      <alignment horizontal="center" vertical="top" wrapText="1"/>
      <protection hidden="1"/>
    </xf>
    <xf numFmtId="1" fontId="50" fillId="27" borderId="0" xfId="0" applyNumberFormat="1" applyFont="1" applyFill="1" applyAlignment="1" applyProtection="1">
      <alignment wrapText="1"/>
      <protection hidden="1"/>
    </xf>
    <xf numFmtId="2" fontId="50" fillId="27" borderId="0" xfId="0" applyNumberFormat="1" applyFont="1" applyFill="1" applyAlignment="1" applyProtection="1">
      <alignment wrapText="1"/>
      <protection hidden="1"/>
    </xf>
    <xf numFmtId="1" fontId="245" fillId="24" borderId="33" xfId="0" applyNumberFormat="1" applyFont="1" applyFill="1" applyBorder="1" applyAlignment="1" applyProtection="1">
      <alignment horizontal="right" vertical="center" wrapText="1"/>
      <protection hidden="1"/>
    </xf>
    <xf numFmtId="2" fontId="245" fillId="24" borderId="33" xfId="0" applyNumberFormat="1" applyFont="1" applyFill="1" applyBorder="1" applyAlignment="1" applyProtection="1">
      <alignment horizontal="right" vertical="center" wrapText="1"/>
      <protection hidden="1"/>
    </xf>
    <xf numFmtId="1" fontId="243" fillId="25" borderId="33" xfId="0" applyNumberFormat="1" applyFont="1" applyFill="1" applyBorder="1" applyAlignment="1" applyProtection="1">
      <alignment horizontal="center" vertical="center" wrapText="1"/>
      <protection hidden="1"/>
    </xf>
    <xf numFmtId="1" fontId="243" fillId="25" borderId="74" xfId="0" applyNumberFormat="1" applyFont="1" applyFill="1" applyBorder="1" applyAlignment="1" applyProtection="1">
      <alignment horizontal="center" vertical="center" wrapText="1"/>
      <protection hidden="1"/>
    </xf>
    <xf numFmtId="1" fontId="245" fillId="27" borderId="0" xfId="0" applyNumberFormat="1" applyFont="1" applyFill="1" applyAlignment="1" applyProtection="1">
      <alignment horizontal="right" vertical="center" wrapText="1"/>
      <protection hidden="1"/>
    </xf>
    <xf numFmtId="2" fontId="245" fillId="27" borderId="0" xfId="0" applyNumberFormat="1" applyFont="1" applyFill="1" applyAlignment="1" applyProtection="1">
      <alignment horizontal="right" vertical="center" wrapText="1"/>
      <protection hidden="1"/>
    </xf>
    <xf numFmtId="1" fontId="243" fillId="27" borderId="0" xfId="0" applyNumberFormat="1" applyFont="1" applyFill="1" applyAlignment="1" applyProtection="1">
      <alignment horizontal="center" vertical="center" wrapText="1"/>
      <protection hidden="1"/>
    </xf>
    <xf numFmtId="1" fontId="243" fillId="27" borderId="29" xfId="0" applyNumberFormat="1" applyFont="1" applyFill="1" applyBorder="1" applyAlignment="1" applyProtection="1">
      <alignment horizontal="center" vertical="center" wrapText="1"/>
      <protection hidden="1"/>
    </xf>
    <xf numFmtId="1" fontId="245" fillId="27" borderId="39" xfId="0" applyNumberFormat="1" applyFont="1" applyFill="1" applyBorder="1" applyAlignment="1" applyProtection="1">
      <alignment horizontal="right" vertical="center" wrapText="1"/>
      <protection hidden="1"/>
    </xf>
    <xf numFmtId="2" fontId="245" fillId="27" borderId="39" xfId="0" applyNumberFormat="1" applyFont="1" applyFill="1" applyBorder="1" applyAlignment="1" applyProtection="1">
      <alignment horizontal="right" vertical="center" wrapText="1"/>
      <protection hidden="1"/>
    </xf>
    <xf numFmtId="1" fontId="243" fillId="27" borderId="39" xfId="0" applyNumberFormat="1" applyFont="1" applyFill="1" applyBorder="1" applyAlignment="1" applyProtection="1">
      <alignment horizontal="center" vertical="center" wrapText="1"/>
      <protection hidden="1"/>
    </xf>
    <xf numFmtId="1" fontId="243" fillId="27" borderId="40" xfId="0" applyNumberFormat="1" applyFont="1" applyFill="1" applyBorder="1" applyAlignment="1" applyProtection="1">
      <alignment horizontal="center" vertical="center" wrapText="1"/>
      <protection hidden="1"/>
    </xf>
    <xf numFmtId="0" fontId="82" fillId="27" borderId="34" xfId="0" applyFont="1" applyFill="1" applyBorder="1" applyAlignment="1" applyProtection="1">
      <alignment horizontal="center"/>
      <protection hidden="1"/>
    </xf>
    <xf numFmtId="0" fontId="82" fillId="27" borderId="0" xfId="0" applyFont="1" applyFill="1" applyAlignment="1" applyProtection="1">
      <alignment horizontal="center"/>
      <protection hidden="1"/>
    </xf>
    <xf numFmtId="1" fontId="246" fillId="24" borderId="30" xfId="0" applyNumberFormat="1" applyFont="1" applyFill="1" applyBorder="1" applyAlignment="1" applyProtection="1">
      <alignment horizontal="center" vertical="top" wrapText="1"/>
      <protection hidden="1"/>
    </xf>
    <xf numFmtId="1" fontId="246" fillId="24" borderId="32" xfId="0" applyNumberFormat="1" applyFont="1" applyFill="1" applyBorder="1" applyAlignment="1" applyProtection="1">
      <alignment horizontal="center" vertical="top" wrapText="1"/>
      <protection hidden="1"/>
    </xf>
    <xf numFmtId="1" fontId="246" fillId="27" borderId="4" xfId="0" applyNumberFormat="1" applyFont="1" applyFill="1" applyBorder="1" applyAlignment="1" applyProtection="1">
      <alignment horizontal="center" vertical="top" wrapText="1"/>
      <protection hidden="1"/>
    </xf>
    <xf numFmtId="1" fontId="245" fillId="25" borderId="11" xfId="0" applyNumberFormat="1" applyFont="1" applyFill="1" applyBorder="1" applyAlignment="1" applyProtection="1">
      <alignment horizontal="right" vertical="center" wrapText="1"/>
      <protection hidden="1"/>
    </xf>
    <xf numFmtId="2" fontId="245" fillId="25" borderId="11" xfId="0" applyNumberFormat="1" applyFont="1" applyFill="1" applyBorder="1" applyAlignment="1" applyProtection="1">
      <alignment horizontal="right" vertical="center" wrapText="1"/>
      <protection hidden="1"/>
    </xf>
    <xf numFmtId="1" fontId="245" fillId="25" borderId="11" xfId="0" applyNumberFormat="1" applyFont="1" applyFill="1" applyBorder="1" applyAlignment="1" applyProtection="1">
      <alignment horizontal="center" vertical="center" wrapText="1"/>
      <protection hidden="1"/>
    </xf>
    <xf numFmtId="1" fontId="245" fillId="25" borderId="76" xfId="0" applyNumberFormat="1" applyFont="1" applyFill="1" applyBorder="1" applyAlignment="1" applyProtection="1">
      <alignment horizontal="center" vertical="center" wrapText="1"/>
      <protection hidden="1"/>
    </xf>
    <xf numFmtId="1" fontId="255" fillId="27" borderId="62" xfId="0" applyNumberFormat="1" applyFont="1" applyFill="1" applyBorder="1" applyAlignment="1" applyProtection="1">
      <alignment horizontal="center" wrapText="1"/>
      <protection hidden="1"/>
    </xf>
    <xf numFmtId="1" fontId="255" fillId="27" borderId="18" xfId="0" applyNumberFormat="1" applyFont="1" applyFill="1" applyBorder="1" applyAlignment="1" applyProtection="1">
      <alignment horizontal="center" wrapText="1"/>
      <protection hidden="1"/>
    </xf>
    <xf numFmtId="1" fontId="255" fillId="27" borderId="19" xfId="0" applyNumberFormat="1" applyFont="1" applyFill="1" applyBorder="1" applyAlignment="1" applyProtection="1">
      <alignment horizontal="center" wrapText="1"/>
      <protection hidden="1"/>
    </xf>
    <xf numFmtId="1" fontId="243" fillId="25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62" xfId="0" applyNumberFormat="1" applyFont="1" applyFill="1" applyBorder="1" applyAlignment="1" applyProtection="1">
      <alignment horizontal="right" vertical="center" wrapText="1" readingOrder="1"/>
      <protection hidden="1"/>
    </xf>
    <xf numFmtId="1" fontId="122" fillId="0" borderId="0" xfId="0" applyNumberFormat="1" applyFont="1" applyAlignment="1" applyProtection="1">
      <alignment horizontal="center" wrapText="1"/>
      <protection hidden="1"/>
    </xf>
    <xf numFmtId="0" fontId="246" fillId="27" borderId="34" xfId="0" applyFont="1" applyFill="1" applyBorder="1" applyAlignment="1" applyProtection="1">
      <alignment horizontal="center" vertical="center" wrapText="1"/>
      <protection hidden="1"/>
    </xf>
    <xf numFmtId="0" fontId="246" fillId="27" borderId="0" xfId="0" applyFont="1" applyFill="1" applyAlignment="1" applyProtection="1">
      <alignment horizontal="center" vertical="center" wrapText="1"/>
      <protection hidden="1"/>
    </xf>
    <xf numFmtId="1" fontId="243" fillId="27" borderId="0" xfId="0" applyNumberFormat="1" applyFont="1" applyFill="1" applyAlignment="1" applyProtection="1">
      <alignment horizontal="right" vertical="center" wrapText="1" readingOrder="1"/>
      <protection hidden="1"/>
    </xf>
    <xf numFmtId="1" fontId="122" fillId="27" borderId="0" xfId="0" applyNumberFormat="1" applyFont="1" applyFill="1" applyAlignment="1" applyProtection="1">
      <alignment horizontal="center" wrapText="1"/>
      <protection hidden="1"/>
    </xf>
    <xf numFmtId="0" fontId="246" fillId="0" borderId="0" xfId="0" applyFont="1" applyAlignment="1" applyProtection="1">
      <alignment horizontal="center" vertical="top" wrapText="1"/>
      <protection hidden="1"/>
    </xf>
    <xf numFmtId="0" fontId="82" fillId="27" borderId="34" xfId="0" applyFont="1" applyFill="1" applyBorder="1" applyAlignment="1" applyProtection="1">
      <alignment horizontal="center" vertical="center" wrapText="1"/>
      <protection hidden="1"/>
    </xf>
    <xf numFmtId="0" fontId="82" fillId="27" borderId="0" xfId="0" applyFont="1" applyFill="1" applyAlignment="1" applyProtection="1">
      <alignment horizontal="center" vertical="center" wrapText="1"/>
      <protection hidden="1"/>
    </xf>
    <xf numFmtId="1" fontId="122" fillId="27" borderId="69" xfId="0" applyNumberFormat="1" applyFont="1" applyFill="1" applyBorder="1" applyAlignment="1" applyProtection="1">
      <alignment horizontal="center" wrapText="1"/>
      <protection hidden="1"/>
    </xf>
    <xf numFmtId="1" fontId="122" fillId="27" borderId="46" xfId="0" applyNumberFormat="1" applyFont="1" applyFill="1" applyBorder="1" applyAlignment="1" applyProtection="1">
      <alignment horizontal="center" wrapText="1"/>
      <protection hidden="1"/>
    </xf>
    <xf numFmtId="0" fontId="246" fillId="0" borderId="38" xfId="0" applyFont="1" applyBorder="1" applyAlignment="1" applyProtection="1">
      <alignment vertical="center" wrapText="1"/>
      <protection hidden="1"/>
    </xf>
    <xf numFmtId="0" fontId="247" fillId="0" borderId="39" xfId="0" applyFont="1" applyBorder="1" applyAlignment="1" applyProtection="1">
      <alignment vertical="center" wrapText="1"/>
      <protection hidden="1"/>
    </xf>
    <xf numFmtId="0" fontId="250" fillId="0" borderId="39" xfId="0" applyFont="1" applyBorder="1" applyAlignment="1" applyProtection="1">
      <alignment vertical="center" wrapText="1"/>
      <protection hidden="1"/>
    </xf>
    <xf numFmtId="0" fontId="122" fillId="0" borderId="39" xfId="0" applyFont="1" applyBorder="1" applyAlignment="1" applyProtection="1">
      <alignment wrapText="1"/>
      <protection hidden="1"/>
    </xf>
    <xf numFmtId="1" fontId="122" fillId="0" borderId="39" xfId="0" applyNumberFormat="1" applyFont="1" applyBorder="1" applyAlignment="1" applyProtection="1">
      <alignment horizontal="center" wrapText="1"/>
      <protection hidden="1"/>
    </xf>
    <xf numFmtId="0" fontId="122" fillId="0" borderId="39" xfId="0" applyFont="1" applyBorder="1" applyProtection="1">
      <protection hidden="1"/>
    </xf>
    <xf numFmtId="2" fontId="122" fillId="0" borderId="39" xfId="0" applyNumberFormat="1" applyFont="1" applyBorder="1" applyProtection="1">
      <protection hidden="1"/>
    </xf>
    <xf numFmtId="0" fontId="122" fillId="0" borderId="39" xfId="0" applyFont="1" applyBorder="1" applyAlignment="1" applyProtection="1">
      <alignment horizontal="center"/>
      <protection hidden="1"/>
    </xf>
    <xf numFmtId="0" fontId="122" fillId="0" borderId="40" xfId="0" applyFont="1" applyBorder="1" applyAlignment="1" applyProtection="1">
      <alignment horizontal="center"/>
      <protection hidden="1"/>
    </xf>
    <xf numFmtId="0" fontId="256" fillId="0" borderId="0" xfId="0" applyFont="1" applyAlignment="1" applyProtection="1">
      <alignment vertical="top" wrapText="1"/>
      <protection hidden="1"/>
    </xf>
    <xf numFmtId="49" fontId="247" fillId="0" borderId="0" xfId="0" applyNumberFormat="1" applyFont="1" applyAlignment="1" applyProtection="1">
      <alignment vertical="top" wrapText="1"/>
      <protection hidden="1"/>
    </xf>
    <xf numFmtId="2" fontId="247" fillId="0" borderId="0" xfId="0" applyNumberFormat="1" applyFont="1" applyAlignment="1" applyProtection="1">
      <alignment vertical="top" wrapText="1"/>
      <protection hidden="1"/>
    </xf>
    <xf numFmtId="17" fontId="247" fillId="0" borderId="0" xfId="0" applyNumberFormat="1" applyFont="1" applyAlignment="1" applyProtection="1">
      <alignment vertical="top" wrapText="1"/>
      <protection hidden="1"/>
    </xf>
    <xf numFmtId="0" fontId="122" fillId="0" borderId="0" xfId="0" applyFont="1" applyAlignment="1" applyProtection="1">
      <alignment vertical="top" wrapText="1"/>
      <protection hidden="1"/>
    </xf>
    <xf numFmtId="0" fontId="122" fillId="0" borderId="0" xfId="0" applyFont="1" applyAlignment="1" applyProtection="1">
      <alignment wrapText="1"/>
      <protection hidden="1"/>
    </xf>
    <xf numFmtId="0" fontId="256" fillId="0" borderId="0" xfId="0" applyFont="1" applyAlignment="1" applyProtection="1">
      <alignment wrapText="1"/>
      <protection hidden="1"/>
    </xf>
    <xf numFmtId="2" fontId="246" fillId="0" borderId="1" xfId="0" applyNumberFormat="1" applyFont="1" applyBorder="1" applyAlignment="1" applyProtection="1">
      <alignment horizontal="center" vertical="top" wrapText="1"/>
      <protection hidden="1"/>
    </xf>
    <xf numFmtId="0" fontId="257" fillId="0" borderId="0" xfId="0" applyFont="1" applyAlignment="1" applyProtection="1">
      <alignment wrapText="1"/>
      <protection hidden="1"/>
    </xf>
    <xf numFmtId="0" fontId="246" fillId="0" borderId="33" xfId="0" applyFont="1" applyBorder="1" applyAlignment="1" applyProtection="1">
      <alignment horizontal="center" vertical="top" wrapText="1"/>
      <protection hidden="1"/>
    </xf>
    <xf numFmtId="2" fontId="246" fillId="0" borderId="33" xfId="0" applyNumberFormat="1" applyFont="1" applyBorder="1" applyAlignment="1" applyProtection="1">
      <alignment horizontal="center" vertical="top" wrapText="1"/>
      <protection hidden="1"/>
    </xf>
    <xf numFmtId="0" fontId="246" fillId="0" borderId="60" xfId="0" applyFont="1" applyBorder="1" applyAlignment="1" applyProtection="1">
      <alignment horizontal="center" vertical="top" wrapText="1"/>
      <protection hidden="1"/>
    </xf>
    <xf numFmtId="1" fontId="243" fillId="0" borderId="77" xfId="0" applyNumberFormat="1" applyFont="1" applyBorder="1" applyAlignment="1" applyProtection="1">
      <alignment horizontal="center" vertical="center" wrapText="1" readingOrder="1"/>
      <protection hidden="1"/>
    </xf>
    <xf numFmtId="2" fontId="122" fillId="0" borderId="36" xfId="0" applyNumberFormat="1" applyFont="1" applyBorder="1" applyAlignment="1" applyProtection="1">
      <alignment horizontal="center"/>
      <protection hidden="1"/>
    </xf>
    <xf numFmtId="2" fontId="122" fillId="0" borderId="37" xfId="0" applyNumberFormat="1" applyFont="1" applyBorder="1" applyAlignment="1" applyProtection="1">
      <alignment horizontal="center"/>
      <protection hidden="1"/>
    </xf>
    <xf numFmtId="0" fontId="258" fillId="30" borderId="0" xfId="0" applyFont="1" applyFill="1" applyAlignment="1" applyProtection="1">
      <alignment horizontal="center" vertical="top" wrapText="1"/>
      <protection hidden="1"/>
    </xf>
    <xf numFmtId="1" fontId="243" fillId="0" borderId="0" xfId="0" applyNumberFormat="1" applyFont="1" applyAlignment="1" applyProtection="1">
      <alignment horizontal="center" vertical="center" wrapText="1" readingOrder="1"/>
      <protection hidden="1"/>
    </xf>
    <xf numFmtId="2" fontId="243" fillId="0" borderId="0" xfId="0" applyNumberFormat="1" applyFont="1" applyAlignment="1" applyProtection="1">
      <alignment horizontal="center" vertical="center" wrapText="1" readingOrder="1"/>
      <protection hidden="1"/>
    </xf>
    <xf numFmtId="0" fontId="50" fillId="30" borderId="0" xfId="0" applyFont="1" applyFill="1" applyAlignment="1" applyProtection="1">
      <alignment horizontal="center"/>
      <protection hidden="1"/>
    </xf>
    <xf numFmtId="0" fontId="82" fillId="23" borderId="1" xfId="0" applyFont="1" applyFill="1" applyBorder="1" applyAlignment="1" applyProtection="1">
      <alignment vertical="center" wrapText="1" readingOrder="1"/>
      <protection hidden="1"/>
    </xf>
    <xf numFmtId="1" fontId="243" fillId="0" borderId="36" xfId="0" applyNumberFormat="1" applyFont="1" applyBorder="1" applyAlignment="1" applyProtection="1">
      <alignment horizontal="center" vertical="center" wrapText="1" readingOrder="1"/>
      <protection hidden="1"/>
    </xf>
    <xf numFmtId="2" fontId="243" fillId="0" borderId="36" xfId="0" applyNumberFormat="1" applyFont="1" applyBorder="1" applyAlignment="1" applyProtection="1">
      <alignment horizontal="center" vertical="center" wrapText="1" readingOrder="1"/>
      <protection hidden="1"/>
    </xf>
    <xf numFmtId="1" fontId="243" fillId="0" borderId="39" xfId="0" applyNumberFormat="1" applyFont="1" applyBorder="1" applyAlignment="1" applyProtection="1">
      <alignment horizontal="center" vertical="center" wrapText="1" readingOrder="1"/>
      <protection hidden="1"/>
    </xf>
    <xf numFmtId="2" fontId="243" fillId="0" borderId="39" xfId="0" applyNumberFormat="1" applyFont="1" applyBorder="1" applyAlignment="1" applyProtection="1">
      <alignment horizontal="center" vertical="center" wrapText="1" readingOrder="1"/>
      <protection hidden="1"/>
    </xf>
    <xf numFmtId="2" fontId="50" fillId="30" borderId="0" xfId="0" applyNumberFormat="1" applyFont="1" applyFill="1" applyAlignment="1" applyProtection="1">
      <alignment horizontal="center"/>
      <protection hidden="1"/>
    </xf>
    <xf numFmtId="1" fontId="247" fillId="0" borderId="0" xfId="0" applyNumberFormat="1" applyFont="1" applyAlignment="1" applyProtection="1">
      <alignment vertical="top" wrapText="1"/>
      <protection hidden="1"/>
    </xf>
    <xf numFmtId="0" fontId="122" fillId="30" borderId="0" xfId="0" applyFont="1" applyFill="1" applyProtection="1">
      <protection hidden="1"/>
    </xf>
    <xf numFmtId="0" fontId="82" fillId="23" borderId="1" xfId="0" applyFont="1" applyFill="1" applyBorder="1" applyAlignment="1" applyProtection="1">
      <alignment horizontal="center" vertical="center" wrapText="1" readingOrder="1"/>
      <protection hidden="1"/>
    </xf>
    <xf numFmtId="168" fontId="122" fillId="30" borderId="0" xfId="0" applyNumberFormat="1" applyFont="1" applyFill="1" applyProtection="1">
      <protection hidden="1"/>
    </xf>
    <xf numFmtId="0" fontId="82" fillId="23" borderId="1" xfId="0" applyFont="1" applyFill="1" applyBorder="1" applyAlignment="1" applyProtection="1">
      <alignment vertical="center"/>
      <protection hidden="1"/>
    </xf>
    <xf numFmtId="0" fontId="180" fillId="43" borderId="94" xfId="0" applyFont="1" applyFill="1" applyBorder="1" applyAlignment="1">
      <alignment horizontal="center" vertical="top" wrapText="1"/>
    </xf>
    <xf numFmtId="1" fontId="3" fillId="46" borderId="94" xfId="0" applyNumberFormat="1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1" fontId="3" fillId="44" borderId="94" xfId="0" applyNumberFormat="1" applyFont="1" applyFill="1" applyBorder="1" applyAlignment="1">
      <alignment vertical="top"/>
    </xf>
    <xf numFmtId="1" fontId="3" fillId="45" borderId="94" xfId="0" applyNumberFormat="1" applyFont="1" applyFill="1" applyBorder="1" applyAlignment="1">
      <alignment vertical="top"/>
    </xf>
    <xf numFmtId="1" fontId="3" fillId="46" borderId="94" xfId="0" applyNumberFormat="1" applyFont="1" applyFill="1" applyBorder="1" applyAlignment="1">
      <alignment vertical="top"/>
    </xf>
    <xf numFmtId="0" fontId="3" fillId="44" borderId="94" xfId="0" applyFont="1" applyFill="1" applyBorder="1" applyAlignment="1">
      <alignment vertical="top"/>
    </xf>
    <xf numFmtId="0" fontId="3" fillId="45" borderId="94" xfId="0" applyFont="1" applyFill="1" applyBorder="1" applyAlignment="1">
      <alignment vertical="top"/>
    </xf>
    <xf numFmtId="0" fontId="3" fillId="47" borderId="94" xfId="0" applyFont="1" applyFill="1" applyBorder="1" applyAlignment="1">
      <alignment vertical="top"/>
    </xf>
    <xf numFmtId="0" fontId="3" fillId="49" borderId="94" xfId="0" applyFont="1" applyFill="1" applyBorder="1" applyAlignment="1">
      <alignment vertical="top"/>
    </xf>
    <xf numFmtId="0" fontId="3" fillId="46" borderId="94" xfId="0" applyFont="1" applyFill="1" applyBorder="1" applyAlignment="1">
      <alignment horizontal="center" vertical="top"/>
    </xf>
    <xf numFmtId="0" fontId="181" fillId="48" borderId="94" xfId="0" applyFont="1" applyFill="1" applyBorder="1" applyAlignment="1">
      <alignment horizontal="center" vertical="top"/>
    </xf>
    <xf numFmtId="1" fontId="3" fillId="0" borderId="0" xfId="0" applyNumberFormat="1" applyFont="1" applyAlignment="1">
      <alignment horizontal="center"/>
    </xf>
    <xf numFmtId="0" fontId="18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81" fillId="0" borderId="0" xfId="0" applyFont="1" applyAlignment="1">
      <alignment horizontal="center" vertical="top"/>
    </xf>
    <xf numFmtId="1" fontId="0" fillId="0" borderId="0" xfId="0" applyNumberFormat="1" applyAlignment="1">
      <alignment horizontal="left" vertical="top"/>
    </xf>
    <xf numFmtId="1" fontId="3" fillId="0" borderId="0" xfId="0" applyNumberFormat="1" applyFont="1" applyAlignment="1">
      <alignment horizontal="center" vertical="top"/>
    </xf>
    <xf numFmtId="1" fontId="0" fillId="44" borderId="94" xfId="0" applyNumberFormat="1" applyFill="1" applyBorder="1" applyAlignment="1">
      <alignment vertical="top"/>
    </xf>
    <xf numFmtId="1" fontId="0" fillId="45" borderId="94" xfId="0" applyNumberFormat="1" applyFill="1" applyBorder="1" applyAlignment="1">
      <alignment vertical="top"/>
    </xf>
    <xf numFmtId="1" fontId="0" fillId="47" borderId="94" xfId="0" applyNumberFormat="1" applyFill="1" applyBorder="1" applyAlignment="1">
      <alignment vertical="top"/>
    </xf>
    <xf numFmtId="1" fontId="0" fillId="49" borderId="94" xfId="0" applyNumberFormat="1" applyFill="1" applyBorder="1" applyAlignment="1">
      <alignment vertical="top"/>
    </xf>
    <xf numFmtId="166" fontId="0" fillId="44" borderId="94" xfId="0" applyNumberFormat="1" applyFill="1" applyBorder="1" applyAlignment="1">
      <alignment horizontal="center" vertical="top"/>
    </xf>
    <xf numFmtId="166" fontId="0" fillId="45" borderId="94" xfId="0" applyNumberFormat="1" applyFill="1" applyBorder="1" applyAlignment="1">
      <alignment horizontal="center" vertical="top"/>
    </xf>
    <xf numFmtId="166" fontId="0" fillId="46" borderId="94" xfId="0" applyNumberFormat="1" applyFill="1" applyBorder="1" applyAlignment="1">
      <alignment horizontal="center" vertical="top"/>
    </xf>
    <xf numFmtId="166" fontId="0" fillId="47" borderId="94" xfId="0" applyNumberFormat="1" applyFill="1" applyBorder="1" applyAlignment="1">
      <alignment horizontal="center" vertical="top"/>
    </xf>
    <xf numFmtId="166" fontId="0" fillId="49" borderId="94" xfId="0" applyNumberFormat="1" applyFill="1" applyBorder="1" applyAlignment="1">
      <alignment horizontal="center" vertical="top"/>
    </xf>
    <xf numFmtId="166" fontId="0" fillId="50" borderId="94" xfId="0" applyNumberFormat="1" applyFill="1" applyBorder="1" applyAlignment="1">
      <alignment horizontal="center" vertical="top"/>
    </xf>
    <xf numFmtId="1" fontId="12" fillId="50" borderId="94" xfId="0" applyNumberFormat="1" applyFont="1" applyFill="1" applyBorder="1" applyAlignment="1">
      <alignment vertical="top"/>
    </xf>
    <xf numFmtId="0" fontId="259" fillId="50" borderId="94" xfId="0" applyFont="1" applyFill="1" applyBorder="1" applyAlignment="1">
      <alignment vertical="top"/>
    </xf>
    <xf numFmtId="0" fontId="12" fillId="50" borderId="94" xfId="0" applyFont="1" applyFill="1" applyBorder="1" applyAlignment="1">
      <alignment vertical="top"/>
    </xf>
    <xf numFmtId="1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/>
    </xf>
    <xf numFmtId="1" fontId="234" fillId="0" borderId="62" xfId="0" applyNumberFormat="1" applyFont="1" applyBorder="1" applyAlignment="1" applyProtection="1">
      <alignment horizontal="center"/>
      <protection hidden="1"/>
    </xf>
    <xf numFmtId="1" fontId="234" fillId="0" borderId="1" xfId="0" applyNumberFormat="1" applyFont="1" applyBorder="1" applyAlignment="1" applyProtection="1">
      <alignment horizontal="center"/>
      <protection hidden="1"/>
    </xf>
    <xf numFmtId="0" fontId="168" fillId="24" borderId="0" xfId="0" applyFont="1" applyFill="1"/>
    <xf numFmtId="0" fontId="56" fillId="0" borderId="1" xfId="0" applyFont="1" applyBorder="1" applyAlignment="1" applyProtection="1">
      <alignment horizontal="center" vertical="center" wrapText="1"/>
      <protection hidden="1"/>
    </xf>
    <xf numFmtId="0" fontId="44" fillId="0" borderId="33" xfId="0" applyFont="1" applyBorder="1" applyAlignment="1" applyProtection="1">
      <alignment horizontal="center" wrapText="1"/>
      <protection hidden="1"/>
    </xf>
    <xf numFmtId="10" fontId="44" fillId="0" borderId="66" xfId="12" applyNumberFormat="1" applyFont="1" applyBorder="1" applyAlignment="1" applyProtection="1">
      <alignment horizontal="center"/>
      <protection hidden="1"/>
    </xf>
    <xf numFmtId="10" fontId="44" fillId="0" borderId="1" xfId="12" applyNumberFormat="1" applyFont="1" applyBorder="1" applyAlignment="1" applyProtection="1">
      <alignment horizontal="center"/>
      <protection hidden="1"/>
    </xf>
    <xf numFmtId="17" fontId="162" fillId="0" borderId="0" xfId="0" applyNumberFormat="1" applyFont="1" applyAlignment="1" applyProtection="1">
      <alignment horizontal="center" wrapText="1"/>
      <protection locked="0"/>
    </xf>
    <xf numFmtId="0" fontId="43" fillId="0" borderId="18" xfId="0" applyFont="1" applyBorder="1" applyAlignment="1" applyProtection="1">
      <alignment horizontal="center" vertical="center" wrapText="1"/>
      <protection hidden="1"/>
    </xf>
    <xf numFmtId="0" fontId="244" fillId="41" borderId="1" xfId="0" applyFont="1" applyFill="1" applyBorder="1" applyAlignment="1" applyProtection="1">
      <alignment horizontal="center" wrapText="1" readingOrder="1"/>
      <protection hidden="1"/>
    </xf>
    <xf numFmtId="0" fontId="243" fillId="28" borderId="1" xfId="0" applyFont="1" applyFill="1" applyBorder="1" applyAlignment="1" applyProtection="1">
      <alignment horizontal="center" vertical="center" wrapText="1" readingOrder="1"/>
      <protection hidden="1"/>
    </xf>
    <xf numFmtId="0" fontId="243" fillId="60" borderId="1" xfId="0" applyFont="1" applyFill="1" applyBorder="1" applyAlignment="1" applyProtection="1">
      <alignment horizontal="center" vertical="center" wrapText="1" readingOrder="1"/>
      <protection hidden="1"/>
    </xf>
    <xf numFmtId="0" fontId="243" fillId="24" borderId="1" xfId="0" applyFont="1" applyFill="1" applyBorder="1" applyAlignment="1" applyProtection="1">
      <alignment horizontal="center" vertical="center" wrapText="1" readingOrder="1"/>
      <protection hidden="1"/>
    </xf>
    <xf numFmtId="0" fontId="156" fillId="28" borderId="1" xfId="0" applyFont="1" applyFill="1" applyBorder="1" applyAlignment="1" applyProtection="1">
      <alignment horizontal="center" vertical="center" wrapText="1" readingOrder="1"/>
      <protection hidden="1"/>
    </xf>
    <xf numFmtId="0" fontId="156" fillId="31" borderId="62" xfId="0" applyFont="1" applyFill="1" applyBorder="1" applyAlignment="1" applyProtection="1">
      <alignment horizontal="center" vertical="center" wrapText="1" readingOrder="1"/>
      <protection hidden="1"/>
    </xf>
    <xf numFmtId="0" fontId="156" fillId="67" borderId="1" xfId="0" applyFont="1" applyFill="1" applyBorder="1" applyAlignment="1" applyProtection="1">
      <alignment horizontal="center" vertical="center" wrapText="1" readingOrder="1"/>
      <protection hidden="1"/>
    </xf>
    <xf numFmtId="0" fontId="244" fillId="41" borderId="1" xfId="0" applyFont="1" applyFill="1" applyBorder="1" applyAlignment="1" applyProtection="1">
      <alignment horizontal="center" vertical="center" wrapText="1" readingOrder="1"/>
      <protection hidden="1"/>
    </xf>
    <xf numFmtId="0" fontId="243" fillId="31" borderId="62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" xfId="0" applyFont="1" applyFill="1" applyBorder="1" applyAlignment="1" applyProtection="1">
      <alignment horizontal="center" vertical="center" wrapText="1" readingOrder="1"/>
      <protection hidden="1"/>
    </xf>
    <xf numFmtId="0" fontId="1" fillId="0" borderId="0" xfId="0" applyFont="1" applyAlignment="1" applyProtection="1">
      <alignment horizontal="center"/>
      <protection hidden="1"/>
    </xf>
    <xf numFmtId="0" fontId="243" fillId="60" borderId="1" xfId="0" applyFont="1" applyFill="1" applyBorder="1" applyAlignment="1" applyProtection="1">
      <alignment vertical="center" wrapText="1" readingOrder="1"/>
      <protection hidden="1"/>
    </xf>
    <xf numFmtId="0" fontId="243" fillId="24" borderId="1" xfId="0" applyFont="1" applyFill="1" applyBorder="1" applyAlignment="1" applyProtection="1">
      <alignment vertical="center" wrapText="1" readingOrder="1"/>
      <protection hidden="1"/>
    </xf>
    <xf numFmtId="0" fontId="244" fillId="41" borderId="62" xfId="0" applyFont="1" applyFill="1" applyBorder="1" applyAlignment="1" applyProtection="1">
      <alignment horizontal="center" vertical="center" wrapText="1" readingOrder="1"/>
      <protection hidden="1"/>
    </xf>
    <xf numFmtId="0" fontId="244" fillId="41" borderId="1" xfId="0" applyFont="1" applyFill="1" applyBorder="1" applyAlignment="1" applyProtection="1">
      <alignment wrapText="1" readingOrder="1"/>
      <protection hidden="1"/>
    </xf>
    <xf numFmtId="0" fontId="244" fillId="41" borderId="28" xfId="0" applyFont="1" applyFill="1" applyBorder="1" applyAlignment="1" applyProtection="1">
      <alignment horizontal="center" vertical="center" wrapText="1" readingOrder="1"/>
      <protection hidden="1"/>
    </xf>
    <xf numFmtId="0" fontId="227" fillId="0" borderId="0" xfId="0" applyFont="1" applyAlignment="1" applyProtection="1">
      <alignment vertical="top" wrapText="1"/>
      <protection hidden="1"/>
    </xf>
    <xf numFmtId="0" fontId="260" fillId="0" borderId="2" xfId="0" applyFont="1" applyBorder="1" applyAlignment="1" applyProtection="1">
      <alignment horizontal="left"/>
      <protection hidden="1"/>
    </xf>
    <xf numFmtId="1" fontId="56" fillId="27" borderId="88" xfId="0" applyNumberFormat="1" applyFont="1" applyFill="1" applyBorder="1" applyAlignment="1" applyProtection="1">
      <alignment horizontal="right" vertical="center" wrapText="1"/>
      <protection hidden="1"/>
    </xf>
    <xf numFmtId="0" fontId="43" fillId="0" borderId="15" xfId="0" applyFont="1" applyBorder="1" applyAlignment="1" applyProtection="1">
      <alignment vertical="center" wrapText="1"/>
      <protection hidden="1"/>
    </xf>
    <xf numFmtId="0" fontId="5" fillId="0" borderId="10" xfId="0" applyFont="1" applyBorder="1" applyAlignment="1" applyProtection="1">
      <alignment horizontal="center" vertical="center" wrapText="1"/>
      <protection hidden="1"/>
    </xf>
    <xf numFmtId="0" fontId="5" fillId="0" borderId="9" xfId="0" applyFont="1" applyBorder="1" applyAlignment="1" applyProtection="1">
      <alignment vertical="center" wrapText="1"/>
      <protection hidden="1"/>
    </xf>
    <xf numFmtId="1" fontId="49" fillId="0" borderId="27" xfId="0" applyNumberFormat="1" applyFont="1" applyBorder="1" applyAlignment="1" applyProtection="1">
      <alignment horizontal="center" vertical="center" wrapText="1"/>
      <protection hidden="1"/>
    </xf>
    <xf numFmtId="1" fontId="50" fillId="5" borderId="9" xfId="0" applyNumberFormat="1" applyFont="1" applyFill="1" applyBorder="1" applyAlignment="1" applyProtection="1">
      <alignment horizontal="center" vertical="center" wrapText="1"/>
      <protection hidden="1"/>
    </xf>
    <xf numFmtId="1" fontId="50" fillId="27" borderId="69" xfId="0" applyNumberFormat="1" applyFont="1" applyFill="1" applyBorder="1" applyAlignment="1" applyProtection="1">
      <alignment horizontal="center" vertical="center" wrapText="1"/>
      <protection hidden="1"/>
    </xf>
    <xf numFmtId="0" fontId="171" fillId="0" borderId="14" xfId="0" applyFont="1" applyBorder="1" applyAlignment="1" applyProtection="1">
      <alignment horizontal="center"/>
      <protection hidden="1"/>
    </xf>
    <xf numFmtId="0" fontId="171" fillId="0" borderId="18" xfId="0" applyFont="1" applyBorder="1" applyAlignment="1" applyProtection="1">
      <alignment horizontal="center"/>
      <protection hidden="1"/>
    </xf>
    <xf numFmtId="0" fontId="171" fillId="0" borderId="3" xfId="0" applyFont="1" applyBorder="1" applyAlignment="1" applyProtection="1">
      <alignment horizontal="center"/>
      <protection hidden="1"/>
    </xf>
    <xf numFmtId="0" fontId="33" fillId="7" borderId="24" xfId="0" applyFont="1" applyFill="1" applyBorder="1" applyAlignment="1" applyProtection="1">
      <alignment horizontal="center" textRotation="90"/>
      <protection hidden="1"/>
    </xf>
    <xf numFmtId="0" fontId="10" fillId="0" borderId="40" xfId="0" applyFont="1" applyBorder="1" applyAlignment="1" applyProtection="1">
      <alignment horizontal="center" vertical="center" wrapText="1"/>
      <protection hidden="1"/>
    </xf>
    <xf numFmtId="0" fontId="12" fillId="0" borderId="40" xfId="0" applyFont="1" applyBorder="1" applyAlignment="1" applyProtection="1">
      <alignment horizontal="center" vertical="center" wrapText="1"/>
      <protection hidden="1"/>
    </xf>
    <xf numFmtId="0" fontId="191" fillId="68" borderId="1" xfId="0" applyFont="1" applyFill="1" applyBorder="1" applyAlignment="1" applyProtection="1">
      <alignment horizontal="center" vertical="center" wrapText="1" readingOrder="1"/>
      <protection hidden="1"/>
    </xf>
    <xf numFmtId="1" fontId="122" fillId="40" borderId="30" xfId="0" applyNumberFormat="1" applyFont="1" applyFill="1" applyBorder="1" applyAlignment="1" applyProtection="1">
      <alignment horizontal="center" wrapText="1"/>
      <protection hidden="1"/>
    </xf>
    <xf numFmtId="1" fontId="122" fillId="40" borderId="32" xfId="0" applyNumberFormat="1" applyFont="1" applyFill="1" applyBorder="1" applyAlignment="1" applyProtection="1">
      <alignment horizontal="center" wrapText="1"/>
      <protection hidden="1"/>
    </xf>
    <xf numFmtId="1" fontId="122" fillId="27" borderId="89" xfId="0" applyNumberFormat="1" applyFont="1" applyFill="1" applyBorder="1" applyAlignment="1" applyProtection="1">
      <alignment horizontal="center" wrapText="1"/>
      <protection hidden="1"/>
    </xf>
    <xf numFmtId="1" fontId="122" fillId="27" borderId="93" xfId="0" applyNumberFormat="1" applyFont="1" applyFill="1" applyBorder="1" applyAlignment="1" applyProtection="1">
      <alignment horizontal="center" wrapText="1"/>
      <protection hidden="1"/>
    </xf>
    <xf numFmtId="1" fontId="122" fillId="27" borderId="91" xfId="0" applyNumberFormat="1" applyFont="1" applyFill="1" applyBorder="1" applyAlignment="1" applyProtection="1">
      <alignment horizontal="center" wrapText="1"/>
      <protection hidden="1"/>
    </xf>
    <xf numFmtId="1" fontId="122" fillId="27" borderId="64" xfId="0" applyNumberFormat="1" applyFont="1" applyFill="1" applyBorder="1" applyAlignment="1" applyProtection="1">
      <alignment horizontal="center" wrapText="1"/>
      <protection hidden="1"/>
    </xf>
    <xf numFmtId="1" fontId="226" fillId="24" borderId="45" xfId="0" applyNumberFormat="1" applyFont="1" applyFill="1" applyBorder="1" applyAlignment="1" applyProtection="1">
      <alignment horizontal="center" vertical="center" wrapText="1" readingOrder="1"/>
      <protection locked="0"/>
    </xf>
    <xf numFmtId="1" fontId="226" fillId="24" borderId="9" xfId="0" applyNumberFormat="1" applyFont="1" applyFill="1" applyBorder="1" applyAlignment="1" applyProtection="1">
      <alignment horizontal="center" vertical="center" wrapText="1" readingOrder="1"/>
      <protection locked="0"/>
    </xf>
    <xf numFmtId="1" fontId="226" fillId="24" borderId="32" xfId="0" applyNumberFormat="1" applyFont="1" applyFill="1" applyBorder="1" applyAlignment="1" applyProtection="1">
      <alignment horizontal="center" vertical="center" wrapText="1" readingOrder="1"/>
      <protection locked="0"/>
    </xf>
    <xf numFmtId="1" fontId="263" fillId="0" borderId="27" xfId="0" applyNumberFormat="1" applyFont="1" applyBorder="1" applyAlignment="1" applyProtection="1">
      <alignment horizontal="center" vertical="center" wrapText="1"/>
      <protection hidden="1"/>
    </xf>
    <xf numFmtId="1" fontId="263" fillId="0" borderId="7" xfId="0" applyNumberFormat="1" applyFont="1" applyBorder="1" applyAlignment="1" applyProtection="1">
      <alignment horizontal="center" vertical="center" wrapText="1"/>
      <protection hidden="1"/>
    </xf>
    <xf numFmtId="1" fontId="263" fillId="0" borderId="1" xfId="0" applyNumberFormat="1" applyFont="1" applyBorder="1" applyAlignment="1" applyProtection="1">
      <alignment horizontal="center" vertical="center" wrapText="1"/>
      <protection hidden="1"/>
    </xf>
    <xf numFmtId="1" fontId="3" fillId="0" borderId="1" xfId="0" applyNumberFormat="1" applyFont="1" applyBorder="1"/>
    <xf numFmtId="1" fontId="265" fillId="0" borderId="1" xfId="0" applyNumberFormat="1" applyFont="1" applyBorder="1" applyAlignment="1" applyProtection="1">
      <alignment horizontal="center"/>
      <protection hidden="1"/>
    </xf>
    <xf numFmtId="0" fontId="42" fillId="0" borderId="0" xfId="0" applyFont="1" applyAlignment="1" applyProtection="1">
      <alignment horizontal="center"/>
      <protection hidden="1"/>
    </xf>
    <xf numFmtId="0" fontId="164" fillId="0" borderId="31" xfId="0" applyFont="1" applyBorder="1" applyAlignment="1" applyProtection="1">
      <alignment horizontal="center" wrapText="1"/>
      <protection hidden="1"/>
    </xf>
    <xf numFmtId="1" fontId="267" fillId="41" borderId="1" xfId="0" applyNumberFormat="1" applyFont="1" applyFill="1" applyBorder="1" applyAlignment="1" applyProtection="1">
      <alignment horizontal="center" wrapText="1"/>
      <protection hidden="1"/>
    </xf>
    <xf numFmtId="1" fontId="267" fillId="41" borderId="1" xfId="0" applyNumberFormat="1" applyFont="1" applyFill="1" applyBorder="1" applyAlignment="1" applyProtection="1">
      <alignment wrapText="1"/>
      <protection hidden="1"/>
    </xf>
    <xf numFmtId="0" fontId="95" fillId="0" borderId="16" xfId="0" applyFont="1" applyBorder="1" applyAlignment="1" applyProtection="1">
      <alignment horizontal="center" vertical="top" wrapText="1"/>
      <protection hidden="1"/>
    </xf>
    <xf numFmtId="0" fontId="50" fillId="0" borderId="10" xfId="0" applyFont="1" applyBorder="1" applyAlignment="1" applyProtection="1">
      <alignment horizontal="center"/>
      <protection hidden="1"/>
    </xf>
    <xf numFmtId="0" fontId="50" fillId="0" borderId="9" xfId="0" applyFont="1" applyBorder="1" applyAlignment="1" applyProtection="1">
      <alignment horizontal="center"/>
      <protection hidden="1"/>
    </xf>
    <xf numFmtId="0" fontId="207" fillId="28" borderId="1" xfId="0" applyFont="1" applyFill="1" applyBorder="1" applyAlignment="1" applyProtection="1">
      <alignment horizontal="center" vertical="center" wrapText="1" readingOrder="1"/>
      <protection hidden="1"/>
    </xf>
    <xf numFmtId="0" fontId="207" fillId="31" borderId="62" xfId="0" applyFont="1" applyFill="1" applyBorder="1" applyAlignment="1" applyProtection="1">
      <alignment horizontal="center" vertical="center" wrapText="1" readingOrder="1"/>
      <protection hidden="1"/>
    </xf>
    <xf numFmtId="0" fontId="207" fillId="67" borderId="1" xfId="0" applyFont="1" applyFill="1" applyBorder="1" applyAlignment="1" applyProtection="1">
      <alignment horizontal="center" vertical="center" wrapText="1" readingOrder="1"/>
      <protection hidden="1"/>
    </xf>
    <xf numFmtId="0" fontId="269" fillId="68" borderId="1" xfId="0" applyFont="1" applyFill="1" applyBorder="1" applyAlignment="1" applyProtection="1">
      <alignment horizontal="center" vertical="center" wrapText="1" readingOrder="1"/>
      <protection hidden="1"/>
    </xf>
    <xf numFmtId="0" fontId="81" fillId="23" borderId="30" xfId="0" applyFont="1" applyFill="1" applyBorder="1" applyAlignment="1" applyProtection="1">
      <alignment vertical="center"/>
      <protection hidden="1"/>
    </xf>
    <xf numFmtId="0" fontId="266" fillId="0" borderId="88" xfId="0" applyFont="1" applyBorder="1" applyAlignment="1" applyProtection="1">
      <alignment horizontal="center" wrapText="1"/>
      <protection hidden="1"/>
    </xf>
    <xf numFmtId="0" fontId="266" fillId="0" borderId="69" xfId="0" applyFont="1" applyBorder="1" applyAlignment="1" applyProtection="1">
      <alignment horizontal="center" wrapText="1"/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3" fillId="0" borderId="26" xfId="0" applyFont="1" applyBorder="1" applyAlignment="1" applyProtection="1">
      <alignment horizontal="right" vertical="center" wrapText="1"/>
      <protection hidden="1"/>
    </xf>
    <xf numFmtId="0" fontId="5" fillId="0" borderId="26" xfId="0" applyFont="1" applyBorder="1" applyAlignment="1" applyProtection="1">
      <alignment vertical="center" wrapText="1"/>
      <protection hidden="1"/>
    </xf>
    <xf numFmtId="0" fontId="55" fillId="0" borderId="1" xfId="11" applyFont="1" applyBorder="1" applyAlignment="1" applyProtection="1">
      <alignment horizontal="right" vertical="center" wrapText="1"/>
      <protection locked="0"/>
    </xf>
    <xf numFmtId="0" fontId="55" fillId="0" borderId="1" xfId="11" applyFont="1" applyBorder="1" applyAlignment="1" applyProtection="1">
      <alignment horizontal="right" vertical="center" wrapText="1"/>
      <protection locked="0" hidden="1"/>
    </xf>
    <xf numFmtId="0" fontId="248" fillId="26" borderId="36" xfId="0" applyFont="1" applyFill="1" applyBorder="1" applyAlignment="1" applyProtection="1">
      <alignment vertical="center" wrapText="1" readingOrder="1"/>
      <protection hidden="1"/>
    </xf>
    <xf numFmtId="0" fontId="248" fillId="26" borderId="0" xfId="0" applyFont="1" applyFill="1" applyAlignment="1" applyProtection="1">
      <alignment vertical="center" wrapText="1" readingOrder="1"/>
      <protection hidden="1"/>
    </xf>
    <xf numFmtId="0" fontId="248" fillId="26" borderId="39" xfId="0" applyFont="1" applyFill="1" applyBorder="1" applyAlignment="1" applyProtection="1">
      <alignment vertical="center" wrapText="1" readingOrder="1"/>
      <protection hidden="1"/>
    </xf>
    <xf numFmtId="1" fontId="122" fillId="0" borderId="7" xfId="0" applyNumberFormat="1" applyFont="1" applyBorder="1" applyAlignment="1" applyProtection="1">
      <alignment vertical="center" wrapText="1"/>
      <protection hidden="1"/>
    </xf>
    <xf numFmtId="1" fontId="122" fillId="33" borderId="1" xfId="0" applyNumberFormat="1" applyFont="1" applyFill="1" applyBorder="1" applyAlignment="1" applyProtection="1">
      <alignment vertical="center" wrapText="1"/>
      <protection hidden="1"/>
    </xf>
    <xf numFmtId="169" fontId="122" fillId="0" borderId="1" xfId="0" applyNumberFormat="1" applyFont="1" applyBorder="1" applyAlignment="1" applyProtection="1">
      <alignment vertical="center" wrapText="1"/>
      <protection hidden="1"/>
    </xf>
    <xf numFmtId="1" fontId="122" fillId="0" borderId="1" xfId="0" applyNumberFormat="1" applyFont="1" applyBorder="1" applyAlignment="1" applyProtection="1">
      <alignment vertical="center" wrapText="1"/>
      <protection hidden="1"/>
    </xf>
    <xf numFmtId="1" fontId="122" fillId="0" borderId="33" xfId="0" applyNumberFormat="1" applyFont="1" applyBorder="1" applyAlignment="1" applyProtection="1">
      <alignment vertical="center" wrapText="1"/>
      <protection hidden="1"/>
    </xf>
    <xf numFmtId="1" fontId="229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229" fillId="25" borderId="23" xfId="0" applyNumberFormat="1" applyFont="1" applyFill="1" applyBorder="1" applyAlignment="1" applyProtection="1">
      <alignment horizontal="center" vertical="top" wrapText="1"/>
      <protection hidden="1"/>
    </xf>
    <xf numFmtId="2" fontId="221" fillId="0" borderId="1" xfId="0" applyNumberFormat="1" applyFont="1" applyBorder="1" applyAlignment="1" applyProtection="1">
      <alignment horizontal="center"/>
      <protection hidden="1"/>
    </xf>
    <xf numFmtId="2" fontId="221" fillId="0" borderId="90" xfId="0" applyNumberFormat="1" applyFont="1" applyBorder="1" applyProtection="1">
      <protection hidden="1"/>
    </xf>
    <xf numFmtId="1" fontId="234" fillId="0" borderId="86" xfId="0" applyNumberFormat="1" applyFont="1" applyBorder="1" applyAlignment="1" applyProtection="1">
      <alignment horizontal="center"/>
      <protection hidden="1"/>
    </xf>
    <xf numFmtId="0" fontId="234" fillId="0" borderId="64" xfId="0" applyFont="1" applyBorder="1" applyAlignment="1" applyProtection="1">
      <alignment horizontal="center"/>
      <protection hidden="1"/>
    </xf>
    <xf numFmtId="1" fontId="226" fillId="24" borderId="74" xfId="0" applyNumberFormat="1" applyFont="1" applyFill="1" applyBorder="1" applyAlignment="1" applyProtection="1">
      <alignment horizontal="right" vertical="center" wrapText="1" readingOrder="1"/>
      <protection hidden="1"/>
    </xf>
    <xf numFmtId="1" fontId="231" fillId="36" borderId="61" xfId="0" applyNumberFormat="1" applyFont="1" applyFill="1" applyBorder="1" applyAlignment="1" applyProtection="1">
      <alignment horizontal="center" wrapText="1"/>
      <protection hidden="1"/>
    </xf>
    <xf numFmtId="1" fontId="231" fillId="36" borderId="30" xfId="0" applyNumberFormat="1" applyFont="1" applyFill="1" applyBorder="1" applyAlignment="1" applyProtection="1">
      <alignment horizontal="center" wrapText="1"/>
      <protection hidden="1"/>
    </xf>
    <xf numFmtId="1" fontId="231" fillId="36" borderId="32" xfId="0" applyNumberFormat="1" applyFont="1" applyFill="1" applyBorder="1" applyAlignment="1" applyProtection="1">
      <alignment horizontal="center" wrapText="1"/>
      <protection hidden="1"/>
    </xf>
    <xf numFmtId="1" fontId="226" fillId="24" borderId="1" xfId="0" applyNumberFormat="1" applyFont="1" applyFill="1" applyBorder="1" applyAlignment="1" applyProtection="1">
      <alignment horizontal="right" vertical="center" wrapText="1" readingOrder="1"/>
      <protection hidden="1"/>
    </xf>
    <xf numFmtId="1" fontId="226" fillId="24" borderId="9" xfId="0" applyNumberFormat="1" applyFont="1" applyFill="1" applyBorder="1" applyAlignment="1" applyProtection="1">
      <alignment horizontal="right" vertical="center" wrapText="1" readingOrder="1"/>
      <protection hidden="1"/>
    </xf>
    <xf numFmtId="1" fontId="226" fillId="25" borderId="28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11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76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67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67" xfId="0" applyNumberFormat="1" applyFont="1" applyFill="1" applyBorder="1" applyAlignment="1" applyProtection="1">
      <alignment horizontal="center" vertical="center" wrapText="1"/>
      <protection hidden="1"/>
    </xf>
    <xf numFmtId="1" fontId="226" fillId="25" borderId="23" xfId="0" applyNumberFormat="1" applyFont="1" applyFill="1" applyBorder="1" applyAlignment="1" applyProtection="1">
      <alignment horizontal="center" vertical="center" wrapText="1"/>
      <protection hidden="1"/>
    </xf>
    <xf numFmtId="1" fontId="235" fillId="26" borderId="22" xfId="0" applyNumberFormat="1" applyFont="1" applyFill="1" applyBorder="1" applyAlignment="1" applyProtection="1">
      <alignment horizontal="center" vertical="center" wrapText="1" readingOrder="1"/>
      <protection hidden="1"/>
    </xf>
    <xf numFmtId="1" fontId="235" fillId="26" borderId="21" xfId="0" applyNumberFormat="1" applyFont="1" applyFill="1" applyBorder="1" applyAlignment="1" applyProtection="1">
      <alignment horizontal="center" vertical="center" wrapText="1" readingOrder="1"/>
      <protection hidden="1"/>
    </xf>
    <xf numFmtId="1" fontId="235" fillId="64" borderId="22" xfId="0" applyNumberFormat="1" applyFont="1" applyFill="1" applyBorder="1" applyAlignment="1" applyProtection="1">
      <alignment horizontal="center" vertical="center" wrapText="1" readingOrder="1"/>
      <protection hidden="1"/>
    </xf>
    <xf numFmtId="1" fontId="235" fillId="64" borderId="21" xfId="0" applyNumberFormat="1" applyFont="1" applyFill="1" applyBorder="1" applyAlignment="1" applyProtection="1">
      <alignment horizontal="center" vertical="center" wrapText="1" readingOrder="1"/>
      <protection hidden="1"/>
    </xf>
    <xf numFmtId="1" fontId="103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103" fillId="25" borderId="30" xfId="0" applyNumberFormat="1" applyFont="1" applyFill="1" applyBorder="1" applyAlignment="1" applyProtection="1">
      <alignment horizontal="center" vertical="top" wrapText="1"/>
      <protection hidden="1"/>
    </xf>
    <xf numFmtId="1" fontId="103" fillId="25" borderId="32" xfId="0" applyNumberFormat="1" applyFont="1" applyFill="1" applyBorder="1" applyAlignment="1" applyProtection="1">
      <alignment horizontal="center" vertical="top" wrapText="1"/>
      <protection hidden="1"/>
    </xf>
    <xf numFmtId="1" fontId="211" fillId="24" borderId="1" xfId="0" applyNumberFormat="1" applyFont="1" applyFill="1" applyBorder="1" applyAlignment="1" applyProtection="1">
      <alignment horizontal="right" vertical="center" wrapText="1"/>
      <protection hidden="1"/>
    </xf>
    <xf numFmtId="1" fontId="211" fillId="24" borderId="28" xfId="0" applyNumberFormat="1" applyFont="1" applyFill="1" applyBorder="1" applyAlignment="1" applyProtection="1">
      <alignment horizontal="right" vertical="center" wrapText="1"/>
      <protection hidden="1"/>
    </xf>
    <xf numFmtId="0" fontId="211" fillId="0" borderId="28" xfId="0" applyFont="1" applyBorder="1" applyAlignment="1" applyProtection="1">
      <alignment horizontal="center" vertical="center" wrapText="1"/>
      <protection hidden="1"/>
    </xf>
    <xf numFmtId="1" fontId="231" fillId="0" borderId="0" xfId="0" applyNumberFormat="1" applyFont="1" applyAlignment="1" applyProtection="1">
      <alignment wrapText="1"/>
      <protection hidden="1"/>
    </xf>
    <xf numFmtId="1" fontId="231" fillId="0" borderId="0" xfId="0" applyNumberFormat="1" applyFont="1" applyAlignment="1" applyProtection="1">
      <alignment horizontal="center" wrapText="1"/>
      <protection hidden="1"/>
    </xf>
    <xf numFmtId="1" fontId="231" fillId="0" borderId="29" xfId="0" applyNumberFormat="1" applyFont="1" applyBorder="1" applyAlignment="1" applyProtection="1">
      <alignment horizontal="center" wrapText="1"/>
      <protection hidden="1"/>
    </xf>
    <xf numFmtId="1" fontId="226" fillId="25" borderId="62" xfId="0" applyNumberFormat="1" applyFont="1" applyFill="1" applyBorder="1" applyAlignment="1" applyProtection="1">
      <alignment horizontal="center" vertical="center" wrapText="1" readingOrder="1"/>
      <protection hidden="1"/>
    </xf>
    <xf numFmtId="1" fontId="103" fillId="40" borderId="30" xfId="0" applyNumberFormat="1" applyFont="1" applyFill="1" applyBorder="1" applyAlignment="1" applyProtection="1">
      <alignment horizontal="center" wrapText="1"/>
      <protection hidden="1"/>
    </xf>
    <xf numFmtId="1" fontId="103" fillId="40" borderId="32" xfId="0" applyNumberFormat="1" applyFont="1" applyFill="1" applyBorder="1" applyAlignment="1" applyProtection="1">
      <alignment horizontal="center" wrapText="1"/>
      <protection hidden="1"/>
    </xf>
    <xf numFmtId="1" fontId="231" fillId="27" borderId="69" xfId="0" applyNumberFormat="1" applyFont="1" applyFill="1" applyBorder="1" applyAlignment="1" applyProtection="1">
      <alignment horizontal="center" wrapText="1"/>
      <protection hidden="1"/>
    </xf>
    <xf numFmtId="1" fontId="231" fillId="27" borderId="46" xfId="0" applyNumberFormat="1" applyFont="1" applyFill="1" applyBorder="1" applyAlignment="1" applyProtection="1">
      <alignment horizontal="center" wrapText="1"/>
      <protection hidden="1"/>
    </xf>
    <xf numFmtId="1" fontId="231" fillId="27" borderId="64" xfId="0" applyNumberFormat="1" applyFont="1" applyFill="1" applyBorder="1" applyAlignment="1" applyProtection="1">
      <alignment horizontal="center" wrapText="1"/>
      <protection hidden="1"/>
    </xf>
    <xf numFmtId="1" fontId="103" fillId="25" borderId="23" xfId="0" applyNumberFormat="1" applyFont="1" applyFill="1" applyBorder="1" applyAlignment="1" applyProtection="1">
      <alignment horizontal="center" vertical="top" wrapText="1"/>
      <protection hidden="1"/>
    </xf>
    <xf numFmtId="1" fontId="103" fillId="0" borderId="0" xfId="0" applyNumberFormat="1" applyFont="1" applyAlignment="1" applyProtection="1">
      <alignment wrapText="1"/>
      <protection hidden="1"/>
    </xf>
    <xf numFmtId="1" fontId="103" fillId="0" borderId="0" xfId="0" applyNumberFormat="1" applyFont="1" applyAlignment="1" applyProtection="1">
      <alignment horizontal="center" wrapText="1"/>
      <protection hidden="1"/>
    </xf>
    <xf numFmtId="1" fontId="103" fillId="0" borderId="29" xfId="0" applyNumberFormat="1" applyFont="1" applyBorder="1" applyAlignment="1" applyProtection="1">
      <alignment horizontal="center" wrapText="1"/>
      <protection hidden="1"/>
    </xf>
    <xf numFmtId="1" fontId="264" fillId="0" borderId="0" xfId="0" applyNumberFormat="1" applyFont="1" applyAlignment="1" applyProtection="1">
      <alignment wrapText="1"/>
      <protection hidden="1"/>
    </xf>
    <xf numFmtId="1" fontId="50" fillId="32" borderId="30" xfId="0" applyNumberFormat="1" applyFont="1" applyFill="1" applyBorder="1" applyAlignment="1" applyProtection="1">
      <alignment horizontal="center" vertical="center" wrapText="1"/>
      <protection hidden="1"/>
    </xf>
    <xf numFmtId="1" fontId="44" fillId="32" borderId="67" xfId="0" applyNumberFormat="1" applyFont="1" applyFill="1" applyBorder="1" applyAlignment="1" applyProtection="1">
      <alignment horizontal="center"/>
      <protection hidden="1"/>
    </xf>
    <xf numFmtId="1" fontId="50" fillId="32" borderId="6" xfId="0" applyNumberFormat="1" applyFont="1" applyFill="1" applyBorder="1" applyAlignment="1" applyProtection="1">
      <alignment horizontal="center" vertical="center" wrapText="1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1" fontId="211" fillId="33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29" fillId="25" borderId="1" xfId="0" applyNumberFormat="1" applyFont="1" applyFill="1" applyBorder="1" applyAlignment="1" applyProtection="1">
      <alignment horizontal="center" vertical="top" wrapText="1"/>
      <protection hidden="1"/>
    </xf>
    <xf numFmtId="1" fontId="103" fillId="24" borderId="1" xfId="0" applyNumberFormat="1" applyFont="1" applyFill="1" applyBorder="1" applyAlignment="1" applyProtection="1">
      <alignment horizontal="center" vertical="top" wrapText="1"/>
      <protection hidden="1"/>
    </xf>
    <xf numFmtId="1" fontId="255" fillId="27" borderId="24" xfId="0" applyNumberFormat="1" applyFont="1" applyFill="1" applyBorder="1" applyAlignment="1" applyProtection="1">
      <alignment horizontal="center" wrapText="1"/>
      <protection hidden="1"/>
    </xf>
    <xf numFmtId="1" fontId="255" fillId="27" borderId="25" xfId="0" applyNumberFormat="1" applyFont="1" applyFill="1" applyBorder="1" applyAlignment="1" applyProtection="1">
      <alignment horizontal="center" wrapText="1"/>
      <protection hidden="1"/>
    </xf>
    <xf numFmtId="1" fontId="255" fillId="27" borderId="84" xfId="0" applyNumberFormat="1" applyFont="1" applyFill="1" applyBorder="1" applyAlignment="1" applyProtection="1">
      <alignment horizontal="center" wrapText="1"/>
      <protection hidden="1"/>
    </xf>
    <xf numFmtId="1" fontId="211" fillId="25" borderId="1" xfId="0" applyNumberFormat="1" applyFont="1" applyFill="1" applyBorder="1" applyAlignment="1" applyProtection="1">
      <alignment horizontal="center" vertical="center" wrapText="1"/>
      <protection hidden="1"/>
    </xf>
    <xf numFmtId="1" fontId="211" fillId="25" borderId="9" xfId="0" applyNumberFormat="1" applyFont="1" applyFill="1" applyBorder="1" applyAlignment="1" applyProtection="1">
      <alignment horizontal="center" vertical="center" wrapText="1"/>
      <protection hidden="1"/>
    </xf>
    <xf numFmtId="0" fontId="122" fillId="0" borderId="29" xfId="0" applyFont="1" applyBorder="1" applyAlignment="1" applyProtection="1">
      <alignment horizontal="center"/>
      <protection hidden="1"/>
    </xf>
    <xf numFmtId="0" fontId="246" fillId="0" borderId="29" xfId="0" applyFont="1" applyBorder="1" applyAlignment="1" applyProtection="1">
      <alignment horizontal="center" vertical="top" wrapText="1"/>
      <protection hidden="1"/>
    </xf>
    <xf numFmtId="1" fontId="122" fillId="0" borderId="29" xfId="0" applyNumberFormat="1" applyFont="1" applyBorder="1" applyAlignment="1" applyProtection="1">
      <alignment horizontal="center" wrapText="1"/>
      <protection hidden="1"/>
    </xf>
    <xf numFmtId="0" fontId="81" fillId="23" borderId="28" xfId="0" applyFont="1" applyFill="1" applyBorder="1" applyAlignment="1" applyProtection="1">
      <alignment horizontal="center" vertical="center" wrapText="1" readingOrder="1"/>
      <protection hidden="1"/>
    </xf>
    <xf numFmtId="0" fontId="81" fillId="23" borderId="11" xfId="0" applyFont="1" applyFill="1" applyBorder="1" applyAlignment="1" applyProtection="1">
      <alignment vertical="center" wrapText="1" readingOrder="1"/>
      <protection hidden="1"/>
    </xf>
    <xf numFmtId="1" fontId="243" fillId="0" borderId="33" xfId="0" applyNumberFormat="1" applyFont="1" applyBorder="1" applyAlignment="1" applyProtection="1">
      <alignment horizontal="center" vertical="center" wrapText="1"/>
      <protection hidden="1"/>
    </xf>
    <xf numFmtId="1" fontId="243" fillId="0" borderId="74" xfId="0" applyNumberFormat="1" applyFont="1" applyBorder="1" applyAlignment="1" applyProtection="1">
      <alignment horizontal="center" vertical="center" wrapText="1"/>
      <protection hidden="1"/>
    </xf>
    <xf numFmtId="0" fontId="247" fillId="0" borderId="0" xfId="0" applyFont="1" applyAlignment="1" applyProtection="1">
      <alignment horizontal="center" vertical="top" wrapText="1"/>
      <protection hidden="1"/>
    </xf>
    <xf numFmtId="2" fontId="247" fillId="0" borderId="0" xfId="0" applyNumberFormat="1" applyFont="1" applyAlignment="1" applyProtection="1">
      <alignment horizontal="center" vertical="top" wrapText="1"/>
      <protection hidden="1"/>
    </xf>
    <xf numFmtId="0" fontId="122" fillId="0" borderId="0" xfId="0" applyFont="1" applyAlignment="1" applyProtection="1">
      <alignment horizontal="center" vertical="top" wrapText="1"/>
      <protection hidden="1"/>
    </xf>
    <xf numFmtId="1" fontId="243" fillId="24" borderId="1" xfId="0" applyNumberFormat="1" applyFont="1" applyFill="1" applyBorder="1" applyAlignment="1" applyProtection="1">
      <alignment horizontal="center" vertical="center" wrapText="1"/>
      <protection hidden="1"/>
    </xf>
    <xf numFmtId="2" fontId="243" fillId="0" borderId="1" xfId="0" applyNumberFormat="1" applyFont="1" applyBorder="1" applyAlignment="1" applyProtection="1">
      <alignment horizontal="center" vertical="center" wrapText="1" readingOrder="1"/>
      <protection hidden="1"/>
    </xf>
    <xf numFmtId="1" fontId="243" fillId="0" borderId="1" xfId="0" applyNumberFormat="1" applyFont="1" applyBorder="1" applyAlignment="1" applyProtection="1">
      <alignment horizontal="center" vertical="center" wrapText="1"/>
      <protection hidden="1"/>
    </xf>
    <xf numFmtId="1" fontId="243" fillId="40" borderId="1" xfId="0" applyNumberFormat="1" applyFont="1" applyFill="1" applyBorder="1" applyAlignment="1" applyProtection="1">
      <alignment vertical="center" wrapText="1" readingOrder="1"/>
      <protection hidden="1"/>
    </xf>
    <xf numFmtId="1" fontId="243" fillId="25" borderId="30" xfId="0" applyNumberFormat="1" applyFont="1" applyFill="1" applyBorder="1" applyAlignment="1" applyProtection="1">
      <alignment horizontal="center" vertical="center" wrapText="1" readingOrder="1"/>
      <protection hidden="1"/>
    </xf>
    <xf numFmtId="1" fontId="243" fillId="25" borderId="32" xfId="0" applyNumberFormat="1" applyFont="1" applyFill="1" applyBorder="1" applyAlignment="1" applyProtection="1">
      <alignment horizontal="center" vertical="center" wrapText="1" readingOrder="1"/>
      <protection hidden="1"/>
    </xf>
    <xf numFmtId="2" fontId="243" fillId="27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43" fillId="25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43" fillId="0" borderId="9" xfId="0" applyNumberFormat="1" applyFont="1" applyBorder="1" applyAlignment="1" applyProtection="1">
      <alignment horizontal="center" vertical="center" wrapText="1"/>
      <protection hidden="1"/>
    </xf>
    <xf numFmtId="1" fontId="243" fillId="0" borderId="28" xfId="0" applyNumberFormat="1" applyFont="1" applyBorder="1" applyAlignment="1" applyProtection="1">
      <alignment horizontal="center" vertical="center" wrapText="1"/>
      <protection hidden="1"/>
    </xf>
    <xf numFmtId="2" fontId="246" fillId="0" borderId="28" xfId="0" applyNumberFormat="1" applyFont="1" applyBorder="1" applyAlignment="1" applyProtection="1">
      <alignment horizontal="center" vertical="top" wrapText="1"/>
      <protection hidden="1"/>
    </xf>
    <xf numFmtId="2" fontId="246" fillId="0" borderId="62" xfId="0" applyNumberFormat="1" applyFont="1" applyBorder="1" applyAlignment="1" applyProtection="1">
      <alignment horizontal="center" vertical="top" wrapText="1"/>
      <protection hidden="1"/>
    </xf>
    <xf numFmtId="1" fontId="243" fillId="27" borderId="1" xfId="0" applyNumberFormat="1" applyFont="1" applyFill="1" applyBorder="1" applyAlignment="1" applyProtection="1">
      <alignment vertical="center" wrapText="1" readingOrder="1"/>
      <protection hidden="1"/>
    </xf>
    <xf numFmtId="1" fontId="243" fillId="24" borderId="3" xfId="0" applyNumberFormat="1" applyFont="1" applyFill="1" applyBorder="1" applyAlignment="1" applyProtection="1">
      <alignment horizontal="right" vertical="center" wrapText="1" readingOrder="1"/>
      <protection hidden="1"/>
    </xf>
    <xf numFmtId="1" fontId="243" fillId="25" borderId="67" xfId="0" applyNumberFormat="1" applyFont="1" applyFill="1" applyBorder="1" applyAlignment="1" applyProtection="1">
      <alignment horizontal="center" vertical="center" wrapText="1" readingOrder="1"/>
      <protection hidden="1"/>
    </xf>
    <xf numFmtId="2" fontId="243" fillId="25" borderId="67" xfId="0" applyNumberFormat="1" applyFont="1" applyFill="1" applyBorder="1" applyAlignment="1" applyProtection="1">
      <alignment horizontal="center" vertical="center" wrapText="1" readingOrder="1"/>
      <protection hidden="1"/>
    </xf>
    <xf numFmtId="1" fontId="243" fillId="0" borderId="67" xfId="0" applyNumberFormat="1" applyFont="1" applyBorder="1" applyAlignment="1" applyProtection="1">
      <alignment horizontal="center" vertical="center" wrapText="1"/>
      <protection hidden="1"/>
    </xf>
    <xf numFmtId="1" fontId="82" fillId="25" borderId="67" xfId="0" applyNumberFormat="1" applyFont="1" applyFill="1" applyBorder="1" applyAlignment="1" applyProtection="1">
      <alignment horizontal="center" vertical="top" wrapText="1"/>
      <protection hidden="1"/>
    </xf>
    <xf numFmtId="1" fontId="82" fillId="25" borderId="30" xfId="0" applyNumberFormat="1" applyFont="1" applyFill="1" applyBorder="1" applyAlignment="1" applyProtection="1">
      <alignment horizontal="center" vertical="top" wrapText="1"/>
      <protection hidden="1"/>
    </xf>
    <xf numFmtId="1" fontId="82" fillId="25" borderId="32" xfId="0" applyNumberFormat="1" applyFont="1" applyFill="1" applyBorder="1" applyAlignment="1" applyProtection="1">
      <alignment horizontal="center" vertical="top" wrapText="1"/>
      <protection hidden="1"/>
    </xf>
    <xf numFmtId="0" fontId="256" fillId="0" borderId="0" xfId="0" applyFont="1" applyAlignment="1" applyProtection="1">
      <alignment horizontal="center" vertical="top" wrapText="1"/>
      <protection hidden="1"/>
    </xf>
    <xf numFmtId="0" fontId="278" fillId="0" borderId="1" xfId="0" applyFont="1" applyBorder="1" applyAlignment="1" applyProtection="1">
      <alignment horizontal="center" vertical="top" wrapText="1"/>
      <protection hidden="1"/>
    </xf>
    <xf numFmtId="0" fontId="278" fillId="0" borderId="9" xfId="0" applyFont="1" applyBorder="1" applyAlignment="1" applyProtection="1">
      <alignment horizontal="center" vertical="top" wrapText="1"/>
      <protection hidden="1"/>
    </xf>
    <xf numFmtId="1" fontId="277" fillId="25" borderId="1" xfId="0" applyNumberFormat="1" applyFont="1" applyFill="1" applyBorder="1" applyAlignment="1" applyProtection="1">
      <alignment horizontal="center" vertical="center" wrapText="1"/>
      <protection hidden="1"/>
    </xf>
    <xf numFmtId="1" fontId="279" fillId="0" borderId="1" xfId="0" applyNumberFormat="1" applyFont="1" applyBorder="1" applyAlignment="1" applyProtection="1">
      <alignment horizontal="center" vertical="center" wrapText="1"/>
      <protection hidden="1"/>
    </xf>
    <xf numFmtId="0" fontId="278" fillId="27" borderId="10" xfId="0" applyFont="1" applyFill="1" applyBorder="1" applyAlignment="1" applyProtection="1">
      <alignment horizontal="center" vertical="top" wrapText="1"/>
      <protection hidden="1"/>
    </xf>
    <xf numFmtId="0" fontId="278" fillId="27" borderId="1" xfId="0" applyFont="1" applyFill="1" applyBorder="1" applyAlignment="1" applyProtection="1">
      <alignment horizontal="center" vertical="top" wrapText="1"/>
      <protection hidden="1"/>
    </xf>
    <xf numFmtId="0" fontId="278" fillId="27" borderId="9" xfId="0" applyFont="1" applyFill="1" applyBorder="1" applyAlignment="1" applyProtection="1">
      <alignment horizontal="center" vertical="top" wrapText="1"/>
      <protection hidden="1"/>
    </xf>
    <xf numFmtId="1" fontId="280" fillId="26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80" fillId="64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81" fillId="33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43" fillId="0" borderId="11" xfId="0" applyNumberFormat="1" applyFont="1" applyBorder="1" applyAlignment="1" applyProtection="1">
      <alignment horizontal="center" vertical="center" wrapText="1" readingOrder="1"/>
      <protection hidden="1"/>
    </xf>
    <xf numFmtId="1" fontId="243" fillId="0" borderId="76" xfId="0" applyNumberFormat="1" applyFont="1" applyBorder="1" applyAlignment="1" applyProtection="1">
      <alignment horizontal="center" vertical="center" wrapText="1" readingOrder="1"/>
      <protection hidden="1"/>
    </xf>
    <xf numFmtId="1" fontId="243" fillId="0" borderId="67" xfId="0" applyNumberFormat="1" applyFont="1" applyBorder="1" applyAlignment="1" applyProtection="1">
      <alignment horizontal="center" vertical="center" wrapText="1" readingOrder="1"/>
      <protection hidden="1"/>
    </xf>
    <xf numFmtId="0" fontId="95" fillId="27" borderId="10" xfId="0" applyFont="1" applyFill="1" applyBorder="1" applyAlignment="1" applyProtection="1">
      <alignment horizontal="center" vertical="top" wrapText="1"/>
      <protection hidden="1"/>
    </xf>
    <xf numFmtId="0" fontId="95" fillId="27" borderId="1" xfId="0" applyFont="1" applyFill="1" applyBorder="1" applyAlignment="1" applyProtection="1">
      <alignment horizontal="center" vertical="top" wrapText="1"/>
      <protection hidden="1"/>
    </xf>
    <xf numFmtId="0" fontId="95" fillId="27" borderId="9" xfId="0" applyFont="1" applyFill="1" applyBorder="1" applyAlignment="1" applyProtection="1">
      <alignment horizontal="center" vertical="top" wrapText="1"/>
      <protection hidden="1"/>
    </xf>
    <xf numFmtId="1" fontId="157" fillId="0" borderId="9" xfId="0" applyNumberFormat="1" applyFont="1" applyBorder="1" applyAlignment="1" applyProtection="1">
      <alignment horizontal="right" vertical="center" wrapText="1" readingOrder="1"/>
      <protection hidden="1"/>
    </xf>
    <xf numFmtId="0" fontId="274" fillId="33" borderId="0" xfId="0" applyFont="1" applyFill="1" applyAlignment="1" applyProtection="1">
      <alignment horizontal="center" vertical="center" textRotation="90" wrapText="1"/>
      <protection hidden="1"/>
    </xf>
    <xf numFmtId="0" fontId="33" fillId="33" borderId="39" xfId="0" applyFont="1" applyFill="1" applyBorder="1" applyAlignment="1" applyProtection="1">
      <alignment horizontal="center" vertical="center" textRotation="90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" fillId="0" borderId="60" xfId="0" applyFont="1" applyBorder="1"/>
    <xf numFmtId="0" fontId="1" fillId="0" borderId="18" xfId="0" applyFont="1" applyBorder="1" applyAlignment="1" applyProtection="1">
      <alignment horizontal="center" vertical="center" wrapText="1"/>
      <protection hidden="1"/>
    </xf>
    <xf numFmtId="0" fontId="1" fillId="0" borderId="33" xfId="0" applyFont="1" applyBorder="1" applyAlignment="1" applyProtection="1">
      <alignment horizontal="center" vertical="center" wrapText="1"/>
      <protection hidden="1"/>
    </xf>
    <xf numFmtId="0" fontId="1" fillId="0" borderId="31" xfId="0" applyFont="1" applyBorder="1" applyAlignment="1" applyProtection="1">
      <alignment horizontal="center" vertical="center" wrapText="1"/>
      <protection hidden="1"/>
    </xf>
    <xf numFmtId="0" fontId="1" fillId="27" borderId="0" xfId="0" applyFont="1" applyFill="1" applyAlignment="1" applyProtection="1">
      <alignment horizontal="center" vertical="center"/>
      <protection hidden="1"/>
    </xf>
    <xf numFmtId="0" fontId="1" fillId="27" borderId="0" xfId="0" applyFont="1" applyFill="1" applyAlignment="1" applyProtection="1">
      <alignment horizontal="center" vertical="center" wrapText="1"/>
      <protection hidden="1"/>
    </xf>
    <xf numFmtId="0" fontId="41" fillId="7" borderId="1" xfId="0" applyFont="1" applyFill="1" applyBorder="1" applyAlignment="1" applyProtection="1">
      <alignment horizontal="center" vertical="center"/>
      <protection hidden="1"/>
    </xf>
    <xf numFmtId="0" fontId="1" fillId="5" borderId="1" xfId="0" applyFont="1" applyFill="1" applyBorder="1" applyAlignment="1" applyProtection="1">
      <alignment horizontal="center" vertical="center"/>
      <protection hidden="1"/>
    </xf>
    <xf numFmtId="0" fontId="1" fillId="9" borderId="18" xfId="0" applyFont="1" applyFill="1" applyBorder="1" applyAlignment="1" applyProtection="1">
      <alignment vertical="center" wrapText="1"/>
      <protection hidden="1"/>
    </xf>
    <xf numFmtId="0" fontId="41" fillId="9" borderId="18" xfId="0" applyFont="1" applyFill="1" applyBorder="1" applyAlignment="1" applyProtection="1">
      <alignment horizontal="center" vertical="center"/>
      <protection hidden="1"/>
    </xf>
    <xf numFmtId="1" fontId="1" fillId="9" borderId="3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vertical="center" wrapText="1"/>
      <protection hidden="1"/>
    </xf>
    <xf numFmtId="0" fontId="1" fillId="6" borderId="1" xfId="0" applyFont="1" applyFill="1" applyBorder="1" applyAlignment="1" applyProtection="1">
      <alignment horizontal="center" vertical="center"/>
      <protection hidden="1"/>
    </xf>
    <xf numFmtId="0" fontId="41" fillId="3" borderId="1" xfId="0" applyFont="1" applyFill="1" applyBorder="1" applyAlignment="1" applyProtection="1">
      <alignment horizontal="center" vertical="center"/>
      <protection hidden="1"/>
    </xf>
    <xf numFmtId="0" fontId="41" fillId="27" borderId="0" xfId="0" applyFont="1" applyFill="1" applyAlignment="1" applyProtection="1">
      <alignment horizontal="center" vertical="center"/>
      <protection hidden="1"/>
    </xf>
    <xf numFmtId="0" fontId="1" fillId="9" borderId="0" xfId="0" applyFont="1" applyFill="1" applyAlignment="1" applyProtection="1">
      <alignment vertical="center" wrapText="1"/>
      <protection hidden="1"/>
    </xf>
    <xf numFmtId="0" fontId="1" fillId="8" borderId="1" xfId="0" applyFont="1" applyFill="1" applyBorder="1" applyAlignment="1" applyProtection="1">
      <alignment horizontal="center" vertical="center" wrapText="1"/>
      <protection hidden="1"/>
    </xf>
    <xf numFmtId="0" fontId="1" fillId="9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1" fontId="1" fillId="0" borderId="18" xfId="0" applyNumberFormat="1" applyFont="1" applyBorder="1" applyAlignment="1" applyProtection="1">
      <alignment horizontal="center" vertical="center" wrapText="1"/>
      <protection hidden="1"/>
    </xf>
    <xf numFmtId="0" fontId="1" fillId="0" borderId="25" xfId="0" applyFont="1" applyBorder="1" applyAlignment="1" applyProtection="1">
      <alignment vertical="center" wrapText="1"/>
      <protection hidden="1"/>
    </xf>
    <xf numFmtId="1" fontId="1" fillId="0" borderId="1" xfId="0" applyNumberFormat="1" applyFont="1" applyBorder="1" applyAlignment="1" applyProtection="1">
      <alignment horizontal="center" vertical="center" wrapText="1"/>
      <protection hidden="1"/>
    </xf>
    <xf numFmtId="10" fontId="1" fillId="0" borderId="0" xfId="12" applyNumberFormat="1" applyFont="1" applyAlignment="1" applyProtection="1">
      <alignment horizontal="center" vertical="center" wrapText="1"/>
      <protection hidden="1"/>
    </xf>
    <xf numFmtId="10" fontId="1" fillId="0" borderId="0" xfId="12" applyNumberFormat="1" applyFont="1" applyAlignment="1" applyProtection="1">
      <alignment horizontal="left" vertical="center"/>
      <protection hidden="1"/>
    </xf>
    <xf numFmtId="0" fontId="1" fillId="0" borderId="1" xfId="0" applyFont="1" applyBorder="1" applyAlignment="1" applyProtection="1">
      <alignment vertical="center" wrapText="1"/>
      <protection hidden="1"/>
    </xf>
    <xf numFmtId="0" fontId="1" fillId="9" borderId="0" xfId="0" applyFont="1" applyFill="1" applyProtection="1">
      <protection hidden="1"/>
    </xf>
    <xf numFmtId="0" fontId="41" fillId="12" borderId="0" xfId="0" applyFont="1" applyFill="1" applyProtection="1">
      <protection hidden="1"/>
    </xf>
    <xf numFmtId="0" fontId="1" fillId="0" borderId="25" xfId="0" applyFont="1" applyBorder="1" applyProtection="1">
      <protection hidden="1"/>
    </xf>
    <xf numFmtId="0" fontId="1" fillId="0" borderId="34" xfId="0" applyFont="1" applyBorder="1" applyProtection="1">
      <protection hidden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76" fillId="33" borderId="0" xfId="0" applyFont="1" applyFill="1" applyAlignment="1" applyProtection="1">
      <alignment horizontal="center" vertical="center" textRotation="90" wrapText="1"/>
      <protection hidden="1"/>
    </xf>
    <xf numFmtId="0" fontId="243" fillId="0" borderId="0" xfId="0" applyFont="1" applyAlignment="1" applyProtection="1">
      <alignment horizontal="center" vertical="center" wrapText="1" readingOrder="1"/>
      <protection hidden="1"/>
    </xf>
    <xf numFmtId="0" fontId="275" fillId="26" borderId="4" xfId="0" applyFont="1" applyFill="1" applyBorder="1" applyAlignment="1" applyProtection="1">
      <alignment horizontal="center" vertical="center" textRotation="90"/>
      <protection hidden="1"/>
    </xf>
    <xf numFmtId="1" fontId="44" fillId="0" borderId="28" xfId="0" applyNumberFormat="1" applyFont="1" applyBorder="1" applyAlignment="1" applyProtection="1">
      <alignment horizontal="center"/>
      <protection hidden="1"/>
    </xf>
    <xf numFmtId="0" fontId="190" fillId="26" borderId="102" xfId="0" applyFont="1" applyFill="1" applyBorder="1" applyAlignment="1" applyProtection="1">
      <alignment horizontal="center" vertical="center" wrapText="1" readingOrder="1"/>
      <protection hidden="1"/>
    </xf>
    <xf numFmtId="0" fontId="190" fillId="29" borderId="104" xfId="0" applyFont="1" applyFill="1" applyBorder="1" applyAlignment="1" applyProtection="1">
      <alignment horizontal="center" vertical="center" wrapText="1" readingOrder="1"/>
      <protection hidden="1"/>
    </xf>
    <xf numFmtId="0" fontId="191" fillId="41" borderId="105" xfId="0" applyFont="1" applyFill="1" applyBorder="1" applyAlignment="1" applyProtection="1">
      <alignment horizontal="center" vertical="center" wrapText="1" readingOrder="1"/>
      <protection hidden="1"/>
    </xf>
    <xf numFmtId="0" fontId="269" fillId="41" borderId="106" xfId="0" applyFont="1" applyFill="1" applyBorder="1" applyAlignment="1" applyProtection="1">
      <alignment horizontal="center" vertical="center" wrapText="1" readingOrder="1"/>
      <protection hidden="1"/>
    </xf>
    <xf numFmtId="0" fontId="196" fillId="42" borderId="0" xfId="0" applyFont="1" applyFill="1" applyAlignment="1" applyProtection="1">
      <alignment horizontal="center" vertical="center" wrapText="1" readingOrder="1"/>
      <protection hidden="1"/>
    </xf>
    <xf numFmtId="1" fontId="103" fillId="25" borderId="114" xfId="0" applyNumberFormat="1" applyFont="1" applyFill="1" applyBorder="1" applyAlignment="1" applyProtection="1">
      <alignment horizontal="center" vertical="top" wrapText="1"/>
      <protection hidden="1"/>
    </xf>
    <xf numFmtId="0" fontId="245" fillId="0" borderId="34" xfId="0" applyFont="1" applyBorder="1" applyAlignment="1" applyProtection="1">
      <alignment horizontal="center" vertical="center" wrapText="1"/>
      <protection hidden="1"/>
    </xf>
    <xf numFmtId="1" fontId="103" fillId="0" borderId="0" xfId="0" applyNumberFormat="1" applyFont="1" applyAlignment="1" applyProtection="1">
      <alignment horizontal="center" vertical="top" wrapText="1"/>
      <protection hidden="1"/>
    </xf>
    <xf numFmtId="1" fontId="127" fillId="32" borderId="8" xfId="0" applyNumberFormat="1" applyFont="1" applyFill="1" applyBorder="1" applyAlignment="1" applyProtection="1">
      <alignment horizontal="center" vertical="center" wrapText="1"/>
      <protection hidden="1"/>
    </xf>
    <xf numFmtId="0" fontId="221" fillId="37" borderId="0" xfId="0" applyFont="1" applyFill="1" applyProtection="1">
      <protection hidden="1"/>
    </xf>
    <xf numFmtId="1" fontId="221" fillId="37" borderId="1" xfId="0" applyNumberFormat="1" applyFont="1" applyFill="1" applyBorder="1" applyProtection="1">
      <protection hidden="1"/>
    </xf>
    <xf numFmtId="168" fontId="221" fillId="37" borderId="0" xfId="0" applyNumberFormat="1" applyFont="1" applyFill="1" applyProtection="1">
      <protection hidden="1"/>
    </xf>
    <xf numFmtId="2" fontId="221" fillId="37" borderId="1" xfId="0" applyNumberFormat="1" applyFont="1" applyFill="1" applyBorder="1" applyAlignment="1" applyProtection="1">
      <alignment horizontal="center" vertical="top" wrapText="1"/>
      <protection hidden="1"/>
    </xf>
    <xf numFmtId="1" fontId="221" fillId="37" borderId="1" xfId="0" applyNumberFormat="1" applyFont="1" applyFill="1" applyBorder="1" applyAlignment="1" applyProtection="1">
      <alignment horizontal="center" vertical="top" wrapText="1"/>
      <protection hidden="1"/>
    </xf>
    <xf numFmtId="1" fontId="221" fillId="37" borderId="1" xfId="0" applyNumberFormat="1" applyFont="1" applyFill="1" applyBorder="1" applyAlignment="1" applyProtection="1">
      <alignment horizontal="center"/>
      <protection hidden="1"/>
    </xf>
    <xf numFmtId="1" fontId="243" fillId="27" borderId="0" xfId="0" applyNumberFormat="1" applyFont="1" applyFill="1" applyAlignment="1" applyProtection="1">
      <alignment vertical="center" wrapText="1" readingOrder="1"/>
      <protection hidden="1"/>
    </xf>
    <xf numFmtId="0" fontId="283" fillId="0" borderId="0" xfId="0" applyFont="1" applyAlignment="1" applyProtection="1">
      <alignment horizontal="center" vertical="center" wrapText="1"/>
      <protection hidden="1"/>
    </xf>
    <xf numFmtId="1" fontId="226" fillId="25" borderId="26" xfId="0" applyNumberFormat="1" applyFont="1" applyFill="1" applyBorder="1" applyAlignment="1" applyProtection="1">
      <alignment horizontal="center" vertical="center" wrapText="1"/>
      <protection hidden="1"/>
    </xf>
    <xf numFmtId="1" fontId="226" fillId="25" borderId="7" xfId="0" applyNumberFormat="1" applyFont="1" applyFill="1" applyBorder="1" applyAlignment="1" applyProtection="1">
      <alignment horizontal="center" vertical="center" wrapText="1"/>
      <protection hidden="1"/>
    </xf>
    <xf numFmtId="1" fontId="226" fillId="25" borderId="24" xfId="0" applyNumberFormat="1" applyFont="1" applyFill="1" applyBorder="1" applyAlignment="1" applyProtection="1">
      <alignment horizontal="center" vertical="center" wrapText="1"/>
      <protection hidden="1"/>
    </xf>
    <xf numFmtId="1" fontId="226" fillId="0" borderId="0" xfId="0" applyNumberFormat="1" applyFont="1" applyAlignment="1" applyProtection="1">
      <alignment horizontal="right" vertical="center" wrapText="1" readingOrder="1"/>
      <protection hidden="1"/>
    </xf>
    <xf numFmtId="1" fontId="221" fillId="0" borderId="1" xfId="0" applyNumberFormat="1" applyFont="1" applyBorder="1" applyAlignment="1" applyProtection="1">
      <alignment horizontal="center"/>
      <protection hidden="1"/>
    </xf>
    <xf numFmtId="1" fontId="50" fillId="24" borderId="1" xfId="0" applyNumberFormat="1" applyFont="1" applyFill="1" applyBorder="1" applyAlignment="1" applyProtection="1">
      <alignment horizontal="center"/>
      <protection hidden="1"/>
    </xf>
    <xf numFmtId="1" fontId="103" fillId="25" borderId="115" xfId="0" applyNumberFormat="1" applyFont="1" applyFill="1" applyBorder="1" applyAlignment="1" applyProtection="1">
      <alignment horizontal="center" vertical="top" wrapText="1"/>
      <protection hidden="1"/>
    </xf>
    <xf numFmtId="1" fontId="103" fillId="25" borderId="1" xfId="0" applyNumberFormat="1" applyFont="1" applyFill="1" applyBorder="1" applyAlignment="1" applyProtection="1">
      <alignment horizontal="center" vertical="top" wrapText="1"/>
      <protection hidden="1"/>
    </xf>
    <xf numFmtId="0" fontId="47" fillId="0" borderId="1" xfId="0" applyFont="1" applyBorder="1" applyAlignment="1" applyProtection="1">
      <alignment horizontal="center" vertical="center" wrapText="1"/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0" borderId="65" xfId="0" applyFont="1" applyBorder="1" applyAlignment="1" applyProtection="1">
      <alignment horizontal="center" vertical="center" wrapText="1"/>
      <protection hidden="1"/>
    </xf>
    <xf numFmtId="0" fontId="226" fillId="27" borderId="3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5" xfId="0" applyFont="1" applyFill="1" applyBorder="1" applyAlignment="1" applyProtection="1">
      <alignment horizontal="center" vertical="center" wrapText="1" readingOrder="1"/>
      <protection hidden="1"/>
    </xf>
    <xf numFmtId="0" fontId="243" fillId="36" borderId="0" xfId="0" applyFont="1" applyFill="1" applyAlignment="1" applyProtection="1">
      <alignment horizontal="center" vertical="center" wrapText="1" readingOrder="1"/>
      <protection hidden="1"/>
    </xf>
    <xf numFmtId="0" fontId="243" fillId="0" borderId="29" xfId="0" applyFont="1" applyBorder="1" applyAlignment="1" applyProtection="1">
      <alignment horizontal="center" vertical="center" wrapText="1" readingOrder="1"/>
      <protection hidden="1"/>
    </xf>
    <xf numFmtId="0" fontId="248" fillId="26" borderId="36" xfId="0" applyFont="1" applyFill="1" applyBorder="1" applyAlignment="1" applyProtection="1">
      <alignment horizontal="center" vertical="center" wrapText="1" readingOrder="1"/>
      <protection hidden="1"/>
    </xf>
    <xf numFmtId="0" fontId="248" fillId="26" borderId="0" xfId="0" applyFont="1" applyFill="1" applyAlignment="1" applyProtection="1">
      <alignment horizontal="center" vertical="center" wrapText="1" readingOrder="1"/>
      <protection hidden="1"/>
    </xf>
    <xf numFmtId="0" fontId="248" fillId="26" borderId="39" xfId="0" applyFont="1" applyFill="1" applyBorder="1" applyAlignment="1" applyProtection="1">
      <alignment horizontal="center" vertical="center" wrapText="1" readingOrder="1"/>
      <protection hidden="1"/>
    </xf>
    <xf numFmtId="0" fontId="50" fillId="27" borderId="28" xfId="0" applyFont="1" applyFill="1" applyBorder="1" applyAlignment="1" applyProtection="1">
      <alignment horizontal="center" wrapText="1"/>
      <protection hidden="1"/>
    </xf>
    <xf numFmtId="0" fontId="82" fillId="0" borderId="39" xfId="0" applyFont="1" applyBorder="1" applyAlignment="1" applyProtection="1">
      <alignment horizontal="center"/>
      <protection hidden="1"/>
    </xf>
    <xf numFmtId="0" fontId="246" fillId="0" borderId="1" xfId="0" applyFont="1" applyBorder="1" applyAlignment="1" applyProtection="1">
      <alignment horizontal="center" vertical="center" wrapText="1"/>
      <protection hidden="1"/>
    </xf>
    <xf numFmtId="0" fontId="245" fillId="0" borderId="39" xfId="0" applyFont="1" applyBorder="1" applyAlignment="1" applyProtection="1">
      <alignment horizontal="center" vertical="center" wrapText="1"/>
      <protection hidden="1"/>
    </xf>
    <xf numFmtId="0" fontId="235" fillId="26" borderId="39" xfId="0" applyFont="1" applyFill="1" applyBorder="1" applyAlignment="1" applyProtection="1">
      <alignment horizontal="center" vertical="center" wrapText="1" readingOrder="1"/>
      <protection hidden="1"/>
    </xf>
    <xf numFmtId="0" fontId="235" fillId="26" borderId="40" xfId="0" applyFont="1" applyFill="1" applyBorder="1" applyAlignment="1" applyProtection="1">
      <alignment horizontal="center" vertical="center" wrapText="1" readingOrder="1"/>
      <protection hidden="1"/>
    </xf>
    <xf numFmtId="0" fontId="235" fillId="29" borderId="73" xfId="0" applyFont="1" applyFill="1" applyBorder="1" applyAlignment="1" applyProtection="1">
      <alignment horizontal="center" vertical="center" wrapText="1" readingOrder="1"/>
      <protection hidden="1"/>
    </xf>
    <xf numFmtId="0" fontId="235" fillId="29" borderId="58" xfId="0" applyFont="1" applyFill="1" applyBorder="1" applyAlignment="1" applyProtection="1">
      <alignment horizontal="center" vertical="center" wrapText="1" readingOrder="1"/>
      <protection hidden="1"/>
    </xf>
    <xf numFmtId="0" fontId="43" fillId="0" borderId="30" xfId="0" applyFont="1" applyBorder="1" applyAlignment="1" applyProtection="1">
      <alignment horizontal="center" vertical="center" wrapText="1"/>
      <protection hidden="1"/>
    </xf>
    <xf numFmtId="0" fontId="47" fillId="0" borderId="65" xfId="0" applyFont="1" applyBorder="1" applyAlignment="1" applyProtection="1">
      <alignment horizontal="center" vertical="center" wrapText="1"/>
      <protection hidden="1"/>
    </xf>
    <xf numFmtId="0" fontId="47" fillId="0" borderId="31" xfId="0" applyFont="1" applyBorder="1" applyAlignment="1" applyProtection="1">
      <alignment horizontal="center" vertical="center" wrapText="1"/>
      <protection hidden="1"/>
    </xf>
    <xf numFmtId="0" fontId="47" fillId="0" borderId="45" xfId="0" applyFont="1" applyBorder="1" applyAlignment="1" applyProtection="1">
      <alignment vertical="center" wrapText="1"/>
      <protection hidden="1"/>
    </xf>
    <xf numFmtId="0" fontId="47" fillId="0" borderId="28" xfId="0" applyFont="1" applyBorder="1" applyAlignment="1" applyProtection="1">
      <alignment horizontal="center" vertical="center" wrapText="1"/>
      <protection hidden="1"/>
    </xf>
    <xf numFmtId="0" fontId="47" fillId="0" borderId="9" xfId="0" applyFont="1" applyBorder="1" applyAlignment="1" applyProtection="1">
      <alignment vertical="center" wrapText="1"/>
      <protection hidden="1"/>
    </xf>
    <xf numFmtId="1" fontId="42" fillId="0" borderId="31" xfId="0" applyNumberFormat="1" applyFont="1" applyBorder="1" applyAlignment="1" applyProtection="1">
      <alignment horizontal="center" vertical="center" wrapText="1"/>
      <protection hidden="1"/>
    </xf>
    <xf numFmtId="1" fontId="42" fillId="0" borderId="7" xfId="0" applyNumberFormat="1" applyFont="1" applyBorder="1" applyAlignment="1" applyProtection="1">
      <alignment horizontal="center" vertical="center" wrapText="1"/>
      <protection hidden="1"/>
    </xf>
    <xf numFmtId="0" fontId="42" fillId="9" borderId="43" xfId="0" applyFont="1" applyFill="1" applyBorder="1" applyAlignment="1" applyProtection="1">
      <alignment horizontal="center" vertical="center" wrapText="1"/>
      <protection hidden="1"/>
    </xf>
    <xf numFmtId="1" fontId="42" fillId="9" borderId="28" xfId="0" applyNumberFormat="1" applyFont="1" applyFill="1" applyBorder="1" applyAlignment="1" applyProtection="1">
      <alignment horizontal="center"/>
      <protection hidden="1"/>
    </xf>
    <xf numFmtId="1" fontId="42" fillId="0" borderId="1" xfId="0" applyNumberFormat="1" applyFont="1" applyBorder="1" applyAlignment="1" applyProtection="1">
      <alignment horizontal="center" vertical="center" wrapText="1"/>
      <protection hidden="1"/>
    </xf>
    <xf numFmtId="1" fontId="43" fillId="3" borderId="1" xfId="0" applyNumberFormat="1" applyFont="1" applyFill="1" applyBorder="1" applyAlignment="1" applyProtection="1">
      <alignment horizontal="center" vertical="center" wrapText="1"/>
      <protection hidden="1"/>
    </xf>
    <xf numFmtId="1" fontId="43" fillId="3" borderId="9" xfId="0" applyNumberFormat="1" applyFont="1" applyFill="1" applyBorder="1" applyAlignment="1" applyProtection="1">
      <alignment horizontal="center" vertical="center" wrapText="1"/>
      <protection hidden="1"/>
    </xf>
    <xf numFmtId="168" fontId="42" fillId="0" borderId="1" xfId="0" applyNumberFormat="1" applyFont="1" applyBorder="1" applyAlignment="1" applyProtection="1">
      <alignment horizontal="center" vertical="center" wrapText="1"/>
      <protection hidden="1"/>
    </xf>
    <xf numFmtId="1" fontId="43" fillId="0" borderId="31" xfId="0" applyNumberFormat="1" applyFont="1" applyBorder="1" applyAlignment="1" applyProtection="1">
      <alignment horizontal="right"/>
      <protection hidden="1"/>
    </xf>
    <xf numFmtId="1" fontId="287" fillId="7" borderId="31" xfId="0" applyNumberFormat="1" applyFont="1" applyFill="1" applyBorder="1" applyAlignment="1" applyProtection="1">
      <alignment horizontal="right"/>
      <protection hidden="1"/>
    </xf>
    <xf numFmtId="1" fontId="287" fillId="7" borderId="1" xfId="0" applyNumberFormat="1" applyFont="1" applyFill="1" applyBorder="1" applyAlignment="1" applyProtection="1">
      <alignment horizontal="right"/>
      <protection hidden="1"/>
    </xf>
    <xf numFmtId="1" fontId="43" fillId="0" borderId="7" xfId="0" applyNumberFormat="1" applyFont="1" applyBorder="1" applyAlignment="1" applyProtection="1">
      <alignment horizontal="right"/>
      <protection hidden="1"/>
    </xf>
    <xf numFmtId="0" fontId="288" fillId="37" borderId="102" xfId="0" applyFont="1" applyFill="1" applyBorder="1" applyAlignment="1" applyProtection="1">
      <alignment horizontal="center" vertical="center" wrapText="1" readingOrder="1"/>
      <protection hidden="1"/>
    </xf>
    <xf numFmtId="174" fontId="221" fillId="0" borderId="0" xfId="0" applyNumberFormat="1" applyFont="1" applyProtection="1">
      <protection hidden="1"/>
    </xf>
    <xf numFmtId="1" fontId="289" fillId="0" borderId="0" xfId="0" applyNumberFormat="1" applyFont="1" applyAlignment="1" applyProtection="1">
      <alignment horizontal="center"/>
      <protection hidden="1"/>
    </xf>
    <xf numFmtId="2" fontId="49" fillId="0" borderId="0" xfId="0" applyNumberFormat="1" applyFont="1" applyAlignment="1" applyProtection="1">
      <alignment vertical="center" wrapText="1"/>
      <protection hidden="1"/>
    </xf>
    <xf numFmtId="0" fontId="43" fillId="9" borderId="1" xfId="0" applyFont="1" applyFill="1" applyBorder="1" applyProtection="1">
      <protection hidden="1"/>
    </xf>
    <xf numFmtId="0" fontId="43" fillId="3" borderId="1" xfId="0" applyFont="1" applyFill="1" applyBorder="1" applyProtection="1">
      <protection hidden="1"/>
    </xf>
    <xf numFmtId="0" fontId="43" fillId="9" borderId="9" xfId="0" applyFont="1" applyFill="1" applyBorder="1" applyProtection="1">
      <protection hidden="1"/>
    </xf>
    <xf numFmtId="0" fontId="43" fillId="37" borderId="1" xfId="0" applyFont="1" applyFill="1" applyBorder="1" applyProtection="1">
      <protection hidden="1"/>
    </xf>
    <xf numFmtId="1" fontId="43" fillId="9" borderId="1" xfId="0" applyNumberFormat="1" applyFont="1" applyFill="1" applyBorder="1" applyProtection="1">
      <protection hidden="1"/>
    </xf>
    <xf numFmtId="1" fontId="43" fillId="9" borderId="9" xfId="0" applyNumberFormat="1" applyFont="1" applyFill="1" applyBorder="1" applyProtection="1">
      <protection hidden="1"/>
    </xf>
    <xf numFmtId="1" fontId="43" fillId="37" borderId="1" xfId="0" applyNumberFormat="1" applyFont="1" applyFill="1" applyBorder="1" applyProtection="1">
      <protection hidden="1"/>
    </xf>
    <xf numFmtId="1" fontId="42" fillId="9" borderId="43" xfId="0" applyNumberFormat="1" applyFont="1" applyFill="1" applyBorder="1" applyAlignment="1" applyProtection="1">
      <alignment horizontal="center" vertical="center" wrapText="1"/>
      <protection hidden="1"/>
    </xf>
    <xf numFmtId="1" fontId="55" fillId="24" borderId="1" xfId="0" applyNumberFormat="1" applyFont="1" applyFill="1" applyBorder="1" applyAlignment="1" applyProtection="1">
      <alignment vertical="center" wrapText="1"/>
      <protection hidden="1"/>
    </xf>
    <xf numFmtId="1" fontId="231" fillId="52" borderId="4" xfId="0" applyNumberFormat="1" applyFont="1" applyFill="1" applyBorder="1" applyAlignment="1" applyProtection="1">
      <alignment wrapText="1"/>
      <protection hidden="1"/>
    </xf>
    <xf numFmtId="0" fontId="118" fillId="0" borderId="0" xfId="0" applyFont="1" applyAlignment="1" applyProtection="1">
      <alignment horizontal="center" vertical="top" wrapText="1"/>
      <protection hidden="1"/>
    </xf>
    <xf numFmtId="0" fontId="82" fillId="0" borderId="0" xfId="0" applyFont="1" applyAlignment="1" applyProtection="1">
      <alignment horizontal="center"/>
      <protection hidden="1"/>
    </xf>
    <xf numFmtId="0" fontId="211" fillId="27" borderId="0" xfId="0" applyFont="1" applyFill="1" applyAlignment="1" applyProtection="1">
      <alignment horizontal="center" vertical="center" wrapText="1"/>
      <protection hidden="1"/>
    </xf>
    <xf numFmtId="0" fontId="244" fillId="27" borderId="0" xfId="0" applyFont="1" applyFill="1" applyAlignment="1" applyProtection="1">
      <alignment horizontal="center" vertical="center" wrapText="1" readingOrder="1"/>
      <protection hidden="1"/>
    </xf>
    <xf numFmtId="0" fontId="248" fillId="27" borderId="0" xfId="0" applyFont="1" applyFill="1" applyAlignment="1" applyProtection="1">
      <alignment horizontal="center" vertical="center" wrapText="1" readingOrder="1"/>
      <protection hidden="1"/>
    </xf>
    <xf numFmtId="0" fontId="226" fillId="27" borderId="0" xfId="0" applyFont="1" applyFill="1" applyAlignment="1" applyProtection="1">
      <alignment horizontal="center" vertical="center" wrapText="1" readingOrder="1"/>
      <protection hidden="1"/>
    </xf>
    <xf numFmtId="0" fontId="268" fillId="24" borderId="0" xfId="0" applyFont="1" applyFill="1" applyAlignment="1" applyProtection="1">
      <alignment horizontal="center" vertical="top" wrapTex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center" vertical="center" wrapText="1"/>
      <protection hidden="1"/>
    </xf>
    <xf numFmtId="0" fontId="5" fillId="0" borderId="33" xfId="0" applyFont="1" applyBorder="1" applyAlignment="1" applyProtection="1">
      <alignment horizontal="center" vertical="center" wrapText="1"/>
      <protection hidden="1"/>
    </xf>
    <xf numFmtId="0" fontId="5" fillId="0" borderId="74" xfId="0" applyFont="1" applyBorder="1" applyAlignment="1" applyProtection="1">
      <alignment horizontal="center" vertical="center" wrapText="1"/>
      <protection hidden="1"/>
    </xf>
    <xf numFmtId="0" fontId="76" fillId="0" borderId="34" xfId="0" applyFont="1" applyBorder="1" applyAlignment="1" applyProtection="1">
      <alignment horizontal="center" vertical="center" textRotation="90"/>
      <protection hidden="1"/>
    </xf>
    <xf numFmtId="0" fontId="41" fillId="0" borderId="0" xfId="0" applyFont="1" applyAlignment="1" applyProtection="1">
      <alignment horizontal="center" vertical="center"/>
      <protection hidden="1"/>
    </xf>
    <xf numFmtId="1" fontId="12" fillId="0" borderId="0" xfId="0" applyNumberFormat="1" applyFont="1" applyAlignment="1" applyProtection="1">
      <alignment horizontal="center" vertical="center" wrapText="1"/>
      <protection hidden="1"/>
    </xf>
    <xf numFmtId="1" fontId="12" fillId="0" borderId="7" xfId="0" applyNumberFormat="1" applyFont="1" applyBorder="1" applyAlignment="1" applyProtection="1">
      <alignment horizontal="center" vertical="center" wrapText="1"/>
      <protection hidden="1"/>
    </xf>
    <xf numFmtId="1" fontId="12" fillId="0" borderId="24" xfId="0" applyNumberFormat="1" applyFont="1" applyBorder="1" applyAlignment="1" applyProtection="1">
      <alignment horizontal="center" vertical="center" wrapText="1"/>
      <protection hidden="1"/>
    </xf>
    <xf numFmtId="1" fontId="12" fillId="0" borderId="18" xfId="0" applyNumberFormat="1" applyFont="1" applyBorder="1" applyAlignment="1" applyProtection="1">
      <alignment horizontal="center" vertical="center" wrapText="1"/>
      <protection hidden="1"/>
    </xf>
    <xf numFmtId="1" fontId="12" fillId="0" borderId="28" xfId="0" applyNumberFormat="1" applyFont="1" applyBorder="1" applyAlignment="1" applyProtection="1">
      <alignment horizontal="center" vertical="center" wrapText="1"/>
      <protection hidden="1"/>
    </xf>
    <xf numFmtId="1" fontId="12" fillId="0" borderId="29" xfId="0" applyNumberFormat="1" applyFont="1" applyBorder="1" applyAlignment="1" applyProtection="1">
      <alignment horizontal="center" vertical="center" wrapText="1"/>
      <protection hidden="1"/>
    </xf>
    <xf numFmtId="0" fontId="47" fillId="0" borderId="0" xfId="0" applyFont="1" applyAlignment="1" applyProtection="1">
      <alignment vertical="center" wrapText="1"/>
      <protection hidden="1"/>
    </xf>
    <xf numFmtId="1" fontId="226" fillId="24" borderId="0" xfId="0" applyNumberFormat="1" applyFont="1" applyFill="1" applyAlignment="1" applyProtection="1">
      <alignment horizontal="center" vertical="center" wrapText="1" readingOrder="1"/>
      <protection locked="0"/>
    </xf>
    <xf numFmtId="0" fontId="50" fillId="27" borderId="0" xfId="0" applyFont="1" applyFill="1" applyAlignment="1" applyProtection="1">
      <alignment horizontal="center" wrapText="1"/>
      <protection hidden="1"/>
    </xf>
    <xf numFmtId="0" fontId="50" fillId="27" borderId="25" xfId="0" applyFont="1" applyFill="1" applyBorder="1" applyAlignment="1" applyProtection="1">
      <alignment horizontal="center" wrapText="1"/>
      <protection hidden="1"/>
    </xf>
    <xf numFmtId="0" fontId="226" fillId="0" borderId="0" xfId="0" applyFont="1" applyAlignment="1" applyProtection="1">
      <alignment horizontal="right" vertical="center" wrapText="1" readingOrder="1"/>
      <protection hidden="1"/>
    </xf>
    <xf numFmtId="0" fontId="211" fillId="0" borderId="0" xfId="0" applyFont="1" applyAlignment="1" applyProtection="1">
      <alignment vertical="center" wrapText="1"/>
      <protection hidden="1"/>
    </xf>
    <xf numFmtId="0" fontId="246" fillId="0" borderId="7" xfId="0" applyFont="1" applyBorder="1" applyAlignment="1" applyProtection="1">
      <alignment horizontal="center" vertical="center" wrapText="1"/>
      <protection hidden="1"/>
    </xf>
    <xf numFmtId="0" fontId="226" fillId="27" borderId="0" xfId="0" applyFont="1" applyFill="1" applyAlignment="1" applyProtection="1">
      <alignment vertical="center" wrapText="1" readingOrder="1"/>
      <protection hidden="1"/>
    </xf>
    <xf numFmtId="1" fontId="226" fillId="25" borderId="0" xfId="0" applyNumberFormat="1" applyFont="1" applyFill="1" applyAlignment="1" applyProtection="1">
      <alignment horizontal="center" vertical="center" wrapText="1"/>
      <protection hidden="1"/>
    </xf>
    <xf numFmtId="0" fontId="273" fillId="42" borderId="0" xfId="0" applyFont="1" applyFill="1" applyAlignment="1" applyProtection="1">
      <alignment horizontal="center" vertical="center" wrapText="1" readingOrder="1"/>
      <protection hidden="1"/>
    </xf>
    <xf numFmtId="1" fontId="103" fillId="25" borderId="0" xfId="0" applyNumberFormat="1" applyFont="1" applyFill="1" applyAlignment="1" applyProtection="1">
      <alignment horizontal="center" vertical="top" wrapText="1"/>
      <protection hidden="1"/>
    </xf>
    <xf numFmtId="0" fontId="246" fillId="27" borderId="0" xfId="0" applyFont="1" applyFill="1" applyAlignment="1" applyProtection="1">
      <alignment horizontal="center" vertical="top" wrapText="1"/>
      <protection hidden="1"/>
    </xf>
    <xf numFmtId="1" fontId="229" fillId="25" borderId="0" xfId="0" applyNumberFormat="1" applyFont="1" applyFill="1" applyAlignment="1" applyProtection="1">
      <alignment horizontal="center" vertical="top" wrapText="1"/>
      <protection hidden="1"/>
    </xf>
    <xf numFmtId="1" fontId="243" fillId="25" borderId="0" xfId="0" applyNumberFormat="1" applyFont="1" applyFill="1" applyAlignment="1" applyProtection="1">
      <alignment horizontal="center" vertical="center" wrapText="1"/>
      <protection hidden="1"/>
    </xf>
    <xf numFmtId="1" fontId="211" fillId="25" borderId="0" xfId="0" applyNumberFormat="1" applyFont="1" applyFill="1" applyAlignment="1" applyProtection="1">
      <alignment horizontal="center" vertical="center" wrapText="1"/>
      <protection hidden="1"/>
    </xf>
    <xf numFmtId="1" fontId="255" fillId="27" borderId="0" xfId="0" applyNumberFormat="1" applyFont="1" applyFill="1" applyAlignment="1" applyProtection="1">
      <alignment horizontal="center" wrapText="1"/>
      <protection hidden="1"/>
    </xf>
    <xf numFmtId="2" fontId="231" fillId="52" borderId="0" xfId="0" applyNumberFormat="1" applyFont="1" applyFill="1" applyAlignment="1" applyProtection="1">
      <alignment horizontal="center" wrapText="1"/>
      <protection hidden="1"/>
    </xf>
    <xf numFmtId="2" fontId="231" fillId="27" borderId="0" xfId="0" applyNumberFormat="1" applyFont="1" applyFill="1" applyAlignment="1" applyProtection="1">
      <alignment horizontal="center" wrapText="1"/>
      <protection hidden="1"/>
    </xf>
    <xf numFmtId="1" fontId="291" fillId="25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91" fillId="0" borderId="1" xfId="0" applyNumberFormat="1" applyFont="1" applyBorder="1" applyAlignment="1" applyProtection="1">
      <alignment horizontal="center" vertical="center" wrapText="1" readingOrder="1"/>
      <protection hidden="1"/>
    </xf>
    <xf numFmtId="1" fontId="292" fillId="24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11" fillId="0" borderId="1" xfId="0" applyNumberFormat="1" applyFont="1" applyBorder="1" applyAlignment="1" applyProtection="1">
      <alignment horizontal="right" vertical="center" wrapText="1"/>
      <protection hidden="1"/>
    </xf>
    <xf numFmtId="0" fontId="250" fillId="0" borderId="39" xfId="0" applyFont="1" applyBorder="1" applyAlignment="1" applyProtection="1">
      <alignment horizontal="center" vertical="center" wrapText="1"/>
      <protection hidden="1"/>
    </xf>
    <xf numFmtId="0" fontId="122" fillId="0" borderId="39" xfId="0" applyFont="1" applyBorder="1" applyAlignment="1" applyProtection="1">
      <alignment horizontal="center" wrapText="1"/>
      <protection hidden="1"/>
    </xf>
    <xf numFmtId="0" fontId="143" fillId="0" borderId="39" xfId="0" applyFont="1" applyBorder="1" applyAlignment="1" applyProtection="1">
      <alignment wrapText="1"/>
      <protection hidden="1"/>
    </xf>
    <xf numFmtId="1" fontId="297" fillId="0" borderId="1" xfId="0" applyNumberFormat="1" applyFont="1" applyBorder="1" applyAlignment="1" applyProtection="1">
      <alignment horizontal="center" vertical="center" wrapText="1"/>
      <protection hidden="1"/>
    </xf>
    <xf numFmtId="1" fontId="297" fillId="40" borderId="33" xfId="0" applyNumberFormat="1" applyFont="1" applyFill="1" applyBorder="1" applyAlignment="1" applyProtection="1">
      <alignment horizontal="center" wrapText="1"/>
      <protection hidden="1"/>
    </xf>
    <xf numFmtId="0" fontId="143" fillId="0" borderId="1" xfId="0" applyFont="1" applyBorder="1" applyAlignment="1" applyProtection="1">
      <alignment horizontal="center" wrapText="1"/>
      <protection hidden="1"/>
    </xf>
    <xf numFmtId="0" fontId="227" fillId="0" borderId="0" xfId="0" applyFont="1" applyAlignment="1" applyProtection="1">
      <alignment horizontal="center" vertical="top" wrapText="1"/>
      <protection hidden="1"/>
    </xf>
    <xf numFmtId="17" fontId="230" fillId="0" borderId="0" xfId="0" applyNumberFormat="1" applyFont="1" applyAlignment="1" applyProtection="1">
      <alignment horizontal="center" vertical="top" wrapText="1"/>
      <protection hidden="1"/>
    </xf>
    <xf numFmtId="1" fontId="226" fillId="24" borderId="10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11" xfId="0" applyNumberFormat="1" applyFont="1" applyFill="1" applyBorder="1" applyAlignment="1" applyProtection="1">
      <alignment horizontal="center" vertical="center" wrapText="1" readingOrder="1"/>
      <protection hidden="1"/>
    </xf>
    <xf numFmtId="1" fontId="122" fillId="27" borderId="0" xfId="0" applyNumberFormat="1" applyFont="1" applyFill="1" applyAlignment="1" applyProtection="1">
      <alignment horizontal="center"/>
      <protection hidden="1"/>
    </xf>
    <xf numFmtId="1" fontId="226" fillId="24" borderId="74" xfId="0" applyNumberFormat="1" applyFont="1" applyFill="1" applyBorder="1" applyAlignment="1" applyProtection="1">
      <alignment horizontal="center" vertical="center" wrapText="1" readingOrder="1"/>
      <protection hidden="1"/>
    </xf>
    <xf numFmtId="1" fontId="50" fillId="0" borderId="3" xfId="0" applyNumberFormat="1" applyFont="1" applyBorder="1" applyAlignment="1" applyProtection="1">
      <alignment horizontal="center" wrapText="1"/>
      <protection hidden="1"/>
    </xf>
    <xf numFmtId="1" fontId="226" fillId="24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9" xfId="0" applyNumberFormat="1" applyFont="1" applyFill="1" applyBorder="1" applyAlignment="1" applyProtection="1">
      <alignment horizontal="center" vertical="center" wrapText="1" readingOrder="1"/>
      <protection hidden="1"/>
    </xf>
    <xf numFmtId="1" fontId="245" fillId="27" borderId="0" xfId="0" applyNumberFormat="1" applyFont="1" applyFill="1" applyAlignment="1" applyProtection="1">
      <alignment horizontal="center" vertical="center" wrapText="1" readingOrder="1"/>
      <protection hidden="1"/>
    </xf>
    <xf numFmtId="0" fontId="50" fillId="27" borderId="65" xfId="0" applyFont="1" applyFill="1" applyBorder="1" applyAlignment="1" applyProtection="1">
      <alignment horizontal="center" wrapText="1"/>
      <protection hidden="1"/>
    </xf>
    <xf numFmtId="1" fontId="213" fillId="0" borderId="0" xfId="0" applyNumberFormat="1" applyFont="1" applyAlignment="1" applyProtection="1">
      <alignment horizontal="center" wrapText="1"/>
      <protection hidden="1"/>
    </xf>
    <xf numFmtId="0" fontId="226" fillId="0" borderId="29" xfId="0" applyFont="1" applyBorder="1" applyAlignment="1" applyProtection="1">
      <alignment horizontal="center" vertical="center" wrapText="1" readingOrder="1"/>
      <protection hidden="1"/>
    </xf>
    <xf numFmtId="1" fontId="211" fillId="24" borderId="28" xfId="0" applyNumberFormat="1" applyFont="1" applyFill="1" applyBorder="1" applyAlignment="1" applyProtection="1">
      <alignment horizontal="center" vertical="center" wrapText="1"/>
      <protection hidden="1"/>
    </xf>
    <xf numFmtId="1" fontId="211" fillId="24" borderId="1" xfId="0" applyNumberFormat="1" applyFont="1" applyFill="1" applyBorder="1" applyAlignment="1" applyProtection="1">
      <alignment horizontal="center" vertical="center" wrapText="1"/>
      <protection hidden="1"/>
    </xf>
    <xf numFmtId="1" fontId="213" fillId="27" borderId="0" xfId="0" applyNumberFormat="1" applyFont="1" applyFill="1" applyAlignment="1" applyProtection="1">
      <alignment horizontal="center" wrapText="1"/>
      <protection hidden="1"/>
    </xf>
    <xf numFmtId="0" fontId="211" fillId="0" borderId="29" xfId="0" applyFont="1" applyBorder="1" applyAlignment="1" applyProtection="1">
      <alignment horizontal="center" vertical="center" wrapText="1"/>
      <protection hidden="1"/>
    </xf>
    <xf numFmtId="1" fontId="264" fillId="0" borderId="0" xfId="0" applyNumberFormat="1" applyFont="1" applyAlignment="1" applyProtection="1">
      <alignment horizontal="center" wrapText="1"/>
      <protection hidden="1"/>
    </xf>
    <xf numFmtId="0" fontId="243" fillId="0" borderId="37" xfId="0" applyFont="1" applyBorder="1" applyAlignment="1" applyProtection="1">
      <alignment horizontal="center" vertical="center" wrapText="1" readingOrder="1"/>
      <protection hidden="1"/>
    </xf>
    <xf numFmtId="1" fontId="245" fillId="24" borderId="11" xfId="0" applyNumberFormat="1" applyFont="1" applyFill="1" applyBorder="1" applyAlignment="1" applyProtection="1">
      <alignment horizontal="center" vertical="center" wrapText="1"/>
      <protection hidden="1"/>
    </xf>
    <xf numFmtId="1" fontId="245" fillId="24" borderId="33" xfId="0" applyNumberFormat="1" applyFont="1" applyFill="1" applyBorder="1" applyAlignment="1" applyProtection="1">
      <alignment horizontal="center" vertical="center" wrapText="1"/>
      <protection hidden="1"/>
    </xf>
    <xf numFmtId="1" fontId="245" fillId="27" borderId="0" xfId="0" applyNumberFormat="1" applyFont="1" applyFill="1" applyAlignment="1" applyProtection="1">
      <alignment horizontal="center" vertical="center" wrapText="1"/>
      <protection hidden="1"/>
    </xf>
    <xf numFmtId="1" fontId="245" fillId="27" borderId="39" xfId="0" applyNumberFormat="1" applyFont="1" applyFill="1" applyBorder="1" applyAlignment="1" applyProtection="1">
      <alignment horizontal="center" vertical="center" wrapText="1"/>
      <protection hidden="1"/>
    </xf>
    <xf numFmtId="1" fontId="243" fillId="27" borderId="0" xfId="0" applyNumberFormat="1" applyFont="1" applyFill="1" applyAlignment="1" applyProtection="1">
      <alignment horizontal="center" vertical="center" wrapText="1" readingOrder="1"/>
      <protection hidden="1"/>
    </xf>
    <xf numFmtId="49" fontId="247" fillId="0" borderId="0" xfId="0" applyNumberFormat="1" applyFont="1" applyAlignment="1" applyProtection="1">
      <alignment horizontal="center" vertical="top" wrapText="1"/>
      <protection hidden="1"/>
    </xf>
    <xf numFmtId="17" fontId="247" fillId="0" borderId="0" xfId="0" applyNumberFormat="1" applyFont="1" applyAlignment="1" applyProtection="1">
      <alignment horizontal="center" vertical="top" wrapText="1"/>
      <protection hidden="1"/>
    </xf>
    <xf numFmtId="0" fontId="122" fillId="0" borderId="0" xfId="0" applyFont="1" applyAlignment="1" applyProtection="1">
      <alignment horizontal="center" wrapText="1"/>
      <protection hidden="1"/>
    </xf>
    <xf numFmtId="0" fontId="256" fillId="0" borderId="0" xfId="0" applyFont="1" applyAlignment="1" applyProtection="1">
      <alignment horizontal="center" wrapText="1"/>
      <protection hidden="1"/>
    </xf>
    <xf numFmtId="2" fontId="231" fillId="25" borderId="1" xfId="0" applyNumberFormat="1" applyFont="1" applyFill="1" applyBorder="1" applyAlignment="1" applyProtection="1">
      <alignment horizontal="center" wrapText="1"/>
      <protection hidden="1"/>
    </xf>
    <xf numFmtId="0" fontId="221" fillId="0" borderId="83" xfId="0" applyFont="1" applyBorder="1" applyAlignment="1" applyProtection="1">
      <alignment horizontal="center"/>
      <protection hidden="1"/>
    </xf>
    <xf numFmtId="166" fontId="241" fillId="41" borderId="0" xfId="0" applyNumberFormat="1" applyFont="1" applyFill="1" applyAlignment="1" applyProtection="1">
      <alignment horizontal="center"/>
      <protection hidden="1"/>
    </xf>
    <xf numFmtId="49" fontId="230" fillId="0" borderId="0" xfId="0" applyNumberFormat="1" applyFont="1" applyAlignment="1" applyProtection="1">
      <alignment horizontal="center" vertical="top" wrapText="1"/>
      <protection hidden="1"/>
    </xf>
    <xf numFmtId="0" fontId="221" fillId="0" borderId="0" xfId="0" applyFont="1" applyAlignment="1" applyProtection="1">
      <alignment horizontal="center" wrapText="1"/>
      <protection hidden="1"/>
    </xf>
    <xf numFmtId="0" fontId="228" fillId="0" borderId="0" xfId="0" applyFont="1" applyAlignment="1" applyProtection="1">
      <alignment horizontal="center" wrapText="1"/>
      <protection hidden="1"/>
    </xf>
    <xf numFmtId="1" fontId="231" fillId="52" borderId="4" xfId="0" applyNumberFormat="1" applyFont="1" applyFill="1" applyBorder="1" applyAlignment="1" applyProtection="1">
      <alignment horizontal="center" wrapText="1"/>
      <protection hidden="1"/>
    </xf>
    <xf numFmtId="1" fontId="231" fillId="27" borderId="0" xfId="0" applyNumberFormat="1" applyFont="1" applyFill="1" applyAlignment="1" applyProtection="1">
      <alignment horizontal="center" wrapText="1"/>
      <protection hidden="1"/>
    </xf>
    <xf numFmtId="175" fontId="221" fillId="0" borderId="0" xfId="12" applyNumberFormat="1" applyFont="1" applyAlignment="1" applyProtection="1">
      <alignment horizontal="center"/>
      <protection hidden="1"/>
    </xf>
    <xf numFmtId="174" fontId="241" fillId="41" borderId="0" xfId="0" applyNumberFormat="1" applyFont="1" applyFill="1" applyAlignment="1" applyProtection="1">
      <alignment horizontal="center"/>
      <protection hidden="1"/>
    </xf>
    <xf numFmtId="174" fontId="221" fillId="0" borderId="0" xfId="0" applyNumberFormat="1" applyFont="1" applyAlignment="1" applyProtection="1">
      <alignment horizontal="center"/>
      <protection hidden="1"/>
    </xf>
    <xf numFmtId="0" fontId="257" fillId="0" borderId="0" xfId="0" applyFont="1" applyAlignment="1" applyProtection="1">
      <alignment horizontal="center" wrapText="1"/>
      <protection hidden="1"/>
    </xf>
    <xf numFmtId="0" fontId="103" fillId="0" borderId="0" xfId="0" applyFont="1" applyAlignment="1" applyProtection="1">
      <alignment horizontal="center" vertical="center" wrapText="1" readingOrder="1"/>
      <protection hidden="1"/>
    </xf>
    <xf numFmtId="0" fontId="235" fillId="0" borderId="0" xfId="0" applyFont="1" applyAlignment="1" applyProtection="1">
      <alignment horizontal="center" vertical="center" wrapText="1" readingOrder="1"/>
      <protection hidden="1"/>
    </xf>
    <xf numFmtId="0" fontId="230" fillId="0" borderId="1" xfId="0" applyFont="1" applyBorder="1" applyAlignment="1" applyProtection="1">
      <alignment horizontal="center" vertical="top" wrapText="1"/>
      <protection hidden="1"/>
    </xf>
    <xf numFmtId="168" fontId="221" fillId="0" borderId="0" xfId="0" applyNumberFormat="1" applyFont="1" applyAlignment="1" applyProtection="1">
      <alignment horizontal="center"/>
      <protection hidden="1"/>
    </xf>
    <xf numFmtId="0" fontId="239" fillId="0" borderId="0" xfId="0" applyFont="1" applyAlignment="1" applyProtection="1">
      <alignment horizontal="center"/>
      <protection hidden="1"/>
    </xf>
    <xf numFmtId="0" fontId="240" fillId="0" borderId="0" xfId="1" applyFont="1" applyAlignment="1" applyProtection="1">
      <alignment horizontal="center"/>
      <protection hidden="1"/>
    </xf>
    <xf numFmtId="0" fontId="237" fillId="0" borderId="0" xfId="0" applyFont="1" applyAlignment="1" applyProtection="1">
      <alignment horizontal="center" wrapText="1"/>
      <protection hidden="1"/>
    </xf>
    <xf numFmtId="0" fontId="229" fillId="27" borderId="0" xfId="0" applyFont="1" applyFill="1" applyAlignment="1" applyProtection="1">
      <alignment horizontal="center" wrapText="1"/>
      <protection hidden="1"/>
    </xf>
    <xf numFmtId="1" fontId="50" fillId="0" borderId="1" xfId="0" applyNumberFormat="1" applyFont="1" applyBorder="1" applyAlignment="1" applyProtection="1">
      <alignment horizontal="center"/>
      <protection hidden="1"/>
    </xf>
    <xf numFmtId="1" fontId="5" fillId="0" borderId="31" xfId="0" applyNumberFormat="1" applyFont="1" applyBorder="1" applyAlignment="1" applyProtection="1">
      <alignment horizontal="right"/>
      <protection hidden="1"/>
    </xf>
    <xf numFmtId="0" fontId="5" fillId="0" borderId="31" xfId="0" applyFont="1" applyBorder="1" applyProtection="1">
      <protection hidden="1"/>
    </xf>
    <xf numFmtId="0" fontId="47" fillId="0" borderId="45" xfId="0" applyFont="1" applyBorder="1" applyProtection="1">
      <protection hidden="1"/>
    </xf>
    <xf numFmtId="1" fontId="5" fillId="0" borderId="1" xfId="0" applyNumberFormat="1" applyFont="1" applyBorder="1" applyAlignment="1" applyProtection="1">
      <alignment horizontal="right"/>
      <protection hidden="1"/>
    </xf>
    <xf numFmtId="0" fontId="5" fillId="0" borderId="1" xfId="0" applyFont="1" applyBorder="1" applyProtection="1">
      <protection hidden="1"/>
    </xf>
    <xf numFmtId="1" fontId="5" fillId="0" borderId="1" xfId="0" applyNumberFormat="1" applyFont="1" applyBorder="1" applyAlignment="1" applyProtection="1">
      <alignment horizontal="right" vertical="center" wrapText="1"/>
      <protection hidden="1"/>
    </xf>
    <xf numFmtId="0" fontId="47" fillId="0" borderId="26" xfId="0" applyFont="1" applyBorder="1" applyAlignment="1" applyProtection="1">
      <alignment horizontal="center" vertical="center" wrapText="1"/>
      <protection hidden="1"/>
    </xf>
    <xf numFmtId="0" fontId="47" fillId="0" borderId="29" xfId="0" applyFont="1" applyBorder="1" applyAlignment="1" applyProtection="1">
      <alignment horizontal="center" vertical="center" wrapText="1"/>
      <protection hidden="1"/>
    </xf>
    <xf numFmtId="1" fontId="5" fillId="9" borderId="1" xfId="0" applyNumberFormat="1" applyFont="1" applyFill="1" applyBorder="1" applyAlignment="1" applyProtection="1">
      <alignment horizontal="right" vertical="center" wrapText="1"/>
      <protection hidden="1"/>
    </xf>
    <xf numFmtId="0" fontId="47" fillId="0" borderId="60" xfId="0" applyFont="1" applyBorder="1" applyAlignment="1" applyProtection="1">
      <alignment horizontal="left" vertical="center" wrapText="1"/>
      <protection hidden="1"/>
    </xf>
    <xf numFmtId="0" fontId="66" fillId="0" borderId="0" xfId="0" applyFont="1" applyAlignment="1" applyProtection="1">
      <alignment horizontal="center" vertical="center" wrapText="1"/>
      <protection hidden="1"/>
    </xf>
    <xf numFmtId="0" fontId="47" fillId="0" borderId="0" xfId="0" applyFont="1" applyAlignment="1" applyProtection="1">
      <alignment horizontal="center" vertical="center" wrapText="1"/>
      <protection hidden="1"/>
    </xf>
    <xf numFmtId="0" fontId="47" fillId="0" borderId="19" xfId="0" applyFont="1" applyBorder="1" applyAlignment="1" applyProtection="1">
      <alignment horizontal="center" vertical="center" wrapText="1"/>
      <protection hidden="1"/>
    </xf>
    <xf numFmtId="1" fontId="44" fillId="9" borderId="30" xfId="0" applyNumberFormat="1" applyFont="1" applyFill="1" applyBorder="1" applyAlignment="1" applyProtection="1">
      <alignment horizontal="center"/>
      <protection hidden="1"/>
    </xf>
    <xf numFmtId="1" fontId="44" fillId="18" borderId="30" xfId="0" applyNumberFormat="1" applyFont="1" applyFill="1" applyBorder="1" applyAlignment="1" applyProtection="1">
      <alignment horizontal="center"/>
      <protection hidden="1"/>
    </xf>
    <xf numFmtId="1" fontId="44" fillId="9" borderId="32" xfId="0" applyNumberFormat="1" applyFont="1" applyFill="1" applyBorder="1" applyAlignment="1" applyProtection="1">
      <alignment horizontal="center"/>
      <protection hidden="1"/>
    </xf>
    <xf numFmtId="1" fontId="42" fillId="9" borderId="75" xfId="0" applyNumberFormat="1" applyFont="1" applyFill="1" applyBorder="1" applyAlignment="1" applyProtection="1">
      <alignment horizontal="center" vertical="center" wrapText="1"/>
      <protection hidden="1"/>
    </xf>
    <xf numFmtId="1" fontId="42" fillId="0" borderId="9" xfId="0" applyNumberFormat="1" applyFont="1" applyBorder="1" applyAlignment="1" applyProtection="1">
      <alignment horizontal="center" vertical="center" wrapText="1"/>
      <protection hidden="1"/>
    </xf>
    <xf numFmtId="1" fontId="0" fillId="0" borderId="9" xfId="0" applyNumberFormat="1" applyBorder="1" applyAlignment="1" applyProtection="1">
      <alignment horizontal="center" vertical="center" wrapText="1"/>
      <protection hidden="1"/>
    </xf>
    <xf numFmtId="0" fontId="47" fillId="0" borderId="25" xfId="0" applyFont="1" applyBorder="1" applyAlignment="1" applyProtection="1">
      <alignment vertical="center" wrapText="1"/>
      <protection hidden="1"/>
    </xf>
    <xf numFmtId="1" fontId="43" fillId="5" borderId="0" xfId="0" applyNumberFormat="1" applyFont="1" applyFill="1" applyAlignment="1" applyProtection="1">
      <alignment horizontal="center" vertical="center" wrapText="1"/>
      <protection hidden="1"/>
    </xf>
    <xf numFmtId="0" fontId="50" fillId="0" borderId="1" xfId="11" applyFont="1" applyBorder="1" applyAlignment="1" applyProtection="1">
      <alignment horizontal="center" vertical="center" wrapText="1"/>
      <protection hidden="1"/>
    </xf>
    <xf numFmtId="0" fontId="213" fillId="69" borderId="1" xfId="11" applyFont="1" applyFill="1" applyBorder="1" applyAlignment="1" applyProtection="1">
      <alignment horizontal="center" vertical="center" wrapText="1"/>
      <protection hidden="1"/>
    </xf>
    <xf numFmtId="0" fontId="213" fillId="37" borderId="1" xfId="11" applyFont="1" applyFill="1" applyBorder="1" applyAlignment="1" applyProtection="1">
      <alignment horizontal="center" vertical="center" wrapText="1"/>
      <protection hidden="1"/>
    </xf>
    <xf numFmtId="1" fontId="56" fillId="27" borderId="69" xfId="0" applyNumberFormat="1" applyFont="1" applyFill="1" applyBorder="1" applyAlignment="1" applyProtection="1">
      <alignment horizontal="center" vertical="center" wrapText="1"/>
      <protection hidden="1"/>
    </xf>
    <xf numFmtId="0" fontId="47" fillId="0" borderId="62" xfId="0" applyFont="1" applyBorder="1" applyAlignment="1" applyProtection="1">
      <alignment horizontal="center" vertical="center" wrapText="1"/>
      <protection hidden="1"/>
    </xf>
    <xf numFmtId="0" fontId="47" fillId="0" borderId="18" xfId="0" applyFont="1" applyBorder="1" applyAlignment="1" applyProtection="1">
      <alignment horizontal="center" vertical="center" wrapText="1"/>
      <protection hidden="1"/>
    </xf>
    <xf numFmtId="0" fontId="47" fillId="0" borderId="11" xfId="0" applyFont="1" applyBorder="1" applyAlignment="1" applyProtection="1">
      <alignment horizontal="center" vertical="center" wrapText="1"/>
      <protection hidden="1"/>
    </xf>
    <xf numFmtId="0" fontId="47" fillId="0" borderId="33" xfId="0" applyFont="1" applyBorder="1" applyAlignment="1" applyProtection="1">
      <alignment horizontal="center" vertical="center" wrapText="1"/>
      <protection hidden="1"/>
    </xf>
    <xf numFmtId="0" fontId="47" fillId="0" borderId="74" xfId="0" applyFont="1" applyBorder="1" applyAlignment="1" applyProtection="1">
      <alignment horizontal="center" vertical="center" wrapText="1"/>
      <protection hidden="1"/>
    </xf>
    <xf numFmtId="0" fontId="50" fillId="2" borderId="31" xfId="11" applyFont="1" applyFill="1" applyBorder="1" applyAlignment="1" applyProtection="1">
      <alignment horizontal="center" vertical="center" wrapText="1"/>
      <protection locked="0" hidden="1"/>
    </xf>
    <xf numFmtId="0" fontId="5" fillId="8" borderId="1" xfId="0" applyFont="1" applyFill="1" applyBorder="1" applyAlignment="1" applyProtection="1">
      <alignment vertical="center" wrapText="1"/>
      <protection hidden="1"/>
    </xf>
    <xf numFmtId="0" fontId="5" fillId="6" borderId="1" xfId="0" applyFont="1" applyFill="1" applyBorder="1" applyAlignment="1" applyProtection="1">
      <alignment vertical="center" wrapText="1"/>
      <protection hidden="1"/>
    </xf>
    <xf numFmtId="0" fontId="5" fillId="8" borderId="33" xfId="0" applyFont="1" applyFill="1" applyBorder="1" applyAlignment="1" applyProtection="1">
      <alignment vertical="center" wrapText="1"/>
      <protection hidden="1"/>
    </xf>
    <xf numFmtId="0" fontId="5" fillId="6" borderId="28" xfId="0" applyFont="1" applyFill="1" applyBorder="1" applyAlignment="1" applyProtection="1">
      <alignment vertical="center" wrapText="1"/>
      <protection hidden="1"/>
    </xf>
    <xf numFmtId="0" fontId="5" fillId="9" borderId="18" xfId="0" applyFont="1" applyFill="1" applyBorder="1" applyAlignment="1" applyProtection="1">
      <alignment horizontal="center" vertical="center" wrapText="1"/>
      <protection hidden="1"/>
    </xf>
    <xf numFmtId="1" fontId="265" fillId="0" borderId="1" xfId="0" applyNumberFormat="1" applyFont="1" applyBorder="1" applyAlignment="1" applyProtection="1">
      <alignment horizontal="center" wrapText="1"/>
      <protection hidden="1"/>
    </xf>
    <xf numFmtId="1" fontId="10" fillId="0" borderId="1" xfId="0" applyNumberFormat="1" applyFont="1" applyBorder="1" applyAlignment="1" applyProtection="1">
      <alignment horizontal="center"/>
      <protection locked="0"/>
    </xf>
    <xf numFmtId="167" fontId="10" fillId="0" borderId="1" xfId="0" applyNumberFormat="1" applyFont="1" applyBorder="1" applyAlignment="1" applyProtection="1">
      <alignment horizontal="center"/>
      <protection locked="0"/>
    </xf>
    <xf numFmtId="1" fontId="10" fillId="27" borderId="1" xfId="0" applyNumberFormat="1" applyFont="1" applyFill="1" applyBorder="1" applyAlignment="1" applyProtection="1">
      <alignment horizontal="center"/>
      <protection locked="0"/>
    </xf>
    <xf numFmtId="1" fontId="10" fillId="24" borderId="1" xfId="0" applyNumberFormat="1" applyFont="1" applyFill="1" applyBorder="1" applyAlignment="1" applyProtection="1">
      <alignment horizontal="center"/>
      <protection hidden="1"/>
    </xf>
    <xf numFmtId="0" fontId="10" fillId="24" borderId="1" xfId="0" applyFont="1" applyFill="1" applyBorder="1" applyAlignment="1" applyProtection="1">
      <alignment horizontal="center"/>
      <protection hidden="1"/>
    </xf>
    <xf numFmtId="1" fontId="10" fillId="24" borderId="62" xfId="0" applyNumberFormat="1" applyFont="1" applyFill="1" applyBorder="1" applyAlignment="1" applyProtection="1">
      <alignment horizontal="center"/>
      <protection hidden="1"/>
    </xf>
    <xf numFmtId="0" fontId="10" fillId="24" borderId="62" xfId="0" applyFont="1" applyFill="1" applyBorder="1" applyAlignment="1" applyProtection="1">
      <alignment horizontal="center"/>
      <protection hidden="1"/>
    </xf>
    <xf numFmtId="0" fontId="158" fillId="0" borderId="24" xfId="0" applyFont="1" applyBorder="1" applyAlignment="1" applyProtection="1">
      <alignment horizontal="center" wrapText="1"/>
      <protection hidden="1"/>
    </xf>
    <xf numFmtId="0" fontId="161" fillId="0" borderId="33" xfId="0" applyFont="1" applyBorder="1" applyAlignment="1" applyProtection="1">
      <alignment horizontal="center"/>
      <protection hidden="1"/>
    </xf>
    <xf numFmtId="0" fontId="162" fillId="24" borderId="1" xfId="0" applyFont="1" applyFill="1" applyBorder="1" applyAlignment="1" applyProtection="1">
      <alignment horizontal="center"/>
      <protection hidden="1"/>
    </xf>
    <xf numFmtId="1" fontId="161" fillId="0" borderId="0" xfId="0" applyNumberFormat="1" applyFont="1" applyAlignment="1" applyProtection="1">
      <alignment horizontal="center"/>
      <protection hidden="1"/>
    </xf>
    <xf numFmtId="1" fontId="161" fillId="0" borderId="1" xfId="0" applyNumberFormat="1" applyFont="1" applyBorder="1" applyAlignment="1" applyProtection="1">
      <alignment horizontal="center"/>
      <protection hidden="1"/>
    </xf>
    <xf numFmtId="1" fontId="161" fillId="0" borderId="33" xfId="0" applyNumberFormat="1" applyFont="1" applyBorder="1" applyAlignment="1" applyProtection="1">
      <alignment horizontal="center"/>
      <protection hidden="1"/>
    </xf>
    <xf numFmtId="1" fontId="162" fillId="0" borderId="30" xfId="0" applyNumberFormat="1" applyFont="1" applyBorder="1" applyAlignment="1" applyProtection="1">
      <alignment horizontal="center"/>
      <protection hidden="1"/>
    </xf>
    <xf numFmtId="0" fontId="161" fillId="0" borderId="0" xfId="0" applyFont="1" applyAlignment="1" applyProtection="1">
      <alignment horizontal="center"/>
      <protection hidden="1"/>
    </xf>
    <xf numFmtId="0" fontId="159" fillId="0" borderId="0" xfId="0" applyFont="1" applyAlignment="1" applyProtection="1">
      <alignment horizontal="center"/>
      <protection hidden="1"/>
    </xf>
    <xf numFmtId="169" fontId="210" fillId="24" borderId="1" xfId="0" applyNumberFormat="1" applyFont="1" applyFill="1" applyBorder="1" applyAlignment="1" applyProtection="1">
      <alignment horizontal="center"/>
      <protection hidden="1"/>
    </xf>
    <xf numFmtId="0" fontId="164" fillId="0" borderId="69" xfId="0" applyFont="1" applyBorder="1" applyAlignment="1" applyProtection="1">
      <alignment horizontal="center" wrapText="1"/>
      <protection hidden="1"/>
    </xf>
    <xf numFmtId="1" fontId="158" fillId="24" borderId="1" xfId="0" applyNumberFormat="1" applyFont="1" applyFill="1" applyBorder="1" applyAlignment="1" applyProtection="1">
      <alignment horizontal="center"/>
      <protection hidden="1"/>
    </xf>
    <xf numFmtId="0" fontId="49" fillId="0" borderId="0" xfId="0" applyFont="1" applyAlignment="1" applyProtection="1">
      <alignment horizontal="center"/>
      <protection hidden="1"/>
    </xf>
    <xf numFmtId="1" fontId="162" fillId="24" borderId="1" xfId="0" applyNumberFormat="1" applyFont="1" applyFill="1" applyBorder="1" applyAlignment="1" applyProtection="1">
      <alignment horizontal="center"/>
      <protection hidden="1"/>
    </xf>
    <xf numFmtId="0" fontId="158" fillId="0" borderId="0" xfId="0" applyFont="1" applyAlignment="1" applyProtection="1">
      <alignment horizontal="center" wrapText="1"/>
      <protection hidden="1"/>
    </xf>
    <xf numFmtId="1" fontId="162" fillId="0" borderId="0" xfId="0" applyNumberFormat="1" applyFont="1" applyAlignment="1" applyProtection="1">
      <alignment horizontal="center"/>
      <protection locked="0"/>
    </xf>
    <xf numFmtId="167" fontId="162" fillId="0" borderId="0" xfId="0" applyNumberFormat="1" applyFont="1" applyAlignment="1" applyProtection="1">
      <alignment horizontal="center"/>
      <protection locked="0"/>
    </xf>
    <xf numFmtId="1" fontId="162" fillId="0" borderId="0" xfId="0" applyNumberFormat="1" applyFont="1" applyAlignment="1" applyProtection="1">
      <alignment horizontal="center"/>
      <protection hidden="1"/>
    </xf>
    <xf numFmtId="0" fontId="162" fillId="0" borderId="4" xfId="0" applyFont="1" applyBorder="1" applyAlignment="1" applyProtection="1">
      <alignment horizontal="center"/>
      <protection hidden="1"/>
    </xf>
    <xf numFmtId="1" fontId="158" fillId="0" borderId="1" xfId="0" applyNumberFormat="1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68" fillId="0" borderId="1" xfId="0" applyFont="1" applyBorder="1" applyAlignment="1" applyProtection="1">
      <alignment horizontal="center"/>
      <protection hidden="1"/>
    </xf>
    <xf numFmtId="1" fontId="158" fillId="0" borderId="0" xfId="0" applyNumberFormat="1" applyFont="1" applyAlignment="1" applyProtection="1">
      <alignment horizontal="center"/>
      <protection hidden="1"/>
    </xf>
    <xf numFmtId="1" fontId="5" fillId="36" borderId="0" xfId="0" applyNumberFormat="1" applyFont="1" applyFill="1" applyProtection="1">
      <protection hidden="1"/>
    </xf>
    <xf numFmtId="1" fontId="158" fillId="37" borderId="1" xfId="0" applyNumberFormat="1" applyFont="1" applyFill="1" applyBorder="1" applyAlignment="1" applyProtection="1">
      <alignment horizontal="center"/>
      <protection hidden="1"/>
    </xf>
    <xf numFmtId="1" fontId="5" fillId="27" borderId="1" xfId="0" applyNumberFormat="1" applyFont="1" applyFill="1" applyBorder="1" applyAlignment="1" applyProtection="1">
      <alignment horizontal="center"/>
      <protection hidden="1"/>
    </xf>
    <xf numFmtId="0" fontId="81" fillId="23" borderId="4" xfId="0" applyFont="1" applyFill="1" applyBorder="1" applyAlignment="1" applyProtection="1">
      <alignment horizontal="center" vertical="center" wrapText="1" readingOrder="1"/>
      <protection hidden="1"/>
    </xf>
    <xf numFmtId="0" fontId="81" fillId="23" borderId="33" xfId="0" applyFont="1" applyFill="1" applyBorder="1" applyAlignment="1" applyProtection="1">
      <alignment horizontal="center" vertical="center" wrapText="1" readingOrder="1"/>
      <protection hidden="1"/>
    </xf>
    <xf numFmtId="0" fontId="171" fillId="0" borderId="25" xfId="0" applyFont="1" applyBorder="1" applyAlignment="1" applyProtection="1">
      <alignment horizontal="center"/>
      <protection hidden="1"/>
    </xf>
    <xf numFmtId="0" fontId="82" fillId="23" borderId="24" xfId="0" applyFont="1" applyFill="1" applyBorder="1" applyAlignment="1" applyProtection="1">
      <alignment horizontal="center" vertical="center" wrapText="1" readingOrder="1"/>
      <protection hidden="1"/>
    </xf>
    <xf numFmtId="0" fontId="82" fillId="23" borderId="62" xfId="0" applyFont="1" applyFill="1" applyBorder="1" applyAlignment="1" applyProtection="1">
      <alignment horizontal="center" vertical="center" wrapText="1" readingOrder="1"/>
      <protection hidden="1"/>
    </xf>
    <xf numFmtId="0" fontId="81" fillId="23" borderId="27" xfId="0" applyFont="1" applyFill="1" applyBorder="1" applyAlignment="1" applyProtection="1">
      <alignment horizontal="center" vertical="center" wrapText="1" readingOrder="1"/>
      <protection hidden="1"/>
    </xf>
    <xf numFmtId="0" fontId="211" fillId="27" borderId="39" xfId="0" applyFont="1" applyFill="1" applyBorder="1" applyAlignment="1" applyProtection="1">
      <alignment horizontal="center" vertical="center" wrapText="1"/>
      <protection hidden="1"/>
    </xf>
    <xf numFmtId="0" fontId="213" fillId="24" borderId="1" xfId="11" applyFont="1" applyFill="1" applyBorder="1" applyAlignment="1" applyProtection="1">
      <alignment horizontal="center" vertical="center" wrapText="1"/>
      <protection hidden="1"/>
    </xf>
    <xf numFmtId="0" fontId="122" fillId="24" borderId="1" xfId="11" applyFont="1" applyFill="1" applyBorder="1" applyAlignment="1" applyProtection="1">
      <alignment horizontal="center" vertical="center" wrapText="1"/>
      <protection hidden="1"/>
    </xf>
    <xf numFmtId="0" fontId="50" fillId="0" borderId="33" xfId="11" applyFont="1" applyBorder="1" applyAlignment="1" applyProtection="1">
      <alignment horizontal="center" vertical="center" wrapText="1"/>
      <protection hidden="1"/>
    </xf>
    <xf numFmtId="0" fontId="50" fillId="0" borderId="31" xfId="11" applyFont="1" applyBorder="1" applyAlignment="1" applyProtection="1">
      <alignment horizontal="center" vertical="center" wrapText="1"/>
      <protection hidden="1"/>
    </xf>
    <xf numFmtId="0" fontId="50" fillId="0" borderId="45" xfId="11" applyFont="1" applyBorder="1" applyAlignment="1" applyProtection="1">
      <alignment horizontal="center" vertical="center" wrapText="1"/>
      <protection hidden="1"/>
    </xf>
    <xf numFmtId="0" fontId="213" fillId="69" borderId="9" xfId="11" applyFont="1" applyFill="1" applyBorder="1" applyAlignment="1" applyProtection="1">
      <alignment horizontal="center" vertical="center" wrapText="1"/>
      <protection hidden="1"/>
    </xf>
    <xf numFmtId="0" fontId="50" fillId="0" borderId="9" xfId="11" applyFont="1" applyBorder="1" applyAlignment="1" applyProtection="1">
      <alignment horizontal="center" vertical="center" wrapText="1"/>
      <protection hidden="1"/>
    </xf>
    <xf numFmtId="0" fontId="81" fillId="23" borderId="61" xfId="0" applyFont="1" applyFill="1" applyBorder="1" applyAlignment="1" applyProtection="1">
      <alignment vertical="center" wrapText="1" readingOrder="1"/>
      <protection hidden="1"/>
    </xf>
    <xf numFmtId="0" fontId="50" fillId="0" borderId="30" xfId="11" applyFont="1" applyBorder="1" applyAlignment="1" applyProtection="1">
      <alignment horizontal="center" vertical="center" wrapText="1"/>
      <protection hidden="1"/>
    </xf>
    <xf numFmtId="0" fontId="50" fillId="0" borderId="32" xfId="11" applyFont="1" applyBorder="1" applyAlignment="1" applyProtection="1">
      <alignment horizontal="center" vertical="center" wrapText="1"/>
      <protection hidden="1"/>
    </xf>
    <xf numFmtId="0" fontId="213" fillId="24" borderId="9" xfId="11" applyFont="1" applyFill="1" applyBorder="1" applyAlignment="1" applyProtection="1">
      <alignment horizontal="center" vertical="center" wrapText="1"/>
      <protection hidden="1"/>
    </xf>
    <xf numFmtId="0" fontId="81" fillId="23" borderId="67" xfId="0" applyFont="1" applyFill="1" applyBorder="1" applyAlignment="1" applyProtection="1">
      <alignment horizontal="center" vertical="center" wrapText="1" readingOrder="1"/>
      <protection hidden="1"/>
    </xf>
    <xf numFmtId="0" fontId="122" fillId="24" borderId="9" xfId="11" applyFont="1" applyFill="1" applyBorder="1" applyAlignment="1" applyProtection="1">
      <alignment horizontal="center" vertical="center" wrapText="1"/>
      <protection hidden="1"/>
    </xf>
    <xf numFmtId="0" fontId="213" fillId="69" borderId="7" xfId="11" applyFont="1" applyFill="1" applyBorder="1" applyAlignment="1" applyProtection="1">
      <alignment horizontal="center" vertical="center" wrapText="1"/>
      <protection hidden="1"/>
    </xf>
    <xf numFmtId="0" fontId="55" fillId="27" borderId="59" xfId="0" applyFont="1" applyFill="1" applyBorder="1" applyAlignment="1" applyProtection="1">
      <alignment horizontal="center" vertical="center" wrapText="1"/>
      <protection hidden="1"/>
    </xf>
    <xf numFmtId="0" fontId="50" fillId="0" borderId="60" xfId="11" applyFont="1" applyBorder="1" applyAlignment="1" applyProtection="1">
      <alignment horizontal="center" vertical="center" wrapText="1"/>
      <protection hidden="1"/>
    </xf>
    <xf numFmtId="0" fontId="81" fillId="23" borderId="39" xfId="0" applyFont="1" applyFill="1" applyBorder="1" applyAlignment="1" applyProtection="1">
      <alignment horizontal="center" vertical="center" wrapText="1" readingOrder="1"/>
      <protection hidden="1"/>
    </xf>
    <xf numFmtId="0" fontId="156" fillId="38" borderId="0" xfId="0" applyFont="1" applyFill="1" applyAlignment="1" applyProtection="1">
      <alignment vertical="center" wrapText="1" readingOrder="1"/>
      <protection hidden="1"/>
    </xf>
    <xf numFmtId="0" fontId="50" fillId="0" borderId="74" xfId="11" applyFont="1" applyBorder="1" applyAlignment="1" applyProtection="1">
      <alignment horizontal="center" vertical="center" wrapText="1"/>
      <protection hidden="1"/>
    </xf>
    <xf numFmtId="0" fontId="81" fillId="23" borderId="73" xfId="0" applyFont="1" applyFill="1" applyBorder="1" applyAlignment="1" applyProtection="1">
      <alignment horizontal="center" vertical="center" wrapText="1" readingOrder="1"/>
      <protection hidden="1"/>
    </xf>
    <xf numFmtId="0" fontId="50" fillId="0" borderId="93" xfId="11" applyFont="1" applyBorder="1" applyAlignment="1" applyProtection="1">
      <alignment horizontal="center" vertical="center" wrapText="1"/>
      <protection hidden="1"/>
    </xf>
    <xf numFmtId="0" fontId="50" fillId="0" borderId="41" xfId="11" applyFont="1" applyBorder="1" applyAlignment="1" applyProtection="1">
      <alignment horizontal="center" vertical="center" wrapText="1"/>
      <protection hidden="1"/>
    </xf>
    <xf numFmtId="0" fontId="171" fillId="0" borderId="35" xfId="0" applyFont="1" applyBorder="1" applyAlignment="1" applyProtection="1">
      <alignment vertical="center"/>
      <protection hidden="1"/>
    </xf>
    <xf numFmtId="0" fontId="171" fillId="0" borderId="34" xfId="0" applyFont="1" applyBorder="1" applyAlignment="1" applyProtection="1">
      <alignment vertical="center"/>
      <protection hidden="1"/>
    </xf>
    <xf numFmtId="0" fontId="171" fillId="0" borderId="38" xfId="0" applyFont="1" applyBorder="1" applyAlignment="1" applyProtection="1">
      <alignment vertical="center"/>
      <protection hidden="1"/>
    </xf>
    <xf numFmtId="0" fontId="171" fillId="0" borderId="5" xfId="0" applyFont="1" applyBorder="1" applyAlignment="1" applyProtection="1">
      <alignment vertical="center"/>
      <protection hidden="1"/>
    </xf>
    <xf numFmtId="0" fontId="171" fillId="0" borderId="78" xfId="0" applyFont="1" applyBorder="1" applyAlignment="1" applyProtection="1">
      <alignment vertical="center"/>
      <protection hidden="1"/>
    </xf>
    <xf numFmtId="0" fontId="171" fillId="0" borderId="5" xfId="0" applyFont="1" applyBorder="1" applyAlignment="1" applyProtection="1">
      <alignment horizontal="center" vertical="center"/>
      <protection hidden="1"/>
    </xf>
    <xf numFmtId="1" fontId="44" fillId="0" borderId="71" xfId="0" applyNumberFormat="1" applyFont="1" applyBorder="1" applyAlignment="1" applyProtection="1">
      <alignment horizontal="right" vertical="center" wrapText="1"/>
      <protection hidden="1"/>
    </xf>
    <xf numFmtId="2" fontId="221" fillId="0" borderId="28" xfId="0" applyNumberFormat="1" applyFont="1" applyBorder="1" applyProtection="1">
      <protection hidden="1"/>
    </xf>
    <xf numFmtId="0" fontId="243" fillId="27" borderId="2" xfId="0" applyFont="1" applyFill="1" applyBorder="1" applyAlignment="1" applyProtection="1">
      <alignment horizontal="center" vertical="center" wrapText="1" readingOrder="1"/>
      <protection hidden="1"/>
    </xf>
    <xf numFmtId="0" fontId="243" fillId="27" borderId="5" xfId="0" applyFont="1" applyFill="1" applyBorder="1" applyAlignment="1" applyProtection="1">
      <alignment horizontal="center" vertical="center" wrapText="1" readingOrder="1"/>
      <protection hidden="1"/>
    </xf>
    <xf numFmtId="0" fontId="303" fillId="41" borderId="1" xfId="11" applyFont="1" applyFill="1" applyBorder="1" applyAlignment="1" applyProtection="1">
      <alignment horizontal="center" vertical="center" wrapText="1"/>
      <protection hidden="1"/>
    </xf>
    <xf numFmtId="0" fontId="303" fillId="41" borderId="9" xfId="11" applyFont="1" applyFill="1" applyBorder="1" applyAlignment="1" applyProtection="1">
      <alignment horizontal="center" vertical="center" wrapText="1"/>
      <protection hidden="1"/>
    </xf>
    <xf numFmtId="0" fontId="122" fillId="0" borderId="9" xfId="11" applyFont="1" applyBorder="1" applyAlignment="1" applyProtection="1">
      <alignment horizontal="center" vertical="center" wrapText="1"/>
      <protection hidden="1"/>
    </xf>
    <xf numFmtId="0" fontId="50" fillId="0" borderId="59" xfId="11" applyFont="1" applyBorder="1" applyAlignment="1" applyProtection="1">
      <alignment horizontal="center" vertical="center" wrapText="1"/>
      <protection hidden="1"/>
    </xf>
    <xf numFmtId="0" fontId="50" fillId="0" borderId="10" xfId="11" applyFont="1" applyBorder="1" applyAlignment="1" applyProtection="1">
      <alignment horizontal="center" vertical="center" wrapText="1"/>
      <protection hidden="1"/>
    </xf>
    <xf numFmtId="0" fontId="122" fillId="0" borderId="10" xfId="11" applyFont="1" applyBorder="1" applyAlignment="1" applyProtection="1">
      <alignment horizontal="center" vertical="center" wrapText="1"/>
      <protection hidden="1"/>
    </xf>
    <xf numFmtId="0" fontId="50" fillId="0" borderId="61" xfId="11" applyFont="1" applyBorder="1" applyAlignment="1" applyProtection="1">
      <alignment horizontal="center" vertical="center" wrapText="1"/>
      <protection hidden="1"/>
    </xf>
    <xf numFmtId="1" fontId="12" fillId="0" borderId="0" xfId="0" applyNumberFormat="1" applyFont="1" applyProtection="1">
      <protection hidden="1"/>
    </xf>
    <xf numFmtId="0" fontId="226" fillId="0" borderId="81" xfId="0" applyFont="1" applyBorder="1" applyAlignment="1" applyProtection="1">
      <alignment vertical="center" wrapText="1" readingOrder="1"/>
      <protection hidden="1"/>
    </xf>
    <xf numFmtId="0" fontId="243" fillId="0" borderId="62" xfId="0" applyFont="1" applyBorder="1" applyAlignment="1" applyProtection="1">
      <alignment horizontal="center" vertical="center" wrapText="1" readingOrder="1"/>
      <protection hidden="1"/>
    </xf>
    <xf numFmtId="0" fontId="243" fillId="0" borderId="62" xfId="0" applyFont="1" applyBorder="1" applyAlignment="1" applyProtection="1">
      <alignment vertical="center" wrapText="1" readingOrder="1"/>
      <protection hidden="1"/>
    </xf>
    <xf numFmtId="0" fontId="243" fillId="0" borderId="19" xfId="0" applyFont="1" applyBorder="1" applyAlignment="1" applyProtection="1">
      <alignment vertical="center" wrapText="1" readingOrder="1"/>
      <protection hidden="1"/>
    </xf>
    <xf numFmtId="0" fontId="243" fillId="0" borderId="1" xfId="0" applyFont="1" applyBorder="1" applyAlignment="1" applyProtection="1">
      <alignment horizontal="center" vertical="center" wrapText="1" readingOrder="1"/>
      <protection hidden="1"/>
    </xf>
    <xf numFmtId="0" fontId="243" fillId="0" borderId="1" xfId="0" applyFont="1" applyBorder="1" applyAlignment="1" applyProtection="1">
      <alignment vertical="center" wrapText="1" readingOrder="1"/>
      <protection hidden="1"/>
    </xf>
    <xf numFmtId="0" fontId="243" fillId="0" borderId="9" xfId="0" applyFont="1" applyBorder="1" applyAlignment="1" applyProtection="1">
      <alignment vertical="center" wrapText="1" readingOrder="1"/>
      <protection hidden="1"/>
    </xf>
    <xf numFmtId="0" fontId="82" fillId="0" borderId="1" xfId="0" applyFont="1" applyBorder="1" applyAlignment="1" applyProtection="1">
      <alignment vertical="center" wrapText="1" readingOrder="1"/>
      <protection hidden="1"/>
    </xf>
    <xf numFmtId="0" fontId="243" fillId="0" borderId="9" xfId="0" applyFont="1" applyBorder="1" applyAlignment="1" applyProtection="1">
      <alignment horizontal="center" vertical="center" wrapText="1" readingOrder="1"/>
      <protection hidden="1"/>
    </xf>
    <xf numFmtId="0" fontId="82" fillId="0" borderId="62" xfId="0" applyFont="1" applyBorder="1" applyAlignment="1" applyProtection="1">
      <alignment horizontal="center" vertical="center" wrapText="1" readingOrder="1"/>
      <protection hidden="1"/>
    </xf>
    <xf numFmtId="0" fontId="226" fillId="0" borderId="90" xfId="0" applyFont="1" applyBorder="1" applyAlignment="1" applyProtection="1">
      <alignment vertical="center" wrapText="1" readingOrder="1"/>
      <protection hidden="1"/>
    </xf>
    <xf numFmtId="0" fontId="244" fillId="0" borderId="1" xfId="0" applyFont="1" applyBorder="1" applyAlignment="1" applyProtection="1">
      <alignment wrapText="1" readingOrder="1"/>
      <protection hidden="1"/>
    </xf>
    <xf numFmtId="0" fontId="244" fillId="0" borderId="62" xfId="0" applyFont="1" applyBorder="1" applyAlignment="1" applyProtection="1">
      <alignment vertical="center" wrapText="1" readingOrder="1"/>
      <protection hidden="1"/>
    </xf>
    <xf numFmtId="0" fontId="244" fillId="0" borderId="19" xfId="0" applyFont="1" applyBorder="1" applyAlignment="1" applyProtection="1">
      <alignment vertical="center" wrapText="1" readingOrder="1"/>
      <protection hidden="1"/>
    </xf>
    <xf numFmtId="0" fontId="113" fillId="0" borderId="79" xfId="0" applyFont="1" applyBorder="1" applyAlignment="1" applyProtection="1">
      <alignment vertical="center" textRotation="90"/>
      <protection hidden="1"/>
    </xf>
    <xf numFmtId="0" fontId="81" fillId="0" borderId="73" xfId="0" applyFont="1" applyBorder="1" applyAlignment="1" applyProtection="1">
      <alignment horizontal="center" vertical="center" wrapText="1" readingOrder="1"/>
      <protection hidden="1"/>
    </xf>
    <xf numFmtId="0" fontId="301" fillId="0" borderId="73" xfId="0" applyFont="1" applyBorder="1" applyAlignment="1" applyProtection="1">
      <alignment vertical="center" wrapText="1" readingOrder="1"/>
      <protection hidden="1"/>
    </xf>
    <xf numFmtId="0" fontId="301" fillId="0" borderId="58" xfId="0" applyFont="1" applyBorder="1" applyAlignment="1" applyProtection="1">
      <alignment vertical="center" wrapText="1" readingOrder="1"/>
      <protection hidden="1"/>
    </xf>
    <xf numFmtId="0" fontId="113" fillId="0" borderId="70" xfId="0" applyFont="1" applyBorder="1" applyAlignment="1" applyProtection="1">
      <alignment vertical="center" textRotation="90"/>
      <protection hidden="1"/>
    </xf>
    <xf numFmtId="0" fontId="81" fillId="0" borderId="39" xfId="0" applyFont="1" applyBorder="1" applyAlignment="1" applyProtection="1">
      <alignment horizontal="center" vertical="center" wrapText="1" readingOrder="1"/>
      <protection hidden="1"/>
    </xf>
    <xf numFmtId="0" fontId="113" fillId="0" borderId="8" xfId="0" applyFont="1" applyBorder="1" applyAlignment="1" applyProtection="1">
      <alignment vertical="center" textRotation="90"/>
      <protection hidden="1"/>
    </xf>
    <xf numFmtId="0" fontId="238" fillId="0" borderId="89" xfId="0" applyFont="1" applyBorder="1" applyAlignment="1" applyProtection="1">
      <alignment vertical="center" textRotation="90"/>
      <protection hidden="1"/>
    </xf>
    <xf numFmtId="0" fontId="190" fillId="0" borderId="86" xfId="0" applyFont="1" applyBorder="1" applyAlignment="1" applyProtection="1">
      <alignment vertical="center" wrapText="1" readingOrder="1"/>
      <protection hidden="1"/>
    </xf>
    <xf numFmtId="0" fontId="190" fillId="0" borderId="39" xfId="0" applyFont="1" applyBorder="1" applyAlignment="1" applyProtection="1">
      <alignment vertical="center" wrapText="1" readingOrder="1"/>
      <protection hidden="1"/>
    </xf>
    <xf numFmtId="0" fontId="238" fillId="0" borderId="81" xfId="0" applyFont="1" applyBorder="1" applyAlignment="1" applyProtection="1">
      <alignment vertical="center" textRotation="90"/>
      <protection hidden="1"/>
    </xf>
    <xf numFmtId="0" fontId="238" fillId="0" borderId="90" xfId="0" applyFont="1" applyBorder="1" applyAlignment="1" applyProtection="1">
      <alignment vertical="center" textRotation="90"/>
      <protection hidden="1"/>
    </xf>
    <xf numFmtId="0" fontId="196" fillId="0" borderId="18" xfId="0" applyFont="1" applyBorder="1" applyAlignment="1" applyProtection="1">
      <alignment vertical="center" wrapText="1" readingOrder="1"/>
      <protection hidden="1"/>
    </xf>
    <xf numFmtId="0" fontId="238" fillId="0" borderId="36" xfId="0" applyFont="1" applyBorder="1" applyAlignment="1" applyProtection="1">
      <alignment vertical="center" textRotation="90"/>
      <protection hidden="1"/>
    </xf>
    <xf numFmtId="0" fontId="190" fillId="0" borderId="71" xfId="0" applyFont="1" applyBorder="1" applyAlignment="1" applyProtection="1">
      <alignment vertical="center" wrapText="1" readingOrder="1"/>
      <protection hidden="1"/>
    </xf>
    <xf numFmtId="0" fontId="190" fillId="0" borderId="73" xfId="0" applyFont="1" applyBorder="1" applyAlignment="1" applyProtection="1">
      <alignment vertical="center" wrapText="1" readingOrder="1"/>
      <protection hidden="1"/>
    </xf>
    <xf numFmtId="0" fontId="190" fillId="0" borderId="58" xfId="0" applyFont="1" applyBorder="1" applyAlignment="1" applyProtection="1">
      <alignment vertical="center" wrapText="1" readingOrder="1"/>
      <protection hidden="1"/>
    </xf>
    <xf numFmtId="0" fontId="238" fillId="0" borderId="39" xfId="0" applyFont="1" applyBorder="1" applyAlignment="1" applyProtection="1">
      <alignment vertical="center" textRotation="90"/>
      <protection hidden="1"/>
    </xf>
    <xf numFmtId="0" fontId="82" fillId="0" borderId="33" xfId="0" applyFont="1" applyBorder="1" applyAlignment="1" applyProtection="1">
      <alignment vertical="center" wrapText="1" readingOrder="1"/>
      <protection hidden="1"/>
    </xf>
    <xf numFmtId="0" fontId="82" fillId="0" borderId="60" xfId="0" applyFont="1" applyBorder="1" applyAlignment="1" applyProtection="1">
      <alignment vertical="center" wrapText="1" readingOrder="1"/>
      <protection hidden="1"/>
    </xf>
    <xf numFmtId="0" fontId="82" fillId="0" borderId="7" xfId="0" applyFont="1" applyBorder="1" applyAlignment="1" applyProtection="1">
      <alignment vertical="center" wrapText="1" readingOrder="1"/>
      <protection hidden="1"/>
    </xf>
    <xf numFmtId="0" fontId="244" fillId="0" borderId="68" xfId="0" applyFont="1" applyBorder="1" applyAlignment="1" applyProtection="1">
      <alignment vertical="center" wrapText="1" readingOrder="1"/>
      <protection hidden="1"/>
    </xf>
    <xf numFmtId="0" fontId="244" fillId="0" borderId="23" xfId="0" applyFont="1" applyBorder="1" applyAlignment="1" applyProtection="1">
      <alignment vertical="center" wrapText="1" readingOrder="1"/>
      <protection hidden="1"/>
    </xf>
    <xf numFmtId="0" fontId="156" fillId="0" borderId="81" xfId="0" applyFont="1" applyBorder="1" applyAlignment="1" applyProtection="1">
      <alignment vertical="center" wrapText="1" readingOrder="1"/>
      <protection hidden="1"/>
    </xf>
    <xf numFmtId="0" fontId="156" fillId="0" borderId="62" xfId="0" applyFont="1" applyBorder="1" applyAlignment="1" applyProtection="1">
      <alignment horizontal="center" vertical="center" wrapText="1" readingOrder="1"/>
      <protection hidden="1"/>
    </xf>
    <xf numFmtId="0" fontId="156" fillId="0" borderId="62" xfId="0" applyFont="1" applyBorder="1" applyAlignment="1" applyProtection="1">
      <alignment vertical="center" wrapText="1" readingOrder="1"/>
      <protection hidden="1"/>
    </xf>
    <xf numFmtId="0" fontId="156" fillId="0" borderId="19" xfId="0" applyFont="1" applyBorder="1" applyAlignment="1" applyProtection="1">
      <alignment vertical="center" wrapText="1" readingOrder="1"/>
      <protection hidden="1"/>
    </xf>
    <xf numFmtId="0" fontId="156" fillId="0" borderId="1" xfId="0" applyFont="1" applyBorder="1" applyAlignment="1" applyProtection="1">
      <alignment horizontal="center" vertical="center" wrapText="1" readingOrder="1"/>
      <protection hidden="1"/>
    </xf>
    <xf numFmtId="0" fontId="156" fillId="0" borderId="1" xfId="0" applyFont="1" applyBorder="1" applyAlignment="1" applyProtection="1">
      <alignment vertical="center" wrapText="1" readingOrder="1"/>
      <protection hidden="1"/>
    </xf>
    <xf numFmtId="0" fontId="302" fillId="0" borderId="33" xfId="0" applyFont="1" applyBorder="1" applyAlignment="1" applyProtection="1">
      <alignment vertical="center" wrapText="1" readingOrder="1"/>
      <protection hidden="1"/>
    </xf>
    <xf numFmtId="0" fontId="156" fillId="0" borderId="9" xfId="0" applyFont="1" applyBorder="1" applyAlignment="1" applyProtection="1">
      <alignment horizontal="center" vertical="center" wrapText="1" readingOrder="1"/>
      <protection hidden="1"/>
    </xf>
    <xf numFmtId="0" fontId="302" fillId="0" borderId="60" xfId="0" applyFont="1" applyBorder="1" applyAlignment="1" applyProtection="1">
      <alignment vertical="center" wrapText="1" readingOrder="1"/>
      <protection hidden="1"/>
    </xf>
    <xf numFmtId="0" fontId="302" fillId="0" borderId="7" xfId="0" applyFont="1" applyBorder="1" applyAlignment="1" applyProtection="1">
      <alignment vertical="center" wrapText="1" readingOrder="1"/>
      <protection hidden="1"/>
    </xf>
    <xf numFmtId="0" fontId="302" fillId="0" borderId="62" xfId="0" applyFont="1" applyBorder="1" applyAlignment="1" applyProtection="1">
      <alignment horizontal="center" vertical="center" wrapText="1" readingOrder="1"/>
      <protection hidden="1"/>
    </xf>
    <xf numFmtId="0" fontId="156" fillId="0" borderId="90" xfId="0" applyFont="1" applyBorder="1" applyAlignment="1" applyProtection="1">
      <alignment vertical="center" wrapText="1" readingOrder="1"/>
      <protection hidden="1"/>
    </xf>
    <xf numFmtId="0" fontId="191" fillId="0" borderId="1" xfId="0" applyFont="1" applyBorder="1" applyAlignment="1" applyProtection="1">
      <alignment wrapText="1" readingOrder="1"/>
      <protection hidden="1"/>
    </xf>
    <xf numFmtId="0" fontId="191" fillId="0" borderId="62" xfId="0" applyFont="1" applyBorder="1" applyAlignment="1" applyProtection="1">
      <alignment vertical="center" wrapText="1" readingOrder="1"/>
      <protection hidden="1"/>
    </xf>
    <xf numFmtId="0" fontId="191" fillId="0" borderId="19" xfId="0" applyFont="1" applyBorder="1" applyAlignment="1" applyProtection="1">
      <alignment vertical="center" wrapText="1" readingOrder="1"/>
      <protection hidden="1"/>
    </xf>
    <xf numFmtId="0" fontId="190" fillId="0" borderId="68" xfId="0" applyFont="1" applyBorder="1" applyAlignment="1" applyProtection="1">
      <alignment vertical="center" wrapText="1" readingOrder="1"/>
      <protection hidden="1"/>
    </xf>
    <xf numFmtId="0" fontId="190" fillId="0" borderId="22" xfId="0" applyFont="1" applyBorder="1" applyAlignment="1" applyProtection="1">
      <alignment vertical="center" wrapText="1" readingOrder="1"/>
      <protection hidden="1"/>
    </xf>
    <xf numFmtId="0" fontId="190" fillId="0" borderId="23" xfId="0" applyFont="1" applyBorder="1" applyAlignment="1" applyProtection="1">
      <alignment vertical="center" wrapText="1" readingOrder="1"/>
      <protection hidden="1"/>
    </xf>
    <xf numFmtId="0" fontId="238" fillId="0" borderId="77" xfId="0" applyFont="1" applyBorder="1" applyAlignment="1" applyProtection="1">
      <alignment vertical="center" textRotation="90"/>
      <protection hidden="1"/>
    </xf>
    <xf numFmtId="0" fontId="238" fillId="0" borderId="4" xfId="0" applyFont="1" applyBorder="1" applyAlignment="1" applyProtection="1">
      <alignment vertical="center" textRotation="90"/>
      <protection hidden="1"/>
    </xf>
    <xf numFmtId="0" fontId="226" fillId="0" borderId="4" xfId="0" applyFont="1" applyBorder="1" applyAlignment="1" applyProtection="1">
      <alignment vertical="center" wrapText="1" readingOrder="1"/>
      <protection hidden="1"/>
    </xf>
    <xf numFmtId="0" fontId="226" fillId="0" borderId="1" xfId="0" applyFont="1" applyBorder="1" applyAlignment="1" applyProtection="1">
      <alignment horizontal="center" vertical="center" wrapText="1" readingOrder="1"/>
      <protection hidden="1"/>
    </xf>
    <xf numFmtId="0" fontId="103" fillId="0" borderId="1" xfId="0" applyFont="1" applyBorder="1" applyAlignment="1" applyProtection="1">
      <alignment horizontal="center" vertical="center" wrapText="1" readingOrder="1"/>
      <protection hidden="1"/>
    </xf>
    <xf numFmtId="0" fontId="243" fillId="0" borderId="36" xfId="0" applyFont="1" applyBorder="1" applyAlignment="1" applyProtection="1">
      <alignment horizontal="center" vertical="center" wrapText="1" readingOrder="1"/>
      <protection hidden="1"/>
    </xf>
    <xf numFmtId="0" fontId="229" fillId="0" borderId="24" xfId="0" applyFont="1" applyBorder="1" applyAlignment="1" applyProtection="1">
      <alignment horizontal="center" vertical="top" wrapText="1"/>
      <protection hidden="1"/>
    </xf>
    <xf numFmtId="0" fontId="82" fillId="0" borderId="29" xfId="0" applyFont="1" applyBorder="1" applyAlignment="1" applyProtection="1">
      <alignment horizontal="center"/>
      <protection hidden="1"/>
    </xf>
    <xf numFmtId="0" fontId="82" fillId="0" borderId="40" xfId="0" applyFont="1" applyBorder="1" applyAlignment="1" applyProtection="1">
      <alignment horizontal="center"/>
      <protection hidden="1"/>
    </xf>
    <xf numFmtId="0" fontId="229" fillId="27" borderId="28" xfId="0" applyFont="1" applyFill="1" applyBorder="1" applyAlignment="1" applyProtection="1">
      <alignment horizontal="center" vertical="top" wrapText="1"/>
      <protection hidden="1"/>
    </xf>
    <xf numFmtId="0" fontId="229" fillId="0" borderId="7" xfId="0" applyFont="1" applyBorder="1" applyAlignment="1" applyProtection="1">
      <alignment horizontal="center" vertical="top" wrapText="1"/>
      <protection hidden="1"/>
    </xf>
    <xf numFmtId="0" fontId="243" fillId="27" borderId="40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5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4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8" xfId="0" applyFont="1" applyFill="1" applyBorder="1" applyAlignment="1" applyProtection="1">
      <alignment horizontal="center" vertical="center" wrapText="1" readingOrder="1"/>
      <protection hidden="1"/>
    </xf>
    <xf numFmtId="0" fontId="205" fillId="31" borderId="62" xfId="0" applyFont="1" applyFill="1" applyBorder="1" applyAlignment="1" applyProtection="1">
      <alignment horizontal="center" vertical="center" wrapText="1" readingOrder="1"/>
      <protection hidden="1"/>
    </xf>
    <xf numFmtId="1" fontId="226" fillId="24" borderId="3" xfId="0" applyNumberFormat="1" applyFont="1" applyFill="1" applyBorder="1" applyAlignment="1" applyProtection="1">
      <alignment horizontal="center" vertical="center" wrapText="1"/>
      <protection hidden="1"/>
    </xf>
    <xf numFmtId="0" fontId="226" fillId="56" borderId="0" xfId="0" applyFont="1" applyFill="1" applyAlignment="1" applyProtection="1">
      <alignment vertical="center" wrapText="1" readingOrder="1"/>
      <protection hidden="1"/>
    </xf>
    <xf numFmtId="1" fontId="226" fillId="24" borderId="25" xfId="0" applyNumberFormat="1" applyFont="1" applyFill="1" applyBorder="1" applyAlignment="1" applyProtection="1">
      <alignment vertical="center" wrapText="1" readingOrder="1"/>
      <protection hidden="1"/>
    </xf>
    <xf numFmtId="0" fontId="226" fillId="62" borderId="3" xfId="0" applyFont="1" applyFill="1" applyBorder="1" applyAlignment="1" applyProtection="1">
      <alignment vertical="center" wrapText="1" readingOrder="1"/>
      <protection hidden="1"/>
    </xf>
    <xf numFmtId="0" fontId="226" fillId="62" borderId="0" xfId="0" applyFont="1" applyFill="1" applyAlignment="1" applyProtection="1">
      <alignment vertical="center" wrapText="1" readingOrder="1"/>
      <protection hidden="1"/>
    </xf>
    <xf numFmtId="1" fontId="226" fillId="0" borderId="0" xfId="0" applyNumberFormat="1" applyFont="1" applyAlignment="1" applyProtection="1">
      <alignment vertical="center" wrapText="1" readingOrder="1"/>
      <protection hidden="1"/>
    </xf>
    <xf numFmtId="1" fontId="231" fillId="0" borderId="0" xfId="0" applyNumberFormat="1" applyFont="1" applyProtection="1">
      <protection hidden="1"/>
    </xf>
    <xf numFmtId="1" fontId="10" fillId="0" borderId="1" xfId="0" applyNumberFormat="1" applyFont="1" applyBorder="1" applyAlignment="1" applyProtection="1">
      <alignment horizontal="center" vertical="center" wrapText="1"/>
      <protection hidden="1"/>
    </xf>
    <xf numFmtId="0" fontId="159" fillId="0" borderId="1" xfId="0" applyFont="1" applyBorder="1" applyAlignment="1">
      <alignment horizontal="center" vertical="center" wrapText="1"/>
    </xf>
    <xf numFmtId="0" fontId="305" fillId="0" borderId="1" xfId="0" applyFont="1" applyBorder="1" applyAlignment="1" applyProtection="1">
      <alignment horizontal="center" vertical="center"/>
      <protection hidden="1"/>
    </xf>
    <xf numFmtId="1" fontId="159" fillId="0" borderId="1" xfId="0" applyNumberFormat="1" applyFont="1" applyBorder="1" applyAlignment="1" applyProtection="1">
      <alignment horizontal="center" vertical="center"/>
      <protection hidden="1"/>
    </xf>
    <xf numFmtId="1" fontId="159" fillId="0" borderId="1" xfId="0" applyNumberFormat="1" applyFont="1" applyBorder="1" applyAlignment="1">
      <alignment horizontal="center" vertical="center"/>
    </xf>
    <xf numFmtId="0" fontId="159" fillId="0" borderId="1" xfId="0" applyFont="1" applyBorder="1" applyAlignment="1">
      <alignment horizontal="center" vertical="center"/>
    </xf>
    <xf numFmtId="0" fontId="226" fillId="0" borderId="44" xfId="0" applyFont="1" applyBorder="1" applyAlignment="1" applyProtection="1">
      <alignment horizontal="center" vertical="center" wrapText="1" readingOrder="1"/>
      <protection hidden="1"/>
    </xf>
    <xf numFmtId="0" fontId="226" fillId="0" borderId="3" xfId="0" applyFont="1" applyBorder="1" applyAlignment="1" applyProtection="1">
      <alignment horizontal="center" vertical="center" wrapText="1" readingOrder="1"/>
      <protection hidden="1"/>
    </xf>
    <xf numFmtId="1" fontId="226" fillId="0" borderId="3" xfId="0" applyNumberFormat="1" applyFont="1" applyBorder="1" applyAlignment="1" applyProtection="1">
      <alignment horizontal="center" vertical="center" wrapText="1" readingOrder="1"/>
      <protection hidden="1"/>
    </xf>
    <xf numFmtId="1" fontId="226" fillId="0" borderId="25" xfId="0" applyNumberFormat="1" applyFont="1" applyBorder="1" applyAlignment="1" applyProtection="1">
      <alignment horizontal="center" vertical="center" wrapText="1" readingOrder="1"/>
      <protection hidden="1"/>
    </xf>
    <xf numFmtId="1" fontId="226" fillId="0" borderId="0" xfId="0" applyNumberFormat="1" applyFont="1" applyAlignment="1" applyProtection="1">
      <alignment horizontal="center" vertical="center" wrapText="1"/>
      <protection hidden="1"/>
    </xf>
    <xf numFmtId="1" fontId="226" fillId="0" borderId="29" xfId="0" applyNumberFormat="1" applyFont="1" applyBorder="1" applyAlignment="1" applyProtection="1">
      <alignment horizontal="center" vertical="center" wrapText="1"/>
      <protection hidden="1"/>
    </xf>
    <xf numFmtId="0" fontId="231" fillId="0" borderId="1" xfId="0" applyFont="1" applyBorder="1" applyProtection="1">
      <protection hidden="1"/>
    </xf>
    <xf numFmtId="0" fontId="229" fillId="0" borderId="26" xfId="0" applyFont="1" applyBorder="1" applyAlignment="1" applyProtection="1">
      <alignment vertical="top" wrapText="1"/>
      <protection hidden="1"/>
    </xf>
    <xf numFmtId="1" fontId="226" fillId="0" borderId="1" xfId="0" applyNumberFormat="1" applyFont="1" applyBorder="1" applyAlignment="1" applyProtection="1">
      <alignment horizontal="center" vertical="center" wrapText="1" readingOrder="1"/>
      <protection hidden="1"/>
    </xf>
    <xf numFmtId="0" fontId="243" fillId="28" borderId="69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3" xfId="0" applyFont="1" applyFill="1" applyBorder="1" applyAlignment="1" applyProtection="1">
      <alignment horizontal="center" vertical="center" wrapText="1" readingOrder="1"/>
      <protection hidden="1"/>
    </xf>
    <xf numFmtId="0" fontId="243" fillId="31" borderId="21" xfId="0" applyFont="1" applyFill="1" applyBorder="1" applyAlignment="1" applyProtection="1">
      <alignment horizontal="center" vertical="center" wrapText="1" readingOrder="1"/>
      <protection hidden="1"/>
    </xf>
    <xf numFmtId="0" fontId="243" fillId="67" borderId="59" xfId="0" applyFont="1" applyFill="1" applyBorder="1" applyAlignment="1" applyProtection="1">
      <alignment horizontal="center" vertical="center" wrapText="1" readingOrder="1"/>
      <protection hidden="1"/>
    </xf>
    <xf numFmtId="0" fontId="243" fillId="67" borderId="61" xfId="0" applyFont="1" applyFill="1" applyBorder="1" applyAlignment="1" applyProtection="1">
      <alignment horizontal="center" vertical="center" wrapText="1" readingOrder="1"/>
      <protection hidden="1"/>
    </xf>
    <xf numFmtId="0" fontId="81" fillId="23" borderId="90" xfId="0" applyFont="1" applyFill="1" applyBorder="1" applyAlignment="1" applyProtection="1">
      <alignment horizontal="center" vertical="center" wrapText="1" readingOrder="1"/>
      <protection hidden="1"/>
    </xf>
    <xf numFmtId="1" fontId="226" fillId="27" borderId="62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7" borderId="28" xfId="0" applyNumberFormat="1" applyFont="1" applyFill="1" applyBorder="1" applyAlignment="1" applyProtection="1">
      <alignment horizontal="center" vertical="center" wrapText="1" readingOrder="1"/>
      <protection hidden="1"/>
    </xf>
    <xf numFmtId="0" fontId="229" fillId="0" borderId="10" xfId="0" applyFont="1" applyBorder="1" applyAlignment="1" applyProtection="1">
      <alignment horizontal="center" vertical="top" wrapText="1"/>
      <protection hidden="1"/>
    </xf>
    <xf numFmtId="1" fontId="226" fillId="27" borderId="10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7" borderId="9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76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80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20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4" borderId="32" xfId="0" applyNumberFormat="1" applyFont="1" applyFill="1" applyBorder="1" applyAlignment="1" applyProtection="1">
      <alignment horizontal="center" vertical="center" wrapText="1" readingOrder="1"/>
      <protection hidden="1"/>
    </xf>
    <xf numFmtId="0" fontId="251" fillId="30" borderId="34" xfId="0" applyFont="1" applyFill="1" applyBorder="1" applyAlignment="1" applyProtection="1">
      <alignment vertical="center" wrapText="1"/>
      <protection hidden="1"/>
    </xf>
    <xf numFmtId="0" fontId="251" fillId="30" borderId="0" xfId="0" applyFont="1" applyFill="1" applyAlignment="1" applyProtection="1">
      <alignment vertical="center" wrapText="1"/>
      <protection hidden="1"/>
    </xf>
    <xf numFmtId="0" fontId="251" fillId="30" borderId="4" xfId="0" applyFont="1" applyFill="1" applyBorder="1" applyAlignment="1" applyProtection="1">
      <alignment vertical="center" wrapText="1"/>
      <protection hidden="1"/>
    </xf>
    <xf numFmtId="0" fontId="251" fillId="30" borderId="38" xfId="0" applyFont="1" applyFill="1" applyBorder="1" applyAlignment="1" applyProtection="1">
      <alignment vertical="center" wrapText="1"/>
      <protection hidden="1"/>
    </xf>
    <xf numFmtId="0" fontId="251" fillId="30" borderId="39" xfId="0" applyFont="1" applyFill="1" applyBorder="1" applyAlignment="1" applyProtection="1">
      <alignment vertical="center" wrapText="1"/>
      <protection hidden="1"/>
    </xf>
    <xf numFmtId="0" fontId="251" fillId="30" borderId="72" xfId="0" applyFont="1" applyFill="1" applyBorder="1" applyAlignment="1" applyProtection="1">
      <alignment vertical="center" wrapText="1"/>
      <protection hidden="1"/>
    </xf>
    <xf numFmtId="0" fontId="50" fillId="27" borderId="59" xfId="0" applyFont="1" applyFill="1" applyBorder="1" applyAlignment="1" applyProtection="1">
      <alignment horizontal="center" wrapText="1"/>
      <protection hidden="1"/>
    </xf>
    <xf numFmtId="0" fontId="50" fillId="27" borderId="10" xfId="0" applyFont="1" applyFill="1" applyBorder="1" applyAlignment="1" applyProtection="1">
      <alignment horizontal="center" wrapText="1"/>
      <protection hidden="1"/>
    </xf>
    <xf numFmtId="1" fontId="226" fillId="25" borderId="10" xfId="0" applyNumberFormat="1" applyFont="1" applyFill="1" applyBorder="1" applyAlignment="1" applyProtection="1">
      <alignment horizontal="center" vertical="center" wrapText="1" readingOrder="1"/>
      <protection hidden="1"/>
    </xf>
    <xf numFmtId="0" fontId="243" fillId="27" borderId="74" xfId="0" applyFont="1" applyFill="1" applyBorder="1" applyAlignment="1" applyProtection="1">
      <alignment horizontal="center" vertical="center" wrapText="1" readingOrder="1"/>
      <protection hidden="1"/>
    </xf>
    <xf numFmtId="0" fontId="243" fillId="27" borderId="72" xfId="0" applyFont="1" applyFill="1" applyBorder="1" applyAlignment="1" applyProtection="1">
      <alignment horizontal="center" vertical="center" wrapText="1" readingOrder="1"/>
      <protection hidden="1"/>
    </xf>
    <xf numFmtId="1" fontId="226" fillId="24" borderId="19" xfId="0" applyNumberFormat="1" applyFont="1" applyFill="1" applyBorder="1" applyAlignment="1" applyProtection="1">
      <alignment horizontal="center" vertical="center" wrapText="1" readingOrder="1"/>
      <protection hidden="1"/>
    </xf>
    <xf numFmtId="1" fontId="50" fillId="0" borderId="28" xfId="0" applyNumberFormat="1" applyFont="1" applyBorder="1" applyAlignment="1" applyProtection="1">
      <alignment horizontal="center"/>
      <protection hidden="1"/>
    </xf>
    <xf numFmtId="1" fontId="226" fillId="24" borderId="16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23" xfId="0" applyNumberFormat="1" applyFont="1" applyFill="1" applyBorder="1" applyAlignment="1" applyProtection="1">
      <alignment horizontal="center" vertical="center" wrapText="1" readingOrder="1"/>
      <protection hidden="1"/>
    </xf>
    <xf numFmtId="1" fontId="245" fillId="24" borderId="61" xfId="0" applyNumberFormat="1" applyFont="1" applyFill="1" applyBorder="1" applyAlignment="1" applyProtection="1">
      <alignment horizontal="center" vertical="center" wrapText="1"/>
      <protection hidden="1"/>
    </xf>
    <xf numFmtId="1" fontId="245" fillId="24" borderId="67" xfId="0" applyNumberFormat="1" applyFont="1" applyFill="1" applyBorder="1" applyAlignment="1" applyProtection="1">
      <alignment horizontal="center" vertical="center" wrapText="1"/>
      <protection hidden="1"/>
    </xf>
    <xf numFmtId="1" fontId="245" fillId="24" borderId="23" xfId="0" applyNumberFormat="1" applyFont="1" applyFill="1" applyBorder="1" applyAlignment="1" applyProtection="1">
      <alignment horizontal="center" vertical="center" wrapText="1"/>
      <protection hidden="1"/>
    </xf>
    <xf numFmtId="1" fontId="103" fillId="24" borderId="28" xfId="0" applyNumberFormat="1" applyFont="1" applyFill="1" applyBorder="1" applyAlignment="1" applyProtection="1">
      <alignment horizontal="center" vertical="top" wrapText="1"/>
      <protection hidden="1"/>
    </xf>
    <xf numFmtId="1" fontId="103" fillId="24" borderId="61" xfId="0" applyNumberFormat="1" applyFont="1" applyFill="1" applyBorder="1" applyAlignment="1" applyProtection="1">
      <alignment horizontal="center" vertical="top" wrapText="1"/>
      <protection hidden="1"/>
    </xf>
    <xf numFmtId="1" fontId="103" fillId="24" borderId="30" xfId="0" applyNumberFormat="1" applyFont="1" applyFill="1" applyBorder="1" applyAlignment="1" applyProtection="1">
      <alignment horizontal="center" vertical="top" wrapText="1"/>
      <protection hidden="1"/>
    </xf>
    <xf numFmtId="1" fontId="103" fillId="24" borderId="32" xfId="0" applyNumberFormat="1" applyFont="1" applyFill="1" applyBorder="1" applyAlignment="1" applyProtection="1">
      <alignment horizontal="center" vertical="top" wrapText="1"/>
      <protection hidden="1"/>
    </xf>
    <xf numFmtId="0" fontId="211" fillId="27" borderId="5" xfId="0" applyFont="1" applyFill="1" applyBorder="1" applyAlignment="1" applyProtection="1">
      <alignment vertical="center" wrapText="1"/>
      <protection hidden="1"/>
    </xf>
    <xf numFmtId="0" fontId="211" fillId="27" borderId="0" xfId="0" applyFont="1" applyFill="1" applyAlignment="1" applyProtection="1">
      <alignment vertical="center" wrapText="1"/>
      <protection hidden="1"/>
    </xf>
    <xf numFmtId="0" fontId="211" fillId="27" borderId="86" xfId="0" applyFont="1" applyFill="1" applyBorder="1" applyAlignment="1" applyProtection="1">
      <alignment vertical="center" wrapText="1"/>
      <protection hidden="1"/>
    </xf>
    <xf numFmtId="0" fontId="211" fillId="27" borderId="39" xfId="0" applyFont="1" applyFill="1" applyBorder="1" applyAlignment="1" applyProtection="1">
      <alignment vertical="center" wrapText="1"/>
      <protection hidden="1"/>
    </xf>
    <xf numFmtId="0" fontId="252" fillId="27" borderId="73" xfId="0" applyFont="1" applyFill="1" applyBorder="1" applyAlignment="1" applyProtection="1">
      <alignment vertical="top" wrapText="1"/>
      <protection hidden="1"/>
    </xf>
    <xf numFmtId="0" fontId="252" fillId="27" borderId="58" xfId="0" applyFont="1" applyFill="1" applyBorder="1" applyAlignment="1" applyProtection="1">
      <alignment vertical="top" wrapText="1"/>
      <protection hidden="1"/>
    </xf>
    <xf numFmtId="1" fontId="211" fillId="24" borderId="10" xfId="0" applyNumberFormat="1" applyFont="1" applyFill="1" applyBorder="1" applyAlignment="1" applyProtection="1">
      <alignment horizontal="center" vertical="center" wrapText="1"/>
      <protection hidden="1"/>
    </xf>
    <xf numFmtId="1" fontId="211" fillId="24" borderId="9" xfId="0" applyNumberFormat="1" applyFont="1" applyFill="1" applyBorder="1" applyAlignment="1" applyProtection="1">
      <alignment horizontal="center" vertical="center" wrapText="1"/>
      <protection hidden="1"/>
    </xf>
    <xf numFmtId="1" fontId="229" fillId="25" borderId="61" xfId="0" applyNumberFormat="1" applyFont="1" applyFill="1" applyBorder="1" applyAlignment="1" applyProtection="1">
      <alignment horizontal="center" vertical="top" wrapText="1"/>
      <protection hidden="1"/>
    </xf>
    <xf numFmtId="0" fontId="245" fillId="0" borderId="89" xfId="0" applyFont="1" applyBorder="1" applyAlignment="1" applyProtection="1">
      <alignment vertical="center" wrapText="1"/>
      <protection hidden="1"/>
    </xf>
    <xf numFmtId="0" fontId="245" fillId="0" borderId="81" xfId="0" applyFont="1" applyBorder="1" applyAlignment="1" applyProtection="1">
      <alignment vertical="center" wrapText="1"/>
      <protection hidden="1"/>
    </xf>
    <xf numFmtId="0" fontId="211" fillId="27" borderId="29" xfId="0" applyFont="1" applyFill="1" applyBorder="1" applyAlignment="1" applyProtection="1">
      <alignment vertical="center" wrapText="1"/>
      <protection hidden="1"/>
    </xf>
    <xf numFmtId="0" fontId="211" fillId="27" borderId="40" xfId="0" applyFont="1" applyFill="1" applyBorder="1" applyAlignment="1" applyProtection="1">
      <alignment vertical="center" wrapText="1"/>
      <protection hidden="1"/>
    </xf>
    <xf numFmtId="1" fontId="226" fillId="25" borderId="28" xfId="0" applyNumberFormat="1" applyFont="1" applyFill="1" applyBorder="1" applyAlignment="1" applyProtection="1">
      <alignment horizontal="center" vertical="center" wrapText="1"/>
      <protection hidden="1"/>
    </xf>
    <xf numFmtId="0" fontId="245" fillId="0" borderId="90" xfId="0" applyFont="1" applyBorder="1" applyAlignment="1" applyProtection="1">
      <alignment vertical="center" wrapText="1"/>
      <protection hidden="1"/>
    </xf>
    <xf numFmtId="1" fontId="50" fillId="27" borderId="39" xfId="0" applyNumberFormat="1" applyFont="1" applyFill="1" applyBorder="1" applyAlignment="1" applyProtection="1">
      <alignment horizontal="center" wrapText="1"/>
      <protection hidden="1"/>
    </xf>
    <xf numFmtId="1" fontId="264" fillId="0" borderId="39" xfId="0" applyNumberFormat="1" applyFont="1" applyBorder="1" applyAlignment="1" applyProtection="1">
      <alignment horizontal="center" wrapText="1"/>
      <protection hidden="1"/>
    </xf>
    <xf numFmtId="1" fontId="264" fillId="0" borderId="40" xfId="0" applyNumberFormat="1" applyFont="1" applyBorder="1" applyAlignment="1" applyProtection="1">
      <alignment horizontal="center" wrapText="1"/>
      <protection hidden="1"/>
    </xf>
    <xf numFmtId="1" fontId="213" fillId="0" borderId="39" xfId="0" applyNumberFormat="1" applyFont="1" applyBorder="1" applyAlignment="1" applyProtection="1">
      <alignment horizontal="center" wrapText="1"/>
      <protection hidden="1"/>
    </xf>
    <xf numFmtId="1" fontId="213" fillId="0" borderId="40" xfId="0" applyNumberFormat="1" applyFont="1" applyBorder="1" applyAlignment="1" applyProtection="1">
      <alignment horizontal="center" wrapText="1"/>
      <protection hidden="1"/>
    </xf>
    <xf numFmtId="0" fontId="300" fillId="0" borderId="14" xfId="0" applyFont="1" applyBorder="1" applyAlignment="1" applyProtection="1">
      <alignment horizontal="center"/>
      <protection hidden="1"/>
    </xf>
    <xf numFmtId="0" fontId="32" fillId="0" borderId="1" xfId="0" applyFont="1" applyBorder="1" applyAlignment="1" applyProtection="1">
      <alignment horizontal="center" vertical="top" wrapText="1"/>
      <protection hidden="1"/>
    </xf>
    <xf numFmtId="1" fontId="1" fillId="0" borderId="1" xfId="0" applyNumberFormat="1" applyFont="1" applyBorder="1"/>
    <xf numFmtId="0" fontId="0" fillId="0" borderId="62" xfId="0" applyBorder="1"/>
    <xf numFmtId="0" fontId="50" fillId="30" borderId="31" xfId="11" applyFont="1" applyFill="1" applyBorder="1" applyAlignment="1" applyProtection="1">
      <alignment horizontal="center" vertical="center" wrapText="1"/>
      <protection locked="0" hidden="1"/>
    </xf>
    <xf numFmtId="0" fontId="50" fillId="30" borderId="31" xfId="0" applyFont="1" applyFill="1" applyBorder="1" applyAlignment="1" applyProtection="1">
      <alignment horizontal="center" vertical="center" wrapText="1"/>
      <protection locked="0" hidden="1"/>
    </xf>
    <xf numFmtId="0" fontId="50" fillId="30" borderId="31" xfId="11" applyFont="1" applyFill="1" applyBorder="1" applyAlignment="1" applyProtection="1">
      <alignment horizontal="center" vertical="center" wrapText="1"/>
      <protection locked="0"/>
    </xf>
    <xf numFmtId="0" fontId="50" fillId="30" borderId="1" xfId="0" applyFont="1" applyFill="1" applyBorder="1" applyAlignment="1" applyProtection="1">
      <alignment horizontal="center" vertical="center" wrapText="1"/>
      <protection locked="0" hidden="1"/>
    </xf>
    <xf numFmtId="0" fontId="50" fillId="30" borderId="31" xfId="0" applyFont="1" applyFill="1" applyBorder="1" applyAlignment="1" applyProtection="1">
      <alignment horizontal="center" vertical="center" wrapText="1"/>
      <protection locked="0"/>
    </xf>
    <xf numFmtId="0" fontId="50" fillId="30" borderId="7" xfId="11" applyFont="1" applyFill="1" applyBorder="1" applyAlignment="1" applyProtection="1">
      <alignment horizontal="center" vertical="center" wrapText="1"/>
      <protection locked="0" hidden="1"/>
    </xf>
    <xf numFmtId="0" fontId="50" fillId="30" borderId="7" xfId="0" applyFont="1" applyFill="1" applyBorder="1" applyAlignment="1" applyProtection="1">
      <alignment horizontal="center" vertical="center" wrapText="1"/>
      <protection locked="0" hidden="1"/>
    </xf>
    <xf numFmtId="0" fontId="55" fillId="30" borderId="1" xfId="11" applyFont="1" applyFill="1" applyBorder="1" applyAlignment="1" applyProtection="1">
      <alignment horizontal="center" vertical="center" wrapText="1"/>
      <protection locked="0"/>
    </xf>
    <xf numFmtId="0" fontId="55" fillId="30" borderId="1" xfId="11" applyFont="1" applyFill="1" applyBorder="1" applyAlignment="1" applyProtection="1">
      <alignment horizontal="center" vertical="center" wrapText="1"/>
      <protection locked="0" hidden="1"/>
    </xf>
    <xf numFmtId="0" fontId="231" fillId="30" borderId="59" xfId="11" applyFont="1" applyFill="1" applyBorder="1" applyAlignment="1" applyProtection="1">
      <alignment horizontal="center" vertical="center" wrapText="1"/>
      <protection locked="0" hidden="1"/>
    </xf>
    <xf numFmtId="0" fontId="205" fillId="28" borderId="1" xfId="0" applyFont="1" applyFill="1" applyBorder="1" applyAlignment="1" applyProtection="1">
      <alignment horizontal="center" vertical="center" wrapText="1" readingOrder="1"/>
      <protection hidden="1"/>
    </xf>
    <xf numFmtId="0" fontId="205" fillId="67" borderId="1" xfId="0" applyFont="1" applyFill="1" applyBorder="1" applyAlignment="1" applyProtection="1">
      <alignment horizontal="center" vertical="center" wrapText="1" readingOrder="1"/>
      <protection hidden="1"/>
    </xf>
    <xf numFmtId="0" fontId="206" fillId="58" borderId="1" xfId="0" applyFont="1" applyFill="1" applyBorder="1" applyAlignment="1" applyProtection="1">
      <alignment horizontal="center" vertical="center" wrapText="1" readingOrder="1"/>
      <protection hidden="1"/>
    </xf>
    <xf numFmtId="0" fontId="314" fillId="65" borderId="1" xfId="0" applyFont="1" applyFill="1" applyBorder="1" applyAlignment="1" applyProtection="1">
      <alignment horizontal="center" vertical="center" wrapText="1" readingOrder="1"/>
      <protection hidden="1"/>
    </xf>
    <xf numFmtId="0" fontId="206" fillId="41" borderId="11" xfId="0" applyFont="1" applyFill="1" applyBorder="1" applyAlignment="1" applyProtection="1">
      <alignment horizontal="center" vertical="center" wrapText="1" readingOrder="1"/>
      <protection hidden="1"/>
    </xf>
    <xf numFmtId="0" fontId="44" fillId="30" borderId="1" xfId="0" applyFont="1" applyFill="1" applyBorder="1" applyAlignment="1" applyProtection="1">
      <alignment horizontal="center" vertical="center" wrapText="1"/>
      <protection locked="0" hidden="1"/>
    </xf>
    <xf numFmtId="1" fontId="50" fillId="30" borderId="1" xfId="11" applyNumberFormat="1" applyFont="1" applyFill="1" applyBorder="1" applyAlignment="1" applyProtection="1">
      <alignment horizontal="center"/>
      <protection locked="0" hidden="1"/>
    </xf>
    <xf numFmtId="0" fontId="43" fillId="30" borderId="11" xfId="0" applyFont="1" applyFill="1" applyBorder="1" applyAlignment="1" applyProtection="1">
      <alignment horizontal="center"/>
      <protection locked="0" hidden="1"/>
    </xf>
    <xf numFmtId="1" fontId="49" fillId="0" borderId="7" xfId="0" applyNumberFormat="1" applyFont="1" applyBorder="1" applyAlignment="1" applyProtection="1">
      <alignment horizontal="center"/>
      <protection hidden="1"/>
    </xf>
    <xf numFmtId="1" fontId="129" fillId="0" borderId="0" xfId="0" applyNumberFormat="1" applyFont="1" applyAlignment="1" applyProtection="1">
      <alignment horizontal="center"/>
      <protection hidden="1"/>
    </xf>
    <xf numFmtId="2" fontId="44" fillId="0" borderId="0" xfId="0" applyNumberFormat="1" applyFont="1" applyAlignment="1" applyProtection="1">
      <alignment horizontal="center"/>
      <protection hidden="1"/>
    </xf>
    <xf numFmtId="174" fontId="0" fillId="0" borderId="59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4" fontId="0" fillId="0" borderId="0" xfId="0" applyNumberFormat="1" applyAlignment="1">
      <alignment horizontal="center"/>
    </xf>
    <xf numFmtId="174" fontId="0" fillId="0" borderId="29" xfId="0" applyNumberFormat="1" applyBorder="1" applyAlignment="1">
      <alignment horizontal="center"/>
    </xf>
    <xf numFmtId="178" fontId="10" fillId="30" borderId="59" xfId="0" applyNumberFormat="1" applyFont="1" applyFill="1" applyBorder="1"/>
    <xf numFmtId="166" fontId="48" fillId="0" borderId="1" xfId="0" applyNumberFormat="1" applyFont="1" applyBorder="1" applyAlignment="1" applyProtection="1">
      <alignment horizontal="center" vertical="center" wrapText="1"/>
      <protection hidden="1"/>
    </xf>
    <xf numFmtId="166" fontId="48" fillId="0" borderId="28" xfId="0" applyNumberFormat="1" applyFont="1" applyBorder="1" applyAlignment="1" applyProtection="1">
      <alignment horizontal="center" vertical="center" wrapText="1"/>
      <protection hidden="1"/>
    </xf>
    <xf numFmtId="166" fontId="140" fillId="0" borderId="1" xfId="0" applyNumberFormat="1" applyFont="1" applyBorder="1" applyAlignment="1" applyProtection="1">
      <alignment vertical="center" wrapText="1"/>
      <protection hidden="1"/>
    </xf>
    <xf numFmtId="166" fontId="182" fillId="0" borderId="28" xfId="0" applyNumberFormat="1" applyFont="1" applyBorder="1" applyAlignment="1" applyProtection="1">
      <alignment horizontal="center" vertical="center" wrapText="1"/>
      <protection hidden="1"/>
    </xf>
    <xf numFmtId="166" fontId="182" fillId="0" borderId="1" xfId="0" applyNumberFormat="1" applyFont="1" applyBorder="1" applyAlignment="1" applyProtection="1">
      <alignment horizontal="center" vertical="center" wrapText="1"/>
      <protection hidden="1"/>
    </xf>
    <xf numFmtId="166" fontId="48" fillId="0" borderId="0" xfId="0" applyNumberFormat="1" applyFont="1" applyAlignment="1" applyProtection="1">
      <alignment horizontal="center" vertical="center" wrapText="1"/>
      <protection hidden="1"/>
    </xf>
    <xf numFmtId="2" fontId="12" fillId="0" borderId="0" xfId="0" applyNumberFormat="1" applyFont="1" applyProtection="1">
      <protection hidden="1"/>
    </xf>
    <xf numFmtId="166" fontId="122" fillId="0" borderId="0" xfId="0" applyNumberFormat="1" applyFont="1" applyAlignment="1" applyProtection="1">
      <alignment vertical="center" wrapText="1"/>
      <protection hidden="1"/>
    </xf>
    <xf numFmtId="167" fontId="47" fillId="0" borderId="0" xfId="0" applyNumberFormat="1" applyFont="1" applyAlignment="1" applyProtection="1">
      <alignment vertical="center" wrapText="1"/>
      <protection hidden="1"/>
    </xf>
    <xf numFmtId="179" fontId="122" fillId="0" borderId="0" xfId="0" applyNumberFormat="1" applyFont="1" applyAlignment="1" applyProtection="1">
      <alignment vertical="center" wrapText="1"/>
      <protection hidden="1"/>
    </xf>
    <xf numFmtId="166" fontId="44" fillId="0" borderId="0" xfId="0" applyNumberFormat="1" applyFont="1" applyAlignment="1" applyProtection="1">
      <alignment horizontal="center"/>
      <protection hidden="1"/>
    </xf>
    <xf numFmtId="0" fontId="127" fillId="0" borderId="61" xfId="0" applyFont="1" applyBorder="1" applyAlignment="1" applyProtection="1">
      <alignment horizontal="center"/>
      <protection hidden="1"/>
    </xf>
    <xf numFmtId="1" fontId="122" fillId="33" borderId="10" xfId="0" applyNumberFormat="1" applyFont="1" applyFill="1" applyBorder="1" applyAlignment="1" applyProtection="1">
      <alignment horizontal="center" vertical="center" wrapText="1"/>
      <protection hidden="1"/>
    </xf>
    <xf numFmtId="10" fontId="122" fillId="0" borderId="10" xfId="12" applyNumberFormat="1" applyFont="1" applyBorder="1" applyAlignment="1" applyProtection="1">
      <alignment horizontal="center" vertical="center" wrapText="1"/>
      <protection hidden="1"/>
    </xf>
    <xf numFmtId="10" fontId="122" fillId="0" borderId="1" xfId="12" applyNumberFormat="1" applyFont="1" applyBorder="1" applyAlignment="1" applyProtection="1">
      <alignment horizontal="center" vertical="center" wrapText="1"/>
      <protection hidden="1"/>
    </xf>
    <xf numFmtId="10" fontId="122" fillId="0" borderId="9" xfId="12" applyNumberFormat="1" applyFont="1" applyBorder="1" applyAlignment="1" applyProtection="1">
      <alignment horizontal="center" vertical="center" wrapText="1"/>
      <protection hidden="1"/>
    </xf>
    <xf numFmtId="1" fontId="122" fillId="0" borderId="10" xfId="0" applyNumberFormat="1" applyFont="1" applyBorder="1" applyAlignment="1" applyProtection="1">
      <alignment horizontal="center" vertical="center" wrapText="1"/>
      <protection hidden="1"/>
    </xf>
    <xf numFmtId="1" fontId="122" fillId="0" borderId="1" xfId="0" applyNumberFormat="1" applyFont="1" applyBorder="1" applyAlignment="1" applyProtection="1">
      <alignment horizontal="center" vertical="center" wrapText="1"/>
      <protection hidden="1"/>
    </xf>
    <xf numFmtId="1" fontId="122" fillId="0" borderId="9" xfId="0" applyNumberFormat="1" applyFont="1" applyBorder="1" applyAlignment="1" applyProtection="1">
      <alignment horizontal="center" vertical="center" wrapText="1"/>
      <protection hidden="1"/>
    </xf>
    <xf numFmtId="0" fontId="189" fillId="0" borderId="0" xfId="0" applyFont="1" applyAlignment="1" applyProtection="1">
      <alignment vertical="center" wrapText="1"/>
      <protection hidden="1"/>
    </xf>
    <xf numFmtId="1" fontId="44" fillId="0" borderId="1" xfId="0" applyNumberFormat="1" applyFont="1" applyBorder="1" applyAlignment="1" applyProtection="1">
      <alignment horizontal="center" vertical="center" wrapText="1"/>
      <protection hidden="1"/>
    </xf>
    <xf numFmtId="0" fontId="171" fillId="0" borderId="134" xfId="0" applyFont="1" applyBorder="1" applyAlignment="1" applyProtection="1">
      <alignment horizontal="center"/>
      <protection hidden="1"/>
    </xf>
    <xf numFmtId="1" fontId="186" fillId="0" borderId="135" xfId="0" applyNumberFormat="1" applyFont="1" applyBorder="1" applyAlignment="1" applyProtection="1">
      <alignment vertical="center" wrapText="1"/>
      <protection hidden="1"/>
    </xf>
    <xf numFmtId="1" fontId="186" fillId="0" borderId="137" xfId="0" applyNumberFormat="1" applyFont="1" applyBorder="1" applyAlignment="1" applyProtection="1">
      <alignment vertical="center" wrapText="1"/>
      <protection hidden="1"/>
    </xf>
    <xf numFmtId="0" fontId="171" fillId="0" borderId="139" xfId="0" applyFont="1" applyBorder="1" applyAlignment="1" applyProtection="1">
      <alignment horizontal="center"/>
      <protection hidden="1"/>
    </xf>
    <xf numFmtId="1" fontId="186" fillId="0" borderId="141" xfId="0" applyNumberFormat="1" applyFont="1" applyBorder="1" applyAlignment="1" applyProtection="1">
      <alignment vertical="center" wrapText="1"/>
      <protection hidden="1"/>
    </xf>
    <xf numFmtId="0" fontId="171" fillId="0" borderId="142" xfId="0" applyFont="1" applyBorder="1" applyAlignment="1" applyProtection="1">
      <alignment horizontal="center"/>
      <protection hidden="1"/>
    </xf>
    <xf numFmtId="0" fontId="171" fillId="0" borderId="144" xfId="0" applyFont="1" applyBorder="1" applyAlignment="1" applyProtection="1">
      <alignment horizontal="center"/>
      <protection hidden="1"/>
    </xf>
    <xf numFmtId="0" fontId="171" fillId="0" borderId="146" xfId="0" applyFont="1" applyBorder="1" applyAlignment="1" applyProtection="1">
      <alignment horizontal="center"/>
      <protection hidden="1"/>
    </xf>
    <xf numFmtId="0" fontId="56" fillId="0" borderId="0" xfId="0" applyFont="1" applyAlignment="1" applyProtection="1">
      <alignment horizontal="right" vertical="center" wrapText="1"/>
      <protection hidden="1"/>
    </xf>
    <xf numFmtId="1" fontId="44" fillId="0" borderId="0" xfId="0" applyNumberFormat="1" applyFont="1" applyAlignment="1" applyProtection="1">
      <alignment horizontal="center"/>
      <protection hidden="1"/>
    </xf>
    <xf numFmtId="1" fontId="303" fillId="27" borderId="24" xfId="0" applyNumberFormat="1" applyFont="1" applyFill="1" applyBorder="1" applyAlignment="1" applyProtection="1">
      <alignment horizontal="center" wrapText="1"/>
      <protection hidden="1"/>
    </xf>
    <xf numFmtId="1" fontId="303" fillId="27" borderId="25" xfId="0" applyNumberFormat="1" applyFont="1" applyFill="1" applyBorder="1" applyAlignment="1" applyProtection="1">
      <alignment horizontal="center" wrapText="1"/>
      <protection hidden="1"/>
    </xf>
    <xf numFmtId="1" fontId="303" fillId="27" borderId="84" xfId="0" applyNumberFormat="1" applyFont="1" applyFill="1" applyBorder="1" applyAlignment="1" applyProtection="1">
      <alignment horizontal="center" wrapText="1"/>
      <protection hidden="1"/>
    </xf>
    <xf numFmtId="1" fontId="303" fillId="0" borderId="39" xfId="0" applyNumberFormat="1" applyFont="1" applyBorder="1" applyAlignment="1" applyProtection="1">
      <alignment horizontal="center" wrapText="1"/>
      <protection hidden="1"/>
    </xf>
    <xf numFmtId="1" fontId="50" fillId="0" borderId="39" xfId="0" applyNumberFormat="1" applyFont="1" applyBorder="1" applyAlignment="1" applyProtection="1">
      <alignment horizontal="center" wrapText="1"/>
      <protection hidden="1"/>
    </xf>
    <xf numFmtId="1" fontId="50" fillId="0" borderId="40" xfId="0" applyNumberFormat="1" applyFont="1" applyBorder="1" applyAlignment="1" applyProtection="1">
      <alignment horizontal="center" wrapText="1"/>
      <protection hidden="1"/>
    </xf>
    <xf numFmtId="1" fontId="211" fillId="33" borderId="30" xfId="0" applyNumberFormat="1" applyFont="1" applyFill="1" applyBorder="1" applyAlignment="1" applyProtection="1">
      <alignment horizontal="center" vertical="center" wrapText="1" readingOrder="1"/>
      <protection hidden="1"/>
    </xf>
    <xf numFmtId="1" fontId="50" fillId="0" borderId="39" xfId="0" applyNumberFormat="1" applyFont="1" applyBorder="1" applyAlignment="1" applyProtection="1">
      <alignment wrapText="1"/>
      <protection hidden="1"/>
    </xf>
    <xf numFmtId="1" fontId="50" fillId="0" borderId="40" xfId="0" applyNumberFormat="1" applyFont="1" applyBorder="1" applyAlignment="1" applyProtection="1">
      <alignment wrapText="1"/>
      <protection hidden="1"/>
    </xf>
    <xf numFmtId="1" fontId="50" fillId="27" borderId="36" xfId="0" applyNumberFormat="1" applyFont="1" applyFill="1" applyBorder="1" applyAlignment="1" applyProtection="1">
      <alignment horizontal="center" wrapText="1"/>
      <protection hidden="1"/>
    </xf>
    <xf numFmtId="0" fontId="122" fillId="27" borderId="36" xfId="0" applyFont="1" applyFill="1" applyBorder="1" applyAlignment="1" applyProtection="1">
      <alignment horizontal="center"/>
      <protection hidden="1"/>
    </xf>
    <xf numFmtId="0" fontId="122" fillId="27" borderId="37" xfId="0" applyFont="1" applyFill="1" applyBorder="1" applyAlignment="1" applyProtection="1">
      <alignment horizontal="center"/>
      <protection hidden="1"/>
    </xf>
    <xf numFmtId="1" fontId="122" fillId="27" borderId="39" xfId="0" applyNumberFormat="1" applyFont="1" applyFill="1" applyBorder="1" applyAlignment="1" applyProtection="1">
      <alignment horizontal="center"/>
      <protection hidden="1"/>
    </xf>
    <xf numFmtId="0" fontId="122" fillId="27" borderId="39" xfId="0" applyFont="1" applyFill="1" applyBorder="1" applyAlignment="1" applyProtection="1">
      <alignment horizontal="center"/>
      <protection hidden="1"/>
    </xf>
    <xf numFmtId="0" fontId="122" fillId="27" borderId="40" xfId="0" applyFont="1" applyFill="1" applyBorder="1" applyAlignment="1" applyProtection="1">
      <alignment horizontal="center"/>
      <protection hidden="1"/>
    </xf>
    <xf numFmtId="1" fontId="0" fillId="0" borderId="10" xfId="0" applyNumberFormat="1" applyBorder="1"/>
    <xf numFmtId="1" fontId="0" fillId="0" borderId="61" xfId="0" applyNumberFormat="1" applyBorder="1"/>
    <xf numFmtId="1" fontId="0" fillId="0" borderId="30" xfId="0" applyNumberFormat="1" applyBorder="1"/>
    <xf numFmtId="1" fontId="0" fillId="0" borderId="39" xfId="0" applyNumberFormat="1" applyBorder="1"/>
    <xf numFmtId="1" fontId="0" fillId="0" borderId="70" xfId="0" applyNumberFormat="1" applyBorder="1"/>
    <xf numFmtId="1" fontId="0" fillId="0" borderId="8" xfId="0" applyNumberFormat="1" applyBorder="1"/>
    <xf numFmtId="0" fontId="112" fillId="0" borderId="28" xfId="0" applyFont="1" applyBorder="1" applyAlignment="1" applyProtection="1">
      <alignment horizontal="center" vertical="center"/>
      <protection hidden="1"/>
    </xf>
    <xf numFmtId="1" fontId="12" fillId="0" borderId="28" xfId="0" applyNumberFormat="1" applyFont="1" applyBorder="1" applyAlignment="1" applyProtection="1">
      <alignment horizontal="center"/>
      <protection hidden="1"/>
    </xf>
    <xf numFmtId="0" fontId="0" fillId="9" borderId="3" xfId="0" applyFill="1" applyBorder="1" applyAlignment="1" applyProtection="1">
      <alignment horizontal="center" vertical="top" wrapText="1"/>
      <protection hidden="1"/>
    </xf>
    <xf numFmtId="0" fontId="35" fillId="9" borderId="0" xfId="0" applyFont="1" applyFill="1" applyAlignment="1" applyProtection="1">
      <alignment horizontal="center" vertical="center" wrapText="1"/>
      <protection hidden="1"/>
    </xf>
    <xf numFmtId="1" fontId="5" fillId="0" borderId="31" xfId="0" applyNumberFormat="1" applyFont="1" applyBorder="1" applyAlignment="1" applyProtection="1">
      <alignment horizontal="center"/>
      <protection hidden="1"/>
    </xf>
    <xf numFmtId="1" fontId="5" fillId="9" borderId="1" xfId="0" applyNumberFormat="1" applyFont="1" applyFill="1" applyBorder="1" applyAlignment="1" applyProtection="1">
      <alignment horizontal="center" vertical="center" wrapText="1"/>
      <protection hidden="1"/>
    </xf>
    <xf numFmtId="0" fontId="47" fillId="0" borderId="60" xfId="0" applyFont="1" applyBorder="1" applyAlignment="1" applyProtection="1">
      <alignment horizontal="center" vertical="center" wrapText="1"/>
      <protection hidden="1"/>
    </xf>
    <xf numFmtId="1" fontId="43" fillId="27" borderId="0" xfId="0" applyNumberFormat="1" applyFont="1" applyFill="1" applyAlignment="1" applyProtection="1">
      <alignment horizontal="center"/>
      <protection hidden="1"/>
    </xf>
    <xf numFmtId="1" fontId="43" fillId="0" borderId="31" xfId="0" applyNumberFormat="1" applyFont="1" applyBorder="1" applyAlignment="1" applyProtection="1">
      <alignment horizontal="center"/>
      <protection hidden="1"/>
    </xf>
    <xf numFmtId="0" fontId="12" fillId="0" borderId="1" xfId="0" applyFont="1" applyBorder="1" applyAlignment="1" applyProtection="1">
      <alignment horizontal="center"/>
      <protection hidden="1"/>
    </xf>
    <xf numFmtId="1" fontId="43" fillId="27" borderId="0" xfId="0" applyNumberFormat="1" applyFont="1" applyFill="1" applyAlignment="1" applyProtection="1">
      <alignment horizontal="center" vertical="center" wrapText="1"/>
      <protection hidden="1"/>
    </xf>
    <xf numFmtId="176" fontId="128" fillId="24" borderId="1" xfId="12" applyNumberFormat="1" applyFont="1" applyFill="1" applyBorder="1" applyAlignment="1" applyProtection="1">
      <alignment horizontal="center"/>
      <protection hidden="1"/>
    </xf>
    <xf numFmtId="10" fontId="128" fillId="0" borderId="0" xfId="12" applyNumberFormat="1" applyFont="1" applyAlignment="1" applyProtection="1">
      <alignment horizontal="center"/>
      <protection hidden="1"/>
    </xf>
    <xf numFmtId="0" fontId="211" fillId="27" borderId="29" xfId="0" applyFont="1" applyFill="1" applyBorder="1" applyAlignment="1" applyProtection="1">
      <alignment horizontal="center" vertical="center" wrapText="1"/>
      <protection hidden="1"/>
    </xf>
    <xf numFmtId="0" fontId="211" fillId="27" borderId="40" xfId="0" applyFont="1" applyFill="1" applyBorder="1" applyAlignment="1" applyProtection="1">
      <alignment horizontal="center" vertical="center" wrapText="1"/>
      <protection hidden="1"/>
    </xf>
    <xf numFmtId="1" fontId="0" fillId="0" borderId="27" xfId="0" applyNumberFormat="1" applyBorder="1"/>
    <xf numFmtId="1" fontId="0" fillId="0" borderId="7" xfId="0" applyNumberFormat="1" applyBorder="1"/>
    <xf numFmtId="0" fontId="3" fillId="0" borderId="1" xfId="0" applyFont="1" applyBorder="1" applyAlignment="1">
      <alignment horizontal="center"/>
    </xf>
    <xf numFmtId="0" fontId="53" fillId="0" borderId="0" xfId="0" applyFont="1" applyAlignment="1" applyProtection="1">
      <alignment horizontal="center" vertical="top" wrapText="1"/>
      <protection hidden="1"/>
    </xf>
    <xf numFmtId="0" fontId="159" fillId="0" borderId="0" xfId="0" applyFont="1" applyAlignment="1">
      <alignment horizontal="center" vertical="center" wrapText="1"/>
    </xf>
    <xf numFmtId="0" fontId="159" fillId="0" borderId="0" xfId="0" applyFont="1" applyAlignment="1" applyProtection="1">
      <alignment vertical="center"/>
      <protection hidden="1"/>
    </xf>
    <xf numFmtId="0" fontId="305" fillId="0" borderId="0" xfId="0" applyFont="1" applyAlignment="1" applyProtection="1">
      <alignment horizontal="center" vertical="center"/>
      <protection hidden="1"/>
    </xf>
    <xf numFmtId="0" fontId="159" fillId="0" borderId="0" xfId="0" applyFont="1" applyAlignment="1">
      <alignment vertical="center"/>
    </xf>
    <xf numFmtId="1" fontId="10" fillId="0" borderId="0" xfId="0" applyNumberFormat="1" applyFont="1" applyAlignment="1" applyProtection="1">
      <alignment horizontal="right" vertical="center" wrapText="1"/>
      <protection hidden="1"/>
    </xf>
    <xf numFmtId="1" fontId="229" fillId="25" borderId="28" xfId="0" applyNumberFormat="1" applyFont="1" applyFill="1" applyBorder="1" applyAlignment="1" applyProtection="1">
      <alignment horizontal="center" vertical="top" wrapText="1"/>
      <protection hidden="1"/>
    </xf>
    <xf numFmtId="0" fontId="211" fillId="0" borderId="0" xfId="0" applyFont="1" applyAlignment="1" applyProtection="1">
      <alignment horizontal="center" vertical="center" wrapText="1"/>
      <protection hidden="1"/>
    </xf>
    <xf numFmtId="1" fontId="0" fillId="24" borderId="0" xfId="0" applyNumberFormat="1" applyFill="1"/>
    <xf numFmtId="0" fontId="246" fillId="0" borderId="74" xfId="0" applyFont="1" applyBorder="1" applyAlignment="1" applyProtection="1">
      <alignment horizontal="center" vertical="top" wrapText="1"/>
      <protection hidden="1"/>
    </xf>
    <xf numFmtId="1" fontId="243" fillId="25" borderId="46" xfId="0" applyNumberFormat="1" applyFont="1" applyFill="1" applyBorder="1" applyAlignment="1" applyProtection="1">
      <alignment horizontal="center" vertical="center" wrapText="1"/>
      <protection hidden="1"/>
    </xf>
    <xf numFmtId="1" fontId="243" fillId="25" borderId="64" xfId="0" applyNumberFormat="1" applyFont="1" applyFill="1" applyBorder="1" applyAlignment="1" applyProtection="1">
      <alignment horizontal="center" vertical="center" wrapText="1"/>
      <protection hidden="1"/>
    </xf>
    <xf numFmtId="0" fontId="235" fillId="0" borderId="62" xfId="0" applyFont="1" applyBorder="1" applyAlignment="1" applyProtection="1">
      <alignment horizontal="center" vertical="center" wrapText="1" readingOrder="1"/>
      <protection hidden="1"/>
    </xf>
    <xf numFmtId="0" fontId="238" fillId="0" borderId="63" xfId="0" applyFont="1" applyBorder="1" applyAlignment="1" applyProtection="1">
      <alignment vertical="center"/>
      <protection hidden="1"/>
    </xf>
    <xf numFmtId="0" fontId="238" fillId="0" borderId="0" xfId="0" applyFont="1" applyAlignment="1" applyProtection="1">
      <alignment vertical="center"/>
      <protection hidden="1"/>
    </xf>
    <xf numFmtId="0" fontId="238" fillId="0" borderId="35" xfId="0" applyFont="1" applyBorder="1" applyAlignment="1" applyProtection="1">
      <alignment vertical="center"/>
      <protection hidden="1"/>
    </xf>
    <xf numFmtId="1" fontId="221" fillId="0" borderId="0" xfId="0" applyNumberFormat="1" applyFont="1" applyAlignment="1" applyProtection="1">
      <alignment horizontal="right" vertical="top" wrapText="1"/>
      <protection hidden="1"/>
    </xf>
    <xf numFmtId="1" fontId="239" fillId="0" borderId="0" xfId="0" applyNumberFormat="1" applyFont="1" applyAlignment="1" applyProtection="1">
      <alignment horizontal="center" wrapText="1"/>
      <protection hidden="1"/>
    </xf>
    <xf numFmtId="2" fontId="231" fillId="0" borderId="0" xfId="0" applyNumberFormat="1" applyFont="1" applyProtection="1">
      <protection hidden="1"/>
    </xf>
    <xf numFmtId="0" fontId="272" fillId="56" borderId="70" xfId="0" applyFont="1" applyFill="1" applyBorder="1" applyAlignment="1" applyProtection="1">
      <alignment horizontal="center" vertical="center" wrapText="1" readingOrder="1"/>
      <protection hidden="1"/>
    </xf>
    <xf numFmtId="0" fontId="238" fillId="29" borderId="0" xfId="0" applyFont="1" applyFill="1" applyAlignment="1" applyProtection="1">
      <alignment horizontal="center" vertical="center" textRotation="90"/>
      <protection hidden="1"/>
    </xf>
    <xf numFmtId="0" fontId="317" fillId="0" borderId="0" xfId="0" applyFont="1" applyAlignment="1">
      <alignment horizontal="center"/>
    </xf>
    <xf numFmtId="0" fontId="318" fillId="0" borderId="0" xfId="0" applyFont="1"/>
    <xf numFmtId="0" fontId="0" fillId="24" borderId="0" xfId="0" applyFill="1"/>
    <xf numFmtId="10" fontId="0" fillId="24" borderId="0" xfId="0" applyNumberFormat="1" applyFill="1"/>
    <xf numFmtId="0" fontId="259" fillId="0" borderId="1" xfId="0" applyFont="1" applyBorder="1" applyAlignment="1">
      <alignment horizontal="center" wrapText="1"/>
    </xf>
    <xf numFmtId="0" fontId="259" fillId="0" borderId="1" xfId="0" applyFont="1" applyBorder="1" applyAlignment="1">
      <alignment horizontal="center"/>
    </xf>
    <xf numFmtId="0" fontId="259" fillId="0" borderId="0" xfId="0" applyFont="1"/>
    <xf numFmtId="0" fontId="317" fillId="30" borderId="7" xfId="0" applyFont="1" applyFill="1" applyBorder="1" applyAlignment="1">
      <alignment horizontal="center"/>
    </xf>
    <xf numFmtId="0" fontId="317" fillId="0" borderId="1" xfId="0" applyFont="1" applyBorder="1" applyAlignment="1">
      <alignment horizontal="center"/>
    </xf>
    <xf numFmtId="1" fontId="318" fillId="0" borderId="0" xfId="0" applyNumberFormat="1" applyFont="1"/>
    <xf numFmtId="0" fontId="0" fillId="0" borderId="39" xfId="0" applyBorder="1"/>
    <xf numFmtId="0" fontId="321" fillId="0" borderId="0" xfId="0" applyFont="1"/>
    <xf numFmtId="0" fontId="322" fillId="0" borderId="0" xfId="0" applyFont="1" applyProtection="1">
      <protection hidden="1"/>
    </xf>
    <xf numFmtId="0" fontId="80" fillId="27" borderId="1" xfId="0" applyFont="1" applyFill="1" applyBorder="1" applyAlignment="1" applyProtection="1">
      <alignment horizontal="center" vertical="top" wrapText="1"/>
      <protection hidden="1"/>
    </xf>
    <xf numFmtId="0" fontId="80" fillId="0" borderId="1" xfId="0" applyFont="1" applyBorder="1" applyAlignment="1" applyProtection="1">
      <alignment horizontal="center" vertical="top" wrapText="1"/>
      <protection hidden="1"/>
    </xf>
    <xf numFmtId="1" fontId="80" fillId="25" borderId="1" xfId="0" applyNumberFormat="1" applyFont="1" applyFill="1" applyBorder="1" applyAlignment="1" applyProtection="1">
      <alignment horizontal="center" vertical="top" wrapText="1"/>
      <protection hidden="1"/>
    </xf>
    <xf numFmtId="0" fontId="326" fillId="0" borderId="34" xfId="0" applyFont="1" applyBorder="1" applyAlignment="1" applyProtection="1">
      <alignment horizontal="center" textRotation="90"/>
      <protection hidden="1"/>
    </xf>
    <xf numFmtId="0" fontId="325" fillId="0" borderId="7" xfId="0" applyFont="1" applyBorder="1" applyAlignment="1" applyProtection="1">
      <alignment horizontal="center" vertical="center" wrapText="1"/>
      <protection hidden="1"/>
    </xf>
    <xf numFmtId="0" fontId="325" fillId="0" borderId="1" xfId="0" applyFont="1" applyBorder="1" applyAlignment="1" applyProtection="1">
      <alignment horizontal="center" vertical="center" wrapText="1"/>
      <protection hidden="1"/>
    </xf>
    <xf numFmtId="0" fontId="325" fillId="0" borderId="1" xfId="0" applyFont="1" applyBorder="1" applyAlignment="1" applyProtection="1">
      <alignment horizontal="center"/>
      <protection hidden="1"/>
    </xf>
    <xf numFmtId="0" fontId="35" fillId="0" borderId="0" xfId="0" applyFont="1" applyAlignment="1" applyProtection="1">
      <alignment vertical="center" wrapText="1"/>
      <protection hidden="1"/>
    </xf>
    <xf numFmtId="1" fontId="35" fillId="0" borderId="1" xfId="0" applyNumberFormat="1" applyFont="1" applyBorder="1" applyAlignment="1" applyProtection="1">
      <alignment horizontal="center"/>
      <protection hidden="1"/>
    </xf>
    <xf numFmtId="1" fontId="35" fillId="9" borderId="0" xfId="0" applyNumberFormat="1" applyFont="1" applyFill="1" applyAlignment="1" applyProtection="1">
      <alignment horizontal="center" vertical="center" wrapText="1"/>
      <protection hidden="1"/>
    </xf>
    <xf numFmtId="168" fontId="323" fillId="64" borderId="7" xfId="0" applyNumberFormat="1" applyFont="1" applyFill="1" applyBorder="1" applyAlignment="1" applyProtection="1">
      <alignment horizontal="center" wrapText="1"/>
      <protection locked="0"/>
    </xf>
    <xf numFmtId="2" fontId="12" fillId="0" borderId="1" xfId="0" applyNumberFormat="1" applyFont="1" applyBorder="1" applyProtection="1">
      <protection hidden="1"/>
    </xf>
    <xf numFmtId="0" fontId="325" fillId="9" borderId="22" xfId="0" applyFont="1" applyFill="1" applyBorder="1" applyAlignment="1" applyProtection="1">
      <alignment horizontal="center" vertical="center"/>
      <protection hidden="1"/>
    </xf>
    <xf numFmtId="0" fontId="35" fillId="0" borderId="1" xfId="0" applyFont="1" applyBorder="1" applyAlignment="1" applyProtection="1">
      <alignment horizontal="center" vertical="center" wrapText="1"/>
      <protection hidden="1"/>
    </xf>
    <xf numFmtId="1" fontId="35" fillId="0" borderId="1" xfId="0" applyNumberFormat="1" applyFont="1" applyBorder="1" applyAlignment="1" applyProtection="1">
      <alignment horizontal="center" vertical="center" wrapText="1"/>
      <protection hidden="1"/>
    </xf>
    <xf numFmtId="1" fontId="325" fillId="0" borderId="1" xfId="0" applyNumberFormat="1" applyFont="1" applyBorder="1" applyAlignment="1" applyProtection="1">
      <alignment horizontal="center" vertical="center" wrapText="1"/>
      <protection hidden="1"/>
    </xf>
    <xf numFmtId="0" fontId="35" fillId="0" borderId="1" xfId="0" applyFont="1" applyBorder="1" applyProtection="1">
      <protection hidden="1"/>
    </xf>
    <xf numFmtId="0" fontId="325" fillId="0" borderId="1" xfId="0" applyFont="1" applyBorder="1" applyProtection="1">
      <protection hidden="1"/>
    </xf>
    <xf numFmtId="0" fontId="35" fillId="3" borderId="1" xfId="0" applyFont="1" applyFill="1" applyBorder="1" applyAlignment="1" applyProtection="1">
      <alignment horizontal="center" vertical="center" wrapText="1"/>
      <protection hidden="1"/>
    </xf>
    <xf numFmtId="0" fontId="328" fillId="0" borderId="1" xfId="0" applyFont="1" applyBorder="1" applyAlignment="1" applyProtection="1">
      <alignment horizontal="center" vertical="center" wrapText="1"/>
      <protection hidden="1"/>
    </xf>
    <xf numFmtId="1" fontId="35" fillId="32" borderId="1" xfId="0" applyNumberFormat="1" applyFont="1" applyFill="1" applyBorder="1" applyAlignment="1" applyProtection="1">
      <alignment horizontal="center"/>
      <protection hidden="1"/>
    </xf>
    <xf numFmtId="0" fontId="325" fillId="0" borderId="36" xfId="0" applyFont="1" applyBorder="1" applyAlignment="1" applyProtection="1">
      <alignment horizontal="center" vertical="center" wrapText="1"/>
      <protection hidden="1"/>
    </xf>
    <xf numFmtId="0" fontId="35" fillId="0" borderId="36" xfId="0" applyFont="1" applyBorder="1" applyAlignment="1" applyProtection="1">
      <alignment horizontal="center" vertical="center" wrapText="1"/>
      <protection hidden="1"/>
    </xf>
    <xf numFmtId="0" fontId="325" fillId="0" borderId="39" xfId="0" applyFont="1" applyBorder="1" applyAlignment="1" applyProtection="1">
      <alignment horizontal="center" vertical="center" wrapText="1"/>
      <protection hidden="1"/>
    </xf>
    <xf numFmtId="0" fontId="35" fillId="0" borderId="39" xfId="0" applyFont="1" applyBorder="1" applyAlignment="1" applyProtection="1">
      <alignment horizontal="center" vertical="center" wrapText="1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325" fillId="3" borderId="14" xfId="0" applyFont="1" applyFill="1" applyBorder="1" applyAlignment="1" applyProtection="1">
      <alignment horizontal="center" vertical="center"/>
      <protection hidden="1"/>
    </xf>
    <xf numFmtId="0" fontId="328" fillId="3" borderId="25" xfId="0" applyFont="1" applyFill="1" applyBorder="1" applyAlignment="1" applyProtection="1">
      <alignment horizontal="center" vertical="center"/>
      <protection hidden="1"/>
    </xf>
    <xf numFmtId="0" fontId="325" fillId="3" borderId="18" xfId="0" applyFont="1" applyFill="1" applyBorder="1" applyAlignment="1" applyProtection="1">
      <alignment horizontal="center" vertical="center"/>
      <protection hidden="1"/>
    </xf>
    <xf numFmtId="0" fontId="84" fillId="0" borderId="0" xfId="0" applyFont="1" applyAlignment="1" applyProtection="1">
      <alignment horizontal="center" vertical="top" wrapText="1"/>
      <protection hidden="1"/>
    </xf>
    <xf numFmtId="17" fontId="84" fillId="0" borderId="0" xfId="0" applyNumberFormat="1" applyFont="1" applyAlignment="1" applyProtection="1">
      <alignment horizontal="center" vertical="top" wrapText="1"/>
      <protection hidden="1"/>
    </xf>
    <xf numFmtId="0" fontId="17" fillId="0" borderId="0" xfId="0" applyFont="1" applyAlignment="1" applyProtection="1">
      <alignment horizontal="center"/>
      <protection hidden="1"/>
    </xf>
    <xf numFmtId="174" fontId="331" fillId="41" borderId="1" xfId="0" applyNumberFormat="1" applyFont="1" applyFill="1" applyBorder="1" applyAlignment="1">
      <alignment horizontal="center"/>
    </xf>
    <xf numFmtId="0" fontId="190" fillId="0" borderId="5" xfId="0" applyFont="1" applyBorder="1" applyAlignment="1" applyProtection="1">
      <alignment horizontal="center" vertical="center" wrapText="1" readingOrder="1"/>
      <protection hidden="1"/>
    </xf>
    <xf numFmtId="0" fontId="190" fillId="0" borderId="0" xfId="0" applyFont="1" applyAlignment="1" applyProtection="1">
      <alignment horizontal="center" vertical="center" wrapText="1" readingOrder="1"/>
      <protection hidden="1"/>
    </xf>
    <xf numFmtId="0" fontId="332" fillId="0" borderId="0" xfId="0" applyFont="1" applyProtection="1">
      <protection hidden="1"/>
    </xf>
    <xf numFmtId="0" fontId="12" fillId="0" borderId="7" xfId="0" applyFont="1" applyBorder="1" applyAlignment="1" applyProtection="1">
      <alignment horizontal="center" vertical="center" wrapText="1"/>
      <protection hidden="1"/>
    </xf>
    <xf numFmtId="0" fontId="235" fillId="41" borderId="1" xfId="0" applyFont="1" applyFill="1" applyBorder="1" applyAlignment="1" applyProtection="1">
      <alignment horizontal="center" vertical="center" wrapText="1" readingOrder="1"/>
      <protection hidden="1"/>
    </xf>
    <xf numFmtId="0" fontId="190" fillId="29" borderId="1" xfId="0" applyFont="1" applyFill="1" applyBorder="1" applyAlignment="1" applyProtection="1">
      <alignment horizontal="center" vertical="center" wrapText="1" readingOrder="1"/>
      <protection hidden="1"/>
    </xf>
    <xf numFmtId="0" fontId="238" fillId="0" borderId="0" xfId="0" applyFont="1" applyAlignment="1" applyProtection="1">
      <alignment horizontal="center" vertical="center" textRotation="90"/>
      <protection hidden="1"/>
    </xf>
    <xf numFmtId="0" fontId="259" fillId="0" borderId="1" xfId="0" applyFont="1" applyBorder="1"/>
    <xf numFmtId="2" fontId="42" fillId="0" borderId="0" xfId="0" applyNumberFormat="1" applyFont="1" applyAlignment="1" applyProtection="1">
      <alignment vertical="center" wrapText="1"/>
      <protection hidden="1"/>
    </xf>
    <xf numFmtId="2" fontId="333" fillId="0" borderId="0" xfId="0" applyNumberFormat="1" applyFont="1" applyAlignment="1" applyProtection="1">
      <alignment vertical="center" wrapText="1"/>
      <protection hidden="1"/>
    </xf>
    <xf numFmtId="2" fontId="127" fillId="0" borderId="1" xfId="0" applyNumberFormat="1" applyFont="1" applyBorder="1" applyProtection="1">
      <protection hidden="1"/>
    </xf>
    <xf numFmtId="2" fontId="127" fillId="24" borderId="1" xfId="0" applyNumberFormat="1" applyFont="1" applyFill="1" applyBorder="1" applyProtection="1">
      <protection hidden="1"/>
    </xf>
    <xf numFmtId="2" fontId="127" fillId="0" borderId="0" xfId="0" applyNumberFormat="1" applyFont="1" applyProtection="1">
      <protection hidden="1"/>
    </xf>
    <xf numFmtId="1" fontId="300" fillId="0" borderId="0" xfId="0" applyNumberFormat="1" applyFont="1" applyAlignment="1" applyProtection="1">
      <alignment horizontal="center" vertical="top" wrapText="1"/>
      <protection hidden="1"/>
    </xf>
    <xf numFmtId="2" fontId="127" fillId="0" borderId="0" xfId="0" applyNumberFormat="1" applyFont="1" applyAlignment="1" applyProtection="1">
      <alignment horizontal="center" wrapText="1"/>
      <protection hidden="1"/>
    </xf>
    <xf numFmtId="2" fontId="127" fillId="0" borderId="24" xfId="0" applyNumberFormat="1" applyFont="1" applyBorder="1" applyAlignment="1" applyProtection="1">
      <alignment horizontal="center" wrapText="1"/>
      <protection hidden="1"/>
    </xf>
    <xf numFmtId="2" fontId="127" fillId="24" borderId="33" xfId="0" applyNumberFormat="1" applyFont="1" applyFill="1" applyBorder="1" applyAlignment="1" applyProtection="1">
      <alignment horizontal="center" wrapText="1"/>
      <protection hidden="1"/>
    </xf>
    <xf numFmtId="2" fontId="231" fillId="0" borderId="0" xfId="0" applyNumberFormat="1" applyFont="1" applyAlignment="1" applyProtection="1">
      <alignment horizontal="center" wrapText="1"/>
      <protection hidden="1"/>
    </xf>
    <xf numFmtId="0" fontId="231" fillId="0" borderId="0" xfId="0" applyFont="1" applyAlignment="1" applyProtection="1">
      <alignment horizontal="center" wrapText="1"/>
      <protection hidden="1"/>
    </xf>
    <xf numFmtId="2" fontId="127" fillId="0" borderId="62" xfId="0" applyNumberFormat="1" applyFont="1" applyBorder="1" applyAlignment="1" applyProtection="1">
      <alignment horizontal="center" wrapText="1"/>
      <protection hidden="1"/>
    </xf>
    <xf numFmtId="2" fontId="127" fillId="0" borderId="18" xfId="0" applyNumberFormat="1" applyFont="1" applyBorder="1" applyAlignment="1" applyProtection="1">
      <alignment horizontal="center" wrapText="1"/>
      <protection hidden="1"/>
    </xf>
    <xf numFmtId="2" fontId="127" fillId="0" borderId="28" xfId="0" applyNumberFormat="1" applyFont="1" applyBorder="1" applyAlignment="1" applyProtection="1">
      <alignment horizontal="center" wrapText="1"/>
      <protection hidden="1"/>
    </xf>
    <xf numFmtId="1" fontId="231" fillId="0" borderId="0" xfId="0" applyNumberFormat="1" applyFont="1" applyAlignment="1" applyProtection="1">
      <alignment horizontal="center" vertical="top" wrapText="1"/>
      <protection hidden="1"/>
    </xf>
    <xf numFmtId="2" fontId="231" fillId="27" borderId="2" xfId="0" applyNumberFormat="1" applyFont="1" applyFill="1" applyBorder="1" applyAlignment="1" applyProtection="1">
      <alignment horizontal="center" wrapText="1"/>
      <protection hidden="1"/>
    </xf>
    <xf numFmtId="2" fontId="231" fillId="27" borderId="3" xfId="0" applyNumberFormat="1" applyFont="1" applyFill="1" applyBorder="1" applyAlignment="1" applyProtection="1">
      <alignment horizontal="center" wrapText="1"/>
      <protection hidden="1"/>
    </xf>
    <xf numFmtId="2" fontId="231" fillId="27" borderId="11" xfId="0" applyNumberFormat="1" applyFont="1" applyFill="1" applyBorder="1" applyAlignment="1" applyProtection="1">
      <alignment horizontal="center" wrapText="1"/>
      <protection hidden="1"/>
    </xf>
    <xf numFmtId="0" fontId="221" fillId="0" borderId="36" xfId="0" applyFont="1" applyBorder="1" applyAlignment="1" applyProtection="1">
      <alignment horizontal="center"/>
      <protection hidden="1"/>
    </xf>
    <xf numFmtId="0" fontId="221" fillId="0" borderId="37" xfId="0" applyFont="1" applyBorder="1" applyProtection="1">
      <protection hidden="1"/>
    </xf>
    <xf numFmtId="0" fontId="221" fillId="0" borderId="29" xfId="0" applyFont="1" applyBorder="1" applyProtection="1">
      <protection hidden="1"/>
    </xf>
    <xf numFmtId="0" fontId="229" fillId="0" borderId="34" xfId="0" applyFont="1" applyBorder="1" applyAlignment="1" applyProtection="1">
      <alignment wrapText="1"/>
      <protection hidden="1"/>
    </xf>
    <xf numFmtId="0" fontId="221" fillId="0" borderId="34" xfId="0" applyFont="1" applyBorder="1" applyAlignment="1" applyProtection="1">
      <alignment horizontal="center" vertical="top" wrapText="1"/>
      <protection hidden="1"/>
    </xf>
    <xf numFmtId="1" fontId="221" fillId="0" borderId="9" xfId="0" applyNumberFormat="1" applyFont="1" applyBorder="1" applyProtection="1">
      <protection hidden="1"/>
    </xf>
    <xf numFmtId="0" fontId="229" fillId="52" borderId="38" xfId="0" applyFont="1" applyFill="1" applyBorder="1" applyAlignment="1" applyProtection="1">
      <alignment horizontal="center" wrapText="1"/>
      <protection hidden="1"/>
    </xf>
    <xf numFmtId="0" fontId="229" fillId="52" borderId="39" xfId="0" applyFont="1" applyFill="1" applyBorder="1" applyAlignment="1" applyProtection="1">
      <alignment horizontal="center" wrapText="1"/>
      <protection hidden="1"/>
    </xf>
    <xf numFmtId="0" fontId="229" fillId="0" borderId="61" xfId="0" applyFont="1" applyBorder="1" applyAlignment="1" applyProtection="1">
      <alignment horizontal="center" vertical="top" wrapText="1"/>
      <protection hidden="1"/>
    </xf>
    <xf numFmtId="0" fontId="229" fillId="0" borderId="30" xfId="0" applyFont="1" applyBorder="1" applyAlignment="1" applyProtection="1">
      <alignment horizontal="center" vertical="top" wrapText="1"/>
      <protection hidden="1"/>
    </xf>
    <xf numFmtId="0" fontId="229" fillId="0" borderId="32" xfId="0" applyFont="1" applyBorder="1" applyAlignment="1" applyProtection="1">
      <alignment horizontal="center" vertical="top" wrapText="1"/>
      <protection hidden="1"/>
    </xf>
    <xf numFmtId="2" fontId="127" fillId="24" borderId="7" xfId="0" applyNumberFormat="1" applyFont="1" applyFill="1" applyBorder="1" applyProtection="1">
      <protection hidden="1"/>
    </xf>
    <xf numFmtId="2" fontId="260" fillId="0" borderId="0" xfId="0" applyNumberFormat="1" applyFont="1" applyProtection="1">
      <protection hidden="1"/>
    </xf>
    <xf numFmtId="1" fontId="260" fillId="59" borderId="1" xfId="0" applyNumberFormat="1" applyFont="1" applyFill="1" applyBorder="1" applyProtection="1">
      <protection hidden="1"/>
    </xf>
    <xf numFmtId="1" fontId="231" fillId="25" borderId="1" xfId="0" applyNumberFormat="1" applyFont="1" applyFill="1" applyBorder="1" applyProtection="1">
      <protection hidden="1"/>
    </xf>
    <xf numFmtId="0" fontId="122" fillId="0" borderId="1" xfId="0" applyFont="1" applyBorder="1" applyAlignment="1" applyProtection="1">
      <alignment horizontal="center" vertical="center" wrapText="1"/>
      <protection hidden="1"/>
    </xf>
    <xf numFmtId="1" fontId="50" fillId="9" borderId="1" xfId="0" applyNumberFormat="1" applyFont="1" applyFill="1" applyBorder="1" applyProtection="1">
      <protection hidden="1"/>
    </xf>
    <xf numFmtId="1" fontId="50" fillId="3" borderId="1" xfId="0" applyNumberFormat="1" applyFont="1" applyFill="1" applyBorder="1" applyProtection="1">
      <protection hidden="1"/>
    </xf>
    <xf numFmtId="0" fontId="122" fillId="9" borderId="1" xfId="0" applyFont="1" applyFill="1" applyBorder="1" applyAlignment="1" applyProtection="1">
      <alignment horizontal="center" vertical="center" wrapText="1"/>
      <protection hidden="1"/>
    </xf>
    <xf numFmtId="0" fontId="122" fillId="9" borderId="0" xfId="0" applyFont="1" applyFill="1" applyAlignment="1" applyProtection="1">
      <alignment horizontal="center" vertical="center" wrapText="1"/>
      <protection hidden="1"/>
    </xf>
    <xf numFmtId="0" fontId="122" fillId="9" borderId="0" xfId="0" applyFont="1" applyFill="1" applyAlignment="1" applyProtection="1">
      <alignment vertical="center" wrapText="1"/>
      <protection hidden="1"/>
    </xf>
    <xf numFmtId="0" fontId="122" fillId="9" borderId="0" xfId="0" applyFont="1" applyFill="1" applyProtection="1">
      <protection hidden="1"/>
    </xf>
    <xf numFmtId="1" fontId="50" fillId="9" borderId="9" xfId="0" applyNumberFormat="1" applyFont="1" applyFill="1" applyBorder="1" applyProtection="1">
      <protection hidden="1"/>
    </xf>
    <xf numFmtId="0" fontId="228" fillId="0" borderId="36" xfId="0" applyFont="1" applyBorder="1" applyAlignment="1" applyProtection="1">
      <alignment horizontal="center" vertical="top" wrapText="1"/>
      <protection hidden="1"/>
    </xf>
    <xf numFmtId="1" fontId="127" fillId="0" borderId="1" xfId="0" applyNumberFormat="1" applyFont="1" applyBorder="1" applyAlignment="1" applyProtection="1">
      <alignment horizontal="center" vertical="top" wrapText="1"/>
      <protection hidden="1"/>
    </xf>
    <xf numFmtId="1" fontId="127" fillId="30" borderId="1" xfId="0" applyNumberFormat="1" applyFont="1" applyFill="1" applyBorder="1" applyAlignment="1" applyProtection="1">
      <alignment horizontal="center" vertical="top" wrapText="1"/>
      <protection hidden="1"/>
    </xf>
    <xf numFmtId="166" fontId="221" fillId="0" borderId="0" xfId="0" applyNumberFormat="1" applyFont="1" applyAlignment="1" applyProtection="1">
      <alignment horizontal="center" vertical="top" wrapText="1"/>
      <protection hidden="1"/>
    </xf>
    <xf numFmtId="2" fontId="127" fillId="14" borderId="1" xfId="0" applyNumberFormat="1" applyFont="1" applyFill="1" applyBorder="1" applyAlignment="1" applyProtection="1">
      <alignment horizontal="center" vertical="top" wrapText="1"/>
      <protection hidden="1"/>
    </xf>
    <xf numFmtId="2" fontId="127" fillId="25" borderId="1" xfId="0" applyNumberFormat="1" applyFont="1" applyFill="1" applyBorder="1" applyAlignment="1" applyProtection="1">
      <alignment horizontal="center"/>
      <protection hidden="1"/>
    </xf>
    <xf numFmtId="2" fontId="127" fillId="25" borderId="9" xfId="0" applyNumberFormat="1" applyFont="1" applyFill="1" applyBorder="1" applyProtection="1">
      <protection hidden="1"/>
    </xf>
    <xf numFmtId="1" fontId="127" fillId="52" borderId="30" xfId="0" applyNumberFormat="1" applyFont="1" applyFill="1" applyBorder="1" applyAlignment="1" applyProtection="1">
      <alignment horizontal="center" vertical="top" wrapText="1"/>
      <protection hidden="1"/>
    </xf>
    <xf numFmtId="2" fontId="221" fillId="0" borderId="35" xfId="0" applyNumberFormat="1" applyFont="1" applyBorder="1" applyProtection="1">
      <protection hidden="1"/>
    </xf>
    <xf numFmtId="2" fontId="221" fillId="0" borderId="36" xfId="0" applyNumberFormat="1" applyFont="1" applyBorder="1" applyProtection="1">
      <protection hidden="1"/>
    </xf>
    <xf numFmtId="0" fontId="221" fillId="0" borderId="36" xfId="0" applyFont="1" applyBorder="1" applyProtection="1">
      <protection hidden="1"/>
    </xf>
    <xf numFmtId="2" fontId="260" fillId="0" borderId="29" xfId="0" applyNumberFormat="1" applyFont="1" applyBorder="1" applyProtection="1">
      <protection hidden="1"/>
    </xf>
    <xf numFmtId="1" fontId="260" fillId="59" borderId="10" xfId="0" applyNumberFormat="1" applyFont="1" applyFill="1" applyBorder="1" applyProtection="1">
      <protection hidden="1"/>
    </xf>
    <xf numFmtId="1" fontId="221" fillId="0" borderId="10" xfId="0" applyNumberFormat="1" applyFont="1" applyBorder="1" applyProtection="1">
      <protection hidden="1"/>
    </xf>
    <xf numFmtId="1" fontId="127" fillId="30" borderId="61" xfId="0" applyNumberFormat="1" applyFont="1" applyFill="1" applyBorder="1" applyAlignment="1" applyProtection="1">
      <alignment horizontal="center" vertical="top" wrapText="1"/>
      <protection hidden="1"/>
    </xf>
    <xf numFmtId="1" fontId="127" fillId="30" borderId="30" xfId="0" applyNumberFormat="1" applyFont="1" applyFill="1" applyBorder="1" applyAlignment="1" applyProtection="1">
      <alignment horizontal="center" vertical="top" wrapText="1"/>
      <protection hidden="1"/>
    </xf>
    <xf numFmtId="0" fontId="221" fillId="0" borderId="39" xfId="0" applyFont="1" applyBorder="1" applyProtection="1">
      <protection hidden="1"/>
    </xf>
    <xf numFmtId="0" fontId="221" fillId="0" borderId="40" xfId="0" applyFont="1" applyBorder="1" applyProtection="1">
      <protection hidden="1"/>
    </xf>
    <xf numFmtId="1" fontId="221" fillId="0" borderId="0" xfId="0" applyNumberFormat="1" applyFont="1" applyAlignment="1" applyProtection="1">
      <alignment horizontal="center" vertical="center" wrapText="1"/>
      <protection hidden="1"/>
    </xf>
    <xf numFmtId="0" fontId="221" fillId="0" borderId="35" xfId="0" applyFont="1" applyBorder="1" applyProtection="1">
      <protection hidden="1"/>
    </xf>
    <xf numFmtId="2" fontId="127" fillId="0" borderId="34" xfId="0" applyNumberFormat="1" applyFont="1" applyBorder="1" applyProtection="1">
      <protection hidden="1"/>
    </xf>
    <xf numFmtId="2" fontId="127" fillId="24" borderId="10" xfId="0" applyNumberFormat="1" applyFont="1" applyFill="1" applyBorder="1" applyProtection="1">
      <protection hidden="1"/>
    </xf>
    <xf numFmtId="2" fontId="260" fillId="0" borderId="9" xfId="0" applyNumberFormat="1" applyFont="1" applyBorder="1" applyProtection="1">
      <protection hidden="1"/>
    </xf>
    <xf numFmtId="0" fontId="221" fillId="0" borderId="38" xfId="0" applyFont="1" applyBorder="1" applyProtection="1">
      <protection hidden="1"/>
    </xf>
    <xf numFmtId="2" fontId="127" fillId="0" borderId="10" xfId="0" applyNumberFormat="1" applyFont="1" applyBorder="1" applyProtection="1">
      <protection hidden="1"/>
    </xf>
    <xf numFmtId="0" fontId="228" fillId="0" borderId="1" xfId="0" applyFont="1" applyBorder="1" applyAlignment="1" applyProtection="1">
      <alignment horizontal="center" wrapText="1"/>
      <protection hidden="1"/>
    </xf>
    <xf numFmtId="0" fontId="237" fillId="0" borderId="1" xfId="0" applyFont="1" applyBorder="1" applyAlignment="1" applyProtection="1">
      <alignment wrapText="1"/>
      <protection hidden="1"/>
    </xf>
    <xf numFmtId="0" fontId="237" fillId="0" borderId="1" xfId="0" applyFont="1" applyBorder="1" applyAlignment="1" applyProtection="1">
      <alignment horizontal="center" wrapText="1"/>
      <protection hidden="1"/>
    </xf>
    <xf numFmtId="0" fontId="243" fillId="31" borderId="1" xfId="0" applyFont="1" applyFill="1" applyBorder="1" applyAlignment="1" applyProtection="1">
      <alignment horizontal="center" vertical="center" wrapText="1" readingOrder="1"/>
      <protection hidden="1"/>
    </xf>
    <xf numFmtId="0" fontId="235" fillId="26" borderId="1" xfId="0" applyFont="1" applyFill="1" applyBorder="1" applyAlignment="1" applyProtection="1">
      <alignment vertical="center" wrapText="1" readingOrder="1"/>
      <protection hidden="1"/>
    </xf>
    <xf numFmtId="0" fontId="235" fillId="26" borderId="1" xfId="0" applyFont="1" applyFill="1" applyBorder="1" applyAlignment="1" applyProtection="1">
      <alignment horizontal="center" vertical="center" wrapText="1" readingOrder="1"/>
      <protection hidden="1"/>
    </xf>
    <xf numFmtId="0" fontId="235" fillId="29" borderId="1" xfId="0" applyFont="1" applyFill="1" applyBorder="1" applyAlignment="1" applyProtection="1">
      <alignment vertical="center" wrapText="1" readingOrder="1"/>
      <protection hidden="1"/>
    </xf>
    <xf numFmtId="0" fontId="235" fillId="29" borderId="1" xfId="0" applyFont="1" applyFill="1" applyBorder="1" applyAlignment="1" applyProtection="1">
      <alignment horizontal="center" vertical="center" wrapText="1" readingOrder="1"/>
      <protection hidden="1"/>
    </xf>
    <xf numFmtId="0" fontId="228" fillId="0" borderId="59" xfId="0" applyFont="1" applyBorder="1" applyAlignment="1" applyProtection="1">
      <alignment wrapText="1"/>
      <protection hidden="1"/>
    </xf>
    <xf numFmtId="0" fontId="228" fillId="0" borderId="31" xfId="0" applyFont="1" applyBorder="1" applyAlignment="1" applyProtection="1">
      <alignment wrapText="1"/>
      <protection hidden="1"/>
    </xf>
    <xf numFmtId="0" fontId="228" fillId="0" borderId="31" xfId="0" applyFont="1" applyBorder="1" applyAlignment="1" applyProtection="1">
      <alignment horizontal="center" wrapText="1"/>
      <protection hidden="1"/>
    </xf>
    <xf numFmtId="0" fontId="237" fillId="0" borderId="10" xfId="0" applyFont="1" applyBorder="1" applyAlignment="1" applyProtection="1">
      <alignment wrapText="1"/>
      <protection hidden="1"/>
    </xf>
    <xf numFmtId="2" fontId="221" fillId="0" borderId="9" xfId="0" applyNumberFormat="1" applyFont="1" applyBorder="1" applyAlignment="1" applyProtection="1">
      <alignment horizontal="center"/>
      <protection hidden="1"/>
    </xf>
    <xf numFmtId="0" fontId="238" fillId="29" borderId="10" xfId="0" applyFont="1" applyFill="1" applyBorder="1" applyAlignment="1" applyProtection="1">
      <alignment horizontal="center" vertical="center" textRotation="90"/>
      <protection hidden="1"/>
    </xf>
    <xf numFmtId="0" fontId="226" fillId="63" borderId="10" xfId="0" applyFont="1" applyFill="1" applyBorder="1" applyAlignment="1" applyProtection="1">
      <alignment vertical="center" wrapText="1" readingOrder="1"/>
      <protection hidden="1"/>
    </xf>
    <xf numFmtId="0" fontId="238" fillId="26" borderId="10" xfId="0" applyFont="1" applyFill="1" applyBorder="1" applyAlignment="1" applyProtection="1">
      <alignment vertical="center" textRotation="90"/>
      <protection hidden="1"/>
    </xf>
    <xf numFmtId="0" fontId="238" fillId="29" borderId="10" xfId="0" applyFont="1" applyFill="1" applyBorder="1" applyAlignment="1" applyProtection="1">
      <alignment vertical="center" textRotation="90"/>
      <protection hidden="1"/>
    </xf>
    <xf numFmtId="1" fontId="226" fillId="0" borderId="30" xfId="0" applyNumberFormat="1" applyFont="1" applyBorder="1" applyAlignment="1" applyProtection="1">
      <alignment horizontal="center" vertical="center" wrapText="1" readingOrder="1"/>
      <protection hidden="1"/>
    </xf>
    <xf numFmtId="2" fontId="221" fillId="24" borderId="30" xfId="0" applyNumberFormat="1" applyFont="1" applyFill="1" applyBorder="1" applyAlignment="1" applyProtection="1">
      <alignment horizontal="center" wrapText="1"/>
      <protection hidden="1"/>
    </xf>
    <xf numFmtId="2" fontId="221" fillId="0" borderId="30" xfId="0" applyNumberFormat="1" applyFont="1" applyBorder="1" applyAlignment="1" applyProtection="1">
      <alignment horizontal="center"/>
      <protection hidden="1"/>
    </xf>
    <xf numFmtId="2" fontId="221" fillId="0" borderId="32" xfId="0" applyNumberFormat="1" applyFont="1" applyBorder="1" applyAlignment="1" applyProtection="1">
      <alignment horizontal="center"/>
      <protection hidden="1"/>
    </xf>
    <xf numFmtId="1" fontId="231" fillId="52" borderId="72" xfId="0" applyNumberFormat="1" applyFont="1" applyFill="1" applyBorder="1" applyAlignment="1" applyProtection="1">
      <alignment horizontal="center" wrapText="1"/>
      <protection hidden="1"/>
    </xf>
    <xf numFmtId="2" fontId="127" fillId="24" borderId="30" xfId="0" applyNumberFormat="1" applyFont="1" applyFill="1" applyBorder="1" applyAlignment="1" applyProtection="1">
      <alignment horizontal="center" wrapText="1"/>
      <protection hidden="1"/>
    </xf>
    <xf numFmtId="2" fontId="127" fillId="25" borderId="30" xfId="0" applyNumberFormat="1" applyFont="1" applyFill="1" applyBorder="1" applyAlignment="1" applyProtection="1">
      <alignment horizontal="center" wrapText="1"/>
      <protection hidden="1"/>
    </xf>
    <xf numFmtId="2" fontId="127" fillId="25" borderId="32" xfId="0" applyNumberFormat="1" applyFont="1" applyFill="1" applyBorder="1" applyAlignment="1" applyProtection="1">
      <alignment horizontal="center" wrapText="1"/>
      <protection hidden="1"/>
    </xf>
    <xf numFmtId="1" fontId="127" fillId="30" borderId="69" xfId="0" applyNumberFormat="1" applyFont="1" applyFill="1" applyBorder="1" applyAlignment="1" applyProtection="1">
      <alignment horizontal="center" vertical="top" wrapText="1"/>
      <protection hidden="1"/>
    </xf>
    <xf numFmtId="1" fontId="127" fillId="30" borderId="46" xfId="0" applyNumberFormat="1" applyFont="1" applyFill="1" applyBorder="1" applyAlignment="1" applyProtection="1">
      <alignment horizontal="center" vertical="top" wrapText="1"/>
      <protection hidden="1"/>
    </xf>
    <xf numFmtId="1" fontId="127" fillId="30" borderId="64" xfId="0" applyNumberFormat="1" applyFont="1" applyFill="1" applyBorder="1" applyAlignment="1" applyProtection="1">
      <alignment horizontal="center" vertical="top" wrapText="1"/>
      <protection hidden="1"/>
    </xf>
    <xf numFmtId="0" fontId="337" fillId="0" borderId="1" xfId="0" applyFont="1" applyBorder="1" applyAlignment="1" applyProtection="1">
      <alignment vertical="center" wrapText="1"/>
      <protection hidden="1"/>
    </xf>
    <xf numFmtId="0" fontId="337" fillId="0" borderId="1" xfId="0" applyFont="1" applyBorder="1" applyAlignment="1" applyProtection="1">
      <alignment vertical="top" wrapText="1"/>
      <protection hidden="1"/>
    </xf>
    <xf numFmtId="0" fontId="337" fillId="0" borderId="1" xfId="0" applyFont="1" applyBorder="1" applyAlignment="1" applyProtection="1">
      <alignment horizontal="center" vertical="top" wrapText="1"/>
      <protection hidden="1"/>
    </xf>
    <xf numFmtId="0" fontId="260" fillId="0" borderId="0" xfId="0" applyFont="1" applyProtection="1">
      <protection hidden="1"/>
    </xf>
    <xf numFmtId="1" fontId="127" fillId="25" borderId="33" xfId="0" applyNumberFormat="1" applyFont="1" applyFill="1" applyBorder="1" applyProtection="1">
      <protection hidden="1"/>
    </xf>
    <xf numFmtId="0" fontId="127" fillId="0" borderId="0" xfId="0" applyFont="1" applyProtection="1">
      <protection hidden="1"/>
    </xf>
    <xf numFmtId="1" fontId="127" fillId="59" borderId="33" xfId="0" applyNumberFormat="1" applyFont="1" applyFill="1" applyBorder="1" applyProtection="1">
      <protection hidden="1"/>
    </xf>
    <xf numFmtId="0" fontId="336" fillId="52" borderId="38" xfId="0" applyFont="1" applyFill="1" applyBorder="1" applyAlignment="1" applyProtection="1">
      <alignment horizontal="center" wrapText="1"/>
      <protection hidden="1"/>
    </xf>
    <xf numFmtId="0" fontId="336" fillId="52" borderId="39" xfId="0" applyFont="1" applyFill="1" applyBorder="1" applyAlignment="1" applyProtection="1">
      <alignment horizontal="center" wrapText="1"/>
      <protection hidden="1"/>
    </xf>
    <xf numFmtId="1" fontId="127" fillId="52" borderId="41" xfId="0" applyNumberFormat="1" applyFont="1" applyFill="1" applyBorder="1" applyAlignment="1" applyProtection="1">
      <alignment horizontal="center" vertical="top" wrapText="1"/>
      <protection hidden="1"/>
    </xf>
    <xf numFmtId="1" fontId="127" fillId="52" borderId="42" xfId="0" applyNumberFormat="1" applyFont="1" applyFill="1" applyBorder="1" applyAlignment="1" applyProtection="1">
      <alignment horizontal="center" vertical="top" wrapText="1"/>
      <protection hidden="1"/>
    </xf>
    <xf numFmtId="1" fontId="127" fillId="0" borderId="1" xfId="0" applyNumberFormat="1" applyFont="1" applyBorder="1" applyAlignment="1" applyProtection="1">
      <alignment wrapText="1"/>
      <protection hidden="1"/>
    </xf>
    <xf numFmtId="1" fontId="5" fillId="0" borderId="65" xfId="0" applyNumberFormat="1" applyFont="1" applyBorder="1" applyAlignment="1" applyProtection="1">
      <alignment horizontal="center" vertical="center" wrapText="1"/>
      <protection hidden="1"/>
    </xf>
    <xf numFmtId="1" fontId="5" fillId="0" borderId="28" xfId="0" applyNumberFormat="1" applyFont="1" applyBorder="1" applyAlignment="1" applyProtection="1">
      <alignment horizontal="center" vertical="center" wrapText="1"/>
      <protection hidden="1"/>
    </xf>
    <xf numFmtId="2" fontId="260" fillId="31" borderId="1" xfId="0" applyNumberFormat="1" applyFont="1" applyFill="1" applyBorder="1" applyProtection="1">
      <protection hidden="1"/>
    </xf>
    <xf numFmtId="0" fontId="336" fillId="52" borderId="0" xfId="0" applyFont="1" applyFill="1" applyAlignment="1" applyProtection="1">
      <alignment horizontal="right" wrapText="1"/>
      <protection hidden="1"/>
    </xf>
    <xf numFmtId="0" fontId="336" fillId="52" borderId="0" xfId="0" applyFont="1" applyFill="1" applyAlignment="1" applyProtection="1">
      <alignment horizontal="center" wrapText="1"/>
      <protection hidden="1"/>
    </xf>
    <xf numFmtId="1" fontId="127" fillId="52" borderId="1" xfId="0" applyNumberFormat="1" applyFont="1" applyFill="1" applyBorder="1" applyAlignment="1" applyProtection="1">
      <alignment horizontal="center" wrapText="1"/>
      <protection hidden="1"/>
    </xf>
    <xf numFmtId="1" fontId="127" fillId="52" borderId="1" xfId="0" applyNumberFormat="1" applyFont="1" applyFill="1" applyBorder="1" applyAlignment="1" applyProtection="1">
      <alignment wrapText="1"/>
      <protection hidden="1"/>
    </xf>
    <xf numFmtId="1" fontId="338" fillId="0" borderId="0" xfId="0" applyNumberFormat="1" applyFont="1" applyProtection="1">
      <protection hidden="1"/>
    </xf>
    <xf numFmtId="1" fontId="260" fillId="31" borderId="0" xfId="0" applyNumberFormat="1" applyFont="1" applyFill="1" applyProtection="1">
      <protection hidden="1"/>
    </xf>
    <xf numFmtId="0" fontId="44" fillId="27" borderId="1" xfId="0" applyFont="1" applyFill="1" applyBorder="1" applyAlignment="1" applyProtection="1">
      <alignment horizontal="right" vertical="center" wrapText="1"/>
      <protection hidden="1"/>
    </xf>
    <xf numFmtId="2" fontId="42" fillId="0" borderId="1" xfId="0" applyNumberFormat="1" applyFont="1" applyBorder="1" applyAlignment="1" applyProtection="1">
      <alignment vertical="center" wrapText="1"/>
      <protection hidden="1"/>
    </xf>
    <xf numFmtId="2" fontId="333" fillId="0" borderId="1" xfId="0" applyNumberFormat="1" applyFont="1" applyBorder="1" applyAlignment="1" applyProtection="1">
      <alignment vertical="center" wrapText="1"/>
      <protection hidden="1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60" xfId="0" applyFont="1" applyBorder="1" applyAlignment="1" applyProtection="1">
      <alignment horizontal="center" vertical="center" wrapText="1"/>
      <protection hidden="1"/>
    </xf>
    <xf numFmtId="1" fontId="12" fillId="2" borderId="1" xfId="11" applyNumberFormat="1" applyFont="1" applyFill="1" applyBorder="1" applyAlignment="1" applyProtection="1">
      <alignment horizontal="center"/>
      <protection locked="0" hidden="1"/>
    </xf>
    <xf numFmtId="0" fontId="17" fillId="0" borderId="7" xfId="0" applyFont="1" applyBorder="1" applyAlignment="1" applyProtection="1">
      <alignment horizontal="center" vertical="center" wrapText="1"/>
      <protection hidden="1"/>
    </xf>
    <xf numFmtId="1" fontId="17" fillId="0" borderId="1" xfId="0" applyNumberFormat="1" applyFont="1" applyBorder="1" applyAlignment="1" applyProtection="1">
      <alignment horizontal="center" vertical="center" wrapText="1"/>
      <protection hidden="1"/>
    </xf>
    <xf numFmtId="166" fontId="17" fillId="0" borderId="1" xfId="0" applyNumberFormat="1" applyFont="1" applyBorder="1" applyAlignment="1" applyProtection="1">
      <alignment horizontal="center" vertical="center" wrapText="1"/>
      <protection hidden="1"/>
    </xf>
    <xf numFmtId="166" fontId="17" fillId="0" borderId="28" xfId="0" applyNumberFormat="1" applyFont="1" applyBorder="1" applyAlignment="1" applyProtection="1">
      <alignment horizontal="center" vertical="center" wrapText="1"/>
      <protection hidden="1"/>
    </xf>
    <xf numFmtId="1" fontId="17" fillId="33" borderId="1" xfId="0" applyNumberFormat="1" applyFont="1" applyFill="1" applyBorder="1" applyAlignment="1" applyProtection="1">
      <alignment horizontal="center" vertical="center" wrapText="1"/>
      <protection hidden="1"/>
    </xf>
    <xf numFmtId="166" fontId="17" fillId="0" borderId="1" xfId="0" applyNumberFormat="1" applyFont="1" applyBorder="1" applyAlignment="1" applyProtection="1">
      <alignment vertical="center" wrapText="1"/>
      <protection hidden="1"/>
    </xf>
    <xf numFmtId="166" fontId="70" fillId="0" borderId="1" xfId="0" applyNumberFormat="1" applyFont="1" applyBorder="1" applyAlignment="1" applyProtection="1">
      <alignment vertical="center" wrapText="1"/>
      <protection hidden="1"/>
    </xf>
    <xf numFmtId="166" fontId="175" fillId="0" borderId="28" xfId="0" applyNumberFormat="1" applyFont="1" applyBorder="1" applyAlignment="1" applyProtection="1">
      <alignment horizontal="center" vertical="center" wrapText="1"/>
      <protection hidden="1"/>
    </xf>
    <xf numFmtId="166" fontId="175" fillId="0" borderId="1" xfId="0" applyNumberFormat="1" applyFont="1" applyBorder="1" applyAlignment="1" applyProtection="1">
      <alignment horizontal="center" vertical="center" wrapText="1"/>
      <protection hidden="1"/>
    </xf>
    <xf numFmtId="0" fontId="20" fillId="27" borderId="35" xfId="0" applyFont="1" applyFill="1" applyBorder="1" applyAlignment="1" applyProtection="1">
      <alignment horizontal="center" textRotation="90"/>
      <protection hidden="1"/>
    </xf>
    <xf numFmtId="0" fontId="20" fillId="27" borderId="36" xfId="0" applyFont="1" applyFill="1" applyBorder="1" applyAlignment="1" applyProtection="1">
      <alignment horizontal="center" textRotation="90"/>
      <protection hidden="1"/>
    </xf>
    <xf numFmtId="0" fontId="17" fillId="0" borderId="36" xfId="0" applyFont="1" applyBorder="1" applyAlignment="1" applyProtection="1">
      <alignment horizontal="center" vertical="center" wrapText="1"/>
      <protection hidden="1"/>
    </xf>
    <xf numFmtId="0" fontId="17" fillId="0" borderId="36" xfId="0" applyFont="1" applyBorder="1" applyProtection="1">
      <protection hidden="1"/>
    </xf>
    <xf numFmtId="0" fontId="17" fillId="0" borderId="36" xfId="0" applyFont="1" applyBorder="1" applyAlignment="1" applyProtection="1">
      <alignment vertical="center" wrapText="1"/>
      <protection hidden="1"/>
    </xf>
    <xf numFmtId="0" fontId="20" fillId="27" borderId="34" xfId="0" applyFont="1" applyFill="1" applyBorder="1" applyAlignment="1" applyProtection="1">
      <alignment horizontal="center" textRotation="90"/>
      <protection hidden="1"/>
    </xf>
    <xf numFmtId="0" fontId="17" fillId="0" borderId="0" xfId="0" applyFont="1" applyAlignment="1" applyProtection="1">
      <alignment horizontal="center" vertical="center" wrapText="1"/>
      <protection hidden="1"/>
    </xf>
    <xf numFmtId="0" fontId="17" fillId="0" borderId="0" xfId="0" applyFont="1" applyAlignment="1" applyProtection="1">
      <alignment vertical="center" wrapText="1"/>
      <protection hidden="1"/>
    </xf>
    <xf numFmtId="1" fontId="17" fillId="0" borderId="0" xfId="0" applyNumberFormat="1" applyFont="1" applyProtection="1">
      <protection hidden="1"/>
    </xf>
    <xf numFmtId="2" fontId="17" fillId="0" borderId="0" xfId="0" applyNumberFormat="1" applyFont="1" applyAlignment="1" applyProtection="1">
      <alignment vertical="center" wrapText="1"/>
      <protection hidden="1"/>
    </xf>
    <xf numFmtId="166" fontId="17" fillId="0" borderId="0" xfId="0" applyNumberFormat="1" applyFont="1" applyAlignment="1" applyProtection="1">
      <alignment horizontal="center" vertical="center" wrapText="1"/>
      <protection hidden="1"/>
    </xf>
    <xf numFmtId="0" fontId="20" fillId="27" borderId="38" xfId="0" applyFont="1" applyFill="1" applyBorder="1" applyAlignment="1" applyProtection="1">
      <alignment horizontal="center" textRotation="90"/>
      <protection hidden="1"/>
    </xf>
    <xf numFmtId="0" fontId="20" fillId="27" borderId="39" xfId="0" applyFont="1" applyFill="1" applyBorder="1" applyAlignment="1" applyProtection="1">
      <alignment horizontal="center" textRotation="90"/>
      <protection hidden="1"/>
    </xf>
    <xf numFmtId="0" fontId="17" fillId="0" borderId="39" xfId="0" applyFont="1" applyBorder="1" applyAlignment="1" applyProtection="1">
      <alignment horizontal="center" vertical="center" wrapText="1"/>
      <protection hidden="1"/>
    </xf>
    <xf numFmtId="0" fontId="17" fillId="0" borderId="39" xfId="0" applyFont="1" applyBorder="1" applyProtection="1">
      <protection hidden="1"/>
    </xf>
    <xf numFmtId="1" fontId="17" fillId="0" borderId="39" xfId="0" applyNumberFormat="1" applyFont="1" applyBorder="1" applyAlignment="1" applyProtection="1">
      <alignment horizontal="center" vertical="center" wrapText="1"/>
      <protection hidden="1"/>
    </xf>
    <xf numFmtId="1" fontId="162" fillId="0" borderId="39" xfId="0" applyNumberFormat="1" applyFont="1" applyBorder="1" applyAlignment="1" applyProtection="1">
      <alignment horizontal="center"/>
      <protection hidden="1"/>
    </xf>
    <xf numFmtId="2" fontId="17" fillId="32" borderId="30" xfId="0" applyNumberFormat="1" applyFont="1" applyFill="1" applyBorder="1" applyProtection="1">
      <protection hidden="1"/>
    </xf>
    <xf numFmtId="168" fontId="176" fillId="32" borderId="30" xfId="0" applyNumberFormat="1" applyFont="1" applyFill="1" applyBorder="1" applyAlignment="1" applyProtection="1">
      <alignment horizontal="center" vertical="center" wrapText="1"/>
      <protection hidden="1"/>
    </xf>
    <xf numFmtId="2" fontId="12" fillId="24" borderId="30" xfId="0" applyNumberFormat="1" applyFont="1" applyFill="1" applyBorder="1" applyAlignment="1" applyProtection="1">
      <alignment vertical="center" wrapText="1"/>
      <protection hidden="1"/>
    </xf>
    <xf numFmtId="166" fontId="17" fillId="0" borderId="30" xfId="0" applyNumberFormat="1" applyFont="1" applyBorder="1" applyAlignment="1" applyProtection="1">
      <alignment vertical="center" wrapText="1"/>
      <protection hidden="1"/>
    </xf>
    <xf numFmtId="0" fontId="17" fillId="0" borderId="39" xfId="0" applyFont="1" applyBorder="1" applyAlignment="1" applyProtection="1">
      <alignment vertical="center" wrapText="1"/>
      <protection hidden="1"/>
    </xf>
    <xf numFmtId="1" fontId="0" fillId="9" borderId="0" xfId="0" applyNumberFormat="1" applyFill="1" applyAlignment="1" applyProtection="1">
      <alignment horizontal="center"/>
      <protection hidden="1"/>
    </xf>
    <xf numFmtId="166" fontId="48" fillId="30" borderId="1" xfId="0" applyNumberFormat="1" applyFont="1" applyFill="1" applyBorder="1" applyAlignment="1" applyProtection="1">
      <alignment horizontal="center" vertical="center" wrapText="1"/>
      <protection hidden="1"/>
    </xf>
    <xf numFmtId="166" fontId="48" fillId="30" borderId="0" xfId="0" applyNumberFormat="1" applyFont="1" applyFill="1" applyAlignment="1" applyProtection="1">
      <alignment horizontal="center" vertical="center" wrapText="1"/>
      <protection hidden="1"/>
    </xf>
    <xf numFmtId="2" fontId="55" fillId="24" borderId="30" xfId="0" applyNumberFormat="1" applyFont="1" applyFill="1" applyBorder="1" applyAlignment="1" applyProtection="1">
      <alignment vertical="center" wrapText="1"/>
      <protection hidden="1"/>
    </xf>
    <xf numFmtId="2" fontId="151" fillId="25" borderId="0" xfId="0" applyNumberFormat="1" applyFont="1" applyFill="1"/>
    <xf numFmtId="0" fontId="56" fillId="0" borderId="0" xfId="0" applyFont="1"/>
    <xf numFmtId="0" fontId="17" fillId="0" borderId="60" xfId="0" applyFont="1" applyBorder="1" applyAlignment="1" applyProtection="1">
      <alignment horizontal="center" vertical="center" wrapText="1"/>
      <protection hidden="1"/>
    </xf>
    <xf numFmtId="166" fontId="175" fillId="0" borderId="60" xfId="0" applyNumberFormat="1" applyFont="1" applyBorder="1" applyAlignment="1" applyProtection="1">
      <alignment horizontal="center" vertical="center" wrapText="1"/>
      <protection hidden="1"/>
    </xf>
    <xf numFmtId="0" fontId="44" fillId="0" borderId="1" xfId="0" applyFont="1" applyBorder="1" applyAlignment="1" applyProtection="1">
      <alignment horizontal="center" vertical="center" wrapText="1"/>
      <protection hidden="1"/>
    </xf>
    <xf numFmtId="166" fontId="0" fillId="0" borderId="0" xfId="0" applyNumberFormat="1"/>
    <xf numFmtId="0" fontId="12" fillId="0" borderId="4" xfId="0" applyFont="1" applyBorder="1" applyAlignment="1" applyProtection="1">
      <alignment horizontal="center"/>
      <protection hidden="1"/>
    </xf>
    <xf numFmtId="166" fontId="183" fillId="0" borderId="60" xfId="0" applyNumberFormat="1" applyFont="1" applyBorder="1" applyAlignment="1" applyProtection="1">
      <alignment horizontal="center" vertical="center" wrapText="1"/>
      <protection hidden="1"/>
    </xf>
    <xf numFmtId="1" fontId="42" fillId="0" borderId="0" xfId="0" applyNumberFormat="1" applyFont="1"/>
    <xf numFmtId="1" fontId="0" fillId="30" borderId="0" xfId="0" applyNumberFormat="1" applyFill="1"/>
    <xf numFmtId="0" fontId="3" fillId="24" borderId="0" xfId="0" applyFont="1" applyFill="1"/>
    <xf numFmtId="1" fontId="3" fillId="24" borderId="0" xfId="0" applyNumberFormat="1" applyFont="1" applyFill="1"/>
    <xf numFmtId="1" fontId="3" fillId="0" borderId="1" xfId="0" applyNumberFormat="1" applyFont="1" applyBorder="1" applyAlignment="1">
      <alignment horizontal="center"/>
    </xf>
    <xf numFmtId="2" fontId="231" fillId="27" borderId="5" xfId="0" applyNumberFormat="1" applyFont="1" applyFill="1" applyBorder="1" applyAlignment="1" applyProtection="1">
      <alignment horizontal="center" wrapText="1"/>
      <protection hidden="1"/>
    </xf>
    <xf numFmtId="2" fontId="231" fillId="27" borderId="4" xfId="0" applyNumberFormat="1" applyFont="1" applyFill="1" applyBorder="1" applyAlignment="1" applyProtection="1">
      <alignment horizontal="center" wrapText="1"/>
      <protection hidden="1"/>
    </xf>
    <xf numFmtId="166" fontId="186" fillId="35" borderId="0" xfId="0" applyNumberFormat="1" applyFont="1" applyFill="1"/>
    <xf numFmtId="0" fontId="235" fillId="0" borderId="28" xfId="0" applyFont="1" applyBorder="1" applyAlignment="1" applyProtection="1">
      <alignment horizontal="center" vertical="center" wrapText="1" readingOrder="1"/>
      <protection hidden="1"/>
    </xf>
    <xf numFmtId="0" fontId="238" fillId="0" borderId="63" xfId="0" applyFont="1" applyBorder="1" applyAlignment="1" applyProtection="1">
      <alignment vertical="center" textRotation="90"/>
      <protection hidden="1"/>
    </xf>
    <xf numFmtId="0" fontId="235" fillId="0" borderId="86" xfId="0" applyFont="1" applyBorder="1" applyAlignment="1" applyProtection="1">
      <alignment vertical="center" wrapText="1" readingOrder="1"/>
      <protection hidden="1"/>
    </xf>
    <xf numFmtId="0" fontId="235" fillId="0" borderId="39" xfId="0" applyFont="1" applyBorder="1" applyAlignment="1" applyProtection="1">
      <alignment horizontal="center" vertical="center" wrapText="1" readingOrder="1"/>
      <protection hidden="1"/>
    </xf>
    <xf numFmtId="0" fontId="235" fillId="0" borderId="40" xfId="0" applyFont="1" applyBorder="1" applyAlignment="1" applyProtection="1">
      <alignment horizontal="center" vertical="center" wrapText="1" readingOrder="1"/>
      <protection hidden="1"/>
    </xf>
    <xf numFmtId="0" fontId="229" fillId="0" borderId="1" xfId="0" applyFont="1" applyBorder="1" applyAlignment="1" applyProtection="1">
      <alignment wrapText="1"/>
      <protection hidden="1"/>
    </xf>
    <xf numFmtId="2" fontId="127" fillId="25" borderId="33" xfId="0" applyNumberFormat="1" applyFont="1" applyFill="1" applyBorder="1" applyAlignment="1" applyProtection="1">
      <alignment horizontal="center" wrapText="1"/>
      <protection hidden="1"/>
    </xf>
    <xf numFmtId="1" fontId="3" fillId="0" borderId="0" xfId="0" applyNumberFormat="1" applyFont="1"/>
    <xf numFmtId="1" fontId="168" fillId="30" borderId="0" xfId="0" applyNumberFormat="1" applyFont="1" applyFill="1"/>
    <xf numFmtId="1" fontId="168" fillId="0" borderId="0" xfId="0" applyNumberFormat="1" applyFont="1"/>
    <xf numFmtId="166" fontId="176" fillId="0" borderId="60" xfId="0" applyNumberFormat="1" applyFont="1" applyBorder="1" applyAlignment="1" applyProtection="1">
      <alignment horizontal="center" vertical="center" wrapText="1"/>
      <protection hidden="1"/>
    </xf>
    <xf numFmtId="166" fontId="176" fillId="24" borderId="60" xfId="0" applyNumberFormat="1" applyFont="1" applyFill="1" applyBorder="1" applyAlignment="1" applyProtection="1">
      <alignment horizontal="center" vertical="center" wrapText="1"/>
      <protection hidden="1"/>
    </xf>
    <xf numFmtId="166" fontId="339" fillId="41" borderId="60" xfId="0" applyNumberFormat="1" applyFont="1" applyFill="1" applyBorder="1" applyAlignment="1" applyProtection="1">
      <alignment horizontal="center" vertical="center" wrapText="1"/>
      <protection hidden="1"/>
    </xf>
    <xf numFmtId="1" fontId="340" fillId="30" borderId="0" xfId="0" applyNumberFormat="1" applyFont="1" applyFill="1"/>
    <xf numFmtId="166" fontId="340" fillId="0" borderId="0" xfId="0" applyNumberFormat="1" applyFont="1"/>
    <xf numFmtId="1" fontId="211" fillId="0" borderId="1" xfId="0" applyNumberFormat="1" applyFont="1" applyBorder="1" applyAlignment="1" applyProtection="1">
      <alignment horizontal="center" vertical="center" wrapText="1"/>
      <protection hidden="1"/>
    </xf>
    <xf numFmtId="1" fontId="226" fillId="0" borderId="1" xfId="0" applyNumberFormat="1" applyFont="1" applyBorder="1" applyAlignment="1" applyProtection="1">
      <alignment horizontal="center" vertical="center" wrapText="1"/>
      <protection hidden="1"/>
    </xf>
    <xf numFmtId="1" fontId="226" fillId="0" borderId="9" xfId="0" applyNumberFormat="1" applyFont="1" applyBorder="1" applyAlignment="1" applyProtection="1">
      <alignment horizontal="center" vertical="center" wrapText="1"/>
      <protection hidden="1"/>
    </xf>
    <xf numFmtId="1" fontId="229" fillId="0" borderId="67" xfId="0" applyNumberFormat="1" applyFont="1" applyBorder="1" applyAlignment="1" applyProtection="1">
      <alignment horizontal="center" vertical="top" wrapText="1"/>
      <protection hidden="1"/>
    </xf>
    <xf numFmtId="1" fontId="229" fillId="0" borderId="23" xfId="0" applyNumberFormat="1" applyFont="1" applyBorder="1" applyAlignment="1" applyProtection="1">
      <alignment horizontal="center" vertical="top" wrapText="1"/>
      <protection hidden="1"/>
    </xf>
    <xf numFmtId="0" fontId="308" fillId="0" borderId="34" xfId="0" applyFont="1" applyBorder="1" applyAlignment="1" applyProtection="1">
      <alignment horizontal="center" vertical="center" wrapText="1"/>
      <protection hidden="1"/>
    </xf>
    <xf numFmtId="0" fontId="308" fillId="0" borderId="0" xfId="0" applyFont="1" applyAlignment="1" applyProtection="1">
      <alignment horizontal="center" vertical="center" wrapText="1"/>
      <protection hidden="1"/>
    </xf>
    <xf numFmtId="1" fontId="211" fillId="0" borderId="1" xfId="0" applyNumberFormat="1" applyFont="1" applyBorder="1" applyAlignment="1" applyProtection="1">
      <alignment horizontal="center" vertical="center" wrapText="1" readingOrder="1"/>
      <protection hidden="1"/>
    </xf>
    <xf numFmtId="0" fontId="251" fillId="0" borderId="34" xfId="0" applyFont="1" applyBorder="1" applyAlignment="1" applyProtection="1">
      <alignment horizontal="center" vertical="center" wrapText="1"/>
      <protection hidden="1"/>
    </xf>
    <xf numFmtId="0" fontId="251" fillId="0" borderId="0" xfId="0" applyFont="1" applyAlignment="1" applyProtection="1">
      <alignment horizontal="center" vertical="center" wrapText="1"/>
      <protection hidden="1"/>
    </xf>
    <xf numFmtId="1" fontId="211" fillId="0" borderId="5" xfId="0" applyNumberFormat="1" applyFont="1" applyBorder="1" applyAlignment="1" applyProtection="1">
      <alignment horizontal="center" vertical="center" wrapText="1" readingOrder="1"/>
      <protection hidden="1"/>
    </xf>
    <xf numFmtId="0" fontId="246" fillId="0" borderId="11" xfId="0" applyFont="1" applyBorder="1" applyAlignment="1" applyProtection="1">
      <alignment horizontal="center" vertical="top" wrapText="1"/>
      <protection hidden="1"/>
    </xf>
    <xf numFmtId="1" fontId="243" fillId="25" borderId="88" xfId="0" applyNumberFormat="1" applyFont="1" applyFill="1" applyBorder="1" applyAlignment="1" applyProtection="1">
      <alignment horizontal="center" vertical="center" wrapText="1"/>
      <protection hidden="1"/>
    </xf>
    <xf numFmtId="1" fontId="245" fillId="24" borderId="1" xfId="0" applyNumberFormat="1" applyFont="1" applyFill="1" applyBorder="1" applyAlignment="1" applyProtection="1">
      <alignment horizontal="center" vertical="center" wrapText="1"/>
      <protection hidden="1"/>
    </xf>
    <xf numFmtId="1" fontId="245" fillId="27" borderId="1" xfId="0" applyNumberFormat="1" applyFont="1" applyFill="1" applyBorder="1" applyAlignment="1" applyProtection="1">
      <alignment horizontal="center" vertical="center" wrapText="1"/>
      <protection hidden="1"/>
    </xf>
    <xf numFmtId="1" fontId="246" fillId="25" borderId="1" xfId="0" applyNumberFormat="1" applyFont="1" applyFill="1" applyBorder="1" applyAlignment="1" applyProtection="1">
      <alignment horizontal="center" vertical="top" wrapText="1"/>
      <protection hidden="1"/>
    </xf>
    <xf numFmtId="0" fontId="221" fillId="0" borderId="5" xfId="0" applyFont="1" applyBorder="1" applyProtection="1">
      <protection hidden="1"/>
    </xf>
    <xf numFmtId="166" fontId="221" fillId="0" borderId="61" xfId="0" applyNumberFormat="1" applyFont="1" applyBorder="1" applyAlignment="1" applyProtection="1">
      <alignment horizontal="center"/>
      <protection hidden="1"/>
    </xf>
    <xf numFmtId="166" fontId="221" fillId="0" borderId="30" xfId="0" applyNumberFormat="1" applyFont="1" applyBorder="1" applyAlignment="1" applyProtection="1">
      <alignment horizontal="center"/>
      <protection hidden="1"/>
    </xf>
    <xf numFmtId="1" fontId="229" fillId="0" borderId="1" xfId="0" applyNumberFormat="1" applyFont="1" applyBorder="1" applyAlignment="1" applyProtection="1">
      <alignment horizontal="center" vertical="top" wrapText="1"/>
      <protection hidden="1"/>
    </xf>
    <xf numFmtId="2" fontId="234" fillId="0" borderId="1" xfId="0" applyNumberFormat="1" applyFont="1" applyBorder="1" applyProtection="1">
      <protection hidden="1"/>
    </xf>
    <xf numFmtId="1" fontId="309" fillId="24" borderId="1" xfId="0" applyNumberFormat="1" applyFont="1" applyFill="1" applyBorder="1" applyAlignment="1" applyProtection="1">
      <alignment horizontal="center" vertical="center" wrapText="1"/>
      <protection hidden="1"/>
    </xf>
    <xf numFmtId="0" fontId="291" fillId="0" borderId="29" xfId="0" applyFont="1" applyBorder="1" applyAlignment="1" applyProtection="1">
      <alignment horizontal="center" vertical="center" wrapText="1" readingOrder="1"/>
      <protection hidden="1"/>
    </xf>
    <xf numFmtId="0" fontId="309" fillId="0" borderId="29" xfId="0" applyFont="1" applyBorder="1" applyAlignment="1" applyProtection="1">
      <alignment horizontal="center" vertical="center" wrapText="1"/>
      <protection hidden="1"/>
    </xf>
    <xf numFmtId="1" fontId="309" fillId="24" borderId="28" xfId="0" applyNumberFormat="1" applyFont="1" applyFill="1" applyBorder="1" applyAlignment="1" applyProtection="1">
      <alignment horizontal="center" vertical="center" wrapText="1"/>
      <protection hidden="1"/>
    </xf>
    <xf numFmtId="1" fontId="291" fillId="24" borderId="9" xfId="0" applyNumberFormat="1" applyFont="1" applyFill="1" applyBorder="1" applyAlignment="1" applyProtection="1">
      <alignment horizontal="center" vertical="center" wrapText="1" readingOrder="1"/>
      <protection hidden="1"/>
    </xf>
    <xf numFmtId="1" fontId="291" fillId="24" borderId="1" xfId="0" applyNumberFormat="1" applyFont="1" applyFill="1" applyBorder="1" applyAlignment="1" applyProtection="1">
      <alignment horizontal="center" vertical="center" wrapText="1" readingOrder="1"/>
      <protection hidden="1"/>
    </xf>
    <xf numFmtId="1" fontId="291" fillId="24" borderId="74" xfId="0" applyNumberFormat="1" applyFont="1" applyFill="1" applyBorder="1" applyAlignment="1" applyProtection="1">
      <alignment horizontal="center" vertical="center" wrapText="1" readingOrder="1"/>
      <protection hidden="1"/>
    </xf>
    <xf numFmtId="1" fontId="291" fillId="24" borderId="11" xfId="0" applyNumberFormat="1" applyFont="1" applyFill="1" applyBorder="1" applyAlignment="1" applyProtection="1">
      <alignment horizontal="center" vertical="center" wrapText="1" readingOrder="1"/>
      <protection hidden="1"/>
    </xf>
    <xf numFmtId="168" fontId="50" fillId="9" borderId="1" xfId="0" applyNumberFormat="1" applyFont="1" applyFill="1" applyBorder="1" applyAlignment="1" applyProtection="1">
      <alignment horizontal="center"/>
      <protection hidden="1"/>
    </xf>
    <xf numFmtId="1" fontId="122" fillId="0" borderId="0" xfId="0" applyNumberFormat="1" applyFont="1" applyAlignment="1" applyProtection="1">
      <alignment horizontal="center" vertical="top" wrapText="1"/>
      <protection hidden="1"/>
    </xf>
    <xf numFmtId="0" fontId="171" fillId="0" borderId="1" xfId="0" applyFont="1" applyBorder="1" applyProtection="1">
      <protection hidden="1"/>
    </xf>
    <xf numFmtId="0" fontId="122" fillId="0" borderId="1" xfId="0" applyFont="1" applyBorder="1" applyProtection="1">
      <protection hidden="1"/>
    </xf>
    <xf numFmtId="0" fontId="247" fillId="0" borderId="1" xfId="0" applyFont="1" applyBorder="1" applyAlignment="1" applyProtection="1">
      <alignment vertical="top" wrapText="1"/>
      <protection hidden="1"/>
    </xf>
    <xf numFmtId="0" fontId="341" fillId="0" borderId="0" xfId="0" applyFont="1" applyAlignment="1" applyProtection="1">
      <alignment vertical="top" wrapText="1"/>
      <protection hidden="1"/>
    </xf>
    <xf numFmtId="1" fontId="260" fillId="30" borderId="1" xfId="0" applyNumberFormat="1" applyFont="1" applyFill="1" applyBorder="1" applyProtection="1">
      <protection hidden="1"/>
    </xf>
    <xf numFmtId="2" fontId="42" fillId="0" borderId="31" xfId="0" applyNumberFormat="1" applyFont="1" applyBorder="1" applyAlignment="1" applyProtection="1">
      <alignment horizontal="center" vertical="center" wrapText="1"/>
      <protection hidden="1"/>
    </xf>
    <xf numFmtId="168" fontId="47" fillId="0" borderId="31" xfId="0" applyNumberFormat="1" applyFont="1" applyBorder="1" applyAlignment="1" applyProtection="1">
      <alignment horizontal="center" vertical="center" wrapText="1"/>
      <protection hidden="1"/>
    </xf>
    <xf numFmtId="168" fontId="47" fillId="0" borderId="1" xfId="0" applyNumberFormat="1" applyFont="1" applyBorder="1" applyAlignment="1" applyProtection="1">
      <alignment horizontal="center" vertical="center" wrapText="1"/>
      <protection hidden="1"/>
    </xf>
    <xf numFmtId="168" fontId="42" fillId="0" borderId="31" xfId="0" applyNumberFormat="1" applyFont="1" applyBorder="1" applyAlignment="1" applyProtection="1">
      <alignment horizontal="center" vertical="center" wrapText="1"/>
      <protection hidden="1"/>
    </xf>
    <xf numFmtId="168" fontId="3" fillId="0" borderId="33" xfId="0" applyNumberFormat="1" applyFont="1" applyBorder="1" applyAlignment="1" applyProtection="1">
      <alignment horizontal="center" vertical="center" wrapText="1"/>
      <protection hidden="1"/>
    </xf>
    <xf numFmtId="168" fontId="50" fillId="9" borderId="1" xfId="0" applyNumberFormat="1" applyFont="1" applyFill="1" applyBorder="1" applyProtection="1">
      <protection hidden="1"/>
    </xf>
    <xf numFmtId="168" fontId="0" fillId="9" borderId="0" xfId="0" applyNumberFormat="1" applyFill="1" applyProtection="1">
      <protection hidden="1"/>
    </xf>
    <xf numFmtId="0" fontId="50" fillId="0" borderId="0" xfId="0" applyFont="1" applyAlignment="1" applyProtection="1">
      <alignment horizontal="center"/>
      <protection hidden="1"/>
    </xf>
    <xf numFmtId="1" fontId="234" fillId="0" borderId="0" xfId="0" applyNumberFormat="1" applyFont="1" applyAlignment="1" applyProtection="1">
      <alignment horizontal="center"/>
      <protection hidden="1"/>
    </xf>
    <xf numFmtId="0" fontId="234" fillId="0" borderId="0" xfId="0" applyFont="1" applyAlignment="1" applyProtection="1">
      <alignment horizontal="center"/>
      <protection hidden="1"/>
    </xf>
    <xf numFmtId="1" fontId="3" fillId="0" borderId="58" xfId="0" applyNumberFormat="1" applyFont="1" applyBorder="1"/>
    <xf numFmtId="2" fontId="10" fillId="28" borderId="1" xfId="0" applyNumberFormat="1" applyFont="1" applyFill="1" applyBorder="1" applyAlignment="1">
      <alignment horizontal="center"/>
    </xf>
    <xf numFmtId="2" fontId="151" fillId="0" borderId="1" xfId="0" applyNumberFormat="1" applyFont="1" applyBorder="1" applyAlignment="1" applyProtection="1">
      <alignment horizontal="center" vertical="center" wrapText="1"/>
      <protection hidden="1"/>
    </xf>
    <xf numFmtId="2" fontId="55" fillId="0" borderId="0" xfId="0" applyNumberFormat="1" applyFont="1" applyProtection="1">
      <protection hidden="1"/>
    </xf>
    <xf numFmtId="2" fontId="151" fillId="33" borderId="1" xfId="0" applyNumberFormat="1" applyFont="1" applyFill="1" applyBorder="1" applyAlignment="1" applyProtection="1">
      <alignment horizontal="center" vertical="center" wrapText="1"/>
      <protection hidden="1"/>
    </xf>
    <xf numFmtId="1" fontId="55" fillId="18" borderId="46" xfId="0" applyNumberFormat="1" applyFont="1" applyFill="1" applyBorder="1" applyAlignment="1" applyProtection="1">
      <alignment horizontal="center" vertical="center" wrapText="1"/>
      <protection hidden="1"/>
    </xf>
    <xf numFmtId="167" fontId="221" fillId="0" borderId="0" xfId="0" applyNumberFormat="1" applyFont="1" applyProtection="1">
      <protection hidden="1"/>
    </xf>
    <xf numFmtId="0" fontId="229" fillId="0" borderId="85" xfId="0" applyFont="1" applyBorder="1" applyAlignment="1" applyProtection="1">
      <alignment horizontal="center" vertical="top" wrapText="1"/>
      <protection hidden="1"/>
    </xf>
    <xf numFmtId="0" fontId="2" fillId="0" borderId="0" xfId="1" quotePrefix="1" applyBorder="1" applyAlignment="1" applyProtection="1">
      <protection hidden="1"/>
    </xf>
    <xf numFmtId="0" fontId="0" fillId="0" borderId="29" xfId="0" applyBorder="1" applyAlignment="1" applyProtection="1">
      <alignment vertical="center" wrapText="1"/>
      <protection hidden="1"/>
    </xf>
    <xf numFmtId="0" fontId="127" fillId="2" borderId="59" xfId="11" applyFont="1" applyFill="1" applyBorder="1" applyAlignment="1" applyProtection="1">
      <alignment horizontal="center" vertical="center" wrapText="1"/>
      <protection locked="0"/>
    </xf>
    <xf numFmtId="0" fontId="33" fillId="0" borderId="34" xfId="0" applyFont="1" applyBorder="1" applyAlignment="1" applyProtection="1">
      <alignment horizontal="center" textRotation="90"/>
      <protection hidden="1"/>
    </xf>
    <xf numFmtId="10" fontId="1" fillId="0" borderId="0" xfId="12" applyNumberFormat="1" applyFont="1" applyBorder="1" applyAlignment="1" applyProtection="1">
      <alignment horizontal="center" vertical="center" wrapText="1"/>
      <protection hidden="1"/>
    </xf>
    <xf numFmtId="1" fontId="346" fillId="0" borderId="9" xfId="0" applyNumberFormat="1" applyFont="1" applyBorder="1" applyAlignment="1" applyProtection="1">
      <alignment horizontal="center" vertical="center" wrapText="1"/>
      <protection hidden="1"/>
    </xf>
    <xf numFmtId="0" fontId="345" fillId="0" borderId="18" xfId="0" applyFont="1" applyBorder="1" applyAlignment="1" applyProtection="1">
      <alignment horizontal="center"/>
      <protection hidden="1"/>
    </xf>
    <xf numFmtId="0" fontId="345" fillId="0" borderId="3" xfId="0" applyFont="1" applyBorder="1" applyAlignment="1" applyProtection="1">
      <alignment horizontal="center"/>
      <protection hidden="1"/>
    </xf>
    <xf numFmtId="1" fontId="338" fillId="30" borderId="8" xfId="0" applyNumberFormat="1" applyFont="1" applyFill="1" applyBorder="1" applyAlignment="1" applyProtection="1">
      <alignment horizontal="center" vertical="center" wrapText="1"/>
      <protection hidden="1"/>
    </xf>
    <xf numFmtId="1" fontId="42" fillId="0" borderId="40" xfId="0" applyNumberFormat="1" applyFont="1" applyBorder="1" applyAlignment="1" applyProtection="1">
      <alignment vertical="center" wrapText="1"/>
      <protection hidden="1"/>
    </xf>
    <xf numFmtId="1" fontId="42" fillId="0" borderId="39" xfId="0" applyNumberFormat="1" applyFont="1" applyBorder="1" applyAlignment="1" applyProtection="1">
      <alignment vertical="center" wrapText="1"/>
      <protection hidden="1"/>
    </xf>
    <xf numFmtId="10" fontId="1" fillId="0" borderId="39" xfId="12" applyNumberFormat="1" applyFont="1" applyBorder="1" applyAlignment="1" applyProtection="1">
      <alignment horizontal="center" vertical="center" wrapText="1"/>
      <protection hidden="1"/>
    </xf>
    <xf numFmtId="0" fontId="0" fillId="0" borderId="39" xfId="0" applyBorder="1" applyAlignment="1" applyProtection="1">
      <alignment vertical="center" wrapText="1"/>
      <protection hidden="1"/>
    </xf>
    <xf numFmtId="0" fontId="184" fillId="0" borderId="39" xfId="0" applyFont="1" applyBorder="1" applyAlignment="1" applyProtection="1">
      <alignment horizontal="center" vertical="center" wrapText="1"/>
      <protection hidden="1"/>
    </xf>
    <xf numFmtId="1" fontId="0" fillId="0" borderId="39" xfId="0" applyNumberFormat="1" applyBorder="1" applyAlignment="1" applyProtection="1">
      <alignment vertical="center" wrapText="1"/>
      <protection hidden="1"/>
    </xf>
    <xf numFmtId="1" fontId="49" fillId="0" borderId="39" xfId="0" applyNumberFormat="1" applyFont="1" applyBorder="1" applyAlignment="1" applyProtection="1">
      <alignment vertical="center" wrapText="1"/>
      <protection hidden="1"/>
    </xf>
    <xf numFmtId="0" fontId="0" fillId="0" borderId="40" xfId="0" applyBorder="1" applyAlignment="1" applyProtection="1">
      <alignment vertical="center" wrapText="1"/>
      <protection hidden="1"/>
    </xf>
    <xf numFmtId="0" fontId="56" fillId="27" borderId="41" xfId="0" applyFont="1" applyFill="1" applyBorder="1" applyAlignment="1" applyProtection="1">
      <alignment horizontal="right" vertical="center" wrapText="1"/>
      <protection hidden="1"/>
    </xf>
    <xf numFmtId="0" fontId="10" fillId="0" borderId="1" xfId="11" applyFont="1" applyBorder="1" applyAlignment="1" applyProtection="1">
      <alignment horizontal="center" vertical="center" wrapText="1"/>
      <protection hidden="1"/>
    </xf>
    <xf numFmtId="0" fontId="41" fillId="0" borderId="0" xfId="0" applyFont="1" applyAlignment="1" applyProtection="1">
      <alignment vertical="center" wrapText="1"/>
      <protection hidden="1"/>
    </xf>
    <xf numFmtId="0" fontId="156" fillId="59" borderId="17" xfId="0" applyFont="1" applyFill="1" applyBorder="1" applyAlignment="1" applyProtection="1">
      <alignment vertical="center" wrapText="1" readingOrder="1"/>
      <protection hidden="1"/>
    </xf>
    <xf numFmtId="0" fontId="156" fillId="60" borderId="44" xfId="0" applyFont="1" applyFill="1" applyBorder="1" applyAlignment="1" applyProtection="1">
      <alignment vertical="center" wrapText="1" readingOrder="1"/>
      <protection hidden="1"/>
    </xf>
    <xf numFmtId="1" fontId="44" fillId="27" borderId="71" xfId="0" applyNumberFormat="1" applyFont="1" applyFill="1" applyBorder="1" applyAlignment="1" applyProtection="1">
      <alignment horizontal="right" vertical="center" wrapText="1"/>
      <protection hidden="1"/>
    </xf>
    <xf numFmtId="0" fontId="47" fillId="0" borderId="7" xfId="0" applyFont="1" applyBorder="1" applyAlignment="1" applyProtection="1">
      <alignment horizontal="center" vertical="center" wrapText="1"/>
      <protection hidden="1"/>
    </xf>
    <xf numFmtId="0" fontId="32" fillId="27" borderId="1" xfId="0" applyFont="1" applyFill="1" applyBorder="1" applyAlignment="1" applyProtection="1">
      <alignment horizontal="center" vertical="top" wrapText="1"/>
      <protection hidden="1"/>
    </xf>
    <xf numFmtId="0" fontId="317" fillId="24" borderId="0" xfId="0" applyFont="1" applyFill="1" applyAlignment="1">
      <alignment horizontal="center"/>
    </xf>
    <xf numFmtId="1" fontId="302" fillId="56" borderId="1" xfId="0" applyNumberFormat="1" applyFont="1" applyFill="1" applyBorder="1" applyAlignment="1">
      <alignment horizontal="center"/>
    </xf>
    <xf numFmtId="1" fontId="302" fillId="0" borderId="0" xfId="0" applyNumberFormat="1" applyFont="1" applyAlignment="1">
      <alignment horizontal="center"/>
    </xf>
    <xf numFmtId="0" fontId="45" fillId="28" borderId="1" xfId="0" applyFont="1" applyFill="1" applyBorder="1" applyProtection="1">
      <protection locked="0"/>
    </xf>
    <xf numFmtId="0" fontId="326" fillId="0" borderId="0" xfId="0" applyFont="1" applyAlignment="1" applyProtection="1">
      <alignment horizontal="center" textRotation="90"/>
      <protection hidden="1"/>
    </xf>
    <xf numFmtId="0" fontId="326" fillId="3" borderId="36" xfId="0" applyFont="1" applyFill="1" applyBorder="1" applyAlignment="1" applyProtection="1">
      <alignment horizontal="center" vertical="center" textRotation="90"/>
      <protection hidden="1"/>
    </xf>
    <xf numFmtId="0" fontId="326" fillId="3" borderId="0" xfId="0" applyFont="1" applyFill="1" applyAlignment="1" applyProtection="1">
      <alignment horizontal="center" vertical="center" textRotation="90"/>
      <protection hidden="1"/>
    </xf>
    <xf numFmtId="0" fontId="326" fillId="3" borderId="39" xfId="0" applyFont="1" applyFill="1" applyBorder="1" applyAlignment="1" applyProtection="1">
      <alignment horizontal="center" vertical="center" textRotation="90"/>
      <protection hidden="1"/>
    </xf>
    <xf numFmtId="0" fontId="12" fillId="30" borderId="1" xfId="0" applyFont="1" applyFill="1" applyBorder="1" applyAlignment="1">
      <alignment horizontal="center" wrapText="1"/>
    </xf>
    <xf numFmtId="0" fontId="17" fillId="30" borderId="1" xfId="0" applyFont="1" applyFill="1" applyBorder="1" applyAlignment="1">
      <alignment horizontal="center"/>
    </xf>
    <xf numFmtId="0" fontId="43" fillId="24" borderId="1" xfId="0" applyFont="1" applyFill="1" applyBorder="1" applyAlignment="1">
      <alignment horizontal="center" wrapText="1"/>
    </xf>
    <xf numFmtId="0" fontId="3" fillId="4" borderId="24" xfId="0" applyFont="1" applyFill="1" applyBorder="1" applyAlignment="1" applyProtection="1">
      <alignment horizontal="center" vertical="center" wrapText="1"/>
      <protection hidden="1"/>
    </xf>
    <xf numFmtId="0" fontId="80" fillId="27" borderId="28" xfId="0" applyFont="1" applyFill="1" applyBorder="1" applyAlignment="1" applyProtection="1">
      <alignment horizontal="center" vertical="top" wrapText="1"/>
      <protection hidden="1"/>
    </xf>
    <xf numFmtId="0" fontId="43" fillId="24" borderId="7" xfId="0" applyFont="1" applyFill="1" applyBorder="1" applyAlignment="1">
      <alignment horizontal="center" wrapText="1"/>
    </xf>
    <xf numFmtId="0" fontId="3" fillId="4" borderId="69" xfId="0" applyFont="1" applyFill="1" applyBorder="1" applyAlignment="1" applyProtection="1">
      <alignment horizontal="center" vertical="center" wrapText="1"/>
      <protection hidden="1"/>
    </xf>
    <xf numFmtId="168" fontId="323" fillId="64" borderId="46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46" xfId="0" applyFont="1" applyFill="1" applyBorder="1" applyAlignment="1" applyProtection="1">
      <alignment horizontal="center" vertical="center" wrapText="1"/>
      <protection hidden="1"/>
    </xf>
    <xf numFmtId="168" fontId="323" fillId="64" borderId="64" xfId="0" applyNumberFormat="1" applyFont="1" applyFill="1" applyBorder="1" applyAlignment="1" applyProtection="1">
      <alignment horizontal="center" vertical="center" wrapText="1"/>
      <protection locked="0"/>
    </xf>
    <xf numFmtId="1" fontId="80" fillId="23" borderId="1" xfId="0" applyNumberFormat="1" applyFont="1" applyFill="1" applyBorder="1" applyAlignment="1" applyProtection="1">
      <alignment horizontal="center" vertical="top" wrapText="1"/>
      <protection hidden="1"/>
    </xf>
    <xf numFmtId="1" fontId="95" fillId="23" borderId="1" xfId="0" applyNumberFormat="1" applyFont="1" applyFill="1" applyBorder="1" applyAlignment="1" applyProtection="1">
      <alignment horizontal="center" vertical="top" wrapText="1"/>
      <protection hidden="1"/>
    </xf>
    <xf numFmtId="1" fontId="80" fillId="0" borderId="0" xfId="0" applyNumberFormat="1" applyFont="1" applyAlignment="1" applyProtection="1">
      <alignment horizontal="center" vertical="top" wrapText="1"/>
      <protection hidden="1"/>
    </xf>
    <xf numFmtId="0" fontId="348" fillId="0" borderId="0" xfId="0" applyFont="1"/>
    <xf numFmtId="0" fontId="79" fillId="25" borderId="36" xfId="0" applyFont="1" applyFill="1" applyBorder="1" applyAlignment="1">
      <alignment horizontal="center"/>
    </xf>
    <xf numFmtId="168" fontId="17" fillId="0" borderId="6" xfId="0" applyNumberFormat="1" applyFont="1" applyBorder="1" applyAlignment="1" applyProtection="1">
      <alignment vertical="center" wrapText="1"/>
      <protection hidden="1"/>
    </xf>
    <xf numFmtId="1" fontId="48" fillId="24" borderId="28" xfId="0" applyNumberFormat="1" applyFont="1" applyFill="1" applyBorder="1" applyAlignment="1" applyProtection="1">
      <alignment horizontal="center"/>
      <protection hidden="1"/>
    </xf>
    <xf numFmtId="1" fontId="47" fillId="0" borderId="0" xfId="0" applyNumberFormat="1" applyFont="1" applyProtection="1">
      <protection hidden="1"/>
    </xf>
    <xf numFmtId="1" fontId="349" fillId="0" borderId="1" xfId="0" applyNumberFormat="1" applyFont="1" applyBorder="1" applyAlignment="1" applyProtection="1">
      <alignment horizontal="center"/>
      <protection hidden="1"/>
    </xf>
    <xf numFmtId="10" fontId="350" fillId="24" borderId="1" xfId="12" applyNumberFormat="1" applyFont="1" applyFill="1" applyBorder="1" applyAlignment="1" applyProtection="1">
      <alignment horizontal="center"/>
      <protection hidden="1"/>
    </xf>
    <xf numFmtId="0" fontId="56" fillId="0" borderId="33" xfId="0" applyFont="1" applyBorder="1" applyAlignment="1" applyProtection="1">
      <alignment horizontal="center" vertical="center" wrapText="1"/>
      <protection hidden="1"/>
    </xf>
    <xf numFmtId="0" fontId="47" fillId="0" borderId="24" xfId="0" applyFont="1" applyBorder="1" applyAlignment="1" applyProtection="1">
      <alignment horizontal="center" vertical="center" wrapText="1"/>
      <protection hidden="1"/>
    </xf>
    <xf numFmtId="0" fontId="47" fillId="0" borderId="25" xfId="0" applyFont="1" applyBorder="1" applyAlignment="1" applyProtection="1">
      <alignment horizontal="center" vertical="center" wrapText="1"/>
      <protection hidden="1"/>
    </xf>
    <xf numFmtId="1" fontId="5" fillId="0" borderId="15" xfId="0" applyNumberFormat="1" applyFont="1" applyBorder="1" applyAlignment="1" applyProtection="1">
      <alignment horizontal="center" vertical="center" wrapText="1"/>
      <protection hidden="1"/>
    </xf>
    <xf numFmtId="1" fontId="5" fillId="0" borderId="40" xfId="0" applyNumberFormat="1" applyFont="1" applyBorder="1" applyAlignment="1" applyProtection="1">
      <alignment horizontal="center" vertical="center" wrapText="1"/>
      <protection hidden="1"/>
    </xf>
    <xf numFmtId="1" fontId="5" fillId="0" borderId="19" xfId="0" applyNumberFormat="1" applyFont="1" applyBorder="1" applyAlignment="1" applyProtection="1">
      <alignment horizontal="center" vertical="center" wrapText="1"/>
      <protection hidden="1"/>
    </xf>
    <xf numFmtId="1" fontId="5" fillId="9" borderId="9" xfId="0" applyNumberFormat="1" applyFont="1" applyFill="1" applyBorder="1" applyAlignment="1" applyProtection="1">
      <alignment horizontal="center" vertical="center" wrapText="1"/>
      <protection hidden="1"/>
    </xf>
    <xf numFmtId="2" fontId="3" fillId="0" borderId="7" xfId="0" applyNumberFormat="1" applyFont="1" applyBorder="1" applyAlignment="1" applyProtection="1">
      <alignment horizontal="center" vertical="center" wrapText="1"/>
      <protection hidden="1"/>
    </xf>
    <xf numFmtId="1" fontId="0" fillId="0" borderId="69" xfId="0" applyNumberFormat="1" applyBorder="1"/>
    <xf numFmtId="0" fontId="3" fillId="23" borderId="1" xfId="0" applyFont="1" applyFill="1" applyBorder="1"/>
    <xf numFmtId="0" fontId="3" fillId="23" borderId="0" xfId="0" applyFont="1" applyFill="1"/>
    <xf numFmtId="0" fontId="12" fillId="0" borderId="1" xfId="0" applyFont="1" applyBorder="1"/>
    <xf numFmtId="0" fontId="1" fillId="0" borderId="7" xfId="0" applyFont="1" applyBorder="1"/>
    <xf numFmtId="1" fontId="3" fillId="0" borderId="1" xfId="0" applyNumberFormat="1" applyFont="1" applyBorder="1" applyAlignment="1" applyProtection="1">
      <alignment horizontal="center" vertical="center" wrapText="1"/>
      <protection hidden="1"/>
    </xf>
    <xf numFmtId="1" fontId="5" fillId="0" borderId="1" xfId="0" applyNumberFormat="1" applyFont="1" applyBorder="1"/>
    <xf numFmtId="9" fontId="349" fillId="0" borderId="1" xfId="12" applyFont="1" applyBorder="1" applyAlignment="1" applyProtection="1">
      <alignment horizontal="center"/>
      <protection hidden="1"/>
    </xf>
    <xf numFmtId="0" fontId="50" fillId="2" borderId="1" xfId="11" applyFont="1" applyFill="1" applyBorder="1" applyAlignment="1" applyProtection="1">
      <alignment horizontal="center" vertical="center" wrapText="1"/>
      <protection locked="0" hidden="1"/>
    </xf>
    <xf numFmtId="0" fontId="0" fillId="6" borderId="59" xfId="0" applyFill="1" applyBorder="1" applyAlignment="1" applyProtection="1">
      <alignment horizontal="center" vertical="center"/>
      <protection hidden="1"/>
    </xf>
    <xf numFmtId="1" fontId="42" fillId="0" borderId="45" xfId="0" applyNumberFormat="1" applyFont="1" applyBorder="1" applyAlignment="1" applyProtection="1">
      <alignment horizontal="center" vertical="center" wrapText="1"/>
      <protection hidden="1"/>
    </xf>
    <xf numFmtId="0" fontId="0" fillId="6" borderId="10" xfId="0" applyFill="1" applyBorder="1" applyAlignment="1" applyProtection="1">
      <alignment horizontal="center" vertical="center"/>
      <protection hidden="1"/>
    </xf>
    <xf numFmtId="0" fontId="1" fillId="6" borderId="10" xfId="0" applyFont="1" applyFill="1" applyBorder="1" applyAlignment="1" applyProtection="1">
      <alignment horizontal="center" vertical="center"/>
      <protection hidden="1"/>
    </xf>
    <xf numFmtId="0" fontId="41" fillId="0" borderId="61" xfId="0" applyFont="1" applyBorder="1" applyAlignment="1" applyProtection="1">
      <alignment horizontal="center" vertical="center"/>
      <protection hidden="1"/>
    </xf>
    <xf numFmtId="1" fontId="55" fillId="5" borderId="30" xfId="0" applyNumberFormat="1" applyFont="1" applyFill="1" applyBorder="1" applyAlignment="1" applyProtection="1">
      <alignment horizontal="center"/>
      <protection hidden="1"/>
    </xf>
    <xf numFmtId="1" fontId="55" fillId="5" borderId="32" xfId="0" applyNumberFormat="1" applyFont="1" applyFill="1" applyBorder="1" applyAlignment="1" applyProtection="1">
      <alignment horizontal="center"/>
      <protection hidden="1"/>
    </xf>
    <xf numFmtId="1" fontId="56" fillId="32" borderId="6" xfId="0" applyNumberFormat="1" applyFont="1" applyFill="1" applyBorder="1" applyAlignment="1" applyProtection="1">
      <alignment horizontal="center" vertical="center" wrapText="1"/>
      <protection hidden="1"/>
    </xf>
    <xf numFmtId="1" fontId="55" fillId="25" borderId="46" xfId="0" applyNumberFormat="1" applyFont="1" applyFill="1" applyBorder="1" applyAlignment="1" applyProtection="1">
      <alignment horizontal="center" vertical="center" wrapText="1"/>
      <protection hidden="1"/>
    </xf>
    <xf numFmtId="1" fontId="55" fillId="66" borderId="28" xfId="0" applyNumberFormat="1" applyFont="1" applyFill="1" applyBorder="1" applyAlignment="1" applyProtection="1">
      <alignment horizontal="center"/>
      <protection hidden="1"/>
    </xf>
    <xf numFmtId="2" fontId="42" fillId="0" borderId="1" xfId="0" applyNumberFormat="1" applyFont="1" applyBorder="1" applyAlignment="1" applyProtection="1">
      <alignment horizontal="center" vertical="center" wrapText="1"/>
      <protection hidden="1"/>
    </xf>
    <xf numFmtId="0" fontId="12" fillId="0" borderId="45" xfId="0" applyFont="1" applyBorder="1" applyAlignment="1" applyProtection="1">
      <alignment horizontal="center" vertical="center" wrapText="1"/>
      <protection hidden="1"/>
    </xf>
    <xf numFmtId="1" fontId="42" fillId="0" borderId="32" xfId="0" applyNumberFormat="1" applyFont="1" applyBorder="1" applyAlignment="1" applyProtection="1">
      <alignment horizontal="center" vertical="center" wrapText="1"/>
      <protection hidden="1"/>
    </xf>
    <xf numFmtId="2" fontId="50" fillId="24" borderId="1" xfId="0" applyNumberFormat="1" applyFont="1" applyFill="1" applyBorder="1" applyAlignment="1" applyProtection="1">
      <alignment vertical="center" wrapText="1"/>
      <protection hidden="1"/>
    </xf>
    <xf numFmtId="1" fontId="43" fillId="0" borderId="30" xfId="0" applyNumberFormat="1" applyFont="1" applyBorder="1" applyAlignment="1" applyProtection="1">
      <alignment horizontal="center" vertical="center" wrapText="1"/>
      <protection hidden="1"/>
    </xf>
    <xf numFmtId="1" fontId="44" fillId="5" borderId="8" xfId="0" applyNumberFormat="1" applyFont="1" applyFill="1" applyBorder="1" applyAlignment="1" applyProtection="1">
      <alignment horizontal="center"/>
      <protection hidden="1"/>
    </xf>
    <xf numFmtId="1" fontId="55" fillId="25" borderId="41" xfId="0" applyNumberFormat="1" applyFont="1" applyFill="1" applyBorder="1" applyAlignment="1" applyProtection="1">
      <alignment horizontal="center" vertical="center" wrapText="1"/>
      <protection hidden="1"/>
    </xf>
    <xf numFmtId="1" fontId="55" fillId="0" borderId="42" xfId="0" applyNumberFormat="1" applyFont="1" applyBorder="1" applyAlignment="1" applyProtection="1">
      <alignment horizontal="center" vertical="center" wrapText="1"/>
      <protection hidden="1"/>
    </xf>
    <xf numFmtId="0" fontId="43" fillId="0" borderId="72" xfId="0" applyFont="1" applyBorder="1" applyAlignment="1" applyProtection="1">
      <alignment horizontal="center" vertical="center" wrapText="1"/>
      <protection hidden="1"/>
    </xf>
    <xf numFmtId="0" fontId="43" fillId="0" borderId="41" xfId="0" applyFont="1" applyBorder="1" applyAlignment="1" applyProtection="1">
      <alignment horizontal="center" vertical="center" wrapText="1"/>
      <protection hidden="1"/>
    </xf>
    <xf numFmtId="0" fontId="55" fillId="0" borderId="42" xfId="0" applyFont="1" applyBorder="1" applyAlignment="1" applyProtection="1">
      <alignment horizontal="center" vertical="center" wrapText="1"/>
      <protection hidden="1"/>
    </xf>
    <xf numFmtId="1" fontId="43" fillId="0" borderId="1" xfId="0" applyNumberFormat="1" applyFont="1" applyBorder="1" applyAlignment="1" applyProtection="1">
      <alignment horizontal="center"/>
      <protection hidden="1"/>
    </xf>
    <xf numFmtId="0" fontId="41" fillId="9" borderId="0" xfId="0" applyFont="1" applyFill="1" applyAlignment="1" applyProtection="1">
      <alignment horizontal="center" vertical="center"/>
      <protection hidden="1"/>
    </xf>
    <xf numFmtId="0" fontId="10" fillId="9" borderId="0" xfId="0" applyFont="1" applyFill="1" applyAlignment="1" applyProtection="1">
      <alignment vertical="center" wrapText="1"/>
      <protection hidden="1"/>
    </xf>
    <xf numFmtId="168" fontId="1" fillId="9" borderId="0" xfId="0" applyNumberFormat="1" applyFont="1" applyFill="1" applyAlignment="1" applyProtection="1">
      <alignment horizontal="center" vertical="center" wrapText="1"/>
      <protection hidden="1"/>
    </xf>
    <xf numFmtId="0" fontId="0" fillId="5" borderId="59" xfId="0" applyFill="1" applyBorder="1" applyAlignment="1" applyProtection="1">
      <alignment horizontal="center" vertical="center"/>
      <protection hidden="1"/>
    </xf>
    <xf numFmtId="0" fontId="0" fillId="5" borderId="10" xfId="0" applyFill="1" applyBorder="1" applyAlignment="1" applyProtection="1">
      <alignment horizontal="center" vertical="center"/>
      <protection hidden="1"/>
    </xf>
    <xf numFmtId="0" fontId="1" fillId="5" borderId="10" xfId="0" applyFont="1" applyFill="1" applyBorder="1" applyAlignment="1" applyProtection="1">
      <alignment horizontal="center" vertical="center"/>
      <protection hidden="1"/>
    </xf>
    <xf numFmtId="1" fontId="44" fillId="5" borderId="67" xfId="0" applyNumberFormat="1" applyFont="1" applyFill="1" applyBorder="1" applyAlignment="1" applyProtection="1">
      <alignment horizontal="center"/>
      <protection hidden="1"/>
    </xf>
    <xf numFmtId="1" fontId="55" fillId="66" borderId="67" xfId="0" applyNumberFormat="1" applyFont="1" applyFill="1" applyBorder="1" applyAlignment="1" applyProtection="1">
      <alignment horizontal="center"/>
      <protection hidden="1"/>
    </xf>
    <xf numFmtId="1" fontId="44" fillId="5" borderId="23" xfId="0" applyNumberFormat="1" applyFont="1" applyFill="1" applyBorder="1" applyAlignment="1" applyProtection="1">
      <alignment horizontal="center"/>
      <protection hidden="1"/>
    </xf>
    <xf numFmtId="0" fontId="10" fillId="5" borderId="90" xfId="0" applyFont="1" applyFill="1" applyBorder="1" applyAlignment="1" applyProtection="1">
      <alignment horizontal="center" vertical="center" wrapText="1"/>
      <protection hidden="1"/>
    </xf>
    <xf numFmtId="0" fontId="231" fillId="2" borderId="72" xfId="11" applyFont="1" applyFill="1" applyBorder="1" applyAlignment="1" applyProtection="1">
      <alignment horizontal="center" vertical="center" wrapText="1"/>
      <protection locked="0" hidden="1"/>
    </xf>
    <xf numFmtId="0" fontId="231" fillId="2" borderId="90" xfId="11" applyFont="1" applyFill="1" applyBorder="1" applyAlignment="1" applyProtection="1">
      <alignment horizontal="center" vertical="center" wrapText="1"/>
      <protection locked="0" hidden="1"/>
    </xf>
    <xf numFmtId="0" fontId="56" fillId="27" borderId="0" xfId="0" applyFont="1" applyFill="1" applyAlignment="1" applyProtection="1">
      <alignment horizontal="right" vertical="center" wrapText="1"/>
      <protection hidden="1"/>
    </xf>
    <xf numFmtId="0" fontId="214" fillId="0" borderId="1" xfId="0" applyFont="1" applyBorder="1" applyProtection="1">
      <protection hidden="1"/>
    </xf>
    <xf numFmtId="0" fontId="214" fillId="0" borderId="1" xfId="0" applyFont="1" applyBorder="1" applyAlignment="1" applyProtection="1">
      <alignment horizontal="center"/>
      <protection hidden="1"/>
    </xf>
    <xf numFmtId="1" fontId="226" fillId="24" borderId="66" xfId="0" applyNumberFormat="1" applyFont="1" applyFill="1" applyBorder="1" applyAlignment="1" applyProtection="1">
      <alignment horizontal="center" vertical="center" wrapText="1" readingOrder="1"/>
      <protection locked="0"/>
    </xf>
    <xf numFmtId="1" fontId="226" fillId="24" borderId="62" xfId="0" applyNumberFormat="1" applyFont="1" applyFill="1" applyBorder="1" applyAlignment="1" applyProtection="1">
      <alignment horizontal="center" vertical="center" wrapText="1" readingOrder="1"/>
      <protection locked="0"/>
    </xf>
    <xf numFmtId="1" fontId="352" fillId="0" borderId="1" xfId="0" applyNumberFormat="1" applyFont="1" applyBorder="1" applyAlignment="1" applyProtection="1">
      <alignment horizontal="center" vertical="top" wrapText="1"/>
      <protection hidden="1"/>
    </xf>
    <xf numFmtId="0" fontId="259" fillId="0" borderId="28" xfId="0" applyFont="1" applyBorder="1" applyAlignment="1">
      <alignment horizontal="center" wrapText="1"/>
    </xf>
    <xf numFmtId="1" fontId="1" fillId="0" borderId="0" xfId="0" applyNumberFormat="1" applyFont="1" applyAlignment="1" applyProtection="1">
      <alignment horizontal="center" vertical="center" wrapText="1"/>
      <protection hidden="1"/>
    </xf>
    <xf numFmtId="1" fontId="44" fillId="0" borderId="0" xfId="0" applyNumberFormat="1" applyFont="1" applyAlignment="1" applyProtection="1">
      <alignment vertical="center" wrapText="1"/>
      <protection hidden="1"/>
    </xf>
    <xf numFmtId="1" fontId="47" fillId="0" borderId="0" xfId="0" applyNumberFormat="1" applyFont="1" applyAlignment="1" applyProtection="1">
      <alignment horizontal="center" vertical="center" wrapText="1"/>
      <protection hidden="1"/>
    </xf>
    <xf numFmtId="10" fontId="1" fillId="0" borderId="0" xfId="12" applyNumberFormat="1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>
      <alignment horizontal="center"/>
    </xf>
    <xf numFmtId="0" fontId="318" fillId="0" borderId="1" xfId="0" applyFont="1" applyBorder="1" applyAlignment="1">
      <alignment horizontal="center"/>
    </xf>
    <xf numFmtId="0" fontId="231" fillId="0" borderId="28" xfId="0" applyFont="1" applyBorder="1" applyAlignment="1" applyProtection="1">
      <alignment horizontal="center"/>
      <protection hidden="1"/>
    </xf>
    <xf numFmtId="0" fontId="3" fillId="33" borderId="36" xfId="0" applyFont="1" applyFill="1" applyBorder="1" applyAlignment="1" applyProtection="1">
      <alignment horizontal="center"/>
      <protection hidden="1"/>
    </xf>
    <xf numFmtId="0" fontId="345" fillId="0" borderId="1" xfId="0" applyFont="1" applyBorder="1" applyAlignment="1" applyProtection="1">
      <alignment horizontal="center"/>
      <protection hidden="1"/>
    </xf>
    <xf numFmtId="1" fontId="354" fillId="0" borderId="1" xfId="0" applyNumberFormat="1" applyFont="1" applyBorder="1" applyAlignment="1" applyProtection="1">
      <alignment horizontal="center" vertical="center" wrapText="1"/>
      <protection hidden="1"/>
    </xf>
    <xf numFmtId="0" fontId="229" fillId="0" borderId="2" xfId="0" applyFont="1" applyBorder="1" applyAlignment="1" applyProtection="1">
      <alignment horizontal="center" vertical="top" wrapText="1"/>
      <protection hidden="1"/>
    </xf>
    <xf numFmtId="1" fontId="226" fillId="25" borderId="7" xfId="0" applyNumberFormat="1" applyFont="1" applyFill="1" applyBorder="1" applyAlignment="1" applyProtection="1">
      <alignment horizontal="center" vertical="center" wrapText="1" readingOrder="1"/>
      <protection hidden="1"/>
    </xf>
    <xf numFmtId="0" fontId="259" fillId="0" borderId="28" xfId="0" applyFont="1" applyBorder="1" applyAlignment="1">
      <alignment horizontal="center"/>
    </xf>
    <xf numFmtId="0" fontId="320" fillId="0" borderId="0" xfId="0" applyFont="1" applyAlignment="1">
      <alignment horizontal="center"/>
    </xf>
    <xf numFmtId="0" fontId="318" fillId="0" borderId="1" xfId="0" applyFont="1" applyBorder="1"/>
    <xf numFmtId="0" fontId="0" fillId="0" borderId="59" xfId="0" applyBorder="1"/>
    <xf numFmtId="0" fontId="0" fillId="0" borderId="31" xfId="0" applyBorder="1"/>
    <xf numFmtId="0" fontId="0" fillId="0" borderId="31" xfId="0" applyBorder="1" applyAlignment="1">
      <alignment horizontal="center"/>
    </xf>
    <xf numFmtId="0" fontId="0" fillId="0" borderId="10" xfId="0" applyBorder="1"/>
    <xf numFmtId="0" fontId="259" fillId="0" borderId="9" xfId="0" applyFont="1" applyBorder="1"/>
    <xf numFmtId="0" fontId="0" fillId="0" borderId="9" xfId="0" applyBorder="1"/>
    <xf numFmtId="0" fontId="0" fillId="0" borderId="61" xfId="0" applyBorder="1"/>
    <xf numFmtId="0" fontId="0" fillId="0" borderId="30" xfId="0" applyBorder="1"/>
    <xf numFmtId="0" fontId="0" fillId="0" borderId="33" xfId="0" applyBorder="1"/>
    <xf numFmtId="0" fontId="0" fillId="0" borderId="74" xfId="0" applyBorder="1"/>
    <xf numFmtId="0" fontId="243" fillId="31" borderId="25" xfId="0" applyFont="1" applyFill="1" applyBorder="1" applyAlignment="1" applyProtection="1">
      <alignment horizontal="center" vertical="center" wrapText="1" readingOrder="1"/>
      <protection hidden="1"/>
    </xf>
    <xf numFmtId="0" fontId="243" fillId="31" borderId="22" xfId="0" applyFont="1" applyFill="1" applyBorder="1" applyAlignment="1" applyProtection="1">
      <alignment horizontal="center" vertical="center" wrapText="1" readingOrder="1"/>
      <protection hidden="1"/>
    </xf>
    <xf numFmtId="1" fontId="127" fillId="2" borderId="59" xfId="11" applyNumberFormat="1" applyFont="1" applyFill="1" applyBorder="1" applyAlignment="1" applyProtection="1">
      <alignment horizontal="center" vertical="center" wrapText="1"/>
      <protection locked="0"/>
    </xf>
    <xf numFmtId="0" fontId="76" fillId="0" borderId="0" xfId="0" applyFont="1" applyAlignment="1" applyProtection="1">
      <alignment horizontal="center" vertical="center" wrapText="1"/>
      <protection hidden="1"/>
    </xf>
    <xf numFmtId="1" fontId="338" fillId="0" borderId="0" xfId="0" applyNumberFormat="1" applyFont="1" applyAlignment="1" applyProtection="1">
      <alignment horizontal="center" vertical="center" wrapText="1"/>
      <protection hidden="1"/>
    </xf>
    <xf numFmtId="1" fontId="338" fillId="30" borderId="70" xfId="0" applyNumberFormat="1" applyFont="1" applyFill="1" applyBorder="1" applyAlignment="1" applyProtection="1">
      <alignment horizontal="center" vertical="center" wrapText="1"/>
      <protection hidden="1"/>
    </xf>
    <xf numFmtId="1" fontId="355" fillId="0" borderId="33" xfId="0" applyNumberFormat="1" applyFont="1" applyBorder="1" applyAlignment="1" applyProtection="1">
      <alignment vertical="center" wrapText="1"/>
      <protection hidden="1"/>
    </xf>
    <xf numFmtId="1" fontId="357" fillId="0" borderId="33" xfId="0" applyNumberFormat="1" applyFont="1" applyBorder="1" applyAlignment="1" applyProtection="1">
      <alignment vertical="center" wrapText="1"/>
      <protection hidden="1"/>
    </xf>
    <xf numFmtId="0" fontId="33" fillId="0" borderId="7" xfId="0" applyFont="1" applyBorder="1" applyAlignment="1" applyProtection="1">
      <alignment horizontal="center" textRotation="90"/>
      <protection hidden="1"/>
    </xf>
    <xf numFmtId="0" fontId="243" fillId="31" borderId="7" xfId="0" applyFont="1" applyFill="1" applyBorder="1" applyAlignment="1" applyProtection="1">
      <alignment horizontal="center" vertical="center" wrapText="1" readingOrder="1"/>
      <protection hidden="1"/>
    </xf>
    <xf numFmtId="0" fontId="127" fillId="2" borderId="27" xfId="11" applyFont="1" applyFill="1" applyBorder="1" applyAlignment="1" applyProtection="1">
      <alignment horizontal="center" vertical="center" wrapText="1"/>
      <protection locked="0"/>
    </xf>
    <xf numFmtId="1" fontId="355" fillId="0" borderId="0" xfId="0" applyNumberFormat="1" applyFont="1" applyAlignment="1" applyProtection="1">
      <alignment vertical="center" wrapText="1"/>
      <protection hidden="1"/>
    </xf>
    <xf numFmtId="1" fontId="357" fillId="0" borderId="0" xfId="0" applyNumberFormat="1" applyFont="1" applyAlignment="1" applyProtection="1">
      <alignment vertical="center" wrapText="1"/>
      <protection hidden="1"/>
    </xf>
    <xf numFmtId="0" fontId="127" fillId="2" borderId="1" xfId="11" applyFont="1" applyFill="1" applyBorder="1" applyAlignment="1" applyProtection="1">
      <alignment horizontal="center" vertical="center" wrapText="1"/>
      <protection locked="0"/>
    </xf>
    <xf numFmtId="1" fontId="50" fillId="5" borderId="19" xfId="0" applyNumberFormat="1" applyFont="1" applyFill="1" applyBorder="1" applyAlignment="1" applyProtection="1">
      <alignment horizontal="center" vertical="center" wrapText="1"/>
      <protection hidden="1"/>
    </xf>
    <xf numFmtId="1" fontId="55" fillId="30" borderId="1" xfId="0" applyNumberFormat="1" applyFont="1" applyFill="1" applyBorder="1" applyAlignment="1" applyProtection="1">
      <alignment horizontal="center" vertical="center" wrapText="1"/>
      <protection hidden="1"/>
    </xf>
    <xf numFmtId="1" fontId="260" fillId="0" borderId="1" xfId="0" applyNumberFormat="1" applyFont="1" applyBorder="1" applyAlignment="1" applyProtection="1">
      <alignment horizontal="center" vertical="center" wrapText="1"/>
      <protection hidden="1"/>
    </xf>
    <xf numFmtId="1" fontId="338" fillId="30" borderId="38" xfId="0" applyNumberFormat="1" applyFont="1" applyFill="1" applyBorder="1" applyAlignment="1" applyProtection="1">
      <alignment horizontal="center" vertical="center" wrapText="1"/>
      <protection hidden="1"/>
    </xf>
    <xf numFmtId="1" fontId="260" fillId="0" borderId="28" xfId="0" applyNumberFormat="1" applyFont="1" applyBorder="1" applyAlignment="1" applyProtection="1">
      <alignment horizontal="center" vertical="center" wrapText="1"/>
      <protection hidden="1"/>
    </xf>
    <xf numFmtId="1" fontId="338" fillId="30" borderId="1" xfId="0" applyNumberFormat="1" applyFont="1" applyFill="1" applyBorder="1" applyAlignment="1" applyProtection="1">
      <alignment horizontal="center" vertical="center" wrapText="1"/>
      <protection hidden="1"/>
    </xf>
    <xf numFmtId="0" fontId="50" fillId="0" borderId="28" xfId="11" applyFont="1" applyBorder="1" applyAlignment="1" applyProtection="1">
      <alignment horizontal="center" vertical="center" wrapText="1"/>
      <protection hidden="1"/>
    </xf>
    <xf numFmtId="0" fontId="55" fillId="27" borderId="89" xfId="0" applyFont="1" applyFill="1" applyBorder="1" applyAlignment="1" applyProtection="1">
      <alignment horizontal="center" vertical="center" wrapText="1"/>
      <protection hidden="1"/>
    </xf>
    <xf numFmtId="0" fontId="243" fillId="28" borderId="31" xfId="0" applyFont="1" applyFill="1" applyBorder="1" applyAlignment="1" applyProtection="1">
      <alignment horizontal="center" vertical="center" wrapText="1" readingOrder="1"/>
      <protection hidden="1"/>
    </xf>
    <xf numFmtId="0" fontId="243" fillId="24" borderId="30" xfId="0" applyFont="1" applyFill="1" applyBorder="1" applyAlignment="1" applyProtection="1">
      <alignment horizontal="center" vertical="center" wrapText="1" readingOrder="1"/>
      <protection hidden="1"/>
    </xf>
    <xf numFmtId="0" fontId="55" fillId="27" borderId="69" xfId="0" applyFont="1" applyFill="1" applyBorder="1" applyAlignment="1" applyProtection="1">
      <alignment horizontal="center" vertical="center" wrapText="1"/>
      <protection hidden="1"/>
    </xf>
    <xf numFmtId="0" fontId="50" fillId="0" borderId="46" xfId="11" applyFont="1" applyBorder="1" applyAlignment="1" applyProtection="1">
      <alignment horizontal="center" vertical="center" wrapText="1"/>
      <protection hidden="1"/>
    </xf>
    <xf numFmtId="0" fontId="76" fillId="33" borderId="38" xfId="0" applyFont="1" applyFill="1" applyBorder="1" applyAlignment="1" applyProtection="1">
      <alignment horizontal="center" vertical="center" textRotation="90" wrapText="1"/>
      <protection hidden="1"/>
    </xf>
    <xf numFmtId="1" fontId="127" fillId="32" borderId="7" xfId="0" applyNumberFormat="1" applyFont="1" applyFill="1" applyBorder="1" applyAlignment="1" applyProtection="1">
      <alignment horizontal="center" vertical="center" wrapText="1"/>
      <protection hidden="1"/>
    </xf>
    <xf numFmtId="1" fontId="44" fillId="0" borderId="39" xfId="0" applyNumberFormat="1" applyFont="1" applyBorder="1" applyAlignment="1" applyProtection="1">
      <alignment horizontal="right" vertical="center" wrapText="1"/>
      <protection hidden="1"/>
    </xf>
    <xf numFmtId="0" fontId="50" fillId="0" borderId="65" xfId="11" applyFont="1" applyBorder="1" applyAlignment="1" applyProtection="1">
      <alignment horizontal="center" vertical="center" wrapText="1"/>
      <protection hidden="1"/>
    </xf>
    <xf numFmtId="0" fontId="50" fillId="0" borderId="67" xfId="11" applyFont="1" applyBorder="1" applyAlignment="1" applyProtection="1">
      <alignment horizontal="center" vertical="center" wrapText="1"/>
      <protection hidden="1"/>
    </xf>
    <xf numFmtId="0" fontId="318" fillId="0" borderId="33" xfId="0" applyFont="1" applyBorder="1"/>
    <xf numFmtId="0" fontId="0" fillId="0" borderId="66" xfId="0" applyBorder="1"/>
    <xf numFmtId="0" fontId="1" fillId="0" borderId="62" xfId="0" applyFont="1" applyBorder="1"/>
    <xf numFmtId="0" fontId="0" fillId="0" borderId="68" xfId="0" applyBorder="1"/>
    <xf numFmtId="0" fontId="318" fillId="0" borderId="10" xfId="0" applyFont="1" applyBorder="1"/>
    <xf numFmtId="0" fontId="0" fillId="0" borderId="59" xfId="0" applyBorder="1" applyAlignment="1">
      <alignment horizontal="center"/>
    </xf>
    <xf numFmtId="0" fontId="0" fillId="0" borderId="10" xfId="0" applyBorder="1" applyAlignment="1">
      <alignment horizontal="center"/>
    </xf>
    <xf numFmtId="0" fontId="318" fillId="0" borderId="10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60" fillId="63" borderId="1" xfId="0" applyFont="1" applyFill="1" applyBorder="1" applyAlignment="1">
      <alignment horizontal="center" vertical="center" wrapText="1"/>
    </xf>
    <xf numFmtId="0" fontId="361" fillId="23" borderId="1" xfId="0" applyFont="1" applyFill="1" applyBorder="1" applyAlignment="1">
      <alignment horizontal="center" vertical="center" wrapText="1"/>
    </xf>
    <xf numFmtId="0" fontId="317" fillId="0" borderId="10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17" fillId="0" borderId="61" xfId="0" applyFont="1" applyBorder="1" applyAlignment="1">
      <alignment horizontal="center"/>
    </xf>
    <xf numFmtId="0" fontId="317" fillId="0" borderId="30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168" fontId="3" fillId="9" borderId="0" xfId="0" applyNumberFormat="1" applyFont="1" applyFill="1" applyAlignment="1" applyProtection="1">
      <alignment horizontal="center" vertical="center" wrapText="1"/>
      <protection hidden="1"/>
    </xf>
    <xf numFmtId="1" fontId="55" fillId="25" borderId="67" xfId="0" applyNumberFormat="1" applyFont="1" applyFill="1" applyBorder="1" applyAlignment="1" applyProtection="1">
      <alignment horizontal="center"/>
      <protection hidden="1"/>
    </xf>
    <xf numFmtId="1" fontId="48" fillId="24" borderId="11" xfId="0" applyNumberFormat="1" applyFont="1" applyFill="1" applyBorder="1" applyAlignment="1" applyProtection="1">
      <alignment horizontal="center"/>
      <protection hidden="1"/>
    </xf>
    <xf numFmtId="0" fontId="76" fillId="0" borderId="0" xfId="0" applyFont="1" applyAlignment="1" applyProtection="1">
      <alignment horizontal="center" vertical="center" textRotation="90"/>
      <protection hidden="1"/>
    </xf>
    <xf numFmtId="168" fontId="12" fillId="0" borderId="0" xfId="0" applyNumberFormat="1" applyFont="1" applyAlignment="1" applyProtection="1">
      <alignment horizontal="center" vertical="center" wrapText="1"/>
      <protection hidden="1"/>
    </xf>
    <xf numFmtId="1" fontId="56" fillId="5" borderId="88" xfId="0" applyNumberFormat="1" applyFont="1" applyFill="1" applyBorder="1" applyAlignment="1" applyProtection="1">
      <alignment horizontal="center" vertical="center" wrapText="1"/>
      <protection hidden="1"/>
    </xf>
    <xf numFmtId="1" fontId="55" fillId="18" borderId="71" xfId="0" applyNumberFormat="1" applyFont="1" applyFill="1" applyBorder="1" applyAlignment="1" applyProtection="1">
      <alignment horizontal="center" vertical="center" wrapText="1"/>
      <protection hidden="1"/>
    </xf>
    <xf numFmtId="1" fontId="56" fillId="5" borderId="6" xfId="0" applyNumberFormat="1" applyFont="1" applyFill="1" applyBorder="1" applyAlignment="1" applyProtection="1">
      <alignment horizontal="center" vertical="center" wrapText="1"/>
      <protection hidden="1"/>
    </xf>
    <xf numFmtId="1" fontId="0" fillId="0" borderId="29" xfId="0" applyNumberFormat="1" applyBorder="1" applyAlignment="1" applyProtection="1">
      <alignment vertical="center" wrapText="1"/>
      <protection hidden="1"/>
    </xf>
    <xf numFmtId="0" fontId="3" fillId="4" borderId="10" xfId="0" applyFont="1" applyFill="1" applyBorder="1" applyAlignment="1" applyProtection="1">
      <alignment horizontal="center" vertical="center"/>
      <protection hidden="1"/>
    </xf>
    <xf numFmtId="0" fontId="3" fillId="4" borderId="9" xfId="0" applyFont="1" applyFill="1" applyBorder="1" applyAlignment="1" applyProtection="1">
      <alignment horizontal="center" vertical="center"/>
      <protection hidden="1"/>
    </xf>
    <xf numFmtId="169" fontId="12" fillId="0" borderId="10" xfId="0" applyNumberFormat="1" applyFont="1" applyBorder="1" applyProtection="1">
      <protection hidden="1"/>
    </xf>
    <xf numFmtId="2" fontId="12" fillId="0" borderId="9" xfId="0" applyNumberFormat="1" applyFont="1" applyBorder="1" applyProtection="1">
      <protection hidden="1"/>
    </xf>
    <xf numFmtId="169" fontId="12" fillId="0" borderId="61" xfId="0" applyNumberFormat="1" applyFont="1" applyBorder="1" applyProtection="1">
      <protection hidden="1"/>
    </xf>
    <xf numFmtId="2" fontId="12" fillId="27" borderId="30" xfId="0" applyNumberFormat="1" applyFont="1" applyFill="1" applyBorder="1" applyProtection="1">
      <protection hidden="1"/>
    </xf>
    <xf numFmtId="2" fontId="12" fillId="0" borderId="32" xfId="0" applyNumberFormat="1" applyFont="1" applyBorder="1" applyProtection="1">
      <protection hidden="1"/>
    </xf>
    <xf numFmtId="168" fontId="12" fillId="2" borderId="10" xfId="0" applyNumberFormat="1" applyFont="1" applyFill="1" applyBorder="1" applyProtection="1">
      <protection locked="0"/>
    </xf>
    <xf numFmtId="1" fontId="12" fillId="0" borderId="9" xfId="0" applyNumberFormat="1" applyFont="1" applyBorder="1" applyProtection="1">
      <protection hidden="1"/>
    </xf>
    <xf numFmtId="168" fontId="12" fillId="2" borderId="61" xfId="0" applyNumberFormat="1" applyFont="1" applyFill="1" applyBorder="1" applyProtection="1">
      <protection locked="0"/>
    </xf>
    <xf numFmtId="168" fontId="12" fillId="2" borderId="30" xfId="0" applyNumberFormat="1" applyFont="1" applyFill="1" applyBorder="1" applyProtection="1">
      <protection locked="0"/>
    </xf>
    <xf numFmtId="1" fontId="12" fillId="0" borderId="32" xfId="0" applyNumberFormat="1" applyFont="1" applyBorder="1" applyProtection="1">
      <protection hidden="1"/>
    </xf>
    <xf numFmtId="0" fontId="3" fillId="4" borderId="27" xfId="0" applyFont="1" applyFill="1" applyBorder="1" applyAlignment="1" applyProtection="1">
      <alignment horizontal="center" vertical="center" wrapText="1"/>
      <protection hidden="1"/>
    </xf>
    <xf numFmtId="0" fontId="3" fillId="4" borderId="87" xfId="0" applyFont="1" applyFill="1" applyBorder="1" applyAlignment="1" applyProtection="1">
      <alignment horizontal="center" vertical="center" wrapText="1"/>
      <protection hidden="1"/>
    </xf>
    <xf numFmtId="2" fontId="12" fillId="0" borderId="30" xfId="0" applyNumberFormat="1" applyFont="1" applyBorder="1" applyProtection="1">
      <protection hidden="1"/>
    </xf>
    <xf numFmtId="0" fontId="45" fillId="28" borderId="10" xfId="0" applyFont="1" applyFill="1" applyBorder="1" applyProtection="1">
      <protection locked="0"/>
    </xf>
    <xf numFmtId="0" fontId="45" fillId="28" borderId="9" xfId="0" applyFont="1" applyFill="1" applyBorder="1" applyProtection="1">
      <protection locked="0"/>
    </xf>
    <xf numFmtId="0" fontId="45" fillId="28" borderId="61" xfId="0" applyFont="1" applyFill="1" applyBorder="1" applyProtection="1">
      <protection locked="0"/>
    </xf>
    <xf numFmtId="0" fontId="45" fillId="28" borderId="30" xfId="0" applyFont="1" applyFill="1" applyBorder="1" applyProtection="1">
      <protection locked="0"/>
    </xf>
    <xf numFmtId="0" fontId="45" fillId="28" borderId="32" xfId="0" applyFont="1" applyFill="1" applyBorder="1" applyProtection="1">
      <protection locked="0"/>
    </xf>
    <xf numFmtId="0" fontId="0" fillId="3" borderId="6" xfId="0" applyFill="1" applyBorder="1" applyAlignment="1" applyProtection="1">
      <alignment horizontal="center"/>
      <protection hidden="1"/>
    </xf>
    <xf numFmtId="168" fontId="12" fillId="2" borderId="18" xfId="0" applyNumberFormat="1" applyFont="1" applyFill="1" applyBorder="1" applyAlignment="1" applyProtection="1">
      <alignment horizontal="center"/>
      <protection locked="0"/>
    </xf>
    <xf numFmtId="0" fontId="317" fillId="0" borderId="1" xfId="0" applyFont="1" applyBorder="1" applyAlignment="1" applyProtection="1">
      <alignment horizontal="center"/>
      <protection hidden="1"/>
    </xf>
    <xf numFmtId="0" fontId="317" fillId="40" borderId="1" xfId="0" applyFont="1" applyFill="1" applyBorder="1" applyAlignment="1" applyProtection="1">
      <alignment horizontal="center"/>
      <protection locked="0"/>
    </xf>
    <xf numFmtId="49" fontId="319" fillId="65" borderId="1" xfId="0" applyNumberFormat="1" applyFont="1" applyFill="1" applyBorder="1" applyAlignment="1" applyProtection="1">
      <alignment horizontal="center"/>
      <protection locked="0"/>
    </xf>
    <xf numFmtId="0" fontId="319" fillId="65" borderId="1" xfId="0" applyFont="1" applyFill="1" applyBorder="1" applyAlignment="1" applyProtection="1">
      <alignment horizontal="center"/>
      <protection locked="0"/>
    </xf>
    <xf numFmtId="0" fontId="3" fillId="0" borderId="17" xfId="0" applyFont="1" applyBorder="1" applyProtection="1">
      <protection hidden="1"/>
    </xf>
    <xf numFmtId="0" fontId="3" fillId="0" borderId="21" xfId="0" applyFont="1" applyBorder="1" applyProtection="1">
      <protection hidden="1"/>
    </xf>
    <xf numFmtId="168" fontId="12" fillId="2" borderId="22" xfId="0" applyNumberFormat="1" applyFont="1" applyFill="1" applyBorder="1" applyAlignment="1" applyProtection="1">
      <alignment horizontal="center"/>
      <protection locked="0"/>
    </xf>
    <xf numFmtId="0" fontId="27" fillId="33" borderId="28" xfId="0" applyFont="1" applyFill="1" applyBorder="1" applyAlignment="1" applyProtection="1">
      <alignment horizontal="center" vertical="top" wrapText="1"/>
      <protection hidden="1"/>
    </xf>
    <xf numFmtId="0" fontId="0" fillId="0" borderId="60" xfId="0" applyBorder="1" applyProtection="1">
      <protection hidden="1"/>
    </xf>
    <xf numFmtId="1" fontId="0" fillId="0" borderId="60" xfId="0" applyNumberFormat="1" applyBorder="1" applyProtection="1">
      <protection hidden="1"/>
    </xf>
    <xf numFmtId="1" fontId="0" fillId="0" borderId="92" xfId="0" applyNumberFormat="1" applyBorder="1" applyProtection="1">
      <protection hidden="1"/>
    </xf>
    <xf numFmtId="0" fontId="3" fillId="33" borderId="34" xfId="0" applyFont="1" applyFill="1" applyBorder="1" applyAlignment="1" applyProtection="1">
      <alignment horizontal="center"/>
      <protection hidden="1"/>
    </xf>
    <xf numFmtId="0" fontId="0" fillId="33" borderId="30" xfId="0" applyFill="1" applyBorder="1" applyProtection="1">
      <protection hidden="1"/>
    </xf>
    <xf numFmtId="1" fontId="0" fillId="33" borderId="30" xfId="0" applyNumberFormat="1" applyFill="1" applyBorder="1" applyProtection="1">
      <protection hidden="1"/>
    </xf>
    <xf numFmtId="1" fontId="0" fillId="33" borderId="32" xfId="0" applyNumberFormat="1" applyFill="1" applyBorder="1" applyProtection="1">
      <protection hidden="1"/>
    </xf>
    <xf numFmtId="0" fontId="1" fillId="33" borderId="1" xfId="0" applyFont="1" applyFill="1" applyBorder="1" applyAlignment="1" applyProtection="1">
      <alignment horizontal="center"/>
      <protection hidden="1"/>
    </xf>
    <xf numFmtId="0" fontId="3" fillId="33" borderId="30" xfId="0" applyFont="1" applyFill="1" applyBorder="1" applyAlignment="1" applyProtection="1">
      <alignment horizontal="center"/>
      <protection hidden="1"/>
    </xf>
    <xf numFmtId="1" fontId="0" fillId="0" borderId="4" xfId="0" applyNumberFormat="1" applyBorder="1" applyAlignment="1" applyProtection="1">
      <alignment horizontal="center"/>
      <protection hidden="1"/>
    </xf>
    <xf numFmtId="0" fontId="1" fillId="0" borderId="60" xfId="0" applyFont="1" applyBorder="1" applyAlignment="1" applyProtection="1">
      <alignment horizontal="center"/>
      <protection hidden="1"/>
    </xf>
    <xf numFmtId="0" fontId="1" fillId="30" borderId="1" xfId="0" applyFont="1" applyFill="1" applyBorder="1" applyAlignment="1" applyProtection="1">
      <alignment horizontal="center"/>
      <protection hidden="1"/>
    </xf>
    <xf numFmtId="0" fontId="168" fillId="0" borderId="1" xfId="0" applyFont="1" applyBorder="1" applyAlignment="1">
      <alignment horizontal="center"/>
    </xf>
    <xf numFmtId="0" fontId="3" fillId="30" borderId="7" xfId="0" applyFont="1" applyFill="1" applyBorder="1" applyAlignment="1" applyProtection="1">
      <alignment horizontal="center"/>
      <protection hidden="1"/>
    </xf>
    <xf numFmtId="1" fontId="12" fillId="33" borderId="1" xfId="0" applyNumberFormat="1" applyFont="1" applyFill="1" applyBorder="1" applyAlignment="1" applyProtection="1">
      <alignment horizontal="center"/>
      <protection hidden="1"/>
    </xf>
    <xf numFmtId="1" fontId="12" fillId="33" borderId="9" xfId="0" applyNumberFormat="1" applyFont="1" applyFill="1" applyBorder="1" applyAlignment="1" applyProtection="1">
      <alignment horizontal="center"/>
      <protection hidden="1"/>
    </xf>
    <xf numFmtId="1" fontId="12" fillId="24" borderId="28" xfId="0" applyNumberFormat="1" applyFont="1" applyFill="1" applyBorder="1" applyAlignment="1" applyProtection="1">
      <alignment horizontal="center"/>
      <protection hidden="1"/>
    </xf>
    <xf numFmtId="1" fontId="12" fillId="24" borderId="1" xfId="0" applyNumberFormat="1" applyFont="1" applyFill="1" applyBorder="1" applyAlignment="1" applyProtection="1">
      <alignment horizontal="center"/>
      <protection hidden="1"/>
    </xf>
    <xf numFmtId="1" fontId="12" fillId="30" borderId="1" xfId="0" applyNumberFormat="1" applyFont="1" applyFill="1" applyBorder="1" applyAlignment="1" applyProtection="1">
      <alignment horizontal="center"/>
      <protection hidden="1"/>
    </xf>
    <xf numFmtId="0" fontId="17" fillId="30" borderId="1" xfId="0" applyFont="1" applyFill="1" applyBorder="1" applyAlignment="1" applyProtection="1">
      <alignment horizontal="center"/>
      <protection hidden="1"/>
    </xf>
    <xf numFmtId="0" fontId="3" fillId="30" borderId="27" xfId="0" applyFont="1" applyFill="1" applyBorder="1" applyAlignment="1" applyProtection="1">
      <alignment horizontal="center"/>
      <protection hidden="1"/>
    </xf>
    <xf numFmtId="0" fontId="3" fillId="30" borderId="29" xfId="0" applyFont="1" applyFill="1" applyBorder="1" applyAlignment="1" applyProtection="1">
      <alignment horizontal="center"/>
      <protection hidden="1"/>
    </xf>
    <xf numFmtId="0" fontId="3" fillId="30" borderId="10" xfId="0" applyFont="1" applyFill="1" applyBorder="1" applyAlignment="1" applyProtection="1">
      <alignment horizontal="center"/>
      <protection hidden="1"/>
    </xf>
    <xf numFmtId="0" fontId="27" fillId="30" borderId="9" xfId="0" applyFont="1" applyFill="1" applyBorder="1" applyAlignment="1" applyProtection="1">
      <alignment horizontal="center" vertical="top" wrapText="1"/>
      <protection hidden="1"/>
    </xf>
    <xf numFmtId="1" fontId="12" fillId="24" borderId="9" xfId="0" applyNumberFormat="1" applyFont="1" applyFill="1" applyBorder="1" applyAlignment="1" applyProtection="1">
      <alignment horizontal="center"/>
      <protection hidden="1"/>
    </xf>
    <xf numFmtId="0" fontId="0" fillId="30" borderId="9" xfId="0" applyFill="1" applyBorder="1" applyProtection="1">
      <protection hidden="1"/>
    </xf>
    <xf numFmtId="0" fontId="0" fillId="30" borderId="29" xfId="0" applyFill="1" applyBorder="1" applyProtection="1">
      <protection hidden="1"/>
    </xf>
    <xf numFmtId="0" fontId="3" fillId="30" borderId="30" xfId="0" applyFont="1" applyFill="1" applyBorder="1" applyAlignment="1" applyProtection="1">
      <alignment horizontal="center"/>
      <protection hidden="1"/>
    </xf>
    <xf numFmtId="1" fontId="0" fillId="30" borderId="30" xfId="0" applyNumberFormat="1" applyFill="1" applyBorder="1" applyProtection="1">
      <protection hidden="1"/>
    </xf>
    <xf numFmtId="0" fontId="0" fillId="30" borderId="30" xfId="0" applyFill="1" applyBorder="1" applyProtection="1">
      <protection hidden="1"/>
    </xf>
    <xf numFmtId="0" fontId="0" fillId="30" borderId="39" xfId="0" applyFill="1" applyBorder="1" applyProtection="1">
      <protection hidden="1"/>
    </xf>
    <xf numFmtId="0" fontId="0" fillId="30" borderId="40" xfId="0" applyFill="1" applyBorder="1" applyProtection="1">
      <protection hidden="1"/>
    </xf>
    <xf numFmtId="0" fontId="47" fillId="0" borderId="0" xfId="0" applyFont="1"/>
    <xf numFmtId="164" fontId="0" fillId="0" borderId="0" xfId="6" applyFont="1" applyFill="1"/>
    <xf numFmtId="172" fontId="5" fillId="0" borderId="0" xfId="6" applyNumberFormat="1" applyFont="1" applyBorder="1" applyAlignment="1" applyProtection="1">
      <alignment horizontal="center"/>
      <protection locked="0"/>
    </xf>
    <xf numFmtId="164" fontId="12" fillId="0" borderId="1" xfId="6" applyFont="1" applyFill="1" applyBorder="1" applyAlignment="1">
      <alignment horizontal="center"/>
    </xf>
    <xf numFmtId="164" fontId="0" fillId="0" borderId="1" xfId="6" applyFont="1" applyFill="1" applyBorder="1"/>
    <xf numFmtId="164" fontId="1" fillId="0" borderId="1" xfId="6" applyFont="1" applyFill="1" applyBorder="1"/>
    <xf numFmtId="164" fontId="5" fillId="0" borderId="33" xfId="6" applyFont="1" applyFill="1" applyBorder="1" applyAlignment="1">
      <alignment horizontal="center"/>
    </xf>
    <xf numFmtId="164" fontId="5" fillId="0" borderId="63" xfId="6" applyFont="1" applyFill="1" applyBorder="1" applyAlignment="1">
      <alignment horizontal="center"/>
    </xf>
    <xf numFmtId="0" fontId="5" fillId="30" borderId="1" xfId="0" applyFont="1" applyFill="1" applyBorder="1" applyAlignment="1" applyProtection="1">
      <alignment horizontal="center"/>
      <protection hidden="1"/>
    </xf>
    <xf numFmtId="0" fontId="47" fillId="0" borderId="0" xfId="0" applyFont="1" applyAlignment="1">
      <alignment horizontal="center"/>
    </xf>
    <xf numFmtId="164" fontId="0" fillId="0" borderId="62" xfId="6" applyFont="1" applyFill="1" applyBorder="1"/>
    <xf numFmtId="164" fontId="12" fillId="0" borderId="62" xfId="6" applyFont="1" applyFill="1" applyBorder="1" applyAlignment="1">
      <alignment horizontal="center"/>
    </xf>
    <xf numFmtId="164" fontId="1" fillId="0" borderId="62" xfId="6" applyFont="1" applyFill="1" applyBorder="1"/>
    <xf numFmtId="164" fontId="5" fillId="0" borderId="62" xfId="6" applyFont="1" applyFill="1" applyBorder="1" applyAlignment="1">
      <alignment horizontal="center"/>
    </xf>
    <xf numFmtId="164" fontId="47" fillId="0" borderId="12" xfId="6" applyFont="1" applyBorder="1"/>
    <xf numFmtId="164" fontId="47" fillId="0" borderId="16" xfId="6" applyFont="1" applyBorder="1"/>
    <xf numFmtId="44" fontId="5" fillId="53" borderId="20" xfId="0" applyNumberFormat="1" applyFont="1" applyFill="1" applyBorder="1"/>
    <xf numFmtId="177" fontId="43" fillId="0" borderId="16" xfId="6" applyNumberFormat="1" applyFont="1" applyFill="1" applyBorder="1" applyAlignment="1" applyProtection="1">
      <alignment vertical="center" wrapText="1"/>
      <protection locked="0"/>
    </xf>
    <xf numFmtId="172" fontId="5" fillId="0" borderId="79" xfId="6" applyNumberFormat="1" applyFont="1" applyBorder="1" applyAlignment="1" applyProtection="1">
      <alignment horizontal="center"/>
      <protection locked="0" hidden="1"/>
    </xf>
    <xf numFmtId="0" fontId="3" fillId="33" borderId="1" xfId="0" applyFont="1" applyFill="1" applyBorder="1" applyAlignment="1" applyProtection="1">
      <alignment horizontal="center"/>
      <protection hidden="1"/>
    </xf>
    <xf numFmtId="0" fontId="44" fillId="0" borderId="93" xfId="0" applyFont="1" applyBorder="1" applyAlignment="1" applyProtection="1">
      <alignment horizontal="center"/>
      <protection hidden="1"/>
    </xf>
    <xf numFmtId="0" fontId="44" fillId="0" borderId="93" xfId="0" applyFont="1" applyBorder="1" applyAlignment="1" applyProtection="1">
      <alignment horizontal="center" wrapText="1"/>
      <protection hidden="1"/>
    </xf>
    <xf numFmtId="0" fontId="44" fillId="0" borderId="91" xfId="0" applyFont="1" applyBorder="1" applyAlignment="1" applyProtection="1">
      <alignment horizontal="center" wrapText="1"/>
      <protection hidden="1"/>
    </xf>
    <xf numFmtId="0" fontId="207" fillId="67" borderId="62" xfId="0" applyFont="1" applyFill="1" applyBorder="1" applyAlignment="1" applyProtection="1">
      <alignment horizontal="center" vertical="center" wrapText="1" readingOrder="1"/>
      <protection hidden="1"/>
    </xf>
    <xf numFmtId="0" fontId="207" fillId="60" borderId="62" xfId="0" applyFont="1" applyFill="1" applyBorder="1" applyAlignment="1" applyProtection="1">
      <alignment horizontal="center" vertical="center" wrapText="1" readingOrder="1"/>
      <protection hidden="1"/>
    </xf>
    <xf numFmtId="10" fontId="44" fillId="0" borderId="31" xfId="12" applyNumberFormat="1" applyFont="1" applyBorder="1" applyAlignment="1" applyProtection="1">
      <alignment horizontal="center"/>
      <protection hidden="1"/>
    </xf>
    <xf numFmtId="10" fontId="44" fillId="0" borderId="45" xfId="12" applyNumberFormat="1" applyFont="1" applyBorder="1" applyAlignment="1" applyProtection="1">
      <alignment horizontal="center"/>
      <protection hidden="1"/>
    </xf>
    <xf numFmtId="1" fontId="44" fillId="0" borderId="61" xfId="0" applyNumberFormat="1" applyFont="1" applyBorder="1" applyAlignment="1" applyProtection="1">
      <alignment horizontal="center"/>
      <protection hidden="1"/>
    </xf>
    <xf numFmtId="1" fontId="44" fillId="0" borderId="30" xfId="0" applyNumberFormat="1" applyFont="1" applyBorder="1" applyAlignment="1" applyProtection="1">
      <alignment horizontal="center"/>
      <protection hidden="1"/>
    </xf>
    <xf numFmtId="10" fontId="44" fillId="0" borderId="30" xfId="12" applyNumberFormat="1" applyFont="1" applyBorder="1" applyAlignment="1" applyProtection="1">
      <alignment horizontal="center"/>
      <protection hidden="1"/>
    </xf>
    <xf numFmtId="10" fontId="44" fillId="0" borderId="32" xfId="12" applyNumberFormat="1" applyFont="1" applyBorder="1" applyAlignment="1" applyProtection="1">
      <alignment horizontal="center"/>
      <protection hidden="1"/>
    </xf>
    <xf numFmtId="1" fontId="44" fillId="0" borderId="81" xfId="0" applyNumberFormat="1" applyFont="1" applyBorder="1" applyAlignment="1" applyProtection="1">
      <alignment horizontal="center"/>
      <protection hidden="1"/>
    </xf>
    <xf numFmtId="1" fontId="44" fillId="0" borderId="60" xfId="0" applyNumberFormat="1" applyFont="1" applyBorder="1" applyAlignment="1" applyProtection="1">
      <alignment horizontal="center"/>
      <protection hidden="1"/>
    </xf>
    <xf numFmtId="10" fontId="44" fillId="0" borderId="92" xfId="12" applyNumberFormat="1" applyFont="1" applyBorder="1" applyAlignment="1" applyProtection="1">
      <alignment horizontal="center"/>
      <protection hidden="1"/>
    </xf>
    <xf numFmtId="176" fontId="127" fillId="24" borderId="38" xfId="12" applyNumberFormat="1" applyFont="1" applyFill="1" applyBorder="1" applyAlignment="1" applyProtection="1">
      <alignment horizontal="center"/>
      <protection hidden="1"/>
    </xf>
    <xf numFmtId="0" fontId="48" fillId="0" borderId="38" xfId="0" applyFont="1" applyBorder="1" applyAlignment="1" applyProtection="1">
      <alignment horizontal="center"/>
      <protection hidden="1"/>
    </xf>
    <xf numFmtId="0" fontId="82" fillId="23" borderId="6" xfId="0" applyFont="1" applyFill="1" applyBorder="1" applyAlignment="1" applyProtection="1">
      <alignment horizontal="center" vertical="center" wrapText="1" readingOrder="1"/>
      <protection hidden="1"/>
    </xf>
    <xf numFmtId="0" fontId="156" fillId="31" borderId="18" xfId="0" applyFont="1" applyFill="1" applyBorder="1" applyAlignment="1" applyProtection="1">
      <alignment horizontal="center" vertical="center" wrapText="1" readingOrder="1"/>
      <protection hidden="1"/>
    </xf>
    <xf numFmtId="0" fontId="156" fillId="67" borderId="28" xfId="0" applyFont="1" applyFill="1" applyBorder="1" applyAlignment="1" applyProtection="1">
      <alignment horizontal="center" vertical="center" wrapText="1" readingOrder="1"/>
      <protection hidden="1"/>
    </xf>
    <xf numFmtId="0" fontId="156" fillId="28" borderId="65" xfId="0" applyFont="1" applyFill="1" applyBorder="1" applyAlignment="1" applyProtection="1">
      <alignment horizontal="center" vertical="center" wrapText="1" readingOrder="1"/>
      <protection hidden="1"/>
    </xf>
    <xf numFmtId="0" fontId="207" fillId="28" borderId="66" xfId="0" applyFont="1" applyFill="1" applyBorder="1" applyAlignment="1" applyProtection="1">
      <alignment horizontal="center" vertical="center" wrapText="1" readingOrder="1"/>
      <protection hidden="1"/>
    </xf>
    <xf numFmtId="0" fontId="207" fillId="24" borderId="68" xfId="0" applyFont="1" applyFill="1" applyBorder="1" applyAlignment="1" applyProtection="1">
      <alignment horizontal="center" vertical="center" wrapText="1" readingOrder="1"/>
      <protection hidden="1"/>
    </xf>
    <xf numFmtId="0" fontId="190" fillId="26" borderId="149" xfId="0" applyFont="1" applyFill="1" applyBorder="1" applyAlignment="1" applyProtection="1">
      <alignment horizontal="center" vertical="center" wrapText="1" readingOrder="1"/>
      <protection hidden="1"/>
    </xf>
    <xf numFmtId="0" fontId="190" fillId="26" borderId="36" xfId="0" applyFont="1" applyFill="1" applyBorder="1" applyAlignment="1" applyProtection="1">
      <alignment horizontal="center" vertical="center" wrapText="1" readingOrder="1"/>
      <protection hidden="1"/>
    </xf>
    <xf numFmtId="0" fontId="190" fillId="29" borderId="22" xfId="0" applyFont="1" applyFill="1" applyBorder="1" applyAlignment="1" applyProtection="1">
      <alignment horizontal="center" vertical="center" wrapText="1" readingOrder="1"/>
      <protection hidden="1"/>
    </xf>
    <xf numFmtId="0" fontId="190" fillId="29" borderId="119" xfId="0" applyFont="1" applyFill="1" applyBorder="1" applyAlignment="1" applyProtection="1">
      <alignment horizontal="center" vertical="center" wrapText="1" readingOrder="1"/>
      <protection hidden="1"/>
    </xf>
    <xf numFmtId="1" fontId="44" fillId="0" borderId="69" xfId="0" applyNumberFormat="1" applyFont="1" applyBorder="1" applyAlignment="1" applyProtection="1">
      <alignment horizontal="center"/>
      <protection hidden="1"/>
    </xf>
    <xf numFmtId="1" fontId="44" fillId="0" borderId="46" xfId="0" applyNumberFormat="1" applyFont="1" applyBorder="1" applyAlignment="1" applyProtection="1">
      <alignment horizontal="center"/>
      <protection hidden="1"/>
    </xf>
    <xf numFmtId="10" fontId="44" fillId="0" borderId="46" xfId="12" applyNumberFormat="1" applyFont="1" applyBorder="1" applyAlignment="1" applyProtection="1">
      <alignment horizontal="center"/>
      <protection hidden="1"/>
    </xf>
    <xf numFmtId="10" fontId="44" fillId="0" borderId="64" xfId="12" applyNumberFormat="1" applyFont="1" applyBorder="1" applyAlignment="1" applyProtection="1">
      <alignment horizontal="center"/>
      <protection hidden="1"/>
    </xf>
    <xf numFmtId="0" fontId="79" fillId="25" borderId="73" xfId="0" applyFont="1" applyFill="1" applyBorder="1" applyAlignment="1">
      <alignment horizontal="center"/>
    </xf>
    <xf numFmtId="1" fontId="44" fillId="0" borderId="89" xfId="0" applyNumberFormat="1" applyFont="1" applyBorder="1" applyAlignment="1" applyProtection="1">
      <alignment horizontal="center"/>
      <protection hidden="1"/>
    </xf>
    <xf numFmtId="10" fontId="44" fillId="0" borderId="91" xfId="12" applyNumberFormat="1" applyFont="1" applyBorder="1" applyAlignment="1" applyProtection="1">
      <alignment horizontal="center"/>
      <protection hidden="1"/>
    </xf>
    <xf numFmtId="10" fontId="44" fillId="0" borderId="0" xfId="12" applyNumberFormat="1" applyFont="1" applyBorder="1" applyAlignment="1" applyProtection="1">
      <alignment horizontal="center"/>
      <protection hidden="1"/>
    </xf>
    <xf numFmtId="1" fontId="44" fillId="0" borderId="79" xfId="0" applyNumberFormat="1" applyFont="1" applyBorder="1" applyAlignment="1" applyProtection="1">
      <alignment horizontal="center"/>
      <protection hidden="1"/>
    </xf>
    <xf numFmtId="1" fontId="44" fillId="0" borderId="71" xfId="0" applyNumberFormat="1" applyFont="1" applyBorder="1" applyAlignment="1" applyProtection="1">
      <alignment horizontal="center"/>
      <protection hidden="1"/>
    </xf>
    <xf numFmtId="0" fontId="276" fillId="29" borderId="153" xfId="0" applyFont="1" applyFill="1" applyBorder="1" applyAlignment="1" applyProtection="1">
      <alignment horizontal="center" vertical="center" wrapText="1"/>
      <protection hidden="1"/>
    </xf>
    <xf numFmtId="1" fontId="49" fillId="23" borderId="27" xfId="0" applyNumberFormat="1" applyFont="1" applyFill="1" applyBorder="1" applyAlignment="1" applyProtection="1">
      <alignment horizontal="center" vertical="center" wrapText="1"/>
      <protection hidden="1"/>
    </xf>
    <xf numFmtId="1" fontId="49" fillId="23" borderId="7" xfId="0" applyNumberFormat="1" applyFont="1" applyFill="1" applyBorder="1" applyAlignment="1" applyProtection="1">
      <alignment horizontal="center" vertical="center" wrapText="1"/>
      <protection hidden="1"/>
    </xf>
    <xf numFmtId="1" fontId="49" fillId="23" borderId="1" xfId="0" applyNumberFormat="1" applyFont="1" applyFill="1" applyBorder="1" applyAlignment="1" applyProtection="1">
      <alignment horizontal="center" vertical="center" wrapText="1"/>
      <protection hidden="1"/>
    </xf>
    <xf numFmtId="1" fontId="50" fillId="27" borderId="90" xfId="0" applyNumberFormat="1" applyFont="1" applyFill="1" applyBorder="1" applyAlignment="1" applyProtection="1">
      <alignment horizontal="center" vertical="center" wrapText="1"/>
      <protection hidden="1"/>
    </xf>
    <xf numFmtId="1" fontId="122" fillId="0" borderId="31" xfId="0" applyNumberFormat="1" applyFont="1" applyBorder="1" applyAlignment="1" applyProtection="1">
      <alignment horizontal="center" vertical="center" wrapText="1"/>
      <protection hidden="1"/>
    </xf>
    <xf numFmtId="1" fontId="122" fillId="0" borderId="45" xfId="0" applyNumberFormat="1" applyFont="1" applyBorder="1" applyAlignment="1" applyProtection="1">
      <alignment horizontal="center" vertical="center" wrapText="1"/>
      <protection hidden="1"/>
    </xf>
    <xf numFmtId="0" fontId="221" fillId="0" borderId="35" xfId="0" applyFont="1" applyBorder="1" applyAlignment="1" applyProtection="1">
      <alignment horizontal="center"/>
      <protection hidden="1"/>
    </xf>
    <xf numFmtId="0" fontId="221" fillId="0" borderId="37" xfId="0" applyFont="1" applyBorder="1" applyAlignment="1" applyProtection="1">
      <alignment horizontal="center"/>
      <protection hidden="1"/>
    </xf>
    <xf numFmtId="0" fontId="229" fillId="0" borderId="74" xfId="0" applyFont="1" applyBorder="1" applyAlignment="1" applyProtection="1">
      <alignment horizontal="center" vertical="top" wrapText="1"/>
      <protection hidden="1"/>
    </xf>
    <xf numFmtId="1" fontId="221" fillId="0" borderId="61" xfId="0" applyNumberFormat="1" applyFont="1" applyBorder="1" applyAlignment="1" applyProtection="1">
      <alignment horizontal="center"/>
      <protection hidden="1"/>
    </xf>
    <xf numFmtId="1" fontId="221" fillId="0" borderId="30" xfId="0" applyNumberFormat="1" applyFont="1" applyBorder="1" applyAlignment="1" applyProtection="1">
      <alignment horizontal="center"/>
      <protection hidden="1"/>
    </xf>
    <xf numFmtId="1" fontId="221" fillId="0" borderId="32" xfId="0" applyNumberFormat="1" applyFont="1" applyBorder="1" applyAlignment="1" applyProtection="1">
      <alignment horizontal="center"/>
      <protection hidden="1"/>
    </xf>
    <xf numFmtId="164" fontId="47" fillId="0" borderId="13" xfId="6" applyFont="1" applyBorder="1"/>
    <xf numFmtId="164" fontId="47" fillId="0" borderId="17" xfId="6" applyFont="1" applyBorder="1"/>
    <xf numFmtId="164" fontId="47" fillId="0" borderId="34" xfId="6" applyFont="1" applyBorder="1"/>
    <xf numFmtId="164" fontId="47" fillId="33" borderId="17" xfId="6" applyFont="1" applyFill="1" applyBorder="1"/>
    <xf numFmtId="164" fontId="47" fillId="30" borderId="17" xfId="0" applyNumberFormat="1" applyFont="1" applyFill="1" applyBorder="1"/>
    <xf numFmtId="0" fontId="3" fillId="33" borderId="35" xfId="0" applyFont="1" applyFill="1" applyBorder="1" applyAlignment="1" applyProtection="1">
      <alignment horizontal="center"/>
      <protection hidden="1"/>
    </xf>
    <xf numFmtId="1" fontId="0" fillId="33" borderId="29" xfId="0" applyNumberFormat="1" applyFill="1" applyBorder="1" applyProtection="1">
      <protection hidden="1"/>
    </xf>
    <xf numFmtId="1" fontId="0" fillId="33" borderId="39" xfId="0" applyNumberFormat="1" applyFill="1" applyBorder="1" applyProtection="1">
      <protection hidden="1"/>
    </xf>
    <xf numFmtId="1" fontId="0" fillId="33" borderId="40" xfId="0" applyNumberFormat="1" applyFill="1" applyBorder="1" applyProtection="1">
      <protection hidden="1"/>
    </xf>
    <xf numFmtId="1" fontId="3" fillId="0" borderId="33" xfId="0" applyNumberFormat="1" applyFont="1" applyBorder="1" applyAlignment="1">
      <alignment horizontal="center"/>
    </xf>
    <xf numFmtId="44" fontId="47" fillId="53" borderId="1" xfId="0" applyNumberFormat="1" applyFont="1" applyFill="1" applyBorder="1"/>
    <xf numFmtId="175" fontId="10" fillId="0" borderId="28" xfId="0" applyNumberFormat="1" applyFont="1" applyBorder="1" applyAlignment="1">
      <alignment horizontal="center"/>
    </xf>
    <xf numFmtId="44" fontId="10" fillId="53" borderId="1" xfId="0" applyNumberFormat="1" applyFont="1" applyFill="1" applyBorder="1"/>
    <xf numFmtId="0" fontId="5" fillId="30" borderId="33" xfId="0" applyFont="1" applyFill="1" applyBorder="1" applyAlignment="1" applyProtection="1">
      <alignment horizontal="center"/>
      <protection hidden="1"/>
    </xf>
    <xf numFmtId="0" fontId="5" fillId="0" borderId="6" xfId="0" applyFont="1" applyBorder="1" applyAlignment="1">
      <alignment horizontal="center"/>
    </xf>
    <xf numFmtId="10" fontId="44" fillId="0" borderId="63" xfId="12" applyNumberFormat="1" applyFont="1" applyBorder="1" applyAlignment="1" applyProtection="1">
      <alignment horizontal="center"/>
      <protection hidden="1"/>
    </xf>
    <xf numFmtId="10" fontId="44" fillId="0" borderId="79" xfId="12" applyNumberFormat="1" applyFont="1" applyBorder="1" applyAlignment="1" applyProtection="1">
      <alignment horizontal="center"/>
      <protection hidden="1"/>
    </xf>
    <xf numFmtId="10" fontId="44" fillId="0" borderId="70" xfId="12" applyNumberFormat="1" applyFont="1" applyBorder="1" applyAlignment="1" applyProtection="1">
      <alignment horizontal="center"/>
      <protection hidden="1"/>
    </xf>
    <xf numFmtId="0" fontId="0" fillId="0" borderId="8" xfId="0" applyBorder="1" applyProtection="1">
      <protection hidden="1"/>
    </xf>
    <xf numFmtId="0" fontId="317" fillId="30" borderId="1" xfId="0" applyFont="1" applyFill="1" applyBorder="1" applyAlignment="1">
      <alignment horizontal="center"/>
    </xf>
    <xf numFmtId="174" fontId="0" fillId="0" borderId="9" xfId="0" applyNumberFormat="1" applyBorder="1"/>
    <xf numFmtId="174" fontId="0" fillId="0" borderId="30" xfId="0" applyNumberFormat="1" applyBorder="1"/>
    <xf numFmtId="174" fontId="0" fillId="0" borderId="32" xfId="0" applyNumberFormat="1" applyBorder="1"/>
    <xf numFmtId="0" fontId="0" fillId="24" borderId="1" xfId="0" applyFill="1" applyBorder="1" applyProtection="1">
      <protection locked="0"/>
    </xf>
    <xf numFmtId="0" fontId="1" fillId="24" borderId="1" xfId="0" applyFont="1" applyFill="1" applyBorder="1" applyProtection="1">
      <protection locked="0"/>
    </xf>
    <xf numFmtId="0" fontId="113" fillId="66" borderId="0" xfId="0" applyFont="1" applyFill="1" applyAlignment="1" applyProtection="1">
      <alignment horizontal="center" vertical="center" textRotation="90"/>
      <protection hidden="1"/>
    </xf>
    <xf numFmtId="0" fontId="113" fillId="66" borderId="34" xfId="0" applyFont="1" applyFill="1" applyBorder="1" applyAlignment="1" applyProtection="1">
      <alignment horizontal="center" vertical="center" textRotation="90"/>
      <protection hidden="1"/>
    </xf>
    <xf numFmtId="0" fontId="272" fillId="30" borderId="70" xfId="0" applyFont="1" applyFill="1" applyBorder="1" applyAlignment="1" applyProtection="1">
      <alignment horizontal="center" vertical="center" wrapText="1" readingOrder="1"/>
      <protection hidden="1"/>
    </xf>
    <xf numFmtId="0" fontId="272" fillId="62" borderId="34" xfId="0" applyFont="1" applyFill="1" applyBorder="1" applyAlignment="1" applyProtection="1">
      <alignment horizontal="center" vertical="center" wrapText="1" readingOrder="1"/>
      <protection hidden="1"/>
    </xf>
    <xf numFmtId="0" fontId="156" fillId="0" borderId="81" xfId="0" applyFont="1" applyBorder="1" applyAlignment="1" applyProtection="1">
      <alignment horizontal="center" vertical="center" wrapText="1" readingOrder="1"/>
      <protection hidden="1"/>
    </xf>
    <xf numFmtId="0" fontId="272" fillId="61" borderId="34" xfId="0" applyFont="1" applyFill="1" applyBorder="1" applyAlignment="1" applyProtection="1">
      <alignment horizontal="center" vertical="center" wrapText="1" readingOrder="1"/>
      <protection hidden="1"/>
    </xf>
    <xf numFmtId="0" fontId="55" fillId="27" borderId="77" xfId="0" applyFont="1" applyFill="1" applyBorder="1" applyAlignment="1" applyProtection="1">
      <alignment horizontal="center" vertical="center" wrapText="1"/>
      <protection hidden="1"/>
    </xf>
    <xf numFmtId="0" fontId="79" fillId="23" borderId="0" xfId="0" applyFont="1" applyFill="1" applyAlignment="1" applyProtection="1">
      <alignment vertical="center" wrapText="1" readingOrder="1"/>
      <protection hidden="1"/>
    </xf>
    <xf numFmtId="0" fontId="156" fillId="57" borderId="0" xfId="0" applyFont="1" applyFill="1" applyAlignment="1" applyProtection="1">
      <alignment vertical="center" wrapText="1" readingOrder="1"/>
      <protection hidden="1"/>
    </xf>
    <xf numFmtId="0" fontId="55" fillId="27" borderId="65" xfId="0" applyFont="1" applyFill="1" applyBorder="1" applyAlignment="1" applyProtection="1">
      <alignment horizontal="center" vertical="center" wrapText="1"/>
      <protection hidden="1"/>
    </xf>
    <xf numFmtId="0" fontId="272" fillId="63" borderId="34" xfId="0" applyFont="1" applyFill="1" applyBorder="1" applyAlignment="1" applyProtection="1">
      <alignment horizontal="center" vertical="center" wrapText="1" readingOrder="1"/>
      <protection hidden="1"/>
    </xf>
    <xf numFmtId="0" fontId="226" fillId="61" borderId="85" xfId="0" applyFont="1" applyFill="1" applyBorder="1" applyAlignment="1" applyProtection="1">
      <alignment vertical="center" wrapText="1" readingOrder="1"/>
      <protection hidden="1"/>
    </xf>
    <xf numFmtId="0" fontId="226" fillId="61" borderId="81" xfId="0" applyFont="1" applyFill="1" applyBorder="1" applyAlignment="1" applyProtection="1">
      <alignment vertical="center" wrapText="1" readingOrder="1"/>
      <protection hidden="1"/>
    </xf>
    <xf numFmtId="0" fontId="229" fillId="0" borderId="0" xfId="0" applyFont="1" applyAlignment="1" applyProtection="1">
      <alignment vertical="top" wrapText="1"/>
      <protection hidden="1"/>
    </xf>
    <xf numFmtId="0" fontId="226" fillId="27" borderId="35" xfId="0" applyFont="1" applyFill="1" applyBorder="1" applyAlignment="1" applyProtection="1">
      <alignment vertical="center" wrapText="1" readingOrder="1"/>
      <protection hidden="1"/>
    </xf>
    <xf numFmtId="0" fontId="226" fillId="27" borderId="36" xfId="0" applyFont="1" applyFill="1" applyBorder="1" applyAlignment="1" applyProtection="1">
      <alignment vertical="center" wrapText="1" readingOrder="1"/>
      <protection hidden="1"/>
    </xf>
    <xf numFmtId="0" fontId="226" fillId="27" borderId="38" xfId="0" applyFont="1" applyFill="1" applyBorder="1" applyAlignment="1" applyProtection="1">
      <alignment vertical="center" wrapText="1" readingOrder="1"/>
      <protection hidden="1"/>
    </xf>
    <xf numFmtId="0" fontId="226" fillId="27" borderId="39" xfId="0" applyFont="1" applyFill="1" applyBorder="1" applyAlignment="1" applyProtection="1">
      <alignment vertical="center" wrapText="1" readingOrder="1"/>
      <protection hidden="1"/>
    </xf>
    <xf numFmtId="0" fontId="226" fillId="27" borderId="40" xfId="0" applyFont="1" applyFill="1" applyBorder="1" applyAlignment="1" applyProtection="1">
      <alignment vertical="center" wrapText="1" readingOrder="1"/>
      <protection hidden="1"/>
    </xf>
    <xf numFmtId="1" fontId="226" fillId="24" borderId="0" xfId="0" applyNumberFormat="1" applyFont="1" applyFill="1" applyAlignment="1" applyProtection="1">
      <alignment horizontal="center" vertical="center" wrapText="1" readingOrder="1"/>
      <protection hidden="1"/>
    </xf>
    <xf numFmtId="1" fontId="159" fillId="0" borderId="0" xfId="0" applyNumberFormat="1" applyFont="1" applyAlignment="1" applyProtection="1">
      <alignment horizontal="center" vertical="center"/>
      <protection hidden="1"/>
    </xf>
    <xf numFmtId="0" fontId="159" fillId="0" borderId="0" xfId="0" applyFont="1" applyAlignment="1">
      <alignment horizontal="center" vertical="center"/>
    </xf>
    <xf numFmtId="1" fontId="10" fillId="0" borderId="0" xfId="0" applyNumberFormat="1" applyFont="1" applyAlignment="1" applyProtection="1">
      <alignment horizontal="center" vertical="center" wrapText="1"/>
      <protection hidden="1"/>
    </xf>
    <xf numFmtId="0" fontId="226" fillId="27" borderId="34" xfId="0" applyFont="1" applyFill="1" applyBorder="1" applyAlignment="1" applyProtection="1">
      <alignment vertical="center" wrapText="1" readingOrder="1"/>
      <protection hidden="1"/>
    </xf>
    <xf numFmtId="0" fontId="226" fillId="27" borderId="29" xfId="0" applyFont="1" applyFill="1" applyBorder="1" applyAlignment="1" applyProtection="1">
      <alignment vertical="center" wrapText="1" readingOrder="1"/>
      <protection hidden="1"/>
    </xf>
    <xf numFmtId="0" fontId="226" fillId="61" borderId="0" xfId="0" applyFont="1" applyFill="1" applyAlignment="1" applyProtection="1">
      <alignment vertical="center" wrapText="1" readingOrder="1"/>
      <protection hidden="1"/>
    </xf>
    <xf numFmtId="0" fontId="243" fillId="67" borderId="33" xfId="0" applyFont="1" applyFill="1" applyBorder="1" applyAlignment="1" applyProtection="1">
      <alignment horizontal="center" vertical="center" wrapText="1" readingOrder="1"/>
      <protection hidden="1"/>
    </xf>
    <xf numFmtId="0" fontId="243" fillId="60" borderId="7" xfId="0" applyFont="1" applyFill="1" applyBorder="1" applyAlignment="1" applyProtection="1">
      <alignment horizontal="center" vertical="center" wrapText="1" readingOrder="1"/>
      <protection hidden="1"/>
    </xf>
    <xf numFmtId="0" fontId="243" fillId="60" borderId="59" xfId="0" applyFont="1" applyFill="1" applyBorder="1" applyAlignment="1" applyProtection="1">
      <alignment horizontal="center" vertical="center" wrapText="1" readingOrder="1"/>
      <protection hidden="1"/>
    </xf>
    <xf numFmtId="0" fontId="243" fillId="60" borderId="45" xfId="0" applyFont="1" applyFill="1" applyBorder="1" applyAlignment="1" applyProtection="1">
      <alignment horizontal="center" vertical="center" wrapText="1" readingOrder="1"/>
      <protection hidden="1"/>
    </xf>
    <xf numFmtId="0" fontId="243" fillId="60" borderId="10" xfId="0" applyFont="1" applyFill="1" applyBorder="1" applyAlignment="1" applyProtection="1">
      <alignment horizontal="center" vertical="center" wrapText="1" readingOrder="1"/>
      <protection hidden="1"/>
    </xf>
    <xf numFmtId="0" fontId="243" fillId="60" borderId="9" xfId="0" applyFont="1" applyFill="1" applyBorder="1" applyAlignment="1" applyProtection="1">
      <alignment horizontal="center" vertical="center" wrapText="1" readingOrder="1"/>
      <protection hidden="1"/>
    </xf>
    <xf numFmtId="0" fontId="243" fillId="24" borderId="10" xfId="0" applyFont="1" applyFill="1" applyBorder="1" applyAlignment="1" applyProtection="1">
      <alignment horizontal="center" vertical="center" wrapText="1" readingOrder="1"/>
      <protection hidden="1"/>
    </xf>
    <xf numFmtId="0" fontId="243" fillId="24" borderId="9" xfId="0" applyFont="1" applyFill="1" applyBorder="1" applyAlignment="1" applyProtection="1">
      <alignment horizontal="center" vertical="center" wrapText="1" readingOrder="1"/>
      <protection hidden="1"/>
    </xf>
    <xf numFmtId="0" fontId="243" fillId="24" borderId="61" xfId="0" applyFont="1" applyFill="1" applyBorder="1" applyAlignment="1" applyProtection="1">
      <alignment horizontal="center" vertical="center" wrapText="1" readingOrder="1"/>
      <protection hidden="1"/>
    </xf>
    <xf numFmtId="0" fontId="243" fillId="24" borderId="32" xfId="0" applyFont="1" applyFill="1" applyBorder="1" applyAlignment="1" applyProtection="1">
      <alignment horizontal="center" vertical="center" wrapText="1" readingOrder="1"/>
      <protection hidden="1"/>
    </xf>
    <xf numFmtId="0" fontId="49" fillId="0" borderId="0" xfId="0" applyFont="1" applyProtection="1">
      <protection hidden="1"/>
    </xf>
    <xf numFmtId="1" fontId="226" fillId="27" borderId="33" xfId="0" applyNumberFormat="1" applyFont="1" applyFill="1" applyBorder="1" applyAlignment="1" applyProtection="1">
      <alignment horizontal="center" vertical="center" wrapText="1" readingOrder="1"/>
      <protection hidden="1"/>
    </xf>
    <xf numFmtId="0" fontId="244" fillId="58" borderId="9" xfId="0" applyFont="1" applyFill="1" applyBorder="1" applyAlignment="1" applyProtection="1">
      <alignment horizontal="center" vertical="center" wrapText="1" readingOrder="1"/>
      <protection hidden="1"/>
    </xf>
    <xf numFmtId="0" fontId="245" fillId="65" borderId="9" xfId="0" applyFont="1" applyFill="1" applyBorder="1" applyAlignment="1" applyProtection="1">
      <alignment horizontal="center" vertical="center" wrapText="1" readingOrder="1"/>
      <protection hidden="1"/>
    </xf>
    <xf numFmtId="0" fontId="244" fillId="58" borderId="16" xfId="0" applyFont="1" applyFill="1" applyBorder="1" applyAlignment="1" applyProtection="1">
      <alignment horizontal="center" vertical="center" wrapText="1" readingOrder="1"/>
      <protection hidden="1"/>
    </xf>
    <xf numFmtId="0" fontId="245" fillId="65" borderId="16" xfId="0" applyFont="1" applyFill="1" applyBorder="1" applyAlignment="1" applyProtection="1">
      <alignment horizontal="center" vertical="center" wrapText="1" readingOrder="1"/>
      <protection hidden="1"/>
    </xf>
    <xf numFmtId="0" fontId="244" fillId="58" borderId="156" xfId="0" applyFont="1" applyFill="1" applyBorder="1" applyAlignment="1" applyProtection="1">
      <alignment horizontal="center" vertical="center" wrapText="1" readingOrder="1"/>
      <protection hidden="1"/>
    </xf>
    <xf numFmtId="1" fontId="226" fillId="27" borderId="157" xfId="0" applyNumberFormat="1" applyFont="1" applyFill="1" applyBorder="1" applyAlignment="1" applyProtection="1">
      <alignment horizontal="center" vertical="center" wrapText="1" readingOrder="1"/>
      <protection hidden="1"/>
    </xf>
    <xf numFmtId="0" fontId="245" fillId="65" borderId="158" xfId="0" applyFont="1" applyFill="1" applyBorder="1" applyAlignment="1" applyProtection="1">
      <alignment horizontal="center" vertical="center" wrapText="1" readingOrder="1"/>
      <protection hidden="1"/>
    </xf>
    <xf numFmtId="1" fontId="226" fillId="27" borderId="159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5" borderId="60" xfId="0" applyNumberFormat="1" applyFont="1" applyFill="1" applyBorder="1" applyAlignment="1" applyProtection="1">
      <alignment horizontal="center" vertical="center" wrapText="1" readingOrder="1"/>
      <protection hidden="1"/>
    </xf>
    <xf numFmtId="0" fontId="244" fillId="58" borderId="160" xfId="0" applyFont="1" applyFill="1" applyBorder="1" applyAlignment="1" applyProtection="1">
      <alignment horizontal="center" vertical="center" wrapText="1" readingOrder="1"/>
      <protection hidden="1"/>
    </xf>
    <xf numFmtId="1" fontId="226" fillId="27" borderId="161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7" borderId="162" xfId="0" applyNumberFormat="1" applyFont="1" applyFill="1" applyBorder="1" applyAlignment="1" applyProtection="1">
      <alignment horizontal="center" vertical="center" wrapText="1" readingOrder="1"/>
      <protection hidden="1"/>
    </xf>
    <xf numFmtId="0" fontId="245" fillId="65" borderId="163" xfId="0" applyFont="1" applyFill="1" applyBorder="1" applyAlignment="1" applyProtection="1">
      <alignment horizontal="center" vertical="center" wrapText="1" readingOrder="1"/>
      <protection hidden="1"/>
    </xf>
    <xf numFmtId="1" fontId="226" fillId="27" borderId="164" xfId="0" applyNumberFormat="1" applyFont="1" applyFill="1" applyBorder="1" applyAlignment="1" applyProtection="1">
      <alignment horizontal="center" vertical="center" wrapText="1" readingOrder="1"/>
      <protection hidden="1"/>
    </xf>
    <xf numFmtId="0" fontId="243" fillId="24" borderId="28" xfId="0" applyFont="1" applyFill="1" applyBorder="1" applyAlignment="1" applyProtection="1">
      <alignment horizontal="center" vertical="center" wrapText="1" readingOrder="1"/>
      <protection hidden="1"/>
    </xf>
    <xf numFmtId="0" fontId="229" fillId="27" borderId="33" xfId="0" applyFont="1" applyFill="1" applyBorder="1" applyAlignment="1" applyProtection="1">
      <alignment horizontal="center" vertical="top" wrapText="1"/>
      <protection hidden="1"/>
    </xf>
    <xf numFmtId="0" fontId="243" fillId="24" borderId="33" xfId="0" applyFont="1" applyFill="1" applyBorder="1" applyAlignment="1" applyProtection="1">
      <alignment horizontal="center" vertical="center" wrapText="1" readingOrder="1"/>
      <protection hidden="1"/>
    </xf>
    <xf numFmtId="0" fontId="171" fillId="40" borderId="0" xfId="0" applyFont="1" applyFill="1" applyAlignment="1" applyProtection="1">
      <alignment horizontal="center" vertical="center"/>
      <protection hidden="1"/>
    </xf>
    <xf numFmtId="1" fontId="44" fillId="27" borderId="5" xfId="0" applyNumberFormat="1" applyFont="1" applyFill="1" applyBorder="1" applyAlignment="1" applyProtection="1">
      <alignment horizontal="center" vertical="center" wrapText="1"/>
      <protection hidden="1"/>
    </xf>
    <xf numFmtId="1" fontId="0" fillId="0" borderId="5" xfId="0" applyNumberFormat="1" applyBorder="1" applyAlignment="1" applyProtection="1">
      <alignment horizontal="center" vertical="center" wrapText="1"/>
      <protection hidden="1"/>
    </xf>
    <xf numFmtId="0" fontId="55" fillId="33" borderId="1" xfId="0" applyFont="1" applyFill="1" applyBorder="1" applyAlignment="1" applyProtection="1">
      <alignment horizontal="center" vertical="center" wrapText="1"/>
      <protection hidden="1"/>
    </xf>
    <xf numFmtId="0" fontId="157" fillId="24" borderId="62" xfId="0" applyFont="1" applyFill="1" applyBorder="1" applyAlignment="1" applyProtection="1">
      <alignment horizontal="center" vertical="center" wrapText="1" readingOrder="1"/>
      <protection hidden="1"/>
    </xf>
    <xf numFmtId="0" fontId="55" fillId="30" borderId="1" xfId="0" applyFont="1" applyFill="1" applyBorder="1" applyAlignment="1" applyProtection="1">
      <alignment horizontal="center" vertical="center" wrapText="1"/>
      <protection hidden="1"/>
    </xf>
    <xf numFmtId="1" fontId="231" fillId="27" borderId="69" xfId="0" applyNumberFormat="1" applyFont="1" applyFill="1" applyBorder="1" applyAlignment="1" applyProtection="1">
      <alignment horizontal="center" vertical="center" wrapText="1"/>
      <protection hidden="1"/>
    </xf>
    <xf numFmtId="0" fontId="190" fillId="58" borderId="62" xfId="0" applyFont="1" applyFill="1" applyBorder="1" applyAlignment="1" applyProtection="1">
      <alignment horizontal="center" vertical="center" wrapText="1" readingOrder="1"/>
      <protection hidden="1"/>
    </xf>
    <xf numFmtId="0" fontId="190" fillId="58" borderId="18" xfId="0" applyFont="1" applyFill="1" applyBorder="1" applyAlignment="1" applyProtection="1">
      <alignment horizontal="center" vertical="center" wrapText="1" readingOrder="1"/>
      <protection hidden="1"/>
    </xf>
    <xf numFmtId="0" fontId="157" fillId="24" borderId="18" xfId="0" applyFont="1" applyFill="1" applyBorder="1" applyAlignment="1" applyProtection="1">
      <alignment horizontal="center" vertical="center" wrapText="1" readingOrder="1"/>
      <protection hidden="1"/>
    </xf>
    <xf numFmtId="0" fontId="157" fillId="24" borderId="3" xfId="0" applyFont="1" applyFill="1" applyBorder="1" applyAlignment="1" applyProtection="1">
      <alignment horizontal="center" vertical="center" wrapText="1" readingOrder="1"/>
      <protection hidden="1"/>
    </xf>
    <xf numFmtId="0" fontId="190" fillId="58" borderId="66" xfId="0" applyFont="1" applyFill="1" applyBorder="1" applyAlignment="1" applyProtection="1">
      <alignment horizontal="center" vertical="center" wrapText="1" readingOrder="1"/>
      <protection hidden="1"/>
    </xf>
    <xf numFmtId="0" fontId="157" fillId="24" borderId="22" xfId="0" applyFont="1" applyFill="1" applyBorder="1" applyAlignment="1" applyProtection="1">
      <alignment horizontal="center" vertical="center" wrapText="1" readingOrder="1"/>
      <protection hidden="1"/>
    </xf>
    <xf numFmtId="0" fontId="231" fillId="27" borderId="41" xfId="0" applyFont="1" applyFill="1" applyBorder="1" applyAlignment="1" applyProtection="1">
      <alignment horizontal="center" vertical="center" wrapText="1"/>
      <protection hidden="1"/>
    </xf>
    <xf numFmtId="0" fontId="43" fillId="0" borderId="1" xfId="0" applyFont="1" applyBorder="1" applyAlignment="1" applyProtection="1">
      <alignment horizontal="right" vertical="center" wrapText="1"/>
      <protection hidden="1"/>
    </xf>
    <xf numFmtId="0" fontId="43" fillId="56" borderId="1" xfId="0" applyFont="1" applyFill="1" applyBorder="1" applyAlignment="1" applyProtection="1">
      <alignment horizontal="right" vertical="center" wrapText="1"/>
      <protection hidden="1"/>
    </xf>
    <xf numFmtId="0" fontId="55" fillId="51" borderId="1" xfId="0" applyFont="1" applyFill="1" applyBorder="1" applyAlignment="1" applyProtection="1">
      <alignment horizontal="center" vertical="center" wrapText="1"/>
      <protection hidden="1"/>
    </xf>
    <xf numFmtId="0" fontId="55" fillId="38" borderId="1" xfId="0" applyFont="1" applyFill="1" applyBorder="1" applyAlignment="1" applyProtection="1">
      <alignment horizontal="center" vertical="center" wrapText="1"/>
      <protection hidden="1"/>
    </xf>
    <xf numFmtId="0" fontId="43" fillId="30" borderId="1" xfId="0" applyFont="1" applyFill="1" applyBorder="1" applyAlignment="1" applyProtection="1">
      <alignment horizontal="right" vertical="center" wrapText="1"/>
      <protection hidden="1"/>
    </xf>
    <xf numFmtId="0" fontId="151" fillId="28" borderId="1" xfId="0" applyFont="1" applyFill="1" applyBorder="1" applyAlignment="1" applyProtection="1">
      <alignment horizontal="center" vertical="center" wrapText="1"/>
      <protection hidden="1"/>
    </xf>
    <xf numFmtId="0" fontId="55" fillId="28" borderId="1" xfId="0" applyFont="1" applyFill="1" applyBorder="1" applyAlignment="1" applyProtection="1">
      <alignment horizontal="center" vertical="center" wrapText="1"/>
      <protection hidden="1"/>
    </xf>
    <xf numFmtId="0" fontId="55" fillId="73" borderId="1" xfId="0" applyFont="1" applyFill="1" applyBorder="1" applyAlignment="1" applyProtection="1">
      <alignment horizontal="center" vertical="center" wrapText="1"/>
      <protection hidden="1"/>
    </xf>
    <xf numFmtId="0" fontId="55" fillId="39" borderId="1" xfId="0" applyFont="1" applyFill="1" applyBorder="1" applyAlignment="1" applyProtection="1">
      <alignment horizontal="center" vertical="center" wrapText="1"/>
      <protection hidden="1"/>
    </xf>
    <xf numFmtId="0" fontId="0" fillId="30" borderId="0" xfId="0" applyFill="1"/>
    <xf numFmtId="0" fontId="47" fillId="24" borderId="0" xfId="0" applyFont="1" applyFill="1"/>
    <xf numFmtId="1" fontId="226" fillId="27" borderId="3" xfId="0" applyNumberFormat="1" applyFont="1" applyFill="1" applyBorder="1" applyAlignment="1" applyProtection="1">
      <alignment horizontal="center" vertical="center" wrapText="1" readingOrder="1"/>
      <protection hidden="1"/>
    </xf>
    <xf numFmtId="1" fontId="226" fillId="27" borderId="3" xfId="0" applyNumberFormat="1" applyFont="1" applyFill="1" applyBorder="1" applyAlignment="1" applyProtection="1">
      <alignment vertical="center" wrapText="1" readingOrder="1"/>
      <protection hidden="1"/>
    </xf>
    <xf numFmtId="1" fontId="143" fillId="0" borderId="0" xfId="0" applyNumberFormat="1" applyFont="1" applyProtection="1">
      <protection hidden="1"/>
    </xf>
    <xf numFmtId="1" fontId="226" fillId="27" borderId="0" xfId="0" applyNumberFormat="1" applyFont="1" applyFill="1" applyAlignment="1" applyProtection="1">
      <alignment vertical="center" wrapText="1" readingOrder="1"/>
      <protection hidden="1"/>
    </xf>
    <xf numFmtId="0" fontId="151" fillId="0" borderId="0" xfId="0" applyFont="1" applyAlignment="1">
      <alignment horizontal="center"/>
    </xf>
    <xf numFmtId="1" fontId="122" fillId="0" borderId="0" xfId="0" applyNumberFormat="1" applyFont="1"/>
    <xf numFmtId="1" fontId="171" fillId="0" borderId="0" xfId="0" applyNumberFormat="1" applyFont="1"/>
    <xf numFmtId="0" fontId="171" fillId="0" borderId="0" xfId="0" applyFont="1"/>
    <xf numFmtId="1" fontId="151" fillId="0" borderId="1" xfId="0" applyNumberFormat="1" applyFont="1" applyBorder="1" applyProtection="1">
      <protection hidden="1"/>
    </xf>
    <xf numFmtId="2" fontId="151" fillId="0" borderId="1" xfId="0" applyNumberFormat="1" applyFont="1" applyBorder="1" applyProtection="1">
      <protection hidden="1"/>
    </xf>
    <xf numFmtId="0" fontId="171" fillId="0" borderId="28" xfId="0" applyFont="1" applyBorder="1" applyAlignment="1" applyProtection="1">
      <alignment horizontal="center"/>
      <protection hidden="1"/>
    </xf>
    <xf numFmtId="0" fontId="12" fillId="24" borderId="10" xfId="0" applyFont="1" applyFill="1" applyBorder="1" applyAlignment="1" applyProtection="1">
      <alignment horizontal="center"/>
      <protection hidden="1"/>
    </xf>
    <xf numFmtId="1" fontId="17" fillId="24" borderId="85" xfId="0" applyNumberFormat="1" applyFont="1" applyFill="1" applyBorder="1" applyAlignment="1" applyProtection="1">
      <alignment horizontal="center"/>
      <protection hidden="1"/>
    </xf>
    <xf numFmtId="1" fontId="12" fillId="24" borderId="10" xfId="0" applyNumberFormat="1" applyFont="1" applyFill="1" applyBorder="1" applyAlignment="1" applyProtection="1">
      <alignment horizontal="center"/>
      <protection hidden="1"/>
    </xf>
    <xf numFmtId="1" fontId="17" fillId="24" borderId="10" xfId="0" applyNumberFormat="1" applyFont="1" applyFill="1" applyBorder="1" applyAlignment="1" applyProtection="1">
      <alignment horizontal="center"/>
      <protection hidden="1"/>
    </xf>
    <xf numFmtId="1" fontId="12" fillId="24" borderId="61" xfId="0" applyNumberFormat="1" applyFont="1" applyFill="1" applyBorder="1" applyAlignment="1" applyProtection="1">
      <alignment horizontal="center"/>
      <protection hidden="1"/>
    </xf>
    <xf numFmtId="0" fontId="5" fillId="33" borderId="1" xfId="0" applyFont="1" applyFill="1" applyBorder="1" applyAlignment="1" applyProtection="1">
      <alignment horizontal="center"/>
      <protection hidden="1"/>
    </xf>
    <xf numFmtId="0" fontId="103" fillId="25" borderId="1" xfId="0" applyFont="1" applyFill="1" applyBorder="1"/>
    <xf numFmtId="0" fontId="103" fillId="0" borderId="28" xfId="0" applyFont="1" applyBorder="1"/>
    <xf numFmtId="0" fontId="308" fillId="0" borderId="7" xfId="0" applyFont="1" applyBorder="1" applyAlignment="1" applyProtection="1">
      <alignment horizontal="center" vertical="center" wrapText="1"/>
      <protection hidden="1"/>
    </xf>
    <xf numFmtId="0" fontId="103" fillId="25" borderId="31" xfId="0" applyFont="1" applyFill="1" applyBorder="1"/>
    <xf numFmtId="0" fontId="103" fillId="25" borderId="45" xfId="0" applyFont="1" applyFill="1" applyBorder="1" applyAlignment="1">
      <alignment horizontal="center"/>
    </xf>
    <xf numFmtId="0" fontId="103" fillId="25" borderId="9" xfId="0" applyFont="1" applyFill="1" applyBorder="1" applyAlignment="1">
      <alignment horizontal="center"/>
    </xf>
    <xf numFmtId="0" fontId="103" fillId="25" borderId="30" xfId="0" applyFont="1" applyFill="1" applyBorder="1"/>
    <xf numFmtId="0" fontId="103" fillId="25" borderId="32" xfId="0" applyFont="1" applyFill="1" applyBorder="1" applyAlignment="1">
      <alignment horizontal="center"/>
    </xf>
    <xf numFmtId="0" fontId="246" fillId="27" borderId="33" xfId="0" applyFont="1" applyFill="1" applyBorder="1" applyAlignment="1" applyProtection="1">
      <alignment horizontal="center" vertical="top" wrapText="1"/>
      <protection hidden="1"/>
    </xf>
    <xf numFmtId="0" fontId="103" fillId="0" borderId="65" xfId="0" applyFont="1" applyBorder="1"/>
    <xf numFmtId="1" fontId="211" fillId="0" borderId="31" xfId="0" applyNumberFormat="1" applyFont="1" applyBorder="1" applyAlignment="1" applyProtection="1">
      <alignment horizontal="center" vertical="center" wrapText="1" readingOrder="1"/>
      <protection hidden="1"/>
    </xf>
    <xf numFmtId="1" fontId="211" fillId="0" borderId="45" xfId="0" applyNumberFormat="1" applyFont="1" applyBorder="1" applyAlignment="1" applyProtection="1">
      <alignment horizontal="center" vertical="center" wrapText="1" readingOrder="1"/>
      <protection hidden="1"/>
    </xf>
    <xf numFmtId="1" fontId="211" fillId="0" borderId="9" xfId="0" applyNumberFormat="1" applyFont="1" applyBorder="1" applyAlignment="1" applyProtection="1">
      <alignment horizontal="center" vertical="center" wrapText="1" readingOrder="1"/>
      <protection hidden="1"/>
    </xf>
    <xf numFmtId="0" fontId="103" fillId="0" borderId="67" xfId="0" applyFont="1" applyBorder="1"/>
    <xf numFmtId="1" fontId="211" fillId="0" borderId="30" xfId="0" applyNumberFormat="1" applyFont="1" applyBorder="1" applyAlignment="1" applyProtection="1">
      <alignment horizontal="center" vertical="center" wrapText="1" readingOrder="1"/>
      <protection hidden="1"/>
    </xf>
    <xf numFmtId="1" fontId="211" fillId="0" borderId="32" xfId="0" applyNumberFormat="1" applyFont="1" applyBorder="1" applyAlignment="1" applyProtection="1">
      <alignment horizontal="center" vertical="center" wrapText="1" readingOrder="1"/>
      <protection hidden="1"/>
    </xf>
    <xf numFmtId="0" fontId="226" fillId="0" borderId="7" xfId="0" applyFont="1" applyBorder="1" applyAlignment="1" applyProtection="1">
      <alignment horizontal="center" vertical="center" wrapText="1" readingOrder="1"/>
      <protection hidden="1"/>
    </xf>
    <xf numFmtId="167" fontId="151" fillId="9" borderId="0" xfId="0" applyNumberFormat="1" applyFont="1" applyFill="1" applyAlignment="1" applyProtection="1">
      <alignment horizontal="center"/>
      <protection hidden="1"/>
    </xf>
    <xf numFmtId="169" fontId="151" fillId="9" borderId="0" xfId="0" applyNumberFormat="1" applyFont="1" applyFill="1" applyAlignment="1" applyProtection="1">
      <alignment horizontal="center"/>
      <protection hidden="1"/>
    </xf>
    <xf numFmtId="1" fontId="122" fillId="27" borderId="36" xfId="0" applyNumberFormat="1" applyFont="1" applyFill="1" applyBorder="1" applyAlignment="1" applyProtection="1">
      <alignment horizontal="center"/>
      <protection hidden="1"/>
    </xf>
    <xf numFmtId="0" fontId="82" fillId="23" borderId="60" xfId="0" applyFont="1" applyFill="1" applyBorder="1" applyAlignment="1" applyProtection="1">
      <alignment horizontal="center" vertical="center" wrapText="1" readingOrder="1"/>
      <protection hidden="1"/>
    </xf>
    <xf numFmtId="0" fontId="156" fillId="31" borderId="29" xfId="0" applyFont="1" applyFill="1" applyBorder="1" applyAlignment="1" applyProtection="1">
      <alignment horizontal="center" vertical="center" wrapText="1" readingOrder="1"/>
      <protection hidden="1"/>
    </xf>
    <xf numFmtId="0" fontId="243" fillId="60" borderId="33" xfId="0" applyFont="1" applyFill="1" applyBorder="1" applyAlignment="1" applyProtection="1">
      <alignment horizontal="center" vertical="center" wrapText="1" readingOrder="1"/>
      <protection hidden="1"/>
    </xf>
    <xf numFmtId="0" fontId="156" fillId="38" borderId="80" xfId="0" applyFont="1" applyFill="1" applyBorder="1" applyAlignment="1" applyProtection="1">
      <alignment vertical="center" wrapText="1" readingOrder="1"/>
      <protection hidden="1"/>
    </xf>
    <xf numFmtId="1" fontId="226" fillId="27" borderId="11" xfId="0" applyNumberFormat="1" applyFont="1" applyFill="1" applyBorder="1" applyAlignment="1" applyProtection="1">
      <alignment horizontal="center" vertical="center" wrapText="1" readingOrder="1"/>
      <protection hidden="1"/>
    </xf>
    <xf numFmtId="0" fontId="82" fillId="23" borderId="0" xfId="0" applyFont="1" applyFill="1" applyAlignment="1" applyProtection="1">
      <alignment horizontal="center" vertical="center" wrapText="1" readingOrder="1"/>
      <protection hidden="1"/>
    </xf>
    <xf numFmtId="1" fontId="226" fillId="27" borderId="4" xfId="0" applyNumberFormat="1" applyFont="1" applyFill="1" applyBorder="1" applyAlignment="1" applyProtection="1">
      <alignment horizontal="center" vertical="center" wrapText="1" readingOrder="1"/>
      <protection hidden="1"/>
    </xf>
    <xf numFmtId="0" fontId="226" fillId="56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1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2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3" borderId="81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8" xfId="0" applyFont="1" applyFill="1" applyBorder="1" applyAlignment="1" applyProtection="1">
      <alignment horizontal="center" vertical="center" wrapText="1" readingOrder="1"/>
      <protection hidden="1"/>
    </xf>
    <xf numFmtId="0" fontId="271" fillId="60" borderId="1" xfId="0" applyFont="1" applyFill="1" applyBorder="1" applyAlignment="1" applyProtection="1">
      <alignment horizontal="center" vertical="center" wrapText="1" readingOrder="1"/>
      <protection hidden="1"/>
    </xf>
    <xf numFmtId="0" fontId="271" fillId="24" borderId="1" xfId="0" applyFont="1" applyFill="1" applyBorder="1" applyAlignment="1" applyProtection="1">
      <alignment horizontal="center" vertical="center" wrapText="1" readingOrder="1"/>
      <protection hidden="1"/>
    </xf>
    <xf numFmtId="0" fontId="243" fillId="28" borderId="28" xfId="0" applyFont="1" applyFill="1" applyBorder="1" applyAlignment="1" applyProtection="1">
      <alignment horizontal="center" vertical="center" wrapText="1" readingOrder="1"/>
      <protection hidden="1"/>
    </xf>
    <xf numFmtId="0" fontId="243" fillId="67" borderId="28" xfId="0" applyFont="1" applyFill="1" applyBorder="1" applyAlignment="1" applyProtection="1">
      <alignment horizontal="center" vertical="center" wrapText="1" readingOrder="1"/>
      <protection hidden="1"/>
    </xf>
    <xf numFmtId="0" fontId="81" fillId="23" borderId="81" xfId="0" applyFont="1" applyFill="1" applyBorder="1" applyAlignment="1" applyProtection="1">
      <alignment horizontal="center" vertical="center" wrapText="1" readingOrder="1"/>
      <protection hidden="1"/>
    </xf>
    <xf numFmtId="0" fontId="246" fillId="0" borderId="4" xfId="0" applyFont="1" applyBorder="1" applyAlignment="1" applyProtection="1">
      <alignment horizontal="center" vertical="top" wrapText="1"/>
      <protection hidden="1"/>
    </xf>
    <xf numFmtId="0" fontId="171" fillId="0" borderId="0" xfId="0" applyFont="1" applyProtection="1">
      <protection hidden="1"/>
    </xf>
    <xf numFmtId="0" fontId="82" fillId="23" borderId="7" xfId="0" applyFont="1" applyFill="1" applyBorder="1" applyAlignment="1" applyProtection="1">
      <alignment vertical="center" wrapText="1" readingOrder="1"/>
      <protection hidden="1"/>
    </xf>
    <xf numFmtId="0" fontId="243" fillId="60" borderId="87" xfId="0" applyFont="1" applyFill="1" applyBorder="1" applyAlignment="1" applyProtection="1">
      <alignment horizontal="center" vertical="center" wrapText="1" readingOrder="1"/>
      <protection hidden="1"/>
    </xf>
    <xf numFmtId="0" fontId="82" fillId="23" borderId="93" xfId="0" applyFont="1" applyFill="1" applyBorder="1" applyAlignment="1" applyProtection="1">
      <alignment vertical="center" wrapText="1" readingOrder="1"/>
      <protection hidden="1"/>
    </xf>
    <xf numFmtId="0" fontId="243" fillId="24" borderId="74" xfId="0" applyFont="1" applyFill="1" applyBorder="1" applyAlignment="1" applyProtection="1">
      <alignment horizontal="center" vertical="center" wrapText="1" readingOrder="1"/>
      <protection hidden="1"/>
    </xf>
    <xf numFmtId="0" fontId="82" fillId="23" borderId="33" xfId="0" applyFont="1" applyFill="1" applyBorder="1" applyAlignment="1" applyProtection="1">
      <alignment vertical="center" wrapText="1" readingOrder="1"/>
      <protection hidden="1"/>
    </xf>
    <xf numFmtId="0" fontId="243" fillId="60" borderId="28" xfId="0" applyFont="1" applyFill="1" applyBorder="1" applyAlignment="1" applyProtection="1">
      <alignment horizontal="center" vertical="center" wrapText="1" readingOrder="1"/>
      <protection hidden="1"/>
    </xf>
    <xf numFmtId="0" fontId="243" fillId="60" borderId="11" xfId="0" applyFont="1" applyFill="1" applyBorder="1" applyAlignment="1" applyProtection="1">
      <alignment horizontal="center" vertical="center" wrapText="1" readingOrder="1"/>
      <protection hidden="1"/>
    </xf>
    <xf numFmtId="0" fontId="243" fillId="24" borderId="11" xfId="0" applyFont="1" applyFill="1" applyBorder="1" applyAlignment="1" applyProtection="1">
      <alignment horizontal="center" vertical="center" wrapText="1" readingOrder="1"/>
      <protection hidden="1"/>
    </xf>
    <xf numFmtId="0" fontId="243" fillId="28" borderId="59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7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0" xfId="0" applyFont="1" applyFill="1" applyBorder="1" applyAlignment="1" applyProtection="1">
      <alignment horizontal="center" vertical="center" wrapText="1" readingOrder="1"/>
      <protection hidden="1"/>
    </xf>
    <xf numFmtId="0" fontId="243" fillId="60" borderId="85" xfId="0" applyFont="1" applyFill="1" applyBorder="1" applyAlignment="1" applyProtection="1">
      <alignment horizontal="center" vertical="center" wrapText="1" readingOrder="1"/>
      <protection hidden="1"/>
    </xf>
    <xf numFmtId="0" fontId="243" fillId="24" borderId="85" xfId="0" applyFont="1" applyFill="1" applyBorder="1" applyAlignment="1" applyProtection="1">
      <alignment horizontal="center" vertical="center" wrapText="1" readingOrder="1"/>
      <protection hidden="1"/>
    </xf>
    <xf numFmtId="0" fontId="82" fillId="23" borderId="30" xfId="0" applyFont="1" applyFill="1" applyBorder="1" applyAlignment="1" applyProtection="1">
      <alignment vertical="center" wrapText="1" readingOrder="1"/>
      <protection hidden="1"/>
    </xf>
    <xf numFmtId="0" fontId="243" fillId="24" borderId="60" xfId="0" applyFont="1" applyFill="1" applyBorder="1" applyAlignment="1" applyProtection="1">
      <alignment horizontal="center" vertical="center" wrapText="1" readingOrder="1"/>
      <protection hidden="1"/>
    </xf>
    <xf numFmtId="0" fontId="243" fillId="24" borderId="5" xfId="0" applyFont="1" applyFill="1" applyBorder="1" applyAlignment="1" applyProtection="1">
      <alignment horizontal="center" vertical="center" wrapText="1" readingOrder="1"/>
      <protection hidden="1"/>
    </xf>
    <xf numFmtId="0" fontId="82" fillId="23" borderId="39" xfId="0" applyFont="1" applyFill="1" applyBorder="1" applyAlignment="1" applyProtection="1">
      <alignment horizontal="center" vertical="center" wrapText="1" readingOrder="1"/>
      <protection hidden="1"/>
    </xf>
    <xf numFmtId="1" fontId="272" fillId="0" borderId="77" xfId="0" applyNumberFormat="1" applyFont="1" applyBorder="1" applyAlignment="1" applyProtection="1">
      <alignment horizontal="center" vertical="center" wrapText="1" readingOrder="1"/>
      <protection hidden="1"/>
    </xf>
    <xf numFmtId="2" fontId="129" fillId="0" borderId="36" xfId="0" applyNumberFormat="1" applyFont="1" applyBorder="1" applyAlignment="1" applyProtection="1">
      <alignment horizontal="center"/>
      <protection hidden="1"/>
    </xf>
    <xf numFmtId="2" fontId="129" fillId="0" borderId="37" xfId="0" applyNumberFormat="1" applyFont="1" applyBorder="1" applyAlignment="1" applyProtection="1">
      <alignment horizontal="center"/>
      <protection hidden="1"/>
    </xf>
    <xf numFmtId="0" fontId="129" fillId="0" borderId="0" xfId="0" applyFont="1" applyAlignment="1" applyProtection="1">
      <alignment horizontal="center" vertical="top" wrapText="1"/>
      <protection hidden="1"/>
    </xf>
    <xf numFmtId="0" fontId="369" fillId="0" borderId="0" xfId="0" applyFont="1" applyAlignment="1" applyProtection="1">
      <alignment vertical="top" wrapText="1"/>
      <protection hidden="1"/>
    </xf>
    <xf numFmtId="0" fontId="272" fillId="0" borderId="81" xfId="0" applyFont="1" applyBorder="1" applyAlignment="1" applyProtection="1">
      <alignment horizontal="center" vertical="center" wrapText="1" readingOrder="1"/>
      <protection hidden="1"/>
    </xf>
    <xf numFmtId="0" fontId="370" fillId="0" borderId="0" xfId="0" applyFont="1" applyAlignment="1" applyProtection="1">
      <alignment horizontal="center" vertical="center" textRotation="90"/>
      <protection hidden="1"/>
    </xf>
    <xf numFmtId="2" fontId="56" fillId="0" borderId="0" xfId="0" applyNumberFormat="1" applyFont="1" applyAlignment="1" applyProtection="1">
      <alignment horizontal="center"/>
      <protection hidden="1"/>
    </xf>
    <xf numFmtId="2" fontId="129" fillId="0" borderId="0" xfId="0" applyNumberFormat="1" applyFont="1" applyAlignment="1" applyProtection="1">
      <alignment horizontal="center"/>
      <protection hidden="1"/>
    </xf>
    <xf numFmtId="1" fontId="272" fillId="0" borderId="1" xfId="0" applyNumberFormat="1" applyFont="1" applyBorder="1" applyAlignment="1" applyProtection="1">
      <alignment horizontal="center" vertical="center" wrapText="1" readingOrder="1"/>
      <protection hidden="1"/>
    </xf>
    <xf numFmtId="0" fontId="129" fillId="0" borderId="0" xfId="0" applyFont="1" applyAlignment="1" applyProtection="1">
      <alignment horizontal="center"/>
      <protection hidden="1"/>
    </xf>
    <xf numFmtId="2" fontId="56" fillId="24" borderId="33" xfId="0" applyNumberFormat="1" applyFont="1" applyFill="1" applyBorder="1" applyAlignment="1" applyProtection="1">
      <alignment horizontal="center" wrapText="1"/>
      <protection hidden="1"/>
    </xf>
    <xf numFmtId="2" fontId="56" fillId="25" borderId="33" xfId="0" applyNumberFormat="1" applyFont="1" applyFill="1" applyBorder="1" applyAlignment="1" applyProtection="1">
      <alignment horizontal="center" wrapText="1"/>
      <protection hidden="1"/>
    </xf>
    <xf numFmtId="2" fontId="129" fillId="0" borderId="0" xfId="0" applyNumberFormat="1" applyFont="1" applyProtection="1">
      <protection hidden="1"/>
    </xf>
    <xf numFmtId="0" fontId="271" fillId="28" borderId="31" xfId="0" applyFont="1" applyFill="1" applyBorder="1" applyAlignment="1" applyProtection="1">
      <alignment horizontal="center" vertical="center" wrapText="1" readingOrder="1"/>
      <protection hidden="1"/>
    </xf>
    <xf numFmtId="0" fontId="271" fillId="60" borderId="7" xfId="0" applyFont="1" applyFill="1" applyBorder="1" applyAlignment="1" applyProtection="1">
      <alignment horizontal="center" vertical="center" wrapText="1" readingOrder="1"/>
      <protection hidden="1"/>
    </xf>
    <xf numFmtId="0" fontId="347" fillId="23" borderId="7" xfId="0" applyFont="1" applyFill="1" applyBorder="1" applyAlignment="1" applyProtection="1">
      <alignment vertical="center" wrapText="1" readingOrder="1"/>
      <protection hidden="1"/>
    </xf>
    <xf numFmtId="0" fontId="271" fillId="60" borderId="9" xfId="0" applyFont="1" applyFill="1" applyBorder="1" applyAlignment="1" applyProtection="1">
      <alignment horizontal="center" vertical="center" wrapText="1" readingOrder="1"/>
      <protection hidden="1"/>
    </xf>
    <xf numFmtId="0" fontId="271" fillId="24" borderId="9" xfId="0" applyFont="1" applyFill="1" applyBorder="1" applyAlignment="1" applyProtection="1">
      <alignment horizontal="center" vertical="center" wrapText="1" readingOrder="1"/>
      <protection hidden="1"/>
    </xf>
    <xf numFmtId="0" fontId="271" fillId="31" borderId="62" xfId="0" applyFont="1" applyFill="1" applyBorder="1" applyAlignment="1" applyProtection="1">
      <alignment horizontal="center" vertical="center" wrapText="1" readingOrder="1"/>
      <protection hidden="1"/>
    </xf>
    <xf numFmtId="0" fontId="271" fillId="60" borderId="59" xfId="0" applyFont="1" applyFill="1" applyBorder="1" applyAlignment="1" applyProtection="1">
      <alignment horizontal="center" vertical="center" wrapText="1" readingOrder="1"/>
      <protection hidden="1"/>
    </xf>
    <xf numFmtId="0" fontId="347" fillId="23" borderId="93" xfId="0" applyFont="1" applyFill="1" applyBorder="1" applyAlignment="1" applyProtection="1">
      <alignment vertical="center" wrapText="1" readingOrder="1"/>
      <protection hidden="1"/>
    </xf>
    <xf numFmtId="0" fontId="271" fillId="60" borderId="10" xfId="0" applyFont="1" applyFill="1" applyBorder="1" applyAlignment="1" applyProtection="1">
      <alignment horizontal="center" vertical="center" wrapText="1" readingOrder="1"/>
      <protection hidden="1"/>
    </xf>
    <xf numFmtId="0" fontId="271" fillId="24" borderId="10" xfId="0" applyFont="1" applyFill="1" applyBorder="1" applyAlignment="1" applyProtection="1">
      <alignment horizontal="center" vertical="center" wrapText="1" readingOrder="1"/>
      <protection hidden="1"/>
    </xf>
    <xf numFmtId="0" fontId="271" fillId="24" borderId="61" xfId="0" applyFont="1" applyFill="1" applyBorder="1" applyAlignment="1" applyProtection="1">
      <alignment horizontal="center" vertical="center" wrapText="1" readingOrder="1"/>
      <protection hidden="1"/>
    </xf>
    <xf numFmtId="0" fontId="271" fillId="24" borderId="32" xfId="0" applyFont="1" applyFill="1" applyBorder="1" applyAlignment="1" applyProtection="1">
      <alignment horizontal="center" vertical="center" wrapText="1" readingOrder="1"/>
      <protection hidden="1"/>
    </xf>
    <xf numFmtId="0" fontId="271" fillId="67" borderId="33" xfId="0" applyFont="1" applyFill="1" applyBorder="1" applyAlignment="1" applyProtection="1">
      <alignment horizontal="center" vertical="center" wrapText="1" readingOrder="1"/>
      <protection hidden="1"/>
    </xf>
    <xf numFmtId="0" fontId="271" fillId="24" borderId="33" xfId="0" applyFont="1" applyFill="1" applyBorder="1" applyAlignment="1" applyProtection="1">
      <alignment horizontal="center" vertical="center" wrapText="1" readingOrder="1"/>
      <protection hidden="1"/>
    </xf>
    <xf numFmtId="0" fontId="271" fillId="24" borderId="74" xfId="0" applyFont="1" applyFill="1" applyBorder="1" applyAlignment="1" applyProtection="1">
      <alignment horizontal="center" vertical="center" wrapText="1" readingOrder="1"/>
      <protection hidden="1"/>
    </xf>
    <xf numFmtId="0" fontId="271" fillId="28" borderId="1" xfId="0" applyFont="1" applyFill="1" applyBorder="1" applyAlignment="1" applyProtection="1">
      <alignment horizontal="center" vertical="center" wrapText="1" readingOrder="1"/>
      <protection hidden="1"/>
    </xf>
    <xf numFmtId="0" fontId="271" fillId="67" borderId="1" xfId="0" applyFont="1" applyFill="1" applyBorder="1" applyAlignment="1" applyProtection="1">
      <alignment horizontal="center" vertical="center" wrapText="1" readingOrder="1"/>
      <protection hidden="1"/>
    </xf>
    <xf numFmtId="0" fontId="271" fillId="60" borderId="33" xfId="0" applyFont="1" applyFill="1" applyBorder="1" applyAlignment="1" applyProtection="1">
      <alignment horizontal="center" vertical="center" wrapText="1" readingOrder="1"/>
      <protection hidden="1"/>
    </xf>
    <xf numFmtId="0" fontId="271" fillId="28" borderId="59" xfId="0" applyFont="1" applyFill="1" applyBorder="1" applyAlignment="1" applyProtection="1">
      <alignment horizontal="center" vertical="center" wrapText="1" readingOrder="1"/>
      <protection hidden="1"/>
    </xf>
    <xf numFmtId="0" fontId="271" fillId="31" borderId="17" xfId="0" applyFont="1" applyFill="1" applyBorder="1" applyAlignment="1" applyProtection="1">
      <alignment horizontal="center" vertical="center" wrapText="1" readingOrder="1"/>
      <protection hidden="1"/>
    </xf>
    <xf numFmtId="0" fontId="271" fillId="67" borderId="10" xfId="0" applyFont="1" applyFill="1" applyBorder="1" applyAlignment="1" applyProtection="1">
      <alignment horizontal="center" vertical="center" wrapText="1" readingOrder="1"/>
      <protection hidden="1"/>
    </xf>
    <xf numFmtId="0" fontId="271" fillId="60" borderId="85" xfId="0" applyFont="1" applyFill="1" applyBorder="1" applyAlignment="1" applyProtection="1">
      <alignment horizontal="center" vertical="center" wrapText="1" readingOrder="1"/>
      <protection hidden="1"/>
    </xf>
    <xf numFmtId="0" fontId="271" fillId="24" borderId="85" xfId="0" applyFont="1" applyFill="1" applyBorder="1" applyAlignment="1" applyProtection="1">
      <alignment horizontal="center" vertical="center" wrapText="1" readingOrder="1"/>
      <protection hidden="1"/>
    </xf>
    <xf numFmtId="0" fontId="270" fillId="60" borderId="1" xfId="0" applyFont="1" applyFill="1" applyBorder="1" applyAlignment="1" applyProtection="1">
      <alignment horizontal="center" vertical="center" wrapText="1" readingOrder="1"/>
      <protection hidden="1"/>
    </xf>
    <xf numFmtId="0" fontId="291" fillId="27" borderId="0" xfId="0" applyFont="1" applyFill="1" applyAlignment="1" applyProtection="1">
      <alignment horizontal="center" vertical="center" textRotation="90" wrapText="1" readingOrder="1"/>
      <protection hidden="1"/>
    </xf>
    <xf numFmtId="1" fontId="226" fillId="27" borderId="60" xfId="0" applyNumberFormat="1" applyFont="1" applyFill="1" applyBorder="1" applyAlignment="1" applyProtection="1">
      <alignment horizontal="center" vertical="center" wrapText="1" readingOrder="1"/>
      <protection hidden="1"/>
    </xf>
    <xf numFmtId="2" fontId="256" fillId="0" borderId="0" xfId="0" applyNumberFormat="1" applyFont="1" applyAlignment="1" applyProtection="1">
      <alignment horizontal="center" wrapText="1"/>
      <protection hidden="1"/>
    </xf>
    <xf numFmtId="0" fontId="345" fillId="24" borderId="18" xfId="0" applyFont="1" applyFill="1" applyBorder="1" applyAlignment="1" applyProtection="1">
      <alignment horizontal="center"/>
      <protection hidden="1"/>
    </xf>
    <xf numFmtId="0" fontId="0" fillId="24" borderId="0" xfId="0" applyFill="1" applyAlignment="1" applyProtection="1">
      <alignment horizontal="center"/>
      <protection hidden="1"/>
    </xf>
    <xf numFmtId="0" fontId="186" fillId="56" borderId="1" xfId="0" applyFont="1" applyFill="1" applyBorder="1" applyAlignment="1" applyProtection="1">
      <alignment horizontal="right" vertical="center" wrapText="1"/>
      <protection hidden="1"/>
    </xf>
    <xf numFmtId="0" fontId="186" fillId="30" borderId="1" xfId="0" applyFont="1" applyFill="1" applyBorder="1" applyAlignment="1" applyProtection="1">
      <alignment horizontal="right" vertical="center" wrapText="1"/>
      <protection hidden="1"/>
    </xf>
    <xf numFmtId="1" fontId="188" fillId="0" borderId="0" xfId="0" applyNumberFormat="1" applyFont="1" applyAlignment="1" applyProtection="1">
      <alignment horizontal="center"/>
      <protection hidden="1"/>
    </xf>
    <xf numFmtId="0" fontId="171" fillId="40" borderId="0" xfId="0" applyFont="1" applyFill="1" applyAlignment="1" applyProtection="1">
      <alignment vertical="center"/>
      <protection hidden="1"/>
    </xf>
    <xf numFmtId="1" fontId="193" fillId="0" borderId="0" xfId="0" applyNumberFormat="1" applyFont="1" applyAlignment="1" applyProtection="1">
      <alignment vertical="center" wrapText="1"/>
      <protection hidden="1"/>
    </xf>
    <xf numFmtId="1" fontId="171" fillId="40" borderId="0" xfId="0" applyNumberFormat="1" applyFont="1" applyFill="1" applyAlignment="1" applyProtection="1">
      <alignment horizontal="center" vertical="center"/>
      <protection hidden="1"/>
    </xf>
    <xf numFmtId="1" fontId="171" fillId="40" borderId="0" xfId="0" applyNumberFormat="1" applyFont="1" applyFill="1" applyAlignment="1" applyProtection="1">
      <alignment vertical="center"/>
      <protection hidden="1"/>
    </xf>
    <xf numFmtId="172" fontId="43" fillId="0" borderId="70" xfId="6" applyNumberFormat="1" applyFont="1" applyFill="1" applyBorder="1" applyAlignment="1" applyProtection="1">
      <alignment vertical="center" wrapText="1"/>
      <protection locked="0"/>
    </xf>
    <xf numFmtId="172" fontId="42" fillId="0" borderId="34" xfId="6" applyNumberFormat="1" applyFont="1" applyFill="1" applyBorder="1" applyProtection="1">
      <protection locked="0"/>
    </xf>
    <xf numFmtId="172" fontId="0" fillId="0" borderId="0" xfId="6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172" fontId="0" fillId="0" borderId="0" xfId="6" applyNumberFormat="1" applyFont="1" applyBorder="1" applyProtection="1">
      <protection locked="0"/>
    </xf>
    <xf numFmtId="0" fontId="5" fillId="0" borderId="12" xfId="0" applyFont="1" applyBorder="1" applyAlignment="1" applyProtection="1">
      <alignment horizontal="center"/>
      <protection locked="0"/>
    </xf>
    <xf numFmtId="177" fontId="42" fillId="0" borderId="16" xfId="6" applyNumberFormat="1" applyFont="1" applyFill="1" applyBorder="1" applyProtection="1">
      <protection locked="0"/>
    </xf>
    <xf numFmtId="172" fontId="372" fillId="41" borderId="17" xfId="6" applyNumberFormat="1" applyFont="1" applyFill="1" applyBorder="1" applyAlignment="1" applyProtection="1">
      <alignment vertical="center" wrapText="1"/>
      <protection locked="0"/>
    </xf>
    <xf numFmtId="1" fontId="302" fillId="66" borderId="1" xfId="0" applyNumberFormat="1" applyFont="1" applyFill="1" applyBorder="1" applyAlignment="1">
      <alignment horizontal="center"/>
    </xf>
    <xf numFmtId="1" fontId="302" fillId="25" borderId="1" xfId="0" applyNumberFormat="1" applyFont="1" applyFill="1" applyBorder="1" applyAlignment="1">
      <alignment horizontal="center"/>
    </xf>
    <xf numFmtId="1" fontId="141" fillId="0" borderId="0" xfId="0" applyNumberFormat="1" applyFont="1" applyAlignment="1">
      <alignment horizontal="center"/>
    </xf>
    <xf numFmtId="1" fontId="302" fillId="24" borderId="1" xfId="0" applyNumberFormat="1" applyFont="1" applyFill="1" applyBorder="1" applyAlignment="1">
      <alignment horizontal="center"/>
    </xf>
    <xf numFmtId="0" fontId="259" fillId="0" borderId="9" xfId="0" applyFont="1" applyBorder="1" applyAlignment="1">
      <alignment horizontal="center"/>
    </xf>
    <xf numFmtId="1" fontId="43" fillId="24" borderId="1" xfId="0" applyNumberFormat="1" applyFont="1" applyFill="1" applyBorder="1" applyAlignment="1">
      <alignment horizontal="center" wrapText="1"/>
    </xf>
    <xf numFmtId="0" fontId="188" fillId="0" borderId="1" xfId="0" applyFont="1" applyBorder="1" applyAlignment="1">
      <alignment horizontal="center"/>
    </xf>
    <xf numFmtId="1" fontId="43" fillId="23" borderId="28" xfId="0" applyNumberFormat="1" applyFont="1" applyFill="1" applyBorder="1" applyAlignment="1">
      <alignment horizontal="center" wrapText="1"/>
    </xf>
    <xf numFmtId="1" fontId="43" fillId="23" borderId="1" xfId="0" applyNumberFormat="1" applyFont="1" applyFill="1" applyBorder="1" applyAlignment="1">
      <alignment horizontal="center" wrapText="1"/>
    </xf>
    <xf numFmtId="1" fontId="44" fillId="23" borderId="28" xfId="0" applyNumberFormat="1" applyFont="1" applyFill="1" applyBorder="1" applyAlignment="1">
      <alignment horizontal="center" wrapText="1"/>
    </xf>
    <xf numFmtId="1" fontId="44" fillId="23" borderId="1" xfId="0" applyNumberFormat="1" applyFont="1" applyFill="1" applyBorder="1" applyAlignment="1">
      <alignment horizontal="center" wrapText="1"/>
    </xf>
    <xf numFmtId="0" fontId="0" fillId="0" borderId="35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325" fillId="3" borderId="1" xfId="0" applyFont="1" applyFill="1" applyBorder="1" applyAlignment="1" applyProtection="1">
      <alignment horizontal="center" vertical="center" wrapText="1"/>
      <protection hidden="1"/>
    </xf>
    <xf numFmtId="0" fontId="35" fillId="0" borderId="1" xfId="0" applyFont="1" applyBorder="1" applyAlignment="1" applyProtection="1">
      <alignment horizontal="center"/>
      <protection hidden="1"/>
    </xf>
    <xf numFmtId="1" fontId="374" fillId="0" borderId="28" xfId="0" applyNumberFormat="1" applyFont="1" applyBorder="1" applyAlignment="1" applyProtection="1">
      <alignment horizontal="center" vertical="center" wrapText="1"/>
      <protection hidden="1"/>
    </xf>
    <xf numFmtId="1" fontId="186" fillId="0" borderId="15" xfId="0" applyNumberFormat="1" applyFont="1" applyBorder="1" applyAlignment="1" applyProtection="1">
      <alignment vertical="center" wrapText="1"/>
      <protection hidden="1"/>
    </xf>
    <xf numFmtId="1" fontId="186" fillId="0" borderId="19" xfId="0" applyNumberFormat="1" applyFont="1" applyBorder="1" applyAlignment="1" applyProtection="1">
      <alignment vertical="center" wrapText="1"/>
      <protection hidden="1"/>
    </xf>
    <xf numFmtId="1" fontId="42" fillId="0" borderId="23" xfId="0" applyNumberFormat="1" applyFont="1" applyBorder="1" applyAlignment="1" applyProtection="1">
      <alignment vertical="center" wrapText="1"/>
      <protection hidden="1"/>
    </xf>
    <xf numFmtId="0" fontId="231" fillId="2" borderId="12" xfId="11" applyFont="1" applyFill="1" applyBorder="1" applyAlignment="1" applyProtection="1">
      <alignment horizontal="center" vertical="center" wrapText="1"/>
      <protection locked="0" hidden="1"/>
    </xf>
    <xf numFmtId="0" fontId="231" fillId="2" borderId="16" xfId="11" applyFont="1" applyFill="1" applyBorder="1" applyAlignment="1" applyProtection="1">
      <alignment horizontal="center" vertical="center" wrapText="1"/>
      <protection locked="0" hidden="1"/>
    </xf>
    <xf numFmtId="0" fontId="231" fillId="27" borderId="16" xfId="11" applyFont="1" applyFill="1" applyBorder="1" applyAlignment="1" applyProtection="1">
      <alignment horizontal="center" vertical="center" wrapText="1"/>
      <protection hidden="1"/>
    </xf>
    <xf numFmtId="0" fontId="231" fillId="0" borderId="16" xfId="11" applyFont="1" applyBorder="1" applyAlignment="1" applyProtection="1">
      <alignment horizontal="center" vertical="center" wrapText="1"/>
      <protection hidden="1"/>
    </xf>
    <xf numFmtId="1" fontId="127" fillId="32" borderId="20" xfId="0" applyNumberFormat="1" applyFont="1" applyFill="1" applyBorder="1" applyAlignment="1" applyProtection="1">
      <alignment horizontal="center" vertical="center" wrapText="1"/>
      <protection hidden="1"/>
    </xf>
    <xf numFmtId="0" fontId="300" fillId="0" borderId="28" xfId="0" applyFont="1" applyBorder="1" applyAlignment="1" applyProtection="1">
      <alignment horizontal="center"/>
      <protection hidden="1"/>
    </xf>
    <xf numFmtId="0" fontId="0" fillId="9" borderId="5" xfId="0" applyFill="1" applyBorder="1" applyProtection="1">
      <protection hidden="1"/>
    </xf>
    <xf numFmtId="0" fontId="0" fillId="27" borderId="5" xfId="0" applyFill="1" applyBorder="1" applyProtection="1">
      <protection hidden="1"/>
    </xf>
    <xf numFmtId="0" fontId="0" fillId="9" borderId="62" xfId="0" applyFill="1" applyBorder="1" applyProtection="1">
      <protection hidden="1"/>
    </xf>
    <xf numFmtId="0" fontId="122" fillId="9" borderId="5" xfId="0" applyFont="1" applyFill="1" applyBorder="1" applyProtection="1">
      <protection hidden="1"/>
    </xf>
    <xf numFmtId="0" fontId="271" fillId="60" borderId="62" xfId="0" applyFont="1" applyFill="1" applyBorder="1" applyAlignment="1" applyProtection="1">
      <alignment horizontal="center" vertical="center" wrapText="1" readingOrder="1"/>
      <protection hidden="1"/>
    </xf>
    <xf numFmtId="0" fontId="271" fillId="24" borderId="62" xfId="0" applyFont="1" applyFill="1" applyBorder="1" applyAlignment="1" applyProtection="1">
      <alignment horizontal="center" vertical="center" wrapText="1" readingOrder="1"/>
      <protection hidden="1"/>
    </xf>
    <xf numFmtId="0" fontId="3" fillId="0" borderId="4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/>
    </xf>
    <xf numFmtId="0" fontId="3" fillId="9" borderId="25" xfId="0" applyFont="1" applyFill="1" applyBorder="1" applyAlignment="1" applyProtection="1">
      <alignment horizontal="center"/>
      <protection hidden="1"/>
    </xf>
    <xf numFmtId="0" fontId="1" fillId="0" borderId="25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" xfId="0" applyBorder="1" applyAlignment="1">
      <alignment horizontal="center"/>
    </xf>
    <xf numFmtId="0" fontId="202" fillId="56" borderId="35" xfId="0" applyFont="1" applyFill="1" applyBorder="1" applyAlignment="1">
      <alignment horizontal="center" vertical="center" wrapText="1" readingOrder="1"/>
    </xf>
    <xf numFmtId="0" fontId="202" fillId="56" borderId="34" xfId="0" applyFont="1" applyFill="1" applyBorder="1" applyAlignment="1">
      <alignment horizontal="center" vertical="center" wrapText="1" readingOrder="1"/>
    </xf>
    <xf numFmtId="0" fontId="202" fillId="56" borderId="38" xfId="0" applyFont="1" applyFill="1" applyBorder="1" applyAlignment="1">
      <alignment horizontal="center" vertical="center" wrapText="1" readingOrder="1"/>
    </xf>
    <xf numFmtId="0" fontId="202" fillId="31" borderId="1" xfId="0" applyFont="1" applyFill="1" applyBorder="1" applyAlignment="1">
      <alignment horizontal="center" vertical="center" wrapText="1" readingOrder="1"/>
    </xf>
    <xf numFmtId="0" fontId="202" fillId="57" borderId="1" xfId="0" applyFont="1" applyFill="1" applyBorder="1" applyAlignment="1">
      <alignment horizontal="center" vertical="center" wrapText="1" readingOrder="1"/>
    </xf>
    <xf numFmtId="0" fontId="141" fillId="23" borderId="33" xfId="0" applyFont="1" applyFill="1" applyBorder="1" applyAlignment="1">
      <alignment horizontal="center" vertical="center" wrapText="1" readingOrder="1"/>
    </xf>
    <xf numFmtId="0" fontId="141" fillId="23" borderId="60" xfId="0" applyFont="1" applyFill="1" applyBorder="1" applyAlignment="1">
      <alignment horizontal="center" vertical="center" wrapText="1" readingOrder="1"/>
    </xf>
    <xf numFmtId="0" fontId="141" fillId="23" borderId="7" xfId="0" applyFont="1" applyFill="1" applyBorder="1" applyAlignment="1">
      <alignment horizontal="center" vertical="center" wrapText="1" readingOrder="1"/>
    </xf>
    <xf numFmtId="0" fontId="202" fillId="60" borderId="1" xfId="0" applyFont="1" applyFill="1" applyBorder="1" applyAlignment="1">
      <alignment horizontal="center" vertical="center" wrapText="1" readingOrder="1"/>
    </xf>
    <xf numFmtId="0" fontId="202" fillId="30" borderId="35" xfId="0" applyFont="1" applyFill="1" applyBorder="1" applyAlignment="1">
      <alignment horizontal="center" vertical="center" wrapText="1" readingOrder="1"/>
    </xf>
    <xf numFmtId="0" fontId="202" fillId="30" borderId="34" xfId="0" applyFont="1" applyFill="1" applyBorder="1" applyAlignment="1">
      <alignment horizontal="center" vertical="center" wrapText="1" readingOrder="1"/>
    </xf>
    <xf numFmtId="0" fontId="202" fillId="59" borderId="1" xfId="0" applyFont="1" applyFill="1" applyBorder="1" applyAlignment="1">
      <alignment horizontal="center" vertical="center" wrapText="1" readingOrder="1"/>
    </xf>
    <xf numFmtId="0" fontId="203" fillId="41" borderId="1" xfId="0" applyFont="1" applyFill="1" applyBorder="1" applyAlignment="1">
      <alignment horizontal="center" vertical="center" wrapText="1" readingOrder="1"/>
    </xf>
    <xf numFmtId="0" fontId="202" fillId="61" borderId="77" xfId="0" applyFont="1" applyFill="1" applyBorder="1" applyAlignment="1">
      <alignment horizontal="center" vertical="center" wrapText="1" readingOrder="1"/>
    </xf>
    <xf numFmtId="0" fontId="202" fillId="61" borderId="0" xfId="0" applyFont="1" applyFill="1" applyAlignment="1">
      <alignment horizontal="center" vertical="center" wrapText="1" readingOrder="1"/>
    </xf>
    <xf numFmtId="0" fontId="202" fillId="31" borderId="62" xfId="0" applyFont="1" applyFill="1" applyBorder="1" applyAlignment="1">
      <alignment horizontal="center" vertical="center" wrapText="1" readingOrder="1"/>
    </xf>
    <xf numFmtId="0" fontId="202" fillId="31" borderId="18" xfId="0" applyFont="1" applyFill="1" applyBorder="1" applyAlignment="1">
      <alignment horizontal="center" vertical="center" wrapText="1" readingOrder="1"/>
    </xf>
    <xf numFmtId="0" fontId="202" fillId="31" borderId="28" xfId="0" applyFont="1" applyFill="1" applyBorder="1" applyAlignment="1">
      <alignment horizontal="center" vertical="center" wrapText="1" readingOrder="1"/>
    </xf>
    <xf numFmtId="0" fontId="202" fillId="24" borderId="1" xfId="0" applyFont="1" applyFill="1" applyBorder="1" applyAlignment="1">
      <alignment horizontal="center" vertical="center" wrapText="1" readingOrder="1"/>
    </xf>
    <xf numFmtId="0" fontId="202" fillId="62" borderId="36" xfId="0" applyFont="1" applyFill="1" applyBorder="1" applyAlignment="1">
      <alignment horizontal="center" vertical="center" wrapText="1" readingOrder="1"/>
    </xf>
    <xf numFmtId="0" fontId="202" fillId="62" borderId="0" xfId="0" applyFont="1" applyFill="1" applyAlignment="1">
      <alignment horizontal="center" vertical="center" wrapText="1" readingOrder="1"/>
    </xf>
    <xf numFmtId="0" fontId="141" fillId="23" borderId="1" xfId="0" applyFont="1" applyFill="1" applyBorder="1" applyAlignment="1">
      <alignment horizontal="center" vertical="center" wrapText="1" readingOrder="1"/>
    </xf>
    <xf numFmtId="0" fontId="207" fillId="60" borderId="1" xfId="0" applyFont="1" applyFill="1" applyBorder="1" applyAlignment="1">
      <alignment horizontal="center" vertical="center" wrapText="1" readingOrder="1"/>
    </xf>
    <xf numFmtId="0" fontId="207" fillId="24" borderId="1" xfId="0" applyFont="1" applyFill="1" applyBorder="1" applyAlignment="1">
      <alignment horizontal="center" vertical="center" wrapText="1" readingOrder="1"/>
    </xf>
    <xf numFmtId="0" fontId="203" fillId="41" borderId="1" xfId="0" applyFont="1" applyFill="1" applyBorder="1" applyAlignment="1">
      <alignment horizontal="center" wrapText="1" readingOrder="1"/>
    </xf>
    <xf numFmtId="0" fontId="202" fillId="63" borderId="0" xfId="0" applyFont="1" applyFill="1" applyAlignment="1">
      <alignment horizontal="center" vertical="center" wrapText="1" readingOrder="1"/>
    </xf>
    <xf numFmtId="0" fontId="203" fillId="26" borderId="86" xfId="0" applyFont="1" applyFill="1" applyBorder="1" applyAlignment="1">
      <alignment horizontal="center" vertical="center" wrapText="1" readingOrder="1"/>
    </xf>
    <xf numFmtId="0" fontId="203" fillId="26" borderId="39" xfId="0" applyFont="1" applyFill="1" applyBorder="1" applyAlignment="1">
      <alignment horizontal="center" vertical="center" wrapText="1" readingOrder="1"/>
    </xf>
    <xf numFmtId="0" fontId="203" fillId="26" borderId="40" xfId="0" applyFont="1" applyFill="1" applyBorder="1" applyAlignment="1">
      <alignment horizontal="center" vertical="center" wrapText="1" readingOrder="1"/>
    </xf>
    <xf numFmtId="0" fontId="203" fillId="29" borderId="71" xfId="0" applyFont="1" applyFill="1" applyBorder="1" applyAlignment="1">
      <alignment horizontal="center" vertical="center" wrapText="1" readingOrder="1"/>
    </xf>
    <xf numFmtId="0" fontId="203" fillId="29" borderId="73" xfId="0" applyFont="1" applyFill="1" applyBorder="1" applyAlignment="1">
      <alignment horizontal="center" vertical="center" wrapText="1" readingOrder="1"/>
    </xf>
    <xf numFmtId="0" fontId="203" fillId="29" borderId="58" xfId="0" applyFont="1" applyFill="1" applyBorder="1" applyAlignment="1">
      <alignment horizontal="center" vertical="center" wrapText="1" readingOrder="1"/>
    </xf>
    <xf numFmtId="0" fontId="292" fillId="30" borderId="154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30" borderId="136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30" borderId="167" xfId="0" applyFont="1" applyFill="1" applyBorder="1" applyAlignment="1" applyProtection="1">
      <alignment horizontal="center" vertical="center" textRotation="90" wrapText="1" readingOrder="1"/>
      <protection hidden="1"/>
    </xf>
    <xf numFmtId="0" fontId="157" fillId="60" borderId="1" xfId="0" applyFont="1" applyFill="1" applyBorder="1" applyAlignment="1" applyProtection="1">
      <alignment horizontal="center" vertical="center" wrapText="1" readingOrder="1"/>
      <protection hidden="1"/>
    </xf>
    <xf numFmtId="0" fontId="157" fillId="60" borderId="62" xfId="0" applyFont="1" applyFill="1" applyBorder="1" applyAlignment="1" applyProtection="1">
      <alignment horizontal="center" vertical="center" wrapText="1" readingOrder="1"/>
      <protection hidden="1"/>
    </xf>
    <xf numFmtId="0" fontId="157" fillId="24" borderId="1" xfId="0" applyFont="1" applyFill="1" applyBorder="1" applyAlignment="1" applyProtection="1">
      <alignment horizontal="center" vertical="center" wrapText="1" readingOrder="1"/>
      <protection hidden="1"/>
    </xf>
    <xf numFmtId="0" fontId="157" fillId="24" borderId="62" xfId="0" applyFont="1" applyFill="1" applyBorder="1" applyAlignment="1" applyProtection="1">
      <alignment horizontal="center" vertical="center" wrapText="1" readingOrder="1"/>
      <protection hidden="1"/>
    </xf>
    <xf numFmtId="0" fontId="81" fillId="23" borderId="11" xfId="0" applyFont="1" applyFill="1" applyBorder="1" applyAlignment="1" applyProtection="1">
      <alignment horizontal="center" vertical="center" wrapText="1" readingOrder="1"/>
      <protection hidden="1"/>
    </xf>
    <xf numFmtId="0" fontId="81" fillId="23" borderId="26" xfId="0" applyFont="1" applyFill="1" applyBorder="1" applyAlignment="1" applyProtection="1">
      <alignment horizontal="center" vertical="center" wrapText="1" readingOrder="1"/>
      <protection hidden="1"/>
    </xf>
    <xf numFmtId="0" fontId="103" fillId="23" borderId="59" xfId="0" applyFont="1" applyFill="1" applyBorder="1" applyAlignment="1" applyProtection="1">
      <alignment horizontal="center" vertical="center" wrapText="1" readingOrder="1"/>
      <protection hidden="1"/>
    </xf>
    <xf numFmtId="0" fontId="103" fillId="23" borderId="61" xfId="0" applyFont="1" applyFill="1" applyBorder="1" applyAlignment="1" applyProtection="1">
      <alignment horizontal="center" vertical="center" wrapText="1" readingOrder="1"/>
      <protection hidden="1"/>
    </xf>
    <xf numFmtId="0" fontId="272" fillId="60" borderId="31" xfId="0" applyFont="1" applyFill="1" applyBorder="1" applyAlignment="1" applyProtection="1">
      <alignment horizontal="center" vertical="center" wrapText="1" readingOrder="1"/>
      <protection hidden="1"/>
    </xf>
    <xf numFmtId="0" fontId="272" fillId="60" borderId="66" xfId="0" applyFont="1" applyFill="1" applyBorder="1" applyAlignment="1" applyProtection="1">
      <alignment horizontal="center" vertical="center" wrapText="1" readingOrder="1"/>
      <protection hidden="1"/>
    </xf>
    <xf numFmtId="0" fontId="366" fillId="60" borderId="1" xfId="0" applyFont="1" applyFill="1" applyBorder="1" applyAlignment="1" applyProtection="1">
      <alignment horizontal="center" vertical="center" wrapText="1" readingOrder="1"/>
      <protection hidden="1"/>
    </xf>
    <xf numFmtId="0" fontId="366" fillId="60" borderId="62" xfId="0" applyFont="1" applyFill="1" applyBorder="1" applyAlignment="1" applyProtection="1">
      <alignment horizontal="center" vertical="center" wrapText="1" readingOrder="1"/>
      <protection hidden="1"/>
    </xf>
    <xf numFmtId="0" fontId="103" fillId="23" borderId="89" xfId="0" applyFont="1" applyFill="1" applyBorder="1" applyAlignment="1" applyProtection="1">
      <alignment horizontal="center" vertical="center" wrapText="1" readingOrder="1"/>
      <protection hidden="1"/>
    </xf>
    <xf numFmtId="0" fontId="103" fillId="23" borderId="81" xfId="0" applyFont="1" applyFill="1" applyBorder="1" applyAlignment="1" applyProtection="1">
      <alignment horizontal="center" vertical="center" wrapText="1" readingOrder="1"/>
      <protection hidden="1"/>
    </xf>
    <xf numFmtId="0" fontId="103" fillId="23" borderId="90" xfId="0" applyFont="1" applyFill="1" applyBorder="1" applyAlignment="1" applyProtection="1">
      <alignment horizontal="center" vertical="center" wrapText="1" readingOrder="1"/>
      <protection hidden="1"/>
    </xf>
    <xf numFmtId="0" fontId="366" fillId="24" borderId="30" xfId="0" applyFont="1" applyFill="1" applyBorder="1" applyAlignment="1" applyProtection="1">
      <alignment horizontal="center" vertical="center" wrapText="1" readingOrder="1"/>
      <protection hidden="1"/>
    </xf>
    <xf numFmtId="0" fontId="366" fillId="24" borderId="68" xfId="0" applyFont="1" applyFill="1" applyBorder="1" applyAlignment="1" applyProtection="1">
      <alignment horizontal="center" vertical="center" wrapText="1" readingOrder="1"/>
      <protection hidden="1"/>
    </xf>
    <xf numFmtId="0" fontId="365" fillId="31" borderId="17" xfId="0" applyFont="1" applyFill="1" applyBorder="1" applyAlignment="1" applyProtection="1">
      <alignment horizontal="center" vertical="center" wrapText="1" readingOrder="1"/>
      <protection hidden="1"/>
    </xf>
    <xf numFmtId="0" fontId="365" fillId="31" borderId="18" xfId="0" applyFont="1" applyFill="1" applyBorder="1" applyAlignment="1" applyProtection="1">
      <alignment horizontal="center" vertical="center" wrapText="1" readingOrder="1"/>
      <protection hidden="1"/>
    </xf>
    <xf numFmtId="0" fontId="367" fillId="70" borderId="3" xfId="0" applyFont="1" applyFill="1" applyBorder="1" applyAlignment="1" applyProtection="1">
      <alignment horizontal="center" vertical="center" wrapText="1" readingOrder="1"/>
      <protection hidden="1"/>
    </xf>
    <xf numFmtId="0" fontId="366" fillId="31" borderId="1" xfId="0" applyFont="1" applyFill="1" applyBorder="1" applyAlignment="1" applyProtection="1">
      <alignment horizontal="center" vertical="center" wrapText="1" readingOrder="1"/>
      <protection hidden="1"/>
    </xf>
    <xf numFmtId="0" fontId="366" fillId="31" borderId="62" xfId="0" applyFont="1" applyFill="1" applyBorder="1" applyAlignment="1" applyProtection="1">
      <alignment horizontal="center" vertical="center" wrapText="1" readingOrder="1"/>
      <protection hidden="1"/>
    </xf>
    <xf numFmtId="0" fontId="235" fillId="68" borderId="1" xfId="0" applyFont="1" applyFill="1" applyBorder="1" applyAlignment="1" applyProtection="1">
      <alignment horizontal="center" vertical="center" wrapText="1" readingOrder="1"/>
      <protection hidden="1"/>
    </xf>
    <xf numFmtId="0" fontId="235" fillId="68" borderId="62" xfId="0" applyFont="1" applyFill="1" applyBorder="1" applyAlignment="1" applyProtection="1">
      <alignment horizontal="center" vertical="center" wrapText="1" readingOrder="1"/>
      <protection hidden="1"/>
    </xf>
    <xf numFmtId="0" fontId="366" fillId="60" borderId="31" xfId="0" applyFont="1" applyFill="1" applyBorder="1" applyAlignment="1" applyProtection="1">
      <alignment horizontal="center" vertical="center" wrapText="1" readingOrder="1"/>
      <protection hidden="1"/>
    </xf>
    <xf numFmtId="0" fontId="366" fillId="60" borderId="66" xfId="0" applyFont="1" applyFill="1" applyBorder="1" applyAlignment="1" applyProtection="1">
      <alignment horizontal="center" vertical="center" wrapText="1" readingOrder="1"/>
      <protection hidden="1"/>
    </xf>
    <xf numFmtId="0" fontId="10" fillId="0" borderId="62" xfId="0" applyFont="1" applyBorder="1" applyAlignment="1" applyProtection="1">
      <alignment horizontal="center" vertical="center" wrapText="1"/>
      <protection hidden="1"/>
    </xf>
    <xf numFmtId="0" fontId="10" fillId="0" borderId="18" xfId="0" applyFont="1" applyBorder="1" applyAlignment="1" applyProtection="1">
      <alignment horizontal="center" vertical="center" wrapText="1"/>
      <protection hidden="1"/>
    </xf>
    <xf numFmtId="0" fontId="10" fillId="0" borderId="28" xfId="0" applyFont="1" applyBorder="1" applyAlignment="1" applyProtection="1">
      <alignment horizontal="center" vertical="center" wrapText="1"/>
      <protection hidden="1"/>
    </xf>
    <xf numFmtId="0" fontId="272" fillId="60" borderId="65" xfId="0" applyFont="1" applyFill="1" applyBorder="1" applyAlignment="1" applyProtection="1">
      <alignment horizontal="center" vertical="center" wrapText="1" readingOrder="1"/>
      <protection hidden="1"/>
    </xf>
    <xf numFmtId="0" fontId="272" fillId="60" borderId="28" xfId="0" applyFont="1" applyFill="1" applyBorder="1" applyAlignment="1" applyProtection="1">
      <alignment horizontal="center" vertical="center" wrapText="1" readingOrder="1"/>
      <protection hidden="1"/>
    </xf>
    <xf numFmtId="0" fontId="272" fillId="60" borderId="62" xfId="0" applyFont="1" applyFill="1" applyBorder="1" applyAlignment="1" applyProtection="1">
      <alignment horizontal="center" vertical="center" wrapText="1" readingOrder="1"/>
      <protection hidden="1"/>
    </xf>
    <xf numFmtId="0" fontId="272" fillId="24" borderId="28" xfId="0" applyFont="1" applyFill="1" applyBorder="1" applyAlignment="1" applyProtection="1">
      <alignment horizontal="center" vertical="center" wrapText="1" readingOrder="1"/>
      <protection hidden="1"/>
    </xf>
    <xf numFmtId="0" fontId="272" fillId="24" borderId="62" xfId="0" applyFont="1" applyFill="1" applyBorder="1" applyAlignment="1" applyProtection="1">
      <alignment horizontal="center" vertical="center" wrapText="1" readingOrder="1"/>
      <protection hidden="1"/>
    </xf>
    <xf numFmtId="0" fontId="272" fillId="24" borderId="11" xfId="0" applyFont="1" applyFill="1" applyBorder="1" applyAlignment="1" applyProtection="1">
      <alignment horizontal="center" vertical="center" wrapText="1" readingOrder="1"/>
      <protection hidden="1"/>
    </xf>
    <xf numFmtId="0" fontId="272" fillId="24" borderId="2" xfId="0" applyFont="1" applyFill="1" applyBorder="1" applyAlignment="1" applyProtection="1">
      <alignment horizontal="center" vertical="center" wrapText="1" readingOrder="1"/>
      <protection hidden="1"/>
    </xf>
    <xf numFmtId="0" fontId="272" fillId="24" borderId="30" xfId="0" applyFont="1" applyFill="1" applyBorder="1" applyAlignment="1" applyProtection="1">
      <alignment horizontal="center" vertical="center" wrapText="1" readingOrder="1"/>
      <protection hidden="1"/>
    </xf>
    <xf numFmtId="0" fontId="272" fillId="24" borderId="68" xfId="0" applyFont="1" applyFill="1" applyBorder="1" applyAlignment="1" applyProtection="1">
      <alignment horizontal="center" vertical="center" wrapText="1" readingOrder="1"/>
      <protection hidden="1"/>
    </xf>
    <xf numFmtId="0" fontId="81" fillId="23" borderId="85" xfId="0" applyFont="1" applyFill="1" applyBorder="1" applyAlignment="1" applyProtection="1">
      <alignment horizontal="center" vertical="center" wrapText="1" readingOrder="1"/>
      <protection hidden="1"/>
    </xf>
    <xf numFmtId="0" fontId="81" fillId="23" borderId="81" xfId="0" applyFont="1" applyFill="1" applyBorder="1" applyAlignment="1" applyProtection="1">
      <alignment horizontal="center" vertical="center" wrapText="1" readingOrder="1"/>
      <protection hidden="1"/>
    </xf>
    <xf numFmtId="0" fontId="81" fillId="23" borderId="90" xfId="0" applyFont="1" applyFill="1" applyBorder="1" applyAlignment="1" applyProtection="1">
      <alignment horizontal="center" vertical="center" wrapText="1" readingOrder="1"/>
      <protection hidden="1"/>
    </xf>
    <xf numFmtId="0" fontId="272" fillId="24" borderId="67" xfId="0" applyFont="1" applyFill="1" applyBorder="1" applyAlignment="1" applyProtection="1">
      <alignment horizontal="center" vertical="center" wrapText="1" readingOrder="1"/>
      <protection hidden="1"/>
    </xf>
    <xf numFmtId="0" fontId="103" fillId="23" borderId="1" xfId="0" applyFont="1" applyFill="1" applyBorder="1" applyAlignment="1" applyProtection="1">
      <alignment horizontal="center" vertical="center" wrapText="1" readingOrder="1"/>
      <protection hidden="1"/>
    </xf>
    <xf numFmtId="0" fontId="103" fillId="23" borderId="33" xfId="0" applyFont="1" applyFill="1" applyBorder="1" applyAlignment="1" applyProtection="1">
      <alignment horizontal="center" vertical="center" wrapText="1" readingOrder="1"/>
      <protection hidden="1"/>
    </xf>
    <xf numFmtId="0" fontId="272" fillId="60" borderId="1" xfId="0" applyFont="1" applyFill="1" applyBorder="1" applyAlignment="1" applyProtection="1">
      <alignment horizontal="center" vertical="center" wrapText="1" readingOrder="1"/>
      <protection hidden="1"/>
    </xf>
    <xf numFmtId="0" fontId="272" fillId="24" borderId="1" xfId="0" applyFont="1" applyFill="1" applyBorder="1" applyAlignment="1" applyProtection="1">
      <alignment horizontal="center" vertical="center" wrapText="1" readingOrder="1"/>
      <protection hidden="1"/>
    </xf>
    <xf numFmtId="0" fontId="235" fillId="25" borderId="63" xfId="0" applyFont="1" applyFill="1" applyBorder="1" applyAlignment="1">
      <alignment horizontal="center"/>
    </xf>
    <xf numFmtId="0" fontId="235" fillId="25" borderId="73" xfId="0" applyFont="1" applyFill="1" applyBorder="1" applyAlignment="1">
      <alignment horizontal="center"/>
    </xf>
    <xf numFmtId="0" fontId="235" fillId="25" borderId="58" xfId="0" applyFont="1" applyFill="1" applyBorder="1" applyAlignment="1">
      <alignment horizontal="center"/>
    </xf>
    <xf numFmtId="0" fontId="44" fillId="0" borderId="66" xfId="0" applyFont="1" applyBorder="1" applyAlignment="1" applyProtection="1">
      <alignment horizontal="center" vertical="center" wrapText="1"/>
      <protection hidden="1"/>
    </xf>
    <xf numFmtId="0" fontId="44" fillId="0" borderId="14" xfId="0" applyFont="1" applyBorder="1" applyAlignment="1" applyProtection="1">
      <alignment horizontal="center" vertical="center" wrapText="1"/>
      <protection hidden="1"/>
    </xf>
    <xf numFmtId="0" fontId="44" fillId="0" borderId="65" xfId="0" applyFont="1" applyBorder="1" applyAlignment="1" applyProtection="1">
      <alignment horizontal="center" vertical="center" wrapText="1"/>
      <protection hidden="1"/>
    </xf>
    <xf numFmtId="0" fontId="156" fillId="32" borderId="77" xfId="0" applyFont="1" applyFill="1" applyBorder="1" applyAlignment="1" applyProtection="1">
      <alignment horizontal="center" vertical="center" wrapText="1" readingOrder="1"/>
      <protection hidden="1"/>
    </xf>
    <xf numFmtId="0" fontId="156" fillId="32" borderId="72" xfId="0" applyFont="1" applyFill="1" applyBorder="1" applyAlignment="1" applyProtection="1">
      <alignment horizontal="center" vertical="center" wrapText="1" readingOrder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351" fillId="56" borderId="35" xfId="0" applyFont="1" applyFill="1" applyBorder="1" applyAlignment="1" applyProtection="1">
      <alignment horizontal="center" vertical="center" wrapText="1"/>
      <protection hidden="1"/>
    </xf>
    <xf numFmtId="0" fontId="351" fillId="56" borderId="36" xfId="0" applyFont="1" applyFill="1" applyBorder="1" applyAlignment="1" applyProtection="1">
      <alignment horizontal="center" vertical="center" wrapText="1"/>
      <protection hidden="1"/>
    </xf>
    <xf numFmtId="0" fontId="351" fillId="56" borderId="37" xfId="0" applyFont="1" applyFill="1" applyBorder="1" applyAlignment="1" applyProtection="1">
      <alignment horizontal="center" vertical="center" wrapText="1"/>
      <protection hidden="1"/>
    </xf>
    <xf numFmtId="0" fontId="351" fillId="56" borderId="38" xfId="0" applyFont="1" applyFill="1" applyBorder="1" applyAlignment="1" applyProtection="1">
      <alignment horizontal="center" vertical="center" wrapText="1"/>
      <protection hidden="1"/>
    </xf>
    <xf numFmtId="0" fontId="351" fillId="56" borderId="39" xfId="0" applyFont="1" applyFill="1" applyBorder="1" applyAlignment="1" applyProtection="1">
      <alignment horizontal="center" vertical="center" wrapText="1"/>
      <protection hidden="1"/>
    </xf>
    <xf numFmtId="0" fontId="351" fillId="56" borderId="40" xfId="0" applyFont="1" applyFill="1" applyBorder="1" applyAlignment="1" applyProtection="1">
      <alignment horizontal="center" vertical="center" wrapText="1"/>
      <protection hidden="1"/>
    </xf>
    <xf numFmtId="0" fontId="353" fillId="56" borderId="63" xfId="0" applyFont="1" applyFill="1" applyBorder="1" applyAlignment="1" applyProtection="1">
      <alignment horizontal="center" vertical="center" wrapText="1"/>
      <protection hidden="1"/>
    </xf>
    <xf numFmtId="0" fontId="353" fillId="56" borderId="73" xfId="0" applyFont="1" applyFill="1" applyBorder="1" applyAlignment="1" applyProtection="1">
      <alignment horizontal="center" vertical="center" wrapText="1"/>
      <protection hidden="1"/>
    </xf>
    <xf numFmtId="0" fontId="353" fillId="56" borderId="58" xfId="0" applyFont="1" applyFill="1" applyBorder="1" applyAlignment="1" applyProtection="1">
      <alignment horizontal="center" vertical="center" wrapText="1"/>
      <protection hidden="1"/>
    </xf>
    <xf numFmtId="0" fontId="5" fillId="0" borderId="7" xfId="0" applyFont="1" applyBorder="1" applyAlignment="1" applyProtection="1">
      <alignment horizontal="center" vertical="center" wrapText="1"/>
      <protection hidden="1"/>
    </xf>
    <xf numFmtId="0" fontId="5" fillId="0" borderId="26" xfId="0" applyFont="1" applyBorder="1" applyAlignment="1" applyProtection="1">
      <alignment horizontal="center" vertical="center" wrapText="1"/>
      <protection hidden="1"/>
    </xf>
    <xf numFmtId="0" fontId="5" fillId="0" borderId="24" xfId="0" applyFont="1" applyBorder="1" applyAlignment="1" applyProtection="1">
      <alignment horizontal="center" vertical="center" wrapText="1"/>
      <protection hidden="1"/>
    </xf>
    <xf numFmtId="0" fontId="5" fillId="0" borderId="25" xfId="0" applyFont="1" applyBorder="1" applyAlignment="1" applyProtection="1">
      <alignment horizontal="center" vertical="center" wrapText="1"/>
      <protection hidden="1"/>
    </xf>
    <xf numFmtId="0" fontId="43" fillId="0" borderId="7" xfId="0" applyFont="1" applyBorder="1" applyAlignment="1" applyProtection="1">
      <alignment horizontal="center" vertical="center" wrapText="1"/>
      <protection hidden="1"/>
    </xf>
    <xf numFmtId="0" fontId="43" fillId="0" borderId="1" xfId="0" applyFont="1" applyBorder="1" applyAlignment="1" applyProtection="1">
      <alignment horizontal="center" vertical="center" wrapText="1"/>
      <protection hidden="1"/>
    </xf>
    <xf numFmtId="0" fontId="189" fillId="0" borderId="27" xfId="0" applyFont="1" applyBorder="1" applyAlignment="1" applyProtection="1">
      <alignment horizontal="center" vertical="center" wrapText="1"/>
      <protection hidden="1"/>
    </xf>
    <xf numFmtId="0" fontId="189" fillId="0" borderId="10" xfId="0" applyFont="1" applyBorder="1" applyAlignment="1" applyProtection="1">
      <alignment horizontal="center" vertical="center" wrapText="1"/>
      <protection hidden="1"/>
    </xf>
    <xf numFmtId="0" fontId="189" fillId="0" borderId="61" xfId="0" applyFont="1" applyBorder="1" applyAlignment="1" applyProtection="1">
      <alignment horizontal="center" vertical="center" wrapText="1"/>
      <protection hidden="1"/>
    </xf>
    <xf numFmtId="0" fontId="55" fillId="0" borderId="5" xfId="0" applyFont="1" applyBorder="1" applyAlignment="1" applyProtection="1">
      <alignment horizontal="center" vertical="center" wrapText="1"/>
      <protection hidden="1"/>
    </xf>
    <xf numFmtId="0" fontId="55" fillId="0" borderId="0" xfId="0" applyFont="1" applyAlignment="1" applyProtection="1">
      <alignment horizontal="center" vertical="center" wrapText="1"/>
      <protection hidden="1"/>
    </xf>
    <xf numFmtId="0" fontId="55" fillId="0" borderId="4" xfId="0" applyFont="1" applyBorder="1" applyAlignment="1" applyProtection="1">
      <alignment horizontal="center" vertical="center" wrapText="1"/>
      <protection hidden="1"/>
    </xf>
    <xf numFmtId="0" fontId="55" fillId="0" borderId="86" xfId="0" applyFont="1" applyBorder="1" applyAlignment="1" applyProtection="1">
      <alignment horizontal="center" vertical="center" wrapText="1"/>
      <protection hidden="1"/>
    </xf>
    <xf numFmtId="0" fontId="55" fillId="0" borderId="39" xfId="0" applyFont="1" applyBorder="1" applyAlignment="1" applyProtection="1">
      <alignment horizontal="center" vertical="center" wrapText="1"/>
      <protection hidden="1"/>
    </xf>
    <xf numFmtId="0" fontId="55" fillId="0" borderId="72" xfId="0" applyFont="1" applyBorder="1" applyAlignment="1" applyProtection="1">
      <alignment horizontal="center" vertical="center" wrapText="1"/>
      <protection hidden="1"/>
    </xf>
    <xf numFmtId="0" fontId="238" fillId="25" borderId="79" xfId="0" applyFont="1" applyFill="1" applyBorder="1" applyAlignment="1" applyProtection="1">
      <alignment horizontal="center" vertical="center" textRotation="90"/>
      <protection hidden="1"/>
    </xf>
    <xf numFmtId="0" fontId="238" fillId="25" borderId="70" xfId="0" applyFont="1" applyFill="1" applyBorder="1" applyAlignment="1" applyProtection="1">
      <alignment horizontal="center" vertical="center" textRotation="90"/>
      <protection hidden="1"/>
    </xf>
    <xf numFmtId="0" fontId="238" fillId="25" borderId="8" xfId="0" applyFont="1" applyFill="1" applyBorder="1" applyAlignment="1" applyProtection="1">
      <alignment horizontal="center" vertical="center" textRotation="90"/>
      <protection hidden="1"/>
    </xf>
    <xf numFmtId="0" fontId="76" fillId="33" borderId="79" xfId="0" applyFont="1" applyFill="1" applyBorder="1" applyAlignment="1" applyProtection="1">
      <alignment horizontal="center" vertical="center" textRotation="90" wrapText="1"/>
      <protection hidden="1"/>
    </xf>
    <xf numFmtId="0" fontId="76" fillId="33" borderId="70" xfId="0" applyFont="1" applyFill="1" applyBorder="1" applyAlignment="1" applyProtection="1">
      <alignment horizontal="center" vertical="center" textRotation="90" wrapText="1"/>
      <protection hidden="1"/>
    </xf>
    <xf numFmtId="0" fontId="76" fillId="33" borderId="8" xfId="0" applyFont="1" applyFill="1" applyBorder="1" applyAlignment="1" applyProtection="1">
      <alignment horizontal="center" vertical="center" textRotation="90" wrapText="1"/>
      <protection hidden="1"/>
    </xf>
    <xf numFmtId="0" fontId="310" fillId="68" borderId="11" xfId="0" applyFont="1" applyFill="1" applyBorder="1" applyAlignment="1" applyProtection="1">
      <alignment horizontal="center" vertical="center" wrapText="1" readingOrder="1"/>
      <protection hidden="1"/>
    </xf>
    <xf numFmtId="0" fontId="310" fillId="68" borderId="33" xfId="0" applyFont="1" applyFill="1" applyBorder="1" applyAlignment="1" applyProtection="1">
      <alignment horizontal="center" vertical="center" wrapText="1" readingOrder="1"/>
      <protection hidden="1"/>
    </xf>
    <xf numFmtId="0" fontId="310" fillId="68" borderId="2" xfId="0" applyFont="1" applyFill="1" applyBorder="1" applyAlignment="1" applyProtection="1">
      <alignment horizontal="center" vertical="center" wrapText="1" readingOrder="1"/>
      <protection hidden="1"/>
    </xf>
    <xf numFmtId="0" fontId="272" fillId="28" borderId="26" xfId="0" applyFont="1" applyFill="1" applyBorder="1" applyAlignment="1" applyProtection="1">
      <alignment horizontal="center" vertical="center" wrapText="1" readingOrder="1"/>
      <protection hidden="1"/>
    </xf>
    <xf numFmtId="0" fontId="272" fillId="28" borderId="132" xfId="0" applyFont="1" applyFill="1" applyBorder="1" applyAlignment="1" applyProtection="1">
      <alignment horizontal="center" vertical="center" wrapText="1" readingOrder="1"/>
      <protection hidden="1"/>
    </xf>
    <xf numFmtId="0" fontId="272" fillId="28" borderId="133" xfId="0" applyFont="1" applyFill="1" applyBorder="1" applyAlignment="1" applyProtection="1">
      <alignment horizontal="center" vertical="center" wrapText="1" readingOrder="1"/>
      <protection hidden="1"/>
    </xf>
    <xf numFmtId="0" fontId="190" fillId="26" borderId="71" xfId="0" applyFont="1" applyFill="1" applyBorder="1" applyAlignment="1" applyProtection="1">
      <alignment horizontal="center" vertical="center" wrapText="1" readingOrder="1"/>
      <protection hidden="1"/>
    </xf>
    <xf numFmtId="0" fontId="190" fillId="26" borderId="73" xfId="0" applyFont="1" applyFill="1" applyBorder="1" applyAlignment="1" applyProtection="1">
      <alignment horizontal="center" vertical="center" wrapText="1" readingOrder="1"/>
      <protection hidden="1"/>
    </xf>
    <xf numFmtId="0" fontId="190" fillId="26" borderId="88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" xfId="0" applyFont="1" applyFill="1" applyBorder="1" applyAlignment="1" applyProtection="1">
      <alignment horizontal="center" vertical="center" wrapText="1" readingOrder="1"/>
      <protection hidden="1"/>
    </xf>
    <xf numFmtId="0" fontId="243" fillId="31" borderId="62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8" xfId="0" applyFont="1" applyFill="1" applyBorder="1" applyAlignment="1" applyProtection="1">
      <alignment horizontal="center" vertical="center" wrapText="1" readingOrder="1"/>
      <protection hidden="1"/>
    </xf>
    <xf numFmtId="0" fontId="82" fillId="23" borderId="93" xfId="0" applyFont="1" applyFill="1" applyBorder="1" applyAlignment="1" applyProtection="1">
      <alignment horizontal="center" vertical="center" wrapText="1" readingOrder="1"/>
      <protection hidden="1"/>
    </xf>
    <xf numFmtId="0" fontId="82" fillId="23" borderId="60" xfId="0" applyFont="1" applyFill="1" applyBorder="1" applyAlignment="1" applyProtection="1">
      <alignment horizontal="center" vertical="center" wrapText="1" readingOrder="1"/>
      <protection hidden="1"/>
    </xf>
    <xf numFmtId="0" fontId="82" fillId="23" borderId="41" xfId="0" applyFont="1" applyFill="1" applyBorder="1" applyAlignment="1" applyProtection="1">
      <alignment horizontal="center" vertical="center" wrapText="1" readingOrder="1"/>
      <protection hidden="1"/>
    </xf>
    <xf numFmtId="0" fontId="82" fillId="23" borderId="36" xfId="0" applyFont="1" applyFill="1" applyBorder="1" applyAlignment="1" applyProtection="1">
      <alignment horizontal="center" vertical="center" wrapText="1" readingOrder="1"/>
      <protection hidden="1"/>
    </xf>
    <xf numFmtId="0" fontId="82" fillId="23" borderId="0" xfId="0" applyFont="1" applyFill="1" applyAlignment="1" applyProtection="1">
      <alignment horizontal="center" vertical="center" wrapText="1" readingOrder="1"/>
      <protection hidden="1"/>
    </xf>
    <xf numFmtId="0" fontId="82" fillId="23" borderId="39" xfId="0" applyFont="1" applyFill="1" applyBorder="1" applyAlignment="1" applyProtection="1">
      <alignment horizontal="center" vertical="center" wrapText="1" readingOrder="1"/>
      <protection hidden="1"/>
    </xf>
    <xf numFmtId="0" fontId="82" fillId="23" borderId="33" xfId="0" applyFont="1" applyFill="1" applyBorder="1" applyAlignment="1" applyProtection="1">
      <alignment horizontal="center" vertical="center" wrapText="1" readingOrder="1"/>
      <protection hidden="1"/>
    </xf>
    <xf numFmtId="0" fontId="82" fillId="23" borderId="7" xfId="0" applyFont="1" applyFill="1" applyBorder="1" applyAlignment="1" applyProtection="1">
      <alignment horizontal="center" vertical="center" wrapText="1" readingOrder="1"/>
      <protection hidden="1"/>
    </xf>
    <xf numFmtId="0" fontId="122" fillId="0" borderId="0" xfId="0" applyFont="1" applyAlignment="1" applyProtection="1">
      <alignment horizontal="center"/>
      <protection hidden="1"/>
    </xf>
    <xf numFmtId="0" fontId="185" fillId="0" borderId="44" xfId="0" applyFont="1" applyBorder="1" applyAlignment="1" applyProtection="1">
      <alignment horizontal="center" vertical="center" wrapText="1"/>
      <protection hidden="1"/>
    </xf>
    <xf numFmtId="0" fontId="185" fillId="0" borderId="34" xfId="0" applyFont="1" applyBorder="1" applyAlignment="1" applyProtection="1">
      <alignment horizontal="center" vertical="center" wrapText="1"/>
      <protection hidden="1"/>
    </xf>
    <xf numFmtId="0" fontId="10" fillId="0" borderId="89" xfId="0" applyFont="1" applyBorder="1" applyAlignment="1" applyProtection="1">
      <alignment horizontal="center"/>
      <protection hidden="1"/>
    </xf>
    <xf numFmtId="0" fontId="10" fillId="0" borderId="78" xfId="0" applyFont="1" applyBorder="1" applyAlignment="1" applyProtection="1">
      <alignment horizontal="center"/>
      <protection hidden="1"/>
    </xf>
    <xf numFmtId="0" fontId="243" fillId="28" borderId="31" xfId="0" applyFont="1" applyFill="1" applyBorder="1" applyAlignment="1" applyProtection="1">
      <alignment horizontal="center" vertical="center" wrapText="1" readingOrder="1"/>
      <protection hidden="1"/>
    </xf>
    <xf numFmtId="0" fontId="10" fillId="0" borderId="60" xfId="0" applyFont="1" applyBorder="1" applyAlignment="1" applyProtection="1">
      <alignment horizontal="center"/>
      <protection hidden="1"/>
    </xf>
    <xf numFmtId="0" fontId="10" fillId="0" borderId="5" xfId="0" applyFont="1" applyBorder="1" applyAlignment="1" applyProtection="1">
      <alignment horizontal="center"/>
      <protection hidden="1"/>
    </xf>
    <xf numFmtId="0" fontId="5" fillId="0" borderId="88" xfId="0" applyFont="1" applyBorder="1" applyAlignment="1" applyProtection="1">
      <alignment horizontal="center" vertical="center" wrapText="1"/>
      <protection hidden="1"/>
    </xf>
    <xf numFmtId="0" fontId="5" fillId="0" borderId="71" xfId="0" applyFont="1" applyBorder="1" applyAlignment="1" applyProtection="1">
      <alignment horizontal="center" vertical="center" wrapText="1"/>
      <protection hidden="1"/>
    </xf>
    <xf numFmtId="0" fontId="43" fillId="0" borderId="66" xfId="0" applyFont="1" applyBorder="1" applyAlignment="1" applyProtection="1">
      <alignment horizontal="center" vertical="center" wrapText="1"/>
      <protection hidden="1"/>
    </xf>
    <xf numFmtId="0" fontId="43" fillId="0" borderId="14" xfId="0" applyFont="1" applyBorder="1" applyAlignment="1" applyProtection="1">
      <alignment horizontal="center" vertical="center" wrapText="1"/>
      <protection hidden="1"/>
    </xf>
    <xf numFmtId="0" fontId="272" fillId="28" borderId="7" xfId="0" applyFont="1" applyFill="1" applyBorder="1" applyAlignment="1" applyProtection="1">
      <alignment horizontal="center" vertical="center" wrapText="1" readingOrder="1"/>
      <protection hidden="1"/>
    </xf>
    <xf numFmtId="0" fontId="272" fillId="28" borderId="24" xfId="0" applyFont="1" applyFill="1" applyBorder="1" applyAlignment="1" applyProtection="1">
      <alignment horizontal="center" vertical="center" wrapText="1" readingOrder="1"/>
      <protection hidden="1"/>
    </xf>
    <xf numFmtId="0" fontId="79" fillId="0" borderId="88" xfId="0" applyFont="1" applyBorder="1" applyAlignment="1" applyProtection="1">
      <alignment horizontal="center" vertical="center" wrapText="1" readingOrder="1"/>
      <protection hidden="1"/>
    </xf>
    <xf numFmtId="0" fontId="79" fillId="0" borderId="71" xfId="0" applyFont="1" applyBorder="1" applyAlignment="1" applyProtection="1">
      <alignment horizontal="center" vertical="center" wrapText="1" readingOrder="1"/>
      <protection hidden="1"/>
    </xf>
    <xf numFmtId="0" fontId="156" fillId="31" borderId="11" xfId="0" applyFont="1" applyFill="1" applyBorder="1" applyAlignment="1" applyProtection="1">
      <alignment horizontal="center" vertical="center" wrapText="1" readingOrder="1"/>
      <protection hidden="1"/>
    </xf>
    <xf numFmtId="0" fontId="156" fillId="31" borderId="72" xfId="0" applyFont="1" applyFill="1" applyBorder="1" applyAlignment="1" applyProtection="1">
      <alignment horizontal="center" vertical="center" wrapText="1" readingOrder="1"/>
      <protection hidden="1"/>
    </xf>
    <xf numFmtId="0" fontId="82" fillId="23" borderId="79" xfId="0" applyFont="1" applyFill="1" applyBorder="1" applyAlignment="1" applyProtection="1">
      <alignment horizontal="center" vertical="center" wrapText="1" readingOrder="1"/>
      <protection hidden="1"/>
    </xf>
    <xf numFmtId="0" fontId="82" fillId="23" borderId="70" xfId="0" applyFont="1" applyFill="1" applyBorder="1" applyAlignment="1" applyProtection="1">
      <alignment horizontal="center" vertical="center" wrapText="1" readingOrder="1"/>
      <protection hidden="1"/>
    </xf>
    <xf numFmtId="0" fontId="82" fillId="23" borderId="8" xfId="0" applyFont="1" applyFill="1" applyBorder="1" applyAlignment="1" applyProtection="1">
      <alignment horizontal="center" vertical="center" wrapText="1" readingOrder="1"/>
      <protection hidden="1"/>
    </xf>
    <xf numFmtId="0" fontId="79" fillId="23" borderId="63" xfId="0" applyFont="1" applyFill="1" applyBorder="1" applyAlignment="1" applyProtection="1">
      <alignment horizontal="center" vertical="center" wrapText="1" readingOrder="1"/>
      <protection hidden="1"/>
    </xf>
    <xf numFmtId="0" fontId="79" fillId="23" borderId="73" xfId="0" applyFont="1" applyFill="1" applyBorder="1" applyAlignment="1" applyProtection="1">
      <alignment horizontal="center" vertical="center" wrapText="1" readingOrder="1"/>
      <protection hidden="1"/>
    </xf>
    <xf numFmtId="0" fontId="79" fillId="23" borderId="58" xfId="0" applyFont="1" applyFill="1" applyBorder="1" applyAlignment="1" applyProtection="1">
      <alignment horizontal="center" vertical="center" wrapText="1" readingOrder="1"/>
      <protection hidden="1"/>
    </xf>
    <xf numFmtId="0" fontId="213" fillId="0" borderId="35" xfId="0" applyFont="1" applyBorder="1" applyAlignment="1" applyProtection="1">
      <alignment horizontal="center"/>
      <protection hidden="1"/>
    </xf>
    <xf numFmtId="0" fontId="213" fillId="0" borderId="36" xfId="0" applyFont="1" applyBorder="1" applyAlignment="1" applyProtection="1">
      <alignment horizontal="center"/>
      <protection hidden="1"/>
    </xf>
    <xf numFmtId="0" fontId="213" fillId="0" borderId="37" xfId="0" applyFont="1" applyBorder="1" applyAlignment="1" applyProtection="1">
      <alignment horizontal="center"/>
      <protection hidden="1"/>
    </xf>
    <xf numFmtId="0" fontId="213" fillId="0" borderId="38" xfId="0" applyFont="1" applyBorder="1" applyAlignment="1" applyProtection="1">
      <alignment horizontal="center"/>
      <protection hidden="1"/>
    </xf>
    <xf numFmtId="0" fontId="213" fillId="0" borderId="39" xfId="0" applyFont="1" applyBorder="1" applyAlignment="1" applyProtection="1">
      <alignment horizontal="center"/>
      <protection hidden="1"/>
    </xf>
    <xf numFmtId="0" fontId="213" fillId="0" borderId="40" xfId="0" applyFont="1" applyBorder="1" applyAlignment="1" applyProtection="1">
      <alignment horizontal="center"/>
      <protection hidden="1"/>
    </xf>
    <xf numFmtId="0" fontId="0" fillId="0" borderId="62" xfId="0" applyBorder="1" applyAlignment="1" applyProtection="1">
      <alignment horizontal="left" vertical="center" wrapText="1"/>
      <protection hidden="1"/>
    </xf>
    <xf numFmtId="0" fontId="0" fillId="0" borderId="28" xfId="0" applyBorder="1" applyAlignment="1" applyProtection="1">
      <alignment horizontal="left" vertical="center" wrapText="1"/>
      <protection hidden="1"/>
    </xf>
    <xf numFmtId="0" fontId="193" fillId="0" borderId="62" xfId="0" applyFont="1" applyBorder="1" applyAlignment="1" applyProtection="1">
      <alignment horizontal="center"/>
      <protection hidden="1"/>
    </xf>
    <xf numFmtId="0" fontId="193" fillId="0" borderId="18" xfId="0" applyFont="1" applyBorder="1" applyAlignment="1" applyProtection="1">
      <alignment horizontal="center"/>
      <protection hidden="1"/>
    </xf>
    <xf numFmtId="0" fontId="193" fillId="0" borderId="28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 vertical="center" wrapText="1"/>
      <protection hidden="1"/>
    </xf>
    <xf numFmtId="0" fontId="5" fillId="0" borderId="80" xfId="0" applyFont="1" applyBorder="1" applyAlignment="1" applyProtection="1">
      <alignment horizontal="center" vertical="center" wrapText="1"/>
      <protection hidden="1"/>
    </xf>
    <xf numFmtId="0" fontId="272" fillId="31" borderId="18" xfId="0" applyFont="1" applyFill="1" applyBorder="1" applyAlignment="1" applyProtection="1">
      <alignment horizontal="center" vertical="center" wrapText="1" readingOrder="1"/>
      <protection hidden="1"/>
    </xf>
    <xf numFmtId="0" fontId="272" fillId="31" borderId="17" xfId="0" applyFont="1" applyFill="1" applyBorder="1" applyAlignment="1" applyProtection="1">
      <alignment horizontal="center" vertical="center" wrapText="1" readingOrder="1"/>
      <protection hidden="1"/>
    </xf>
    <xf numFmtId="0" fontId="272" fillId="31" borderId="1" xfId="0" applyFont="1" applyFill="1" applyBorder="1" applyAlignment="1" applyProtection="1">
      <alignment horizontal="center" vertical="center" wrapText="1" readingOrder="1"/>
      <protection hidden="1"/>
    </xf>
    <xf numFmtId="0" fontId="272" fillId="31" borderId="62" xfId="0" applyFont="1" applyFill="1" applyBorder="1" applyAlignment="1" applyProtection="1">
      <alignment horizontal="center" vertical="center" wrapText="1" readingOrder="1"/>
      <protection hidden="1"/>
    </xf>
    <xf numFmtId="0" fontId="190" fillId="29" borderId="71" xfId="0" applyFont="1" applyFill="1" applyBorder="1" applyAlignment="1" applyProtection="1">
      <alignment horizontal="center" vertical="center" wrapText="1" readingOrder="1"/>
      <protection hidden="1"/>
    </xf>
    <xf numFmtId="0" fontId="190" fillId="29" borderId="73" xfId="0" applyFont="1" applyFill="1" applyBorder="1" applyAlignment="1" applyProtection="1">
      <alignment horizontal="center" vertical="center" wrapText="1" readingOrder="1"/>
      <protection hidden="1"/>
    </xf>
    <xf numFmtId="0" fontId="190" fillId="29" borderId="58" xfId="0" applyFont="1" applyFill="1" applyBorder="1" applyAlignment="1" applyProtection="1">
      <alignment horizontal="center" vertical="center" wrapText="1" readingOrder="1"/>
      <protection hidden="1"/>
    </xf>
    <xf numFmtId="17" fontId="213" fillId="2" borderId="63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2" borderId="73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2" borderId="58" xfId="0" applyNumberFormat="1" applyFont="1" applyFill="1" applyBorder="1" applyAlignment="1" applyProtection="1">
      <alignment horizontal="center" vertical="center" wrapText="1"/>
      <protection locked="0" hidden="1"/>
    </xf>
    <xf numFmtId="0" fontId="310" fillId="70" borderId="18" xfId="0" applyFont="1" applyFill="1" applyBorder="1" applyAlignment="1" applyProtection="1">
      <alignment horizontal="center" vertical="center" wrapText="1" readingOrder="1"/>
      <protection hidden="1"/>
    </xf>
    <xf numFmtId="0" fontId="10" fillId="0" borderId="69" xfId="0" applyFont="1" applyBorder="1" applyAlignment="1" applyProtection="1">
      <alignment horizontal="center"/>
      <protection hidden="1"/>
    </xf>
    <xf numFmtId="0" fontId="10" fillId="0" borderId="71" xfId="0" applyFont="1" applyBorder="1" applyAlignment="1" applyProtection="1">
      <alignment horizontal="center"/>
      <protection hidden="1"/>
    </xf>
    <xf numFmtId="0" fontId="10" fillId="0" borderId="90" xfId="0" applyFont="1" applyBorder="1" applyAlignment="1" applyProtection="1">
      <alignment horizontal="center"/>
      <protection hidden="1"/>
    </xf>
    <xf numFmtId="0" fontId="10" fillId="0" borderId="86" xfId="0" applyFont="1" applyBorder="1" applyAlignment="1" applyProtection="1">
      <alignment horizontal="center"/>
      <protection hidden="1"/>
    </xf>
    <xf numFmtId="0" fontId="49" fillId="0" borderId="41" xfId="0" applyFont="1" applyBorder="1" applyAlignment="1" applyProtection="1">
      <alignment horizontal="center"/>
      <protection hidden="1"/>
    </xf>
    <xf numFmtId="0" fontId="49" fillId="0" borderId="86" xfId="0" applyFont="1" applyBorder="1" applyAlignment="1" applyProtection="1">
      <alignment horizontal="center"/>
      <protection hidden="1"/>
    </xf>
    <xf numFmtId="0" fontId="190" fillId="68" borderId="17" xfId="0" applyFont="1" applyFill="1" applyBorder="1" applyAlignment="1" applyProtection="1">
      <alignment horizontal="center" vertical="center" wrapText="1" readingOrder="1"/>
      <protection hidden="1"/>
    </xf>
    <xf numFmtId="0" fontId="190" fillId="68" borderId="18" xfId="0" applyFont="1" applyFill="1" applyBorder="1" applyAlignment="1" applyProtection="1">
      <alignment horizontal="center" vertical="center" wrapText="1" readingOrder="1"/>
      <protection hidden="1"/>
    </xf>
    <xf numFmtId="0" fontId="190" fillId="68" borderId="28" xfId="0" applyFont="1" applyFill="1" applyBorder="1" applyAlignment="1" applyProtection="1">
      <alignment horizontal="center" vertical="center" wrapText="1" readingOrder="1"/>
      <protection hidden="1"/>
    </xf>
    <xf numFmtId="0" fontId="76" fillId="27" borderId="63" xfId="0" applyFont="1" applyFill="1" applyBorder="1" applyAlignment="1" applyProtection="1">
      <alignment horizontal="center" vertical="center" wrapText="1"/>
      <protection hidden="1"/>
    </xf>
    <xf numFmtId="0" fontId="76" fillId="27" borderId="73" xfId="0" applyFont="1" applyFill="1" applyBorder="1" applyAlignment="1" applyProtection="1">
      <alignment horizontal="center" vertical="center" wrapText="1"/>
      <protection hidden="1"/>
    </xf>
    <xf numFmtId="0" fontId="76" fillId="27" borderId="88" xfId="0" applyFont="1" applyFill="1" applyBorder="1" applyAlignment="1" applyProtection="1">
      <alignment horizontal="center" vertical="center" wrapText="1"/>
      <protection hidden="1"/>
    </xf>
    <xf numFmtId="0" fontId="212" fillId="0" borderId="1" xfId="0" applyFont="1" applyBorder="1" applyAlignment="1" applyProtection="1">
      <alignment horizontal="center" vertical="center" wrapText="1"/>
      <protection hidden="1"/>
    </xf>
    <xf numFmtId="0" fontId="212" fillId="0" borderId="62" xfId="0" applyFont="1" applyBorder="1" applyAlignment="1" applyProtection="1">
      <alignment horizontal="center" vertical="center" wrapText="1"/>
      <protection hidden="1"/>
    </xf>
    <xf numFmtId="0" fontId="212" fillId="0" borderId="33" xfId="0" applyFont="1" applyBorder="1" applyAlignment="1" applyProtection="1">
      <alignment horizontal="center" vertical="center" wrapText="1"/>
      <protection hidden="1"/>
    </xf>
    <xf numFmtId="0" fontId="212" fillId="0" borderId="2" xfId="0" applyFont="1" applyBorder="1" applyAlignment="1" applyProtection="1">
      <alignment horizontal="center" vertical="center" wrapText="1"/>
      <protection hidden="1"/>
    </xf>
    <xf numFmtId="0" fontId="238" fillId="29" borderId="36" xfId="0" applyFont="1" applyFill="1" applyBorder="1" applyAlignment="1" applyProtection="1">
      <alignment horizontal="center" vertical="center" textRotation="90"/>
      <protection hidden="1"/>
    </xf>
    <xf numFmtId="0" fontId="238" fillId="29" borderId="39" xfId="0" applyFont="1" applyFill="1" applyBorder="1" applyAlignment="1" applyProtection="1">
      <alignment horizontal="center" vertical="center" textRotation="90"/>
      <protection hidden="1"/>
    </xf>
    <xf numFmtId="0" fontId="238" fillId="26" borderId="79" xfId="0" applyFont="1" applyFill="1" applyBorder="1" applyAlignment="1" applyProtection="1">
      <alignment horizontal="center" vertical="center" textRotation="90"/>
      <protection hidden="1"/>
    </xf>
    <xf numFmtId="0" fontId="238" fillId="26" borderId="70" xfId="0" applyFont="1" applyFill="1" applyBorder="1" applyAlignment="1" applyProtection="1">
      <alignment horizontal="center" vertical="center" textRotation="90"/>
      <protection hidden="1"/>
    </xf>
    <xf numFmtId="0" fontId="238" fillId="29" borderId="37" xfId="0" applyFont="1" applyFill="1" applyBorder="1" applyAlignment="1" applyProtection="1">
      <alignment horizontal="center" vertical="center" textRotation="90"/>
      <protection hidden="1"/>
    </xf>
    <xf numFmtId="0" fontId="238" fillId="29" borderId="40" xfId="0" applyFont="1" applyFill="1" applyBorder="1" applyAlignment="1" applyProtection="1">
      <alignment horizontal="center" vertical="center" textRotation="90"/>
      <protection hidden="1"/>
    </xf>
    <xf numFmtId="0" fontId="43" fillId="0" borderId="63" xfId="0" applyFont="1" applyBorder="1" applyAlignment="1" applyProtection="1">
      <alignment horizontal="center" vertical="center" wrapText="1"/>
      <protection hidden="1"/>
    </xf>
    <xf numFmtId="0" fontId="43" fillId="0" borderId="73" xfId="0" applyFont="1" applyBorder="1" applyAlignment="1" applyProtection="1">
      <alignment horizontal="center" vertical="center" wrapText="1"/>
      <protection hidden="1"/>
    </xf>
    <xf numFmtId="0" fontId="43" fillId="0" borderId="58" xfId="0" applyFont="1" applyBorder="1" applyAlignment="1" applyProtection="1">
      <alignment horizontal="center" vertical="center" wrapText="1"/>
      <protection hidden="1"/>
    </xf>
    <xf numFmtId="0" fontId="44" fillId="0" borderId="1" xfId="0" applyFont="1" applyBorder="1" applyAlignment="1" applyProtection="1">
      <alignment horizontal="center"/>
      <protection hidden="1"/>
    </xf>
    <xf numFmtId="0" fontId="43" fillId="0" borderId="0" xfId="0" applyFont="1" applyAlignment="1" applyProtection="1">
      <alignment horizontal="center" vertical="center" wrapText="1"/>
      <protection hidden="1"/>
    </xf>
    <xf numFmtId="0" fontId="43" fillId="0" borderId="25" xfId="0" applyFont="1" applyBorder="1" applyAlignment="1" applyProtection="1">
      <alignment horizontal="center" vertical="center" wrapText="1"/>
      <protection hidden="1"/>
    </xf>
    <xf numFmtId="0" fontId="56" fillId="3" borderId="86" xfId="0" applyFont="1" applyFill="1" applyBorder="1" applyAlignment="1" applyProtection="1">
      <alignment horizontal="center" vertical="center" wrapText="1"/>
      <protection hidden="1"/>
    </xf>
    <xf numFmtId="0" fontId="56" fillId="3" borderId="39" xfId="0" applyFont="1" applyFill="1" applyBorder="1" applyAlignment="1" applyProtection="1">
      <alignment horizontal="center" vertical="center" wrapText="1"/>
      <protection hidden="1"/>
    </xf>
    <xf numFmtId="0" fontId="56" fillId="3" borderId="40" xfId="0" applyFont="1" applyFill="1" applyBorder="1" applyAlignment="1" applyProtection="1">
      <alignment horizontal="center" vertical="center" wrapText="1"/>
      <protection hidden="1"/>
    </xf>
    <xf numFmtId="0" fontId="1" fillId="0" borderId="62" xfId="0" applyFont="1" applyBorder="1" applyAlignment="1" applyProtection="1">
      <alignment horizontal="center" vertical="center" wrapText="1"/>
      <protection hidden="1"/>
    </xf>
    <xf numFmtId="0" fontId="1" fillId="0" borderId="18" xfId="0" applyFont="1" applyBorder="1" applyAlignment="1" applyProtection="1">
      <alignment horizontal="center" vertical="center" wrapText="1"/>
      <protection hidden="1"/>
    </xf>
    <xf numFmtId="0" fontId="1" fillId="0" borderId="28" xfId="0" applyFont="1" applyBorder="1" applyAlignment="1" applyProtection="1">
      <alignment horizontal="center" vertical="center" wrapText="1"/>
      <protection hidden="1"/>
    </xf>
    <xf numFmtId="0" fontId="118" fillId="0" borderId="0" xfId="0" applyFont="1" applyAlignment="1" applyProtection="1">
      <alignment horizontal="center" vertical="top" wrapText="1"/>
      <protection hidden="1"/>
    </xf>
    <xf numFmtId="0" fontId="119" fillId="0" borderId="0" xfId="0" applyFont="1" applyAlignment="1" applyProtection="1">
      <alignment horizontal="center" vertical="top" wrapText="1"/>
      <protection hidden="1"/>
    </xf>
    <xf numFmtId="0" fontId="47" fillId="0" borderId="34" xfId="0" applyFont="1" applyBorder="1" applyAlignment="1" applyProtection="1">
      <alignment horizontal="center" vertical="center" wrapText="1" shrinkToFit="1"/>
      <protection hidden="1"/>
    </xf>
    <xf numFmtId="0" fontId="5" fillId="5" borderId="14" xfId="0" applyFont="1" applyFill="1" applyBorder="1" applyAlignment="1" applyProtection="1">
      <alignment horizontal="center" vertical="center" wrapText="1"/>
      <protection hidden="1"/>
    </xf>
    <xf numFmtId="0" fontId="5" fillId="5" borderId="65" xfId="0" applyFont="1" applyFill="1" applyBorder="1" applyAlignment="1" applyProtection="1">
      <alignment horizontal="center" vertical="center" wrapText="1"/>
      <protection hidden="1"/>
    </xf>
    <xf numFmtId="0" fontId="42" fillId="3" borderId="62" xfId="0" applyFont="1" applyFill="1" applyBorder="1" applyAlignment="1" applyProtection="1">
      <alignment horizontal="left" vertical="center" wrapText="1"/>
      <protection hidden="1"/>
    </xf>
    <xf numFmtId="0" fontId="42" fillId="3" borderId="18" xfId="0" applyFont="1" applyFill="1" applyBorder="1" applyAlignment="1" applyProtection="1">
      <alignment horizontal="left" vertical="center" wrapText="1"/>
      <protection hidden="1"/>
    </xf>
    <xf numFmtId="0" fontId="42" fillId="0" borderId="62" xfId="0" applyFont="1" applyBorder="1" applyAlignment="1" applyProtection="1">
      <alignment horizontal="center"/>
      <protection hidden="1"/>
    </xf>
    <xf numFmtId="0" fontId="42" fillId="0" borderId="18" xfId="0" applyFont="1" applyBorder="1" applyAlignment="1" applyProtection="1">
      <alignment horizontal="center"/>
      <protection hidden="1"/>
    </xf>
    <xf numFmtId="0" fontId="42" fillId="0" borderId="28" xfId="0" applyFont="1" applyBorder="1" applyAlignment="1" applyProtection="1">
      <alignment horizontal="center"/>
      <protection hidden="1"/>
    </xf>
    <xf numFmtId="0" fontId="50" fillId="9" borderId="62" xfId="0" applyFont="1" applyFill="1" applyBorder="1" applyAlignment="1" applyProtection="1">
      <alignment horizontal="center"/>
      <protection hidden="1"/>
    </xf>
    <xf numFmtId="0" fontId="50" fillId="9" borderId="28" xfId="0" applyFont="1" applyFill="1" applyBorder="1" applyAlignment="1" applyProtection="1">
      <alignment horizontal="center"/>
      <protection hidden="1"/>
    </xf>
    <xf numFmtId="0" fontId="43" fillId="2" borderId="63" xfId="0" applyFont="1" applyFill="1" applyBorder="1" applyAlignment="1" applyProtection="1">
      <alignment horizontal="center"/>
      <protection locked="0"/>
    </xf>
    <xf numFmtId="0" fontId="43" fillId="2" borderId="73" xfId="0" applyFont="1" applyFill="1" applyBorder="1" applyAlignment="1" applyProtection="1">
      <alignment horizontal="center"/>
      <protection locked="0"/>
    </xf>
    <xf numFmtId="0" fontId="43" fillId="2" borderId="58" xfId="0" applyFont="1" applyFill="1" applyBorder="1" applyAlignment="1" applyProtection="1">
      <alignment horizontal="center"/>
      <protection locked="0"/>
    </xf>
    <xf numFmtId="0" fontId="17" fillId="5" borderId="36" xfId="0" applyFont="1" applyFill="1" applyBorder="1" applyAlignment="1" applyProtection="1">
      <alignment horizontal="center" vertical="center" wrapText="1"/>
      <protection hidden="1"/>
    </xf>
    <xf numFmtId="0" fontId="17" fillId="5" borderId="77" xfId="0" applyFont="1" applyFill="1" applyBorder="1" applyAlignment="1" applyProtection="1">
      <alignment horizontal="center" vertical="center" wrapText="1"/>
      <protection hidden="1"/>
    </xf>
    <xf numFmtId="0" fontId="33" fillId="3" borderId="44" xfId="0" applyFont="1" applyFill="1" applyBorder="1" applyAlignment="1" applyProtection="1">
      <alignment textRotation="90"/>
      <protection hidden="1"/>
    </xf>
    <xf numFmtId="0" fontId="33" fillId="3" borderId="34" xfId="0" applyFont="1" applyFill="1" applyBorder="1" applyAlignment="1" applyProtection="1">
      <alignment textRotation="90"/>
      <protection hidden="1"/>
    </xf>
    <xf numFmtId="0" fontId="33" fillId="3" borderId="38" xfId="0" applyFont="1" applyFill="1" applyBorder="1" applyAlignment="1" applyProtection="1">
      <alignment textRotation="90"/>
      <protection hidden="1"/>
    </xf>
    <xf numFmtId="0" fontId="343" fillId="56" borderId="35" xfId="0" applyFont="1" applyFill="1" applyBorder="1" applyAlignment="1" applyProtection="1">
      <alignment horizontal="center" vertical="center" wrapText="1"/>
      <protection hidden="1"/>
    </xf>
    <xf numFmtId="0" fontId="343" fillId="56" borderId="36" xfId="0" applyFont="1" applyFill="1" applyBorder="1" applyAlignment="1" applyProtection="1">
      <alignment horizontal="center" vertical="center" wrapText="1"/>
      <protection hidden="1"/>
    </xf>
    <xf numFmtId="0" fontId="343" fillId="56" borderId="37" xfId="0" applyFont="1" applyFill="1" applyBorder="1" applyAlignment="1" applyProtection="1">
      <alignment horizontal="center" vertical="center" wrapText="1"/>
      <protection hidden="1"/>
    </xf>
    <xf numFmtId="0" fontId="343" fillId="56" borderId="38" xfId="0" applyFont="1" applyFill="1" applyBorder="1" applyAlignment="1" applyProtection="1">
      <alignment horizontal="center" vertical="center" wrapText="1"/>
      <protection hidden="1"/>
    </xf>
    <xf numFmtId="0" fontId="343" fillId="56" borderId="39" xfId="0" applyFont="1" applyFill="1" applyBorder="1" applyAlignment="1" applyProtection="1">
      <alignment horizontal="center" vertical="center" wrapText="1"/>
      <protection hidden="1"/>
    </xf>
    <xf numFmtId="0" fontId="343" fillId="56" borderId="40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10" fillId="5" borderId="31" xfId="0" applyFont="1" applyFill="1" applyBorder="1" applyAlignment="1" applyProtection="1">
      <alignment horizontal="center" vertical="center" wrapText="1"/>
      <protection hidden="1"/>
    </xf>
    <xf numFmtId="0" fontId="10" fillId="5" borderId="1" xfId="0" applyFont="1" applyFill="1" applyBorder="1" applyAlignment="1" applyProtection="1">
      <alignment horizontal="center" vertical="center" wrapText="1"/>
      <protection hidden="1"/>
    </xf>
    <xf numFmtId="0" fontId="10" fillId="5" borderId="68" xfId="0" applyFont="1" applyFill="1" applyBorder="1" applyAlignment="1" applyProtection="1">
      <alignment horizontal="center" vertical="center" wrapText="1"/>
      <protection hidden="1"/>
    </xf>
    <xf numFmtId="0" fontId="47" fillId="0" borderId="7" xfId="0" applyFont="1" applyBorder="1" applyAlignment="1" applyProtection="1">
      <alignment horizontal="center" vertical="center" wrapText="1"/>
      <protection hidden="1"/>
    </xf>
    <xf numFmtId="0" fontId="12" fillId="2" borderId="63" xfId="0" applyFont="1" applyFill="1" applyBorder="1" applyAlignment="1" applyProtection="1">
      <alignment horizontal="center"/>
      <protection locked="0"/>
    </xf>
    <xf numFmtId="0" fontId="12" fillId="2" borderId="73" xfId="0" applyFont="1" applyFill="1" applyBorder="1" applyAlignment="1" applyProtection="1">
      <alignment horizontal="center"/>
      <protection locked="0"/>
    </xf>
    <xf numFmtId="0" fontId="12" fillId="2" borderId="58" xfId="0" applyFont="1" applyFill="1" applyBorder="1" applyAlignment="1" applyProtection="1">
      <alignment horizontal="center"/>
      <protection locked="0"/>
    </xf>
    <xf numFmtId="0" fontId="59" fillId="9" borderId="3" xfId="0" applyFont="1" applyFill="1" applyBorder="1" applyAlignment="1" applyProtection="1">
      <alignment horizontal="center" vertical="top" wrapText="1"/>
      <protection hidden="1"/>
    </xf>
    <xf numFmtId="0" fontId="43" fillId="0" borderId="28" xfId="0" applyFont="1" applyBorder="1" applyAlignment="1" applyProtection="1">
      <alignment horizontal="center" vertical="center" wrapText="1"/>
      <protection hidden="1"/>
    </xf>
    <xf numFmtId="0" fontId="76" fillId="5" borderId="13" xfId="0" applyFont="1" applyFill="1" applyBorder="1" applyAlignment="1" applyProtection="1">
      <alignment horizontal="center" vertical="center" textRotation="90"/>
      <protection hidden="1"/>
    </xf>
    <xf numFmtId="0" fontId="76" fillId="5" borderId="17" xfId="0" applyFont="1" applyFill="1" applyBorder="1" applyAlignment="1" applyProtection="1">
      <alignment horizontal="center" vertical="center" textRotation="90"/>
      <protection hidden="1"/>
    </xf>
    <xf numFmtId="0" fontId="76" fillId="5" borderId="10" xfId="0" applyFont="1" applyFill="1" applyBorder="1" applyAlignment="1" applyProtection="1">
      <alignment horizontal="center" vertical="center" textRotation="90"/>
      <protection hidden="1"/>
    </xf>
    <xf numFmtId="0" fontId="76" fillId="5" borderId="21" xfId="0" applyFont="1" applyFill="1" applyBorder="1" applyAlignment="1" applyProtection="1">
      <alignment horizontal="center" vertical="center" textRotation="90"/>
      <protection hidden="1"/>
    </xf>
    <xf numFmtId="0" fontId="5" fillId="6" borderId="1" xfId="0" applyFont="1" applyFill="1" applyBorder="1" applyAlignment="1" applyProtection="1">
      <alignment horizontal="center" vertical="center" wrapText="1"/>
      <protection hidden="1"/>
    </xf>
    <xf numFmtId="0" fontId="47" fillId="0" borderId="7" xfId="0" applyFont="1" applyBorder="1" applyAlignment="1" applyProtection="1">
      <alignment horizontal="center" vertical="center" wrapText="1" shrinkToFit="1"/>
      <protection hidden="1"/>
    </xf>
    <xf numFmtId="0" fontId="47" fillId="0" borderId="33" xfId="0" applyFont="1" applyBorder="1" applyAlignment="1" applyProtection="1">
      <alignment horizontal="center" vertical="center" wrapText="1" shrinkToFit="1"/>
      <protection hidden="1"/>
    </xf>
    <xf numFmtId="0" fontId="17" fillId="5" borderId="24" xfId="0" applyFont="1" applyFill="1" applyBorder="1" applyAlignment="1" applyProtection="1">
      <alignment horizontal="center" vertical="center" wrapText="1"/>
      <protection hidden="1"/>
    </xf>
    <xf numFmtId="0" fontId="17" fillId="5" borderId="26" xfId="0" applyFont="1" applyFill="1" applyBorder="1" applyAlignment="1" applyProtection="1">
      <alignment horizontal="center" vertical="center" wrapText="1"/>
      <protection hidden="1"/>
    </xf>
    <xf numFmtId="0" fontId="44" fillId="5" borderId="3" xfId="0" applyFont="1" applyFill="1" applyBorder="1" applyAlignment="1" applyProtection="1">
      <alignment horizontal="center" vertical="center" wrapText="1"/>
      <protection hidden="1"/>
    </xf>
    <xf numFmtId="0" fontId="47" fillId="0" borderId="33" xfId="0" applyFont="1" applyBorder="1" applyAlignment="1" applyProtection="1">
      <alignment horizontal="center" vertical="center" wrapText="1"/>
      <protection hidden="1"/>
    </xf>
    <xf numFmtId="0" fontId="47" fillId="0" borderId="1" xfId="0" applyFont="1" applyBorder="1" applyAlignment="1" applyProtection="1">
      <alignment horizontal="center" vertical="center" wrapText="1"/>
      <protection hidden="1"/>
    </xf>
    <xf numFmtId="0" fontId="56" fillId="0" borderId="78" xfId="0" applyFont="1" applyBorder="1" applyAlignment="1" applyProtection="1">
      <alignment horizontal="center" vertical="center" wrapText="1"/>
      <protection hidden="1"/>
    </xf>
    <xf numFmtId="0" fontId="56" fillId="0" borderId="36" xfId="0" applyFont="1" applyBorder="1" applyAlignment="1" applyProtection="1">
      <alignment horizontal="center" vertical="center" wrapText="1"/>
      <protection hidden="1"/>
    </xf>
    <xf numFmtId="0" fontId="56" fillId="0" borderId="77" xfId="0" applyFont="1" applyBorder="1" applyAlignment="1" applyProtection="1">
      <alignment horizontal="center" vertical="center" wrapText="1"/>
      <protection hidden="1"/>
    </xf>
    <xf numFmtId="0" fontId="56" fillId="0" borderId="86" xfId="0" applyFont="1" applyBorder="1" applyAlignment="1" applyProtection="1">
      <alignment horizontal="center" vertical="center" wrapText="1"/>
      <protection hidden="1"/>
    </xf>
    <xf numFmtId="0" fontId="56" fillId="0" borderId="39" xfId="0" applyFont="1" applyBorder="1" applyAlignment="1" applyProtection="1">
      <alignment horizontal="center" vertical="center" wrapText="1"/>
      <protection hidden="1"/>
    </xf>
    <xf numFmtId="0" fontId="56" fillId="0" borderId="72" xfId="0" applyFont="1" applyBorder="1" applyAlignment="1" applyProtection="1">
      <alignment horizontal="center" vertical="center" wrapText="1"/>
      <protection hidden="1"/>
    </xf>
    <xf numFmtId="0" fontId="10" fillId="5" borderId="30" xfId="0" applyFont="1" applyFill="1" applyBorder="1" applyAlignment="1" applyProtection="1">
      <alignment horizontal="center" vertical="center" wrapText="1"/>
      <protection hidden="1"/>
    </xf>
    <xf numFmtId="0" fontId="5" fillId="5" borderId="25" xfId="0" applyFont="1" applyFill="1" applyBorder="1" applyAlignment="1" applyProtection="1">
      <alignment horizontal="center" vertical="center" wrapText="1"/>
      <protection hidden="1"/>
    </xf>
    <xf numFmtId="0" fontId="5" fillId="5" borderId="26" xfId="0" applyFont="1" applyFill="1" applyBorder="1" applyAlignment="1" applyProtection="1">
      <alignment horizontal="center" vertical="center" wrapText="1"/>
      <protection hidden="1"/>
    </xf>
    <xf numFmtId="0" fontId="231" fillId="5" borderId="22" xfId="0" applyFont="1" applyFill="1" applyBorder="1" applyAlignment="1" applyProtection="1">
      <alignment horizontal="center" vertical="center" wrapText="1"/>
      <protection hidden="1"/>
    </xf>
    <xf numFmtId="0" fontId="231" fillId="5" borderId="67" xfId="0" applyFont="1" applyFill="1" applyBorder="1" applyAlignment="1" applyProtection="1">
      <alignment horizontal="center" vertical="center" wrapText="1"/>
      <protection hidden="1"/>
    </xf>
    <xf numFmtId="0" fontId="56" fillId="0" borderId="5" xfId="0" applyFont="1" applyBorder="1" applyAlignment="1" applyProtection="1">
      <alignment horizontal="center" vertical="center" wrapText="1"/>
      <protection hidden="1"/>
    </xf>
    <xf numFmtId="0" fontId="56" fillId="0" borderId="0" xfId="0" applyFont="1" applyAlignment="1" applyProtection="1">
      <alignment horizontal="center" vertical="center" wrapText="1"/>
      <protection hidden="1"/>
    </xf>
    <xf numFmtId="0" fontId="42" fillId="3" borderId="13" xfId="0" applyFont="1" applyFill="1" applyBorder="1" applyAlignment="1" applyProtection="1">
      <alignment horizontal="left" vertical="center" wrapText="1"/>
      <protection hidden="1"/>
    </xf>
    <xf numFmtId="0" fontId="42" fillId="3" borderId="14" xfId="0" applyFont="1" applyFill="1" applyBorder="1" applyAlignment="1" applyProtection="1">
      <alignment horizontal="left" vertical="center" wrapText="1"/>
      <protection hidden="1"/>
    </xf>
    <xf numFmtId="0" fontId="5" fillId="6" borderId="31" xfId="0" applyFont="1" applyFill="1" applyBorder="1" applyAlignment="1" applyProtection="1">
      <alignment horizontal="center" vertical="center" wrapText="1"/>
      <protection hidden="1"/>
    </xf>
    <xf numFmtId="0" fontId="50" fillId="5" borderId="63" xfId="0" applyFont="1" applyFill="1" applyBorder="1" applyAlignment="1" applyProtection="1">
      <alignment horizontal="center" vertical="center" wrapText="1"/>
      <protection hidden="1"/>
    </xf>
    <xf numFmtId="0" fontId="50" fillId="5" borderId="58" xfId="0" applyFont="1" applyFill="1" applyBorder="1" applyAlignment="1" applyProtection="1">
      <alignment horizontal="center" vertical="center" wrapText="1"/>
      <protection hidden="1"/>
    </xf>
    <xf numFmtId="0" fontId="76" fillId="6" borderId="13" xfId="0" applyFont="1" applyFill="1" applyBorder="1" applyAlignment="1" applyProtection="1">
      <alignment horizontal="center" vertical="center" textRotation="90"/>
      <protection hidden="1"/>
    </xf>
    <xf numFmtId="0" fontId="76" fillId="6" borderId="17" xfId="0" applyFont="1" applyFill="1" applyBorder="1" applyAlignment="1" applyProtection="1">
      <alignment horizontal="center" vertical="center" textRotation="90"/>
      <protection hidden="1"/>
    </xf>
    <xf numFmtId="0" fontId="76" fillId="6" borderId="21" xfId="0" applyFont="1" applyFill="1" applyBorder="1" applyAlignment="1" applyProtection="1">
      <alignment horizontal="center" vertical="center" textRotation="90"/>
      <protection hidden="1"/>
    </xf>
    <xf numFmtId="0" fontId="231" fillId="5" borderId="30" xfId="0" applyFont="1" applyFill="1" applyBorder="1" applyAlignment="1" applyProtection="1">
      <alignment horizontal="center" vertical="center" wrapText="1"/>
      <protection hidden="1"/>
    </xf>
    <xf numFmtId="0" fontId="157" fillId="28" borderId="28" xfId="0" applyFont="1" applyFill="1" applyBorder="1" applyAlignment="1" applyProtection="1">
      <alignment horizontal="center" vertical="center" wrapText="1" readingOrder="1"/>
      <protection hidden="1"/>
    </xf>
    <xf numFmtId="0" fontId="157" fillId="28" borderId="1" xfId="0" applyFont="1" applyFill="1" applyBorder="1" applyAlignment="1" applyProtection="1">
      <alignment horizontal="center" vertical="center" wrapText="1" readingOrder="1"/>
      <protection hidden="1"/>
    </xf>
    <xf numFmtId="0" fontId="157" fillId="28" borderId="62" xfId="0" applyFont="1" applyFill="1" applyBorder="1" applyAlignment="1" applyProtection="1">
      <alignment horizontal="center" vertical="center" wrapText="1" readingOrder="1"/>
      <protection hidden="1"/>
    </xf>
    <xf numFmtId="0" fontId="81" fillId="23" borderId="4" xfId="0" applyFont="1" applyFill="1" applyBorder="1" applyAlignment="1" applyProtection="1">
      <alignment horizontal="center" vertical="center" wrapText="1" readingOrder="1"/>
      <protection hidden="1"/>
    </xf>
    <xf numFmtId="0" fontId="157" fillId="59" borderId="1" xfId="0" applyFont="1" applyFill="1" applyBorder="1" applyAlignment="1" applyProtection="1">
      <alignment horizontal="center" vertical="center" wrapText="1" readingOrder="1"/>
      <protection hidden="1"/>
    </xf>
    <xf numFmtId="0" fontId="157" fillId="59" borderId="62" xfId="0" applyFont="1" applyFill="1" applyBorder="1" applyAlignment="1" applyProtection="1">
      <alignment horizontal="center" vertical="center" wrapText="1" readingOrder="1"/>
      <protection hidden="1"/>
    </xf>
    <xf numFmtId="0" fontId="157" fillId="67" borderId="18" xfId="0" applyFont="1" applyFill="1" applyBorder="1" applyAlignment="1" applyProtection="1">
      <alignment horizontal="center" vertical="center" wrapText="1" readingOrder="1"/>
      <protection hidden="1"/>
    </xf>
    <xf numFmtId="0" fontId="157" fillId="31" borderId="18" xfId="0" applyFont="1" applyFill="1" applyBorder="1" applyAlignment="1" applyProtection="1">
      <alignment horizontal="center" vertical="center" wrapText="1" readingOrder="1"/>
      <protection hidden="1"/>
    </xf>
    <xf numFmtId="0" fontId="310" fillId="26" borderId="86" xfId="0" applyFont="1" applyFill="1" applyBorder="1" applyAlignment="1" applyProtection="1">
      <alignment horizontal="center" vertical="center" wrapText="1" readingOrder="1"/>
      <protection hidden="1"/>
    </xf>
    <xf numFmtId="0" fontId="310" fillId="26" borderId="39" xfId="0" applyFont="1" applyFill="1" applyBorder="1" applyAlignment="1" applyProtection="1">
      <alignment horizontal="center" vertical="center" wrapText="1" readingOrder="1"/>
      <protection hidden="1"/>
    </xf>
    <xf numFmtId="0" fontId="113" fillId="66" borderId="35" xfId="0" applyFont="1" applyFill="1" applyBorder="1" applyAlignment="1" applyProtection="1">
      <alignment horizontal="center" vertical="center" textRotation="90"/>
      <protection hidden="1"/>
    </xf>
    <xf numFmtId="0" fontId="113" fillId="66" borderId="34" xfId="0" applyFont="1" applyFill="1" applyBorder="1" applyAlignment="1" applyProtection="1">
      <alignment horizontal="center" vertical="center" textRotation="90"/>
      <protection hidden="1"/>
    </xf>
    <xf numFmtId="0" fontId="113" fillId="66" borderId="38" xfId="0" applyFont="1" applyFill="1" applyBorder="1" applyAlignment="1" applyProtection="1">
      <alignment horizontal="center" vertical="center" textRotation="90"/>
      <protection hidden="1"/>
    </xf>
    <xf numFmtId="0" fontId="310" fillId="68" borderId="1" xfId="0" applyFont="1" applyFill="1" applyBorder="1" applyAlignment="1" applyProtection="1">
      <alignment horizontal="center" vertical="center" wrapText="1" readingOrder="1"/>
      <protection hidden="1"/>
    </xf>
    <xf numFmtId="0" fontId="310" fillId="68" borderId="62" xfId="0" applyFont="1" applyFill="1" applyBorder="1" applyAlignment="1" applyProtection="1">
      <alignment horizontal="center" vertical="center" wrapText="1" readingOrder="1"/>
      <protection hidden="1"/>
    </xf>
    <xf numFmtId="0" fontId="272" fillId="59" borderId="1" xfId="0" applyFont="1" applyFill="1" applyBorder="1" applyAlignment="1" applyProtection="1">
      <alignment horizontal="center" vertical="center" wrapText="1" readingOrder="1"/>
      <protection hidden="1"/>
    </xf>
    <xf numFmtId="0" fontId="272" fillId="59" borderId="62" xfId="0" applyFont="1" applyFill="1" applyBorder="1" applyAlignment="1" applyProtection="1">
      <alignment horizontal="center" vertical="center" wrapText="1" readingOrder="1"/>
      <protection hidden="1"/>
    </xf>
    <xf numFmtId="0" fontId="272" fillId="24" borderId="33" xfId="0" applyFont="1" applyFill="1" applyBorder="1" applyAlignment="1" applyProtection="1">
      <alignment horizontal="center" vertical="center" wrapText="1" readingOrder="1"/>
      <protection hidden="1"/>
    </xf>
    <xf numFmtId="0" fontId="10" fillId="6" borderId="31" xfId="0" applyFont="1" applyFill="1" applyBorder="1" applyAlignment="1" applyProtection="1">
      <alignment horizontal="center" vertical="center" wrapText="1"/>
      <protection hidden="1"/>
    </xf>
    <xf numFmtId="0" fontId="10" fillId="6" borderId="1" xfId="0" applyFont="1" applyFill="1" applyBorder="1" applyAlignment="1" applyProtection="1">
      <alignment horizontal="center" vertical="center" wrapText="1"/>
      <protection hidden="1"/>
    </xf>
    <xf numFmtId="0" fontId="10" fillId="6" borderId="30" xfId="0" applyFont="1" applyFill="1" applyBorder="1" applyAlignment="1" applyProtection="1">
      <alignment horizontal="center" vertical="center" wrapText="1"/>
      <protection hidden="1"/>
    </xf>
    <xf numFmtId="0" fontId="5" fillId="5" borderId="18" xfId="0" applyFont="1" applyFill="1" applyBorder="1" applyAlignment="1" applyProtection="1">
      <alignment horizontal="center" vertical="center" wrapText="1"/>
      <protection hidden="1"/>
    </xf>
    <xf numFmtId="0" fontId="5" fillId="5" borderId="28" xfId="0" applyFont="1" applyFill="1" applyBorder="1" applyAlignment="1" applyProtection="1">
      <alignment horizontal="center" vertical="center" wrapText="1"/>
      <protection hidden="1"/>
    </xf>
    <xf numFmtId="0" fontId="272" fillId="28" borderId="1" xfId="0" applyFont="1" applyFill="1" applyBorder="1" applyAlignment="1" applyProtection="1">
      <alignment horizontal="center" vertical="center" wrapText="1" readingOrder="1"/>
      <protection hidden="1"/>
    </xf>
    <xf numFmtId="0" fontId="272" fillId="28" borderId="62" xfId="0" applyFont="1" applyFill="1" applyBorder="1" applyAlignment="1" applyProtection="1">
      <alignment horizontal="center" vertical="center" wrapText="1" readingOrder="1"/>
      <protection hidden="1"/>
    </xf>
    <xf numFmtId="0" fontId="306" fillId="31" borderId="17" xfId="0" applyFont="1" applyFill="1" applyBorder="1" applyAlignment="1" applyProtection="1">
      <alignment horizontal="center" vertical="center" wrapText="1" readingOrder="1"/>
      <protection hidden="1"/>
    </xf>
    <xf numFmtId="0" fontId="306" fillId="31" borderId="18" xfId="0" applyFont="1" applyFill="1" applyBorder="1" applyAlignment="1" applyProtection="1">
      <alignment horizontal="center" vertical="center" wrapText="1" readingOrder="1"/>
      <protection hidden="1"/>
    </xf>
    <xf numFmtId="0" fontId="5" fillId="0" borderId="66" xfId="0" applyFont="1" applyBorder="1" applyAlignment="1" applyProtection="1">
      <alignment horizontal="center" vertical="center" wrapText="1"/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0" borderId="65" xfId="0" applyFont="1" applyBorder="1" applyAlignment="1" applyProtection="1">
      <alignment horizontal="center" vertical="center" wrapText="1"/>
      <protection hidden="1"/>
    </xf>
    <xf numFmtId="0" fontId="3" fillId="0" borderId="63" xfId="0" applyFont="1" applyBorder="1" applyAlignment="1" applyProtection="1">
      <alignment horizontal="center" vertical="center" wrapText="1"/>
      <protection hidden="1"/>
    </xf>
    <xf numFmtId="0" fontId="3" fillId="0" borderId="73" xfId="0" applyFont="1" applyBorder="1" applyAlignment="1" applyProtection="1">
      <alignment horizontal="center" vertical="center" wrapText="1"/>
      <protection hidden="1"/>
    </xf>
    <xf numFmtId="0" fontId="3" fillId="0" borderId="58" xfId="0" applyFont="1" applyBorder="1" applyAlignment="1" applyProtection="1">
      <alignment horizontal="center" vertical="center" wrapText="1"/>
      <protection hidden="1"/>
    </xf>
    <xf numFmtId="0" fontId="43" fillId="0" borderId="12" xfId="0" applyFont="1" applyBorder="1" applyAlignment="1" applyProtection="1">
      <alignment horizontal="center" vertical="center" wrapText="1"/>
      <protection hidden="1"/>
    </xf>
    <xf numFmtId="0" fontId="43" fillId="0" borderId="80" xfId="0" applyFont="1" applyBorder="1" applyAlignment="1" applyProtection="1">
      <alignment horizontal="center" vertical="center" wrapText="1"/>
      <protection hidden="1"/>
    </xf>
    <xf numFmtId="0" fontId="3" fillId="0" borderId="24" xfId="0" applyFont="1" applyBorder="1" applyAlignment="1" applyProtection="1">
      <alignment horizontal="center" vertical="center" wrapText="1"/>
      <protection hidden="1"/>
    </xf>
    <xf numFmtId="0" fontId="3" fillId="0" borderId="25" xfId="0" applyFont="1" applyBorder="1" applyAlignment="1" applyProtection="1">
      <alignment horizontal="center" vertical="center" wrapText="1"/>
      <protection hidden="1"/>
    </xf>
    <xf numFmtId="0" fontId="3" fillId="0" borderId="26" xfId="0" applyFont="1" applyBorder="1" applyAlignment="1" applyProtection="1">
      <alignment horizontal="center" vertical="center" wrapText="1"/>
      <protection hidden="1"/>
    </xf>
    <xf numFmtId="0" fontId="275" fillId="26" borderId="81" xfId="0" applyFont="1" applyFill="1" applyBorder="1" applyAlignment="1" applyProtection="1">
      <alignment horizontal="center" vertical="center" textRotation="90"/>
      <protection hidden="1"/>
    </xf>
    <xf numFmtId="0" fontId="275" fillId="26" borderId="90" xfId="0" applyFont="1" applyFill="1" applyBorder="1" applyAlignment="1" applyProtection="1">
      <alignment horizontal="center" vertical="center" textRotation="90"/>
      <protection hidden="1"/>
    </xf>
    <xf numFmtId="0" fontId="157" fillId="67" borderId="17" xfId="0" applyFont="1" applyFill="1" applyBorder="1" applyAlignment="1" applyProtection="1">
      <alignment horizontal="center" vertical="center" wrapText="1" readingOrder="1"/>
      <protection hidden="1"/>
    </xf>
    <xf numFmtId="0" fontId="157" fillId="67" borderId="28" xfId="0" applyFont="1" applyFill="1" applyBorder="1" applyAlignment="1" applyProtection="1">
      <alignment horizontal="center" vertical="center" wrapText="1" readingOrder="1"/>
      <protection hidden="1"/>
    </xf>
    <xf numFmtId="0" fontId="157" fillId="67" borderId="62" xfId="0" applyFont="1" applyFill="1" applyBorder="1" applyAlignment="1" applyProtection="1">
      <alignment horizontal="center" vertical="center" wrapText="1" readingOrder="1"/>
      <protection hidden="1"/>
    </xf>
    <xf numFmtId="0" fontId="157" fillId="31" borderId="17" xfId="0" applyFont="1" applyFill="1" applyBorder="1" applyAlignment="1" applyProtection="1">
      <alignment horizontal="center" vertical="center" wrapText="1" readingOrder="1"/>
      <protection hidden="1"/>
    </xf>
    <xf numFmtId="0" fontId="76" fillId="27" borderId="38" xfId="0" applyFont="1" applyFill="1" applyBorder="1" applyAlignment="1" applyProtection="1">
      <alignment horizontal="center" vertical="center" wrapText="1"/>
      <protection hidden="1"/>
    </xf>
    <xf numFmtId="0" fontId="76" fillId="27" borderId="39" xfId="0" applyFont="1" applyFill="1" applyBorder="1" applyAlignment="1" applyProtection="1">
      <alignment horizontal="center" vertical="center" wrapText="1"/>
      <protection hidden="1"/>
    </xf>
    <xf numFmtId="0" fontId="272" fillId="30" borderId="79" xfId="0" applyFont="1" applyFill="1" applyBorder="1" applyAlignment="1" applyProtection="1">
      <alignment horizontal="center" vertical="center" wrapText="1" readingOrder="1"/>
      <protection hidden="1"/>
    </xf>
    <xf numFmtId="0" fontId="272" fillId="30" borderId="70" xfId="0" applyFont="1" applyFill="1" applyBorder="1" applyAlignment="1" applyProtection="1">
      <alignment horizontal="center" vertical="center" wrapText="1" readingOrder="1"/>
      <protection hidden="1"/>
    </xf>
    <xf numFmtId="0" fontId="33" fillId="33" borderId="0" xfId="0" applyFont="1" applyFill="1" applyAlignment="1" applyProtection="1">
      <alignment horizontal="center" vertical="center" textRotation="90" wrapText="1"/>
      <protection hidden="1"/>
    </xf>
    <xf numFmtId="0" fontId="33" fillId="33" borderId="39" xfId="0" applyFont="1" applyFill="1" applyBorder="1" applyAlignment="1" applyProtection="1">
      <alignment horizontal="center" vertical="center" textRotation="90" wrapText="1"/>
      <protection hidden="1"/>
    </xf>
    <xf numFmtId="0" fontId="275" fillId="29" borderId="36" xfId="0" applyFont="1" applyFill="1" applyBorder="1" applyAlignment="1" applyProtection="1">
      <alignment horizontal="center" vertical="center" textRotation="90"/>
      <protection hidden="1"/>
    </xf>
    <xf numFmtId="0" fontId="275" fillId="29" borderId="0" xfId="0" applyFont="1" applyFill="1" applyAlignment="1" applyProtection="1">
      <alignment horizontal="center" vertical="center" textRotation="90"/>
      <protection hidden="1"/>
    </xf>
    <xf numFmtId="0" fontId="157" fillId="28" borderId="13" xfId="0" applyFont="1" applyFill="1" applyBorder="1" applyAlignment="1" applyProtection="1">
      <alignment horizontal="center" vertical="center" wrapText="1" readingOrder="1"/>
      <protection hidden="1"/>
    </xf>
    <xf numFmtId="0" fontId="157" fillId="28" borderId="14" xfId="0" applyFont="1" applyFill="1" applyBorder="1" applyAlignment="1" applyProtection="1">
      <alignment horizontal="center" vertical="center" wrapText="1" readingOrder="1"/>
      <protection hidden="1"/>
    </xf>
    <xf numFmtId="0" fontId="157" fillId="28" borderId="65" xfId="0" applyFont="1" applyFill="1" applyBorder="1" applyAlignment="1" applyProtection="1">
      <alignment horizontal="center" vertical="center" wrapText="1" readingOrder="1"/>
      <protection hidden="1"/>
    </xf>
    <xf numFmtId="0" fontId="272" fillId="60" borderId="7" xfId="0" applyFont="1" applyFill="1" applyBorder="1" applyAlignment="1" applyProtection="1">
      <alignment horizontal="center" vertical="center" wrapText="1" readingOrder="1"/>
      <protection hidden="1"/>
    </xf>
    <xf numFmtId="0" fontId="272" fillId="60" borderId="24" xfId="0" applyFont="1" applyFill="1" applyBorder="1" applyAlignment="1" applyProtection="1">
      <alignment horizontal="center" vertical="center" wrapText="1" readingOrder="1"/>
      <protection hidden="1"/>
    </xf>
    <xf numFmtId="0" fontId="272" fillId="61" borderId="79" xfId="0" applyFont="1" applyFill="1" applyBorder="1" applyAlignment="1" applyProtection="1">
      <alignment horizontal="center" vertical="center" wrapText="1" readingOrder="1"/>
      <protection hidden="1"/>
    </xf>
    <xf numFmtId="0" fontId="272" fillId="61" borderId="70" xfId="0" applyFont="1" applyFill="1" applyBorder="1" applyAlignment="1" applyProtection="1">
      <alignment horizontal="center" vertical="center" wrapText="1" readingOrder="1"/>
      <protection hidden="1"/>
    </xf>
    <xf numFmtId="0" fontId="190" fillId="68" borderId="62" xfId="0" applyFont="1" applyFill="1" applyBorder="1" applyAlignment="1" applyProtection="1">
      <alignment horizontal="center" vertical="center" wrapText="1" readingOrder="1"/>
      <protection hidden="1"/>
    </xf>
    <xf numFmtId="0" fontId="276" fillId="26" borderId="151" xfId="0" applyFont="1" applyFill="1" applyBorder="1" applyAlignment="1" applyProtection="1">
      <alignment horizontal="center" vertical="center" textRotation="91" wrapText="1"/>
      <protection hidden="1"/>
    </xf>
    <xf numFmtId="0" fontId="276" fillId="26" borderId="145" xfId="0" applyFont="1" applyFill="1" applyBorder="1" applyAlignment="1" applyProtection="1">
      <alignment horizontal="center" vertical="center" textRotation="91" wrapText="1"/>
      <protection hidden="1"/>
    </xf>
    <xf numFmtId="0" fontId="310" fillId="68" borderId="28" xfId="0" applyFont="1" applyFill="1" applyBorder="1" applyAlignment="1" applyProtection="1">
      <alignment horizontal="center" vertical="center" wrapText="1" readingOrder="1"/>
      <protection hidden="1"/>
    </xf>
    <xf numFmtId="0" fontId="235" fillId="68" borderId="28" xfId="0" applyFont="1" applyFill="1" applyBorder="1" applyAlignment="1" applyProtection="1">
      <alignment horizontal="center" vertical="center" wrapText="1" readingOrder="1"/>
      <protection hidden="1"/>
    </xf>
    <xf numFmtId="0" fontId="103" fillId="23" borderId="60" xfId="0" applyFont="1" applyFill="1" applyBorder="1" applyAlignment="1" applyProtection="1">
      <alignment horizontal="center" vertical="center" wrapText="1" readingOrder="1"/>
      <protection hidden="1"/>
    </xf>
    <xf numFmtId="0" fontId="103" fillId="23" borderId="7" xfId="0" applyFont="1" applyFill="1" applyBorder="1" applyAlignment="1" applyProtection="1">
      <alignment horizontal="center" vertical="center" wrapText="1" readingOrder="1"/>
      <protection hidden="1"/>
    </xf>
    <xf numFmtId="0" fontId="368" fillId="24" borderId="1" xfId="0" applyFont="1" applyFill="1" applyBorder="1" applyAlignment="1" applyProtection="1">
      <alignment horizontal="center" vertical="center" wrapText="1" readingOrder="1"/>
      <protection hidden="1"/>
    </xf>
    <xf numFmtId="0" fontId="368" fillId="24" borderId="62" xfId="0" applyFont="1" applyFill="1" applyBorder="1" applyAlignment="1" applyProtection="1">
      <alignment horizontal="center" vertical="center" wrapText="1" readingOrder="1"/>
      <protection hidden="1"/>
    </xf>
    <xf numFmtId="0" fontId="368" fillId="31" borderId="18" xfId="0" applyFont="1" applyFill="1" applyBorder="1" applyAlignment="1" applyProtection="1">
      <alignment horizontal="center" vertical="center" wrapText="1" readingOrder="1"/>
      <protection hidden="1"/>
    </xf>
    <xf numFmtId="0" fontId="235" fillId="68" borderId="11" xfId="0" applyFont="1" applyFill="1" applyBorder="1" applyAlignment="1" applyProtection="1">
      <alignment horizontal="center" vertical="center" wrapText="1" readingOrder="1"/>
      <protection hidden="1"/>
    </xf>
    <xf numFmtId="0" fontId="235" fillId="68" borderId="33" xfId="0" applyFont="1" applyFill="1" applyBorder="1" applyAlignment="1" applyProtection="1">
      <alignment horizontal="center" vertical="center" wrapText="1" readingOrder="1"/>
      <protection hidden="1"/>
    </xf>
    <xf numFmtId="0" fontId="235" fillId="68" borderId="2" xfId="0" applyFont="1" applyFill="1" applyBorder="1" applyAlignment="1" applyProtection="1">
      <alignment horizontal="center" vertical="center" wrapText="1" readingOrder="1"/>
      <protection hidden="1"/>
    </xf>
    <xf numFmtId="0" fontId="103" fillId="23" borderId="77" xfId="0" applyFont="1" applyFill="1" applyBorder="1" applyAlignment="1" applyProtection="1">
      <alignment horizontal="center" vertical="center" wrapText="1" readingOrder="1"/>
      <protection hidden="1"/>
    </xf>
    <xf numFmtId="0" fontId="103" fillId="23" borderId="4" xfId="0" applyFont="1" applyFill="1" applyBorder="1" applyAlignment="1" applyProtection="1">
      <alignment horizontal="center" vertical="center" wrapText="1" readingOrder="1"/>
      <protection hidden="1"/>
    </xf>
    <xf numFmtId="0" fontId="103" fillId="23" borderId="72" xfId="0" applyFont="1" applyFill="1" applyBorder="1" applyAlignment="1" applyProtection="1">
      <alignment horizontal="center" vertical="center" wrapText="1" readingOrder="1"/>
      <protection hidden="1"/>
    </xf>
    <xf numFmtId="0" fontId="292" fillId="63" borderId="168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3" borderId="145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3" borderId="155" xfId="0" applyFont="1" applyFill="1" applyBorder="1" applyAlignment="1" applyProtection="1">
      <alignment horizontal="center" vertical="center" textRotation="90" wrapText="1" readingOrder="1"/>
      <protection hidden="1"/>
    </xf>
    <xf numFmtId="0" fontId="81" fillId="23" borderId="35" xfId="0" applyFont="1" applyFill="1" applyBorder="1" applyAlignment="1" applyProtection="1">
      <alignment horizontal="center" vertical="center" wrapText="1" readingOrder="1"/>
      <protection hidden="1"/>
    </xf>
    <xf numFmtId="0" fontId="81" fillId="23" borderId="34" xfId="0" applyFont="1" applyFill="1" applyBorder="1" applyAlignment="1" applyProtection="1">
      <alignment horizontal="center" vertical="center" wrapText="1" readingOrder="1"/>
      <protection hidden="1"/>
    </xf>
    <xf numFmtId="0" fontId="81" fillId="23" borderId="38" xfId="0" applyFont="1" applyFill="1" applyBorder="1" applyAlignment="1" applyProtection="1">
      <alignment horizontal="center" vertical="center" wrapText="1" readingOrder="1"/>
      <protection hidden="1"/>
    </xf>
    <xf numFmtId="168" fontId="3" fillId="0" borderId="7" xfId="0" applyNumberFormat="1" applyFont="1" applyBorder="1" applyAlignment="1" applyProtection="1">
      <alignment horizontal="center" vertical="center" wrapText="1"/>
      <protection hidden="1"/>
    </xf>
    <xf numFmtId="0" fontId="0" fillId="0" borderId="7" xfId="0" applyBorder="1" applyAlignment="1" applyProtection="1">
      <alignment horizontal="center" vertical="center" wrapText="1"/>
      <protection hidden="1"/>
    </xf>
    <xf numFmtId="0" fontId="0" fillId="0" borderId="24" xfId="0" applyBorder="1" applyAlignment="1" applyProtection="1">
      <alignment horizontal="center" vertical="center" wrapText="1"/>
      <protection hidden="1"/>
    </xf>
    <xf numFmtId="0" fontId="7" fillId="0" borderId="79" xfId="0" applyFont="1" applyBorder="1" applyAlignment="1" applyProtection="1">
      <alignment horizontal="center" vertical="center" wrapText="1" shrinkToFit="1"/>
      <protection hidden="1"/>
    </xf>
    <xf numFmtId="0" fontId="7" fillId="0" borderId="70" xfId="0" applyFont="1" applyBorder="1" applyAlignment="1" applyProtection="1">
      <alignment horizontal="center" vertical="center" wrapText="1" shrinkToFit="1"/>
      <protection hidden="1"/>
    </xf>
    <xf numFmtId="0" fontId="15" fillId="0" borderId="34" xfId="0" applyFont="1" applyBorder="1" applyAlignment="1" applyProtection="1">
      <alignment horizontal="center" vertical="center" wrapText="1"/>
      <protection hidden="1"/>
    </xf>
    <xf numFmtId="0" fontId="15" fillId="0" borderId="70" xfId="0" applyFont="1" applyBorder="1" applyAlignment="1" applyProtection="1">
      <alignment horizontal="center" vertical="center" wrapText="1"/>
      <protection hidden="1"/>
    </xf>
    <xf numFmtId="0" fontId="33" fillId="17" borderId="44" xfId="0" applyFont="1" applyFill="1" applyBorder="1" applyAlignment="1" applyProtection="1">
      <alignment horizontal="center" vertical="center"/>
      <protection hidden="1"/>
    </xf>
    <xf numFmtId="0" fontId="33" fillId="17" borderId="11" xfId="0" applyFont="1" applyFill="1" applyBorder="1" applyAlignment="1" applyProtection="1">
      <alignment horizontal="center" vertical="center"/>
      <protection hidden="1"/>
    </xf>
    <xf numFmtId="0" fontId="33" fillId="17" borderId="34" xfId="0" applyFont="1" applyFill="1" applyBorder="1" applyAlignment="1" applyProtection="1">
      <alignment horizontal="center" vertical="center"/>
      <protection hidden="1"/>
    </xf>
    <xf numFmtId="0" fontId="33" fillId="17" borderId="4" xfId="0" applyFont="1" applyFill="1" applyBorder="1" applyAlignment="1" applyProtection="1">
      <alignment horizontal="center" vertical="center"/>
      <protection hidden="1"/>
    </xf>
    <xf numFmtId="0" fontId="353" fillId="56" borderId="35" xfId="0" applyFont="1" applyFill="1" applyBorder="1" applyAlignment="1" applyProtection="1">
      <alignment horizontal="center" vertical="center" wrapText="1"/>
      <protection hidden="1"/>
    </xf>
    <xf numFmtId="0" fontId="353" fillId="56" borderId="36" xfId="0" applyFont="1" applyFill="1" applyBorder="1" applyAlignment="1" applyProtection="1">
      <alignment horizontal="center" vertical="center" wrapText="1"/>
      <protection hidden="1"/>
    </xf>
    <xf numFmtId="0" fontId="353" fillId="56" borderId="37" xfId="0" applyFont="1" applyFill="1" applyBorder="1" applyAlignment="1" applyProtection="1">
      <alignment horizontal="center" vertical="center" wrapText="1"/>
      <protection hidden="1"/>
    </xf>
    <xf numFmtId="0" fontId="353" fillId="56" borderId="38" xfId="0" applyFont="1" applyFill="1" applyBorder="1" applyAlignment="1" applyProtection="1">
      <alignment horizontal="center" vertical="center" wrapText="1"/>
      <protection hidden="1"/>
    </xf>
    <xf numFmtId="0" fontId="353" fillId="56" borderId="39" xfId="0" applyFont="1" applyFill="1" applyBorder="1" applyAlignment="1" applyProtection="1">
      <alignment horizontal="center" vertical="center" wrapText="1"/>
      <protection hidden="1"/>
    </xf>
    <xf numFmtId="0" fontId="353" fillId="56" borderId="40" xfId="0" applyFont="1" applyFill="1" applyBorder="1" applyAlignment="1" applyProtection="1">
      <alignment horizontal="center" vertical="center" wrapText="1"/>
      <protection hidden="1"/>
    </xf>
    <xf numFmtId="0" fontId="50" fillId="0" borderId="1" xfId="0" applyFont="1" applyBorder="1" applyAlignment="1" applyProtection="1">
      <alignment horizontal="center" vertical="center" wrapText="1"/>
      <protection hidden="1"/>
    </xf>
    <xf numFmtId="0" fontId="122" fillId="32" borderId="63" xfId="0" applyFont="1" applyFill="1" applyBorder="1" applyAlignment="1" applyProtection="1">
      <alignment horizontal="center" vertical="center" wrapText="1"/>
      <protection hidden="1"/>
    </xf>
    <xf numFmtId="0" fontId="122" fillId="32" borderId="73" xfId="0" applyFont="1" applyFill="1" applyBorder="1" applyAlignment="1" applyProtection="1">
      <alignment horizontal="center" vertical="center" wrapText="1"/>
      <protection hidden="1"/>
    </xf>
    <xf numFmtId="0" fontId="122" fillId="32" borderId="58" xfId="0" applyFont="1" applyFill="1" applyBorder="1" applyAlignment="1" applyProtection="1">
      <alignment horizontal="center" vertical="center" wrapText="1"/>
      <protection hidden="1"/>
    </xf>
    <xf numFmtId="0" fontId="272" fillId="67" borderId="11" xfId="0" applyFont="1" applyFill="1" applyBorder="1" applyAlignment="1" applyProtection="1">
      <alignment horizontal="center" vertical="center" wrapText="1" readingOrder="1"/>
      <protection hidden="1"/>
    </xf>
    <xf numFmtId="0" fontId="272" fillId="67" borderId="33" xfId="0" applyFont="1" applyFill="1" applyBorder="1" applyAlignment="1" applyProtection="1">
      <alignment horizontal="center" vertical="center" wrapText="1" readingOrder="1"/>
      <protection hidden="1"/>
    </xf>
    <xf numFmtId="0" fontId="272" fillId="67" borderId="2" xfId="0" applyFont="1" applyFill="1" applyBorder="1" applyAlignment="1" applyProtection="1">
      <alignment horizontal="center" vertical="center" wrapText="1" readingOrder="1"/>
      <protection hidden="1"/>
    </xf>
    <xf numFmtId="0" fontId="272" fillId="59" borderId="31" xfId="0" applyFont="1" applyFill="1" applyBorder="1" applyAlignment="1" applyProtection="1">
      <alignment horizontal="center" vertical="center" wrapText="1" readingOrder="1"/>
      <protection hidden="1"/>
    </xf>
    <xf numFmtId="0" fontId="272" fillId="59" borderId="66" xfId="0" applyFont="1" applyFill="1" applyBorder="1" applyAlignment="1" applyProtection="1">
      <alignment horizontal="center" vertical="center" wrapText="1" readingOrder="1"/>
      <protection hidden="1"/>
    </xf>
    <xf numFmtId="0" fontId="310" fillId="70" borderId="3" xfId="0" applyFont="1" applyFill="1" applyBorder="1" applyAlignment="1" applyProtection="1">
      <alignment horizontal="center" vertical="center" wrapText="1" readingOrder="1"/>
      <protection hidden="1"/>
    </xf>
    <xf numFmtId="0" fontId="76" fillId="33" borderId="35" xfId="0" applyFont="1" applyFill="1" applyBorder="1" applyAlignment="1" applyProtection="1">
      <alignment horizontal="center" vertical="center" textRotation="90" wrapText="1"/>
      <protection hidden="1"/>
    </xf>
    <xf numFmtId="0" fontId="76" fillId="33" borderId="34" xfId="0" applyFont="1" applyFill="1" applyBorder="1" applyAlignment="1" applyProtection="1">
      <alignment horizontal="center" vertical="center" textRotation="90" wrapText="1"/>
      <protection hidden="1"/>
    </xf>
    <xf numFmtId="0" fontId="190" fillId="29" borderId="88" xfId="0" applyFont="1" applyFill="1" applyBorder="1" applyAlignment="1" applyProtection="1">
      <alignment horizontal="center" vertical="center" wrapText="1" readingOrder="1"/>
      <protection hidden="1"/>
    </xf>
    <xf numFmtId="0" fontId="272" fillId="56" borderId="79" xfId="0" applyFont="1" applyFill="1" applyBorder="1" applyAlignment="1" applyProtection="1">
      <alignment horizontal="center" vertical="center" wrapText="1" readingOrder="1"/>
      <protection hidden="1"/>
    </xf>
    <xf numFmtId="0" fontId="272" fillId="56" borderId="70" xfId="0" applyFont="1" applyFill="1" applyBorder="1" applyAlignment="1" applyProtection="1">
      <alignment horizontal="center" vertical="center" wrapText="1" readingOrder="1"/>
      <protection hidden="1"/>
    </xf>
    <xf numFmtId="0" fontId="113" fillId="66" borderId="76" xfId="0" applyFont="1" applyFill="1" applyBorder="1" applyAlignment="1" applyProtection="1">
      <alignment horizontal="center" vertical="center" textRotation="90"/>
      <protection hidden="1"/>
    </xf>
    <xf numFmtId="0" fontId="113" fillId="66" borderId="29" xfId="0" applyFont="1" applyFill="1" applyBorder="1" applyAlignment="1" applyProtection="1">
      <alignment horizontal="center" vertical="center" textRotation="90"/>
      <protection hidden="1"/>
    </xf>
    <xf numFmtId="0" fontId="157" fillId="31" borderId="28" xfId="0" applyFont="1" applyFill="1" applyBorder="1" applyAlignment="1" applyProtection="1">
      <alignment horizontal="center" vertical="center" wrapText="1" readingOrder="1"/>
      <protection hidden="1"/>
    </xf>
    <xf numFmtId="0" fontId="157" fillId="28" borderId="59" xfId="0" applyFont="1" applyFill="1" applyBorder="1" applyAlignment="1" applyProtection="1">
      <alignment horizontal="center" vertical="center" wrapText="1" readingOrder="1"/>
      <protection hidden="1"/>
    </xf>
    <xf numFmtId="0" fontId="157" fillId="28" borderId="31" xfId="0" applyFont="1" applyFill="1" applyBorder="1" applyAlignment="1" applyProtection="1">
      <alignment horizontal="center" vertical="center" wrapText="1" readingOrder="1"/>
      <protection hidden="1"/>
    </xf>
    <xf numFmtId="0" fontId="157" fillId="28" borderId="66" xfId="0" applyFont="1" applyFill="1" applyBorder="1" applyAlignment="1" applyProtection="1">
      <alignment horizontal="center" vertical="center" wrapText="1" readingOrder="1"/>
      <protection hidden="1"/>
    </xf>
    <xf numFmtId="0" fontId="157" fillId="31" borderId="62" xfId="0" applyFont="1" applyFill="1" applyBorder="1" applyAlignment="1" applyProtection="1">
      <alignment horizontal="center" vertical="center" wrapText="1" readingOrder="1"/>
      <protection hidden="1"/>
    </xf>
    <xf numFmtId="0" fontId="190" fillId="26" borderId="68" xfId="0" applyFont="1" applyFill="1" applyBorder="1" applyAlignment="1" applyProtection="1">
      <alignment horizontal="center" vertical="center" wrapText="1" readingOrder="1"/>
      <protection hidden="1"/>
    </xf>
    <xf numFmtId="0" fontId="190" fillId="26" borderId="22" xfId="0" applyFont="1" applyFill="1" applyBorder="1" applyAlignment="1" applyProtection="1">
      <alignment horizontal="center" vertical="center" wrapText="1" readingOrder="1"/>
      <protection hidden="1"/>
    </xf>
    <xf numFmtId="0" fontId="190" fillId="26" borderId="67" xfId="0" applyFont="1" applyFill="1" applyBorder="1" applyAlignment="1" applyProtection="1">
      <alignment horizontal="center" vertical="center" wrapText="1" readingOrder="1"/>
      <protection hidden="1"/>
    </xf>
    <xf numFmtId="0" fontId="272" fillId="63" borderId="79" xfId="0" applyFont="1" applyFill="1" applyBorder="1" applyAlignment="1" applyProtection="1">
      <alignment horizontal="center" vertical="center" wrapText="1" readingOrder="1"/>
      <protection hidden="1"/>
    </xf>
    <xf numFmtId="0" fontId="272" fillId="63" borderId="70" xfId="0" applyFont="1" applyFill="1" applyBorder="1" applyAlignment="1" applyProtection="1">
      <alignment horizontal="center" vertical="center" wrapText="1" readingOrder="1"/>
      <protection hidden="1"/>
    </xf>
    <xf numFmtId="0" fontId="272" fillId="62" borderId="35" xfId="0" applyFont="1" applyFill="1" applyBorder="1" applyAlignment="1" applyProtection="1">
      <alignment horizontal="center" vertical="center" wrapText="1" readingOrder="1"/>
      <protection hidden="1"/>
    </xf>
    <xf numFmtId="0" fontId="272" fillId="62" borderId="34" xfId="0" applyFont="1" applyFill="1" applyBorder="1" applyAlignment="1" applyProtection="1">
      <alignment horizontal="center" vertical="center" wrapText="1" readingOrder="1"/>
      <protection hidden="1"/>
    </xf>
    <xf numFmtId="0" fontId="113" fillId="66" borderId="3" xfId="0" applyFont="1" applyFill="1" applyBorder="1" applyAlignment="1" applyProtection="1">
      <alignment horizontal="center" vertical="center" textRotation="90"/>
      <protection hidden="1"/>
    </xf>
    <xf numFmtId="0" fontId="113" fillId="66" borderId="0" xfId="0" applyFont="1" applyFill="1" applyAlignment="1" applyProtection="1">
      <alignment horizontal="center" vertical="center" textRotation="90"/>
      <protection hidden="1"/>
    </xf>
    <xf numFmtId="0" fontId="82" fillId="23" borderId="79" xfId="0" applyFont="1" applyFill="1" applyBorder="1" applyAlignment="1" applyProtection="1">
      <alignment horizontal="center" vertical="center" textRotation="91" wrapText="1" readingOrder="1"/>
      <protection hidden="1"/>
    </xf>
    <xf numFmtId="0" fontId="82" fillId="23" borderId="8" xfId="0" applyFont="1" applyFill="1" applyBorder="1" applyAlignment="1" applyProtection="1">
      <alignment horizontal="center" vertical="center" textRotation="91" wrapText="1" readingOrder="1"/>
      <protection hidden="1"/>
    </xf>
    <xf numFmtId="0" fontId="120" fillId="17" borderId="63" xfId="0" applyFont="1" applyFill="1" applyBorder="1" applyAlignment="1" applyProtection="1">
      <alignment horizontal="center" vertical="center"/>
      <protection hidden="1"/>
    </xf>
    <xf numFmtId="0" fontId="120" fillId="17" borderId="73" xfId="0" applyFont="1" applyFill="1" applyBorder="1" applyAlignment="1" applyProtection="1">
      <alignment horizontal="center" vertical="center"/>
      <protection hidden="1"/>
    </xf>
    <xf numFmtId="0" fontId="120" fillId="17" borderId="58" xfId="0" applyFont="1" applyFill="1" applyBorder="1" applyAlignment="1" applyProtection="1">
      <alignment horizontal="center" vertical="center"/>
      <protection hidden="1"/>
    </xf>
    <xf numFmtId="0" fontId="43" fillId="0" borderId="75" xfId="0" applyFont="1" applyBorder="1" applyAlignment="1" applyProtection="1">
      <alignment horizontal="center" vertical="center" wrapText="1"/>
      <protection hidden="1"/>
    </xf>
    <xf numFmtId="0" fontId="5" fillId="0" borderId="13" xfId="0" applyFont="1" applyBorder="1" applyAlignment="1" applyProtection="1">
      <alignment horizontal="center" vertical="center" wrapText="1"/>
      <protection hidden="1"/>
    </xf>
    <xf numFmtId="0" fontId="5" fillId="0" borderId="75" xfId="0" applyFont="1" applyBorder="1" applyAlignment="1" applyProtection="1">
      <alignment horizontal="center" vertical="center" wrapText="1"/>
      <protection hidden="1"/>
    </xf>
    <xf numFmtId="1" fontId="122" fillId="32" borderId="62" xfId="0" applyNumberFormat="1" applyFont="1" applyFill="1" applyBorder="1" applyAlignment="1" applyProtection="1">
      <alignment horizontal="center" vertical="center" wrapText="1"/>
      <protection hidden="1"/>
    </xf>
    <xf numFmtId="1" fontId="122" fillId="32" borderId="18" xfId="0" applyNumberFormat="1" applyFont="1" applyFill="1" applyBorder="1" applyAlignment="1" applyProtection="1">
      <alignment horizontal="center" vertical="center" wrapText="1"/>
      <protection hidden="1"/>
    </xf>
    <xf numFmtId="1" fontId="122" fillId="32" borderId="19" xfId="0" applyNumberFormat="1" applyFont="1" applyFill="1" applyBorder="1" applyAlignment="1" applyProtection="1">
      <alignment horizontal="center" vertical="center" wrapText="1"/>
      <protection hidden="1"/>
    </xf>
    <xf numFmtId="1" fontId="186" fillId="0" borderId="62" xfId="0" applyNumberFormat="1" applyFont="1" applyBorder="1" applyAlignment="1" applyProtection="1">
      <alignment horizontal="center" vertical="center" wrapText="1"/>
      <protection hidden="1"/>
    </xf>
    <xf numFmtId="1" fontId="186" fillId="0" borderId="2" xfId="0" applyNumberFormat="1" applyFont="1" applyBorder="1" applyAlignment="1" applyProtection="1">
      <alignment horizontal="center" vertical="center" wrapText="1"/>
      <protection hidden="1"/>
    </xf>
    <xf numFmtId="0" fontId="272" fillId="28" borderId="65" xfId="0" applyFont="1" applyFill="1" applyBorder="1" applyAlignment="1" applyProtection="1">
      <alignment horizontal="center" vertical="center" wrapText="1" readingOrder="1"/>
      <protection hidden="1"/>
    </xf>
    <xf numFmtId="0" fontId="272" fillId="28" borderId="31" xfId="0" applyFont="1" applyFill="1" applyBorder="1" applyAlignment="1" applyProtection="1">
      <alignment horizontal="center" vertical="center" wrapText="1" readingOrder="1"/>
      <protection hidden="1"/>
    </xf>
    <xf numFmtId="0" fontId="272" fillId="28" borderId="66" xfId="0" applyFont="1" applyFill="1" applyBorder="1" applyAlignment="1" applyProtection="1">
      <alignment horizontal="center" vertical="center" wrapText="1" readingOrder="1"/>
      <protection hidden="1"/>
    </xf>
    <xf numFmtId="0" fontId="212" fillId="0" borderId="10" xfId="0" applyFont="1" applyBorder="1" applyAlignment="1" applyProtection="1">
      <alignment horizontal="center" vertical="center" wrapText="1"/>
      <protection hidden="1"/>
    </xf>
    <xf numFmtId="0" fontId="212" fillId="0" borderId="85" xfId="0" applyFont="1" applyBorder="1" applyAlignment="1" applyProtection="1">
      <alignment horizontal="center" vertical="center" wrapText="1"/>
      <protection hidden="1"/>
    </xf>
    <xf numFmtId="0" fontId="76" fillId="27" borderId="58" xfId="0" applyFont="1" applyFill="1" applyBorder="1" applyAlignment="1" applyProtection="1">
      <alignment horizontal="center" vertical="center" wrapText="1"/>
      <protection hidden="1"/>
    </xf>
    <xf numFmtId="0" fontId="238" fillId="26" borderId="89" xfId="0" applyFont="1" applyFill="1" applyBorder="1" applyAlignment="1" applyProtection="1">
      <alignment horizontal="center" vertical="center" textRotation="90"/>
      <protection hidden="1"/>
    </xf>
    <xf numFmtId="0" fontId="238" fillId="26" borderId="81" xfId="0" applyFont="1" applyFill="1" applyBorder="1" applyAlignment="1" applyProtection="1">
      <alignment horizontal="center" vertical="center" textRotation="90"/>
      <protection hidden="1"/>
    </xf>
    <xf numFmtId="0" fontId="226" fillId="30" borderId="79" xfId="0" applyFont="1" applyFill="1" applyBorder="1" applyAlignment="1" applyProtection="1">
      <alignment horizontal="center" vertical="center" wrapText="1" readingOrder="1"/>
      <protection hidden="1"/>
    </xf>
    <xf numFmtId="0" fontId="226" fillId="30" borderId="70" xfId="0" applyFont="1" applyFill="1" applyBorder="1" applyAlignment="1" applyProtection="1">
      <alignment horizontal="center" vertical="center" wrapText="1" readingOrder="1"/>
      <protection hidden="1"/>
    </xf>
    <xf numFmtId="0" fontId="226" fillId="30" borderId="8" xfId="0" applyFont="1" applyFill="1" applyBorder="1" applyAlignment="1" applyProtection="1">
      <alignment horizontal="center" vertical="center" wrapText="1" readingOrder="1"/>
      <protection hidden="1"/>
    </xf>
    <xf numFmtId="0" fontId="274" fillId="33" borderId="150" xfId="0" applyFont="1" applyFill="1" applyBorder="1" applyAlignment="1" applyProtection="1">
      <alignment horizontal="center" vertical="center" textRotation="90" wrapText="1"/>
      <protection hidden="1"/>
    </xf>
    <xf numFmtId="0" fontId="274" fillId="33" borderId="148" xfId="0" applyFont="1" applyFill="1" applyBorder="1" applyAlignment="1" applyProtection="1">
      <alignment horizontal="center" vertical="center" textRotation="90" wrapText="1"/>
      <protection hidden="1"/>
    </xf>
    <xf numFmtId="0" fontId="274" fillId="33" borderId="152" xfId="0" applyFont="1" applyFill="1" applyBorder="1" applyAlignment="1" applyProtection="1">
      <alignment horizontal="center" vertical="center" textRotation="90" wrapText="1"/>
      <protection hidden="1"/>
    </xf>
    <xf numFmtId="0" fontId="226" fillId="56" borderId="89" xfId="0" applyFont="1" applyFill="1" applyBorder="1" applyAlignment="1" applyProtection="1">
      <alignment horizontal="center" vertical="center" wrapText="1" readingOrder="1"/>
      <protection hidden="1"/>
    </xf>
    <xf numFmtId="0" fontId="226" fillId="56" borderId="81" xfId="0" applyFont="1" applyFill="1" applyBorder="1" applyAlignment="1" applyProtection="1">
      <alignment horizontal="center" vertical="center" wrapText="1" readingOrder="1"/>
      <protection hidden="1"/>
    </xf>
    <xf numFmtId="0" fontId="226" fillId="56" borderId="90" xfId="0" applyFont="1" applyFill="1" applyBorder="1" applyAlignment="1" applyProtection="1">
      <alignment horizontal="center" vertical="center" wrapText="1" readingOrder="1"/>
      <protection hidden="1"/>
    </xf>
    <xf numFmtId="0" fontId="226" fillId="61" borderId="89" xfId="0" applyFont="1" applyFill="1" applyBorder="1" applyAlignment="1" applyProtection="1">
      <alignment horizontal="center" vertical="center" wrapText="1" readingOrder="1"/>
      <protection hidden="1"/>
    </xf>
    <xf numFmtId="0" fontId="226" fillId="61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1" borderId="90" xfId="0" applyFont="1" applyFill="1" applyBorder="1" applyAlignment="1" applyProtection="1">
      <alignment horizontal="center" vertical="center" wrapText="1" readingOrder="1"/>
      <protection hidden="1"/>
    </xf>
    <xf numFmtId="0" fontId="226" fillId="62" borderId="89" xfId="0" applyFont="1" applyFill="1" applyBorder="1" applyAlignment="1" applyProtection="1">
      <alignment horizontal="center" vertical="center" wrapText="1" readingOrder="1"/>
      <protection hidden="1"/>
    </xf>
    <xf numFmtId="0" fontId="226" fillId="62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2" borderId="90" xfId="0" applyFont="1" applyFill="1" applyBorder="1" applyAlignment="1" applyProtection="1">
      <alignment horizontal="center" vertical="center" wrapText="1" readingOrder="1"/>
      <protection hidden="1"/>
    </xf>
    <xf numFmtId="0" fontId="226" fillId="63" borderId="89" xfId="0" applyFont="1" applyFill="1" applyBorder="1" applyAlignment="1" applyProtection="1">
      <alignment horizontal="center" vertical="center" wrapText="1" readingOrder="1"/>
      <protection hidden="1"/>
    </xf>
    <xf numFmtId="0" fontId="226" fillId="63" borderId="81" xfId="0" applyFont="1" applyFill="1" applyBorder="1" applyAlignment="1" applyProtection="1">
      <alignment horizontal="center" vertical="center" wrapText="1" readingOrder="1"/>
      <protection hidden="1"/>
    </xf>
    <xf numFmtId="0" fontId="226" fillId="63" borderId="90" xfId="0" applyFont="1" applyFill="1" applyBorder="1" applyAlignment="1" applyProtection="1">
      <alignment horizontal="center" vertical="center" wrapText="1" readingOrder="1"/>
      <protection hidden="1"/>
    </xf>
    <xf numFmtId="0" fontId="82" fillId="23" borderId="1" xfId="0" applyFont="1" applyFill="1" applyBorder="1" applyAlignment="1" applyProtection="1">
      <alignment horizontal="center" vertical="center" wrapText="1" readingOrder="1"/>
      <protection hidden="1"/>
    </xf>
    <xf numFmtId="0" fontId="129" fillId="0" borderId="24" xfId="0" applyFont="1" applyBorder="1" applyAlignment="1" applyProtection="1">
      <alignment horizontal="center"/>
      <protection hidden="1"/>
    </xf>
    <xf numFmtId="0" fontId="129" fillId="0" borderId="25" xfId="0" applyFont="1" applyBorder="1" applyAlignment="1" applyProtection="1">
      <alignment horizontal="center"/>
      <protection hidden="1"/>
    </xf>
    <xf numFmtId="0" fontId="129" fillId="0" borderId="26" xfId="0" applyFont="1" applyBorder="1" applyAlignment="1" applyProtection="1">
      <alignment horizontal="center"/>
      <protection hidden="1"/>
    </xf>
    <xf numFmtId="0" fontId="212" fillId="0" borderId="170" xfId="0" applyFont="1" applyBorder="1" applyAlignment="1" applyProtection="1">
      <alignment horizontal="center" vertical="center" wrapText="1"/>
      <protection hidden="1"/>
    </xf>
    <xf numFmtId="0" fontId="212" fillId="0" borderId="171" xfId="0" applyFont="1" applyBorder="1" applyAlignment="1" applyProtection="1">
      <alignment horizontal="center" vertical="center" wrapText="1"/>
      <protection hidden="1"/>
    </xf>
    <xf numFmtId="0" fontId="212" fillId="0" borderId="172" xfId="0" applyFont="1" applyBorder="1" applyAlignment="1" applyProtection="1">
      <alignment horizontal="center" vertical="center" wrapText="1"/>
      <protection hidden="1"/>
    </xf>
    <xf numFmtId="0" fontId="212" fillId="0" borderId="5" xfId="0" applyFont="1" applyBorder="1" applyAlignment="1" applyProtection="1">
      <alignment horizontal="center" vertical="center" wrapText="1"/>
      <protection hidden="1"/>
    </xf>
    <xf numFmtId="0" fontId="212" fillId="0" borderId="0" xfId="0" applyFont="1" applyAlignment="1" applyProtection="1">
      <alignment horizontal="center" vertical="center" wrapText="1"/>
      <protection hidden="1"/>
    </xf>
    <xf numFmtId="0" fontId="212" fillId="0" borderId="29" xfId="0" applyFont="1" applyBorder="1" applyAlignment="1" applyProtection="1">
      <alignment horizontal="center" vertical="center" wrapText="1"/>
      <protection hidden="1"/>
    </xf>
    <xf numFmtId="0" fontId="214" fillId="0" borderId="173" xfId="0" applyFont="1" applyBorder="1" applyAlignment="1" applyProtection="1">
      <alignment horizontal="center"/>
      <protection hidden="1"/>
    </xf>
    <xf numFmtId="0" fontId="214" fillId="0" borderId="174" xfId="0" applyFont="1" applyBorder="1" applyAlignment="1" applyProtection="1">
      <alignment horizontal="center"/>
      <protection hidden="1"/>
    </xf>
    <xf numFmtId="0" fontId="214" fillId="0" borderId="175" xfId="0" applyFont="1" applyBorder="1" applyAlignment="1" applyProtection="1">
      <alignment horizontal="center"/>
      <protection hidden="1"/>
    </xf>
    <xf numFmtId="0" fontId="288" fillId="31" borderId="17" xfId="0" applyFont="1" applyFill="1" applyBorder="1" applyAlignment="1" applyProtection="1">
      <alignment horizontal="center" vertical="center" wrapText="1" readingOrder="1"/>
      <protection hidden="1"/>
    </xf>
    <xf numFmtId="0" fontId="288" fillId="31" borderId="18" xfId="0" applyFont="1" applyFill="1" applyBorder="1" applyAlignment="1" applyProtection="1">
      <alignment horizontal="center" vertical="center" wrapText="1" readingOrder="1"/>
      <protection hidden="1"/>
    </xf>
    <xf numFmtId="0" fontId="288" fillId="67" borderId="17" xfId="0" applyFont="1" applyFill="1" applyBorder="1" applyAlignment="1" applyProtection="1">
      <alignment horizontal="center" vertical="center" wrapText="1" readingOrder="1"/>
      <protection hidden="1"/>
    </xf>
    <xf numFmtId="0" fontId="288" fillId="67" borderId="18" xfId="0" applyFont="1" applyFill="1" applyBorder="1" applyAlignment="1" applyProtection="1">
      <alignment horizontal="center" vertical="center" wrapText="1" readingOrder="1"/>
      <protection hidden="1"/>
    </xf>
    <xf numFmtId="0" fontId="288" fillId="67" borderId="28" xfId="0" applyFont="1" applyFill="1" applyBorder="1" applyAlignment="1" applyProtection="1">
      <alignment horizontal="center" vertical="center" wrapText="1" readingOrder="1"/>
      <protection hidden="1"/>
    </xf>
    <xf numFmtId="0" fontId="288" fillId="60" borderId="1" xfId="0" applyFont="1" applyFill="1" applyBorder="1" applyAlignment="1" applyProtection="1">
      <alignment horizontal="center" vertical="center" wrapText="1" readingOrder="1"/>
      <protection hidden="1"/>
    </xf>
    <xf numFmtId="0" fontId="288" fillId="60" borderId="62" xfId="0" applyFont="1" applyFill="1" applyBorder="1" applyAlignment="1" applyProtection="1">
      <alignment horizontal="center" vertical="center" wrapText="1" readingOrder="1"/>
      <protection hidden="1"/>
    </xf>
    <xf numFmtId="0" fontId="288" fillId="24" borderId="1" xfId="0" applyFont="1" applyFill="1" applyBorder="1" applyAlignment="1" applyProtection="1">
      <alignment horizontal="center" vertical="center" wrapText="1" readingOrder="1"/>
      <protection hidden="1"/>
    </xf>
    <xf numFmtId="0" fontId="288" fillId="24" borderId="62" xfId="0" applyFont="1" applyFill="1" applyBorder="1" applyAlignment="1" applyProtection="1">
      <alignment horizontal="center" vertical="center" wrapText="1" readingOrder="1"/>
      <protection hidden="1"/>
    </xf>
    <xf numFmtId="0" fontId="81" fillId="23" borderId="27" xfId="0" applyFont="1" applyFill="1" applyBorder="1" applyAlignment="1" applyProtection="1">
      <alignment horizontal="center" vertical="center" wrapText="1" readingOrder="1"/>
      <protection hidden="1"/>
    </xf>
    <xf numFmtId="0" fontId="288" fillId="31" borderId="62" xfId="0" applyFont="1" applyFill="1" applyBorder="1" applyAlignment="1" applyProtection="1">
      <alignment horizontal="center" vertical="center" wrapText="1" readingOrder="1"/>
      <protection hidden="1"/>
    </xf>
    <xf numFmtId="0" fontId="190" fillId="68" borderId="1" xfId="0" applyFont="1" applyFill="1" applyBorder="1" applyAlignment="1" applyProtection="1">
      <alignment horizontal="center" vertical="center" wrapText="1" readingOrder="1"/>
      <protection hidden="1"/>
    </xf>
    <xf numFmtId="0" fontId="288" fillId="67" borderId="62" xfId="0" applyFont="1" applyFill="1" applyBorder="1" applyAlignment="1" applyProtection="1">
      <alignment horizontal="center" vertical="center" wrapText="1" readingOrder="1"/>
      <protection hidden="1"/>
    </xf>
    <xf numFmtId="0" fontId="226" fillId="30" borderId="89" xfId="0" applyFont="1" applyFill="1" applyBorder="1" applyAlignment="1" applyProtection="1">
      <alignment horizontal="center" vertical="center" wrapText="1" readingOrder="1"/>
      <protection hidden="1"/>
    </xf>
    <xf numFmtId="0" fontId="226" fillId="30" borderId="81" xfId="0" applyFont="1" applyFill="1" applyBorder="1" applyAlignment="1" applyProtection="1">
      <alignment horizontal="center" vertical="center" wrapText="1" readingOrder="1"/>
      <protection hidden="1"/>
    </xf>
    <xf numFmtId="0" fontId="226" fillId="30" borderId="90" xfId="0" applyFont="1" applyFill="1" applyBorder="1" applyAlignment="1" applyProtection="1">
      <alignment horizontal="center" vertical="center" wrapText="1" readingOrder="1"/>
      <protection hidden="1"/>
    </xf>
    <xf numFmtId="0" fontId="103" fillId="23" borderId="79" xfId="0" applyFont="1" applyFill="1" applyBorder="1" applyAlignment="1" applyProtection="1">
      <alignment horizontal="center" vertical="center" wrapText="1" readingOrder="1"/>
      <protection hidden="1"/>
    </xf>
    <xf numFmtId="0" fontId="103" fillId="23" borderId="70" xfId="0" applyFont="1" applyFill="1" applyBorder="1" applyAlignment="1" applyProtection="1">
      <alignment horizontal="center" vertical="center" wrapText="1" readingOrder="1"/>
      <protection hidden="1"/>
    </xf>
    <xf numFmtId="0" fontId="103" fillId="23" borderId="8" xfId="0" applyFont="1" applyFill="1" applyBorder="1" applyAlignment="1" applyProtection="1">
      <alignment horizontal="center" vertical="center" wrapText="1" readingOrder="1"/>
      <protection hidden="1"/>
    </xf>
    <xf numFmtId="0" fontId="310" fillId="29" borderId="143" xfId="0" applyFont="1" applyFill="1" applyBorder="1" applyAlignment="1" applyProtection="1">
      <alignment horizontal="center" vertical="center" wrapText="1" readingOrder="1"/>
      <protection hidden="1"/>
    </xf>
    <xf numFmtId="0" fontId="310" fillId="29" borderId="144" xfId="0" applyFont="1" applyFill="1" applyBorder="1" applyAlignment="1" applyProtection="1">
      <alignment horizontal="center" vertical="center" wrapText="1" readingOrder="1"/>
      <protection hidden="1"/>
    </xf>
    <xf numFmtId="0" fontId="292" fillId="62" borderId="168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2" borderId="145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2" borderId="169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1" borderId="168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1" borderId="145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61" borderId="169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56" borderId="168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56" borderId="145" xfId="0" applyFont="1" applyFill="1" applyBorder="1" applyAlignment="1" applyProtection="1">
      <alignment horizontal="center" vertical="center" textRotation="90" wrapText="1" readingOrder="1"/>
      <protection hidden="1"/>
    </xf>
    <xf numFmtId="0" fontId="292" fillId="56" borderId="169" xfId="0" applyFont="1" applyFill="1" applyBorder="1" applyAlignment="1" applyProtection="1">
      <alignment horizontal="center" vertical="center" textRotation="90" wrapText="1" readingOrder="1"/>
      <protection hidden="1"/>
    </xf>
    <xf numFmtId="0" fontId="103" fillId="23" borderId="10" xfId="0" applyFont="1" applyFill="1" applyBorder="1" applyAlignment="1" applyProtection="1">
      <alignment horizontal="center" vertical="center" wrapText="1" readingOrder="1"/>
      <protection hidden="1"/>
    </xf>
    <xf numFmtId="0" fontId="81" fillId="23" borderId="72" xfId="0" applyFont="1" applyFill="1" applyBorder="1" applyAlignment="1" applyProtection="1">
      <alignment horizontal="center" vertical="center" wrapText="1" readingOrder="1"/>
      <protection hidden="1"/>
    </xf>
    <xf numFmtId="0" fontId="81" fillId="23" borderId="33" xfId="0" applyFont="1" applyFill="1" applyBorder="1" applyAlignment="1" applyProtection="1">
      <alignment horizontal="center" vertical="center" wrapText="1" readingOrder="1"/>
      <protection hidden="1"/>
    </xf>
    <xf numFmtId="0" fontId="81" fillId="23" borderId="60" xfId="0" applyFont="1" applyFill="1" applyBorder="1" applyAlignment="1" applyProtection="1">
      <alignment horizontal="center" vertical="center" wrapText="1" readingOrder="1"/>
      <protection hidden="1"/>
    </xf>
    <xf numFmtId="0" fontId="81" fillId="23" borderId="7" xfId="0" applyFont="1" applyFill="1" applyBorder="1" applyAlignment="1" applyProtection="1">
      <alignment horizontal="center" vertical="center" wrapText="1" readingOrder="1"/>
      <protection hidden="1"/>
    </xf>
    <xf numFmtId="0" fontId="81" fillId="23" borderId="28" xfId="0" applyFont="1" applyFill="1" applyBorder="1" applyAlignment="1" applyProtection="1">
      <alignment horizontal="center" vertical="center" wrapText="1" readingOrder="1"/>
      <protection hidden="1"/>
    </xf>
    <xf numFmtId="0" fontId="81" fillId="23" borderId="1" xfId="0" applyFont="1" applyFill="1" applyBorder="1" applyAlignment="1" applyProtection="1">
      <alignment horizontal="center" vertical="center" wrapText="1" readingOrder="1"/>
      <protection hidden="1"/>
    </xf>
    <xf numFmtId="1" fontId="373" fillId="0" borderId="1" xfId="0" applyNumberFormat="1" applyFont="1" applyBorder="1" applyAlignment="1" applyProtection="1">
      <alignment horizontal="center" vertical="center" wrapText="1"/>
      <protection hidden="1"/>
    </xf>
    <xf numFmtId="1" fontId="42" fillId="0" borderId="34" xfId="0" applyNumberFormat="1" applyFont="1" applyBorder="1" applyAlignment="1" applyProtection="1">
      <alignment horizontal="center" vertical="center" wrapText="1"/>
      <protection hidden="1"/>
    </xf>
    <xf numFmtId="1" fontId="42" fillId="0" borderId="0" xfId="0" applyNumberFormat="1" applyFont="1" applyAlignment="1" applyProtection="1">
      <alignment horizontal="center" vertical="center" wrapText="1"/>
      <protection hidden="1"/>
    </xf>
    <xf numFmtId="1" fontId="42" fillId="0" borderId="43" xfId="0" applyNumberFormat="1" applyFont="1" applyBorder="1" applyAlignment="1" applyProtection="1">
      <alignment horizontal="center" vertical="center" wrapText="1"/>
      <protection hidden="1"/>
    </xf>
    <xf numFmtId="1" fontId="42" fillId="0" borderId="25" xfId="0" applyNumberFormat="1" applyFont="1" applyBorder="1" applyAlignment="1" applyProtection="1">
      <alignment horizontal="center" vertical="center" wrapText="1"/>
      <protection hidden="1"/>
    </xf>
    <xf numFmtId="10" fontId="1" fillId="0" borderId="5" xfId="12" applyNumberFormat="1" applyFont="1" applyBorder="1" applyAlignment="1" applyProtection="1">
      <alignment horizontal="center" vertical="center" wrapText="1"/>
      <protection hidden="1"/>
    </xf>
    <xf numFmtId="0" fontId="226" fillId="56" borderId="79" xfId="0" applyFont="1" applyFill="1" applyBorder="1" applyAlignment="1" applyProtection="1">
      <alignment horizontal="center" vertical="center" wrapText="1" readingOrder="1"/>
      <protection hidden="1"/>
    </xf>
    <xf numFmtId="0" fontId="226" fillId="56" borderId="70" xfId="0" applyFont="1" applyFill="1" applyBorder="1" applyAlignment="1" applyProtection="1">
      <alignment horizontal="center" vertical="center" wrapText="1" readingOrder="1"/>
      <protection hidden="1"/>
    </xf>
    <xf numFmtId="0" fontId="226" fillId="56" borderId="8" xfId="0" applyFont="1" applyFill="1" applyBorder="1" applyAlignment="1" applyProtection="1">
      <alignment horizontal="center" vertical="center" wrapText="1" readingOrder="1"/>
      <protection hidden="1"/>
    </xf>
    <xf numFmtId="0" fontId="226" fillId="61" borderId="79" xfId="0" applyFont="1" applyFill="1" applyBorder="1" applyAlignment="1" applyProtection="1">
      <alignment horizontal="center" vertical="center" wrapText="1" readingOrder="1"/>
      <protection hidden="1"/>
    </xf>
    <xf numFmtId="0" fontId="226" fillId="61" borderId="70" xfId="0" applyFont="1" applyFill="1" applyBorder="1" applyAlignment="1" applyProtection="1">
      <alignment horizontal="center" vertical="center" wrapText="1" readingOrder="1"/>
      <protection hidden="1"/>
    </xf>
    <xf numFmtId="0" fontId="226" fillId="61" borderId="8" xfId="0" applyFont="1" applyFill="1" applyBorder="1" applyAlignment="1" applyProtection="1">
      <alignment horizontal="center" vertical="center" wrapText="1" readingOrder="1"/>
      <protection hidden="1"/>
    </xf>
    <xf numFmtId="0" fontId="226" fillId="62" borderId="79" xfId="0" applyFont="1" applyFill="1" applyBorder="1" applyAlignment="1" applyProtection="1">
      <alignment horizontal="center" vertical="center" wrapText="1" readingOrder="1"/>
      <protection hidden="1"/>
    </xf>
    <xf numFmtId="0" fontId="226" fillId="62" borderId="70" xfId="0" applyFont="1" applyFill="1" applyBorder="1" applyAlignment="1" applyProtection="1">
      <alignment horizontal="center" vertical="center" wrapText="1" readingOrder="1"/>
      <protection hidden="1"/>
    </xf>
    <xf numFmtId="0" fontId="226" fillId="62" borderId="8" xfId="0" applyFont="1" applyFill="1" applyBorder="1" applyAlignment="1" applyProtection="1">
      <alignment horizontal="center" vertical="center" wrapText="1" readingOrder="1"/>
      <protection hidden="1"/>
    </xf>
    <xf numFmtId="0" fontId="226" fillId="63" borderId="79" xfId="0" applyFont="1" applyFill="1" applyBorder="1" applyAlignment="1" applyProtection="1">
      <alignment horizontal="center" vertical="center" wrapText="1" readingOrder="1"/>
      <protection hidden="1"/>
    </xf>
    <xf numFmtId="0" fontId="226" fillId="63" borderId="70" xfId="0" applyFont="1" applyFill="1" applyBorder="1" applyAlignment="1" applyProtection="1">
      <alignment horizontal="center" vertical="center" wrapText="1" readingOrder="1"/>
      <protection hidden="1"/>
    </xf>
    <xf numFmtId="0" fontId="226" fillId="63" borderId="8" xfId="0" applyFont="1" applyFill="1" applyBorder="1" applyAlignment="1" applyProtection="1">
      <alignment horizontal="center" vertical="center" wrapText="1" readingOrder="1"/>
      <protection hidden="1"/>
    </xf>
    <xf numFmtId="0" fontId="3" fillId="4" borderId="1" xfId="0" applyFont="1" applyFill="1" applyBorder="1" applyAlignment="1" applyProtection="1">
      <alignment horizontal="center"/>
      <protection hidden="1"/>
    </xf>
    <xf numFmtId="0" fontId="3" fillId="3" borderId="59" xfId="0" applyFont="1" applyFill="1" applyBorder="1" applyAlignment="1" applyProtection="1">
      <alignment horizontal="center"/>
      <protection hidden="1"/>
    </xf>
    <xf numFmtId="0" fontId="3" fillId="3" borderId="31" xfId="0" applyFont="1" applyFill="1" applyBorder="1" applyAlignment="1" applyProtection="1">
      <alignment horizontal="center"/>
      <protection hidden="1"/>
    </xf>
    <xf numFmtId="0" fontId="3" fillId="3" borderId="45" xfId="0" applyFont="1" applyFill="1" applyBorder="1" applyAlignment="1" applyProtection="1">
      <alignment horizontal="center"/>
      <protection hidden="1"/>
    </xf>
    <xf numFmtId="0" fontId="3" fillId="4" borderId="14" xfId="0" applyFont="1" applyFill="1" applyBorder="1" applyAlignment="1" applyProtection="1">
      <alignment horizontal="center" vertical="center" wrapText="1"/>
      <protection hidden="1"/>
    </xf>
    <xf numFmtId="0" fontId="3" fillId="4" borderId="18" xfId="0" applyFont="1" applyFill="1" applyBorder="1" applyAlignment="1" applyProtection="1">
      <alignment horizontal="center" vertical="center" wrapText="1"/>
      <protection hidden="1"/>
    </xf>
    <xf numFmtId="0" fontId="3" fillId="4" borderId="45" xfId="0" applyFont="1" applyFill="1" applyBorder="1" applyAlignment="1" applyProtection="1">
      <alignment horizontal="center" vertical="center" wrapText="1"/>
      <protection hidden="1"/>
    </xf>
    <xf numFmtId="0" fontId="3" fillId="4" borderId="9" xfId="0" applyFont="1" applyFill="1" applyBorder="1" applyAlignment="1" applyProtection="1">
      <alignment horizontal="center" vertical="center" wrapText="1"/>
      <protection hidden="1"/>
    </xf>
    <xf numFmtId="0" fontId="3" fillId="4" borderId="31" xfId="0" applyFont="1" applyFill="1" applyBorder="1" applyAlignment="1" applyProtection="1">
      <alignment horizontal="center" vertical="center" wrapText="1"/>
      <protection hidden="1"/>
    </xf>
    <xf numFmtId="0" fontId="3" fillId="4" borderId="1" xfId="0" applyFont="1" applyFill="1" applyBorder="1" applyAlignment="1" applyProtection="1">
      <alignment horizontal="center" vertical="center" wrapText="1"/>
      <protection hidden="1"/>
    </xf>
    <xf numFmtId="0" fontId="3" fillId="4" borderId="59" xfId="0" applyFont="1" applyFill="1" applyBorder="1" applyAlignment="1" applyProtection="1">
      <alignment horizontal="center"/>
      <protection hidden="1"/>
    </xf>
    <xf numFmtId="0" fontId="3" fillId="4" borderId="31" xfId="0" applyFont="1" applyFill="1" applyBorder="1" applyAlignment="1" applyProtection="1">
      <alignment horizontal="center"/>
      <protection hidden="1"/>
    </xf>
    <xf numFmtId="0" fontId="3" fillId="4" borderId="45" xfId="0" applyFont="1" applyFill="1" applyBorder="1" applyAlignment="1" applyProtection="1">
      <alignment horizontal="center"/>
      <protection hidden="1"/>
    </xf>
    <xf numFmtId="0" fontId="114" fillId="0" borderId="0" xfId="0" applyFont="1" applyAlignment="1" applyProtection="1">
      <alignment horizontal="center" vertical="top" wrapText="1"/>
      <protection hidden="1"/>
    </xf>
    <xf numFmtId="0" fontId="115" fillId="0" borderId="0" xfId="0" applyFont="1" applyAlignment="1" applyProtection="1">
      <alignment horizontal="center" vertical="top" wrapText="1"/>
      <protection hidden="1"/>
    </xf>
    <xf numFmtId="0" fontId="12" fillId="4" borderId="31" xfId="0" applyFont="1" applyFill="1" applyBorder="1" applyAlignment="1" applyProtection="1">
      <alignment horizontal="center" vertical="center" wrapText="1"/>
      <protection hidden="1"/>
    </xf>
    <xf numFmtId="0" fontId="12" fillId="4" borderId="1" xfId="0" applyFont="1" applyFill="1" applyBorder="1" applyAlignment="1" applyProtection="1">
      <alignment horizontal="center" vertical="center" wrapText="1"/>
      <protection hidden="1"/>
    </xf>
    <xf numFmtId="0" fontId="3" fillId="4" borderId="35" xfId="0" applyFont="1" applyFill="1" applyBorder="1" applyAlignment="1" applyProtection="1">
      <alignment horizontal="center" vertical="center" wrapText="1"/>
      <protection hidden="1"/>
    </xf>
    <xf numFmtId="0" fontId="3" fillId="4" borderId="43" xfId="0" applyFont="1" applyFill="1" applyBorder="1" applyAlignment="1" applyProtection="1">
      <alignment horizontal="center" vertical="center" wrapText="1"/>
      <protection hidden="1"/>
    </xf>
    <xf numFmtId="0" fontId="12" fillId="4" borderId="59" xfId="0" applyFont="1" applyFill="1" applyBorder="1" applyAlignment="1" applyProtection="1">
      <alignment horizontal="center" vertical="center" wrapText="1"/>
      <protection hidden="1"/>
    </xf>
    <xf numFmtId="0" fontId="12" fillId="4" borderId="10" xfId="0" applyFont="1" applyFill="1" applyBorder="1" applyAlignment="1" applyProtection="1">
      <alignment horizontal="center" vertical="center" wrapText="1"/>
      <protection hidden="1"/>
    </xf>
    <xf numFmtId="0" fontId="363" fillId="0" borderId="0" xfId="0" applyFont="1" applyAlignment="1" applyProtection="1">
      <alignment horizontal="center"/>
      <protection hidden="1"/>
    </xf>
    <xf numFmtId="0" fontId="3" fillId="4" borderId="13" xfId="0" applyFont="1" applyFill="1" applyBorder="1" applyAlignment="1" applyProtection="1">
      <alignment horizontal="center"/>
      <protection hidden="1"/>
    </xf>
    <xf numFmtId="0" fontId="3" fillId="4" borderId="14" xfId="0" applyFont="1" applyFill="1" applyBorder="1" applyAlignment="1" applyProtection="1">
      <alignment horizontal="center"/>
      <protection hidden="1"/>
    </xf>
    <xf numFmtId="0" fontId="3" fillId="4" borderId="15" xfId="0" applyFont="1" applyFill="1" applyBorder="1" applyAlignment="1" applyProtection="1">
      <alignment horizontal="center"/>
      <protection hidden="1"/>
    </xf>
    <xf numFmtId="0" fontId="318" fillId="0" borderId="31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45" xfId="0" applyBorder="1" applyAlignment="1">
      <alignment horizontal="center"/>
    </xf>
    <xf numFmtId="0" fontId="318" fillId="0" borderId="1" xfId="0" applyFont="1" applyBorder="1" applyAlignment="1">
      <alignment horizontal="center"/>
    </xf>
    <xf numFmtId="0" fontId="320" fillId="0" borderId="35" xfId="0" applyFont="1" applyBorder="1" applyAlignment="1">
      <alignment horizontal="center"/>
    </xf>
    <xf numFmtId="0" fontId="320" fillId="0" borderId="36" xfId="0" applyFont="1" applyBorder="1" applyAlignment="1">
      <alignment horizontal="center"/>
    </xf>
    <xf numFmtId="0" fontId="320" fillId="0" borderId="37" xfId="0" applyFont="1" applyBorder="1" applyAlignment="1">
      <alignment horizontal="center"/>
    </xf>
    <xf numFmtId="0" fontId="226" fillId="63" borderId="35" xfId="0" applyFont="1" applyFill="1" applyBorder="1" applyAlignment="1" applyProtection="1">
      <alignment horizontal="center" vertical="center" wrapText="1" readingOrder="1"/>
      <protection hidden="1"/>
    </xf>
    <xf numFmtId="0" fontId="226" fillId="63" borderId="34" xfId="0" applyFont="1" applyFill="1" applyBorder="1" applyAlignment="1" applyProtection="1">
      <alignment horizontal="center" vertical="center" wrapText="1" readingOrder="1"/>
      <protection hidden="1"/>
    </xf>
    <xf numFmtId="0" fontId="226" fillId="63" borderId="63" xfId="0" applyFont="1" applyFill="1" applyBorder="1" applyAlignment="1" applyProtection="1">
      <alignment horizontal="center" vertical="center" wrapText="1" readingOrder="1"/>
      <protection hidden="1"/>
    </xf>
    <xf numFmtId="0" fontId="226" fillId="63" borderId="73" xfId="0" applyFont="1" applyFill="1" applyBorder="1" applyAlignment="1" applyProtection="1">
      <alignment horizontal="center" vertical="center" wrapText="1" readingOrder="1"/>
      <protection hidden="1"/>
    </xf>
    <xf numFmtId="0" fontId="226" fillId="63" borderId="58" xfId="0" applyFont="1" applyFill="1" applyBorder="1" applyAlignment="1" applyProtection="1">
      <alignment horizontal="center" vertical="center" wrapText="1" readingOrder="1"/>
      <protection hidden="1"/>
    </xf>
    <xf numFmtId="0" fontId="271" fillId="61" borderId="63" xfId="0" applyFont="1" applyFill="1" applyBorder="1" applyAlignment="1" applyProtection="1">
      <alignment horizontal="center" vertical="center" wrapText="1" readingOrder="1"/>
      <protection hidden="1"/>
    </xf>
    <xf numFmtId="0" fontId="271" fillId="61" borderId="73" xfId="0" applyFont="1" applyFill="1" applyBorder="1" applyAlignment="1" applyProtection="1">
      <alignment horizontal="center" vertical="center" wrapText="1" readingOrder="1"/>
      <protection hidden="1"/>
    </xf>
    <xf numFmtId="0" fontId="226" fillId="61" borderId="34" xfId="0" applyFont="1" applyFill="1" applyBorder="1" applyAlignment="1" applyProtection="1">
      <alignment horizontal="center" vertical="center" wrapText="1" readingOrder="1"/>
      <protection hidden="1"/>
    </xf>
    <xf numFmtId="0" fontId="226" fillId="61" borderId="43" xfId="0" applyFont="1" applyFill="1" applyBorder="1" applyAlignment="1" applyProtection="1">
      <alignment horizontal="center" vertical="center" wrapText="1" readingOrder="1"/>
      <protection hidden="1"/>
    </xf>
    <xf numFmtId="0" fontId="271" fillId="28" borderId="66" xfId="0" applyFont="1" applyFill="1" applyBorder="1" applyAlignment="1" applyProtection="1">
      <alignment horizontal="center" vertical="center" wrapText="1" readingOrder="1"/>
      <protection hidden="1"/>
    </xf>
    <xf numFmtId="0" fontId="271" fillId="31" borderId="62" xfId="0" applyFont="1" applyFill="1" applyBorder="1" applyAlignment="1" applyProtection="1">
      <alignment horizontal="center" vertical="center" wrapText="1" readingOrder="1"/>
      <protection hidden="1"/>
    </xf>
    <xf numFmtId="0" fontId="271" fillId="31" borderId="18" xfId="0" applyFont="1" applyFill="1" applyBorder="1" applyAlignment="1" applyProtection="1">
      <alignment horizontal="center" vertical="center" wrapText="1" readingOrder="1"/>
      <protection hidden="1"/>
    </xf>
    <xf numFmtId="0" fontId="271" fillId="24" borderId="62" xfId="0" applyFont="1" applyFill="1" applyBorder="1" applyAlignment="1" applyProtection="1">
      <alignment horizontal="center" vertical="center" wrapText="1" readingOrder="1"/>
      <protection hidden="1"/>
    </xf>
    <xf numFmtId="0" fontId="271" fillId="24" borderId="18" xfId="0" applyFont="1" applyFill="1" applyBorder="1" applyAlignment="1" applyProtection="1">
      <alignment horizontal="center" vertical="center" wrapText="1" readingOrder="1"/>
      <protection hidden="1"/>
    </xf>
    <xf numFmtId="0" fontId="233" fillId="0" borderId="35" xfId="0" applyFont="1" applyBorder="1" applyAlignment="1" applyProtection="1">
      <alignment horizontal="center" vertical="center" wrapText="1"/>
      <protection hidden="1"/>
    </xf>
    <xf numFmtId="0" fontId="233" fillId="0" borderId="36" xfId="0" applyFont="1" applyBorder="1" applyAlignment="1" applyProtection="1">
      <alignment horizontal="center" vertical="center" wrapText="1"/>
      <protection hidden="1"/>
    </xf>
    <xf numFmtId="0" fontId="233" fillId="0" borderId="37" xfId="0" applyFont="1" applyBorder="1" applyAlignment="1" applyProtection="1">
      <alignment horizontal="center" vertical="center" wrapText="1"/>
      <protection hidden="1"/>
    </xf>
    <xf numFmtId="0" fontId="233" fillId="0" borderId="38" xfId="0" applyFont="1" applyBorder="1" applyAlignment="1" applyProtection="1">
      <alignment horizontal="center" vertical="center" wrapText="1"/>
      <protection hidden="1"/>
    </xf>
    <xf numFmtId="0" fontId="233" fillId="0" borderId="39" xfId="0" applyFont="1" applyBorder="1" applyAlignment="1" applyProtection="1">
      <alignment horizontal="center" vertical="center" wrapText="1"/>
      <protection hidden="1"/>
    </xf>
    <xf numFmtId="0" fontId="233" fillId="0" borderId="40" xfId="0" applyFont="1" applyBorder="1" applyAlignment="1" applyProtection="1">
      <alignment horizontal="center" vertical="center" wrapText="1"/>
      <protection hidden="1"/>
    </xf>
    <xf numFmtId="0" fontId="268" fillId="24" borderId="0" xfId="0" applyFont="1" applyFill="1" applyAlignment="1" applyProtection="1">
      <alignment horizontal="center" vertical="top" wrapText="1"/>
      <protection hidden="1"/>
    </xf>
    <xf numFmtId="0" fontId="268" fillId="24" borderId="29" xfId="0" applyFont="1" applyFill="1" applyBorder="1" applyAlignment="1" applyProtection="1">
      <alignment horizontal="center" vertical="top" wrapText="1"/>
      <protection hidden="1"/>
    </xf>
    <xf numFmtId="0" fontId="228" fillId="0" borderId="34" xfId="0" applyFont="1" applyBorder="1" applyAlignment="1" applyProtection="1">
      <alignment horizontal="center" vertical="top" wrapText="1"/>
      <protection hidden="1"/>
    </xf>
    <xf numFmtId="0" fontId="228" fillId="0" borderId="0" xfId="0" applyFont="1" applyAlignment="1" applyProtection="1">
      <alignment horizontal="center" vertical="top" wrapText="1"/>
      <protection hidden="1"/>
    </xf>
    <xf numFmtId="0" fontId="244" fillId="27" borderId="34" xfId="0" applyFont="1" applyFill="1" applyBorder="1" applyAlignment="1" applyProtection="1">
      <alignment horizontal="center" vertical="center" wrapText="1" readingOrder="1"/>
      <protection hidden="1"/>
    </xf>
    <xf numFmtId="0" fontId="244" fillId="27" borderId="0" xfId="0" applyFont="1" applyFill="1" applyAlignment="1" applyProtection="1">
      <alignment horizontal="center" vertical="center" wrapText="1" readingOrder="1"/>
      <protection hidden="1"/>
    </xf>
    <xf numFmtId="0" fontId="244" fillId="27" borderId="29" xfId="0" applyFont="1" applyFill="1" applyBorder="1" applyAlignment="1" applyProtection="1">
      <alignment horizontal="center" vertical="center" wrapText="1" readingOrder="1"/>
      <protection hidden="1"/>
    </xf>
    <xf numFmtId="0" fontId="308" fillId="30" borderId="35" xfId="0" applyFont="1" applyFill="1" applyBorder="1" applyAlignment="1" applyProtection="1">
      <alignment horizontal="center" vertical="center" wrapText="1"/>
      <protection hidden="1"/>
    </xf>
    <xf numFmtId="0" fontId="308" fillId="30" borderId="36" xfId="0" applyFont="1" applyFill="1" applyBorder="1" applyAlignment="1" applyProtection="1">
      <alignment horizontal="center" vertical="center" wrapText="1"/>
      <protection hidden="1"/>
    </xf>
    <xf numFmtId="0" fontId="308" fillId="30" borderId="77" xfId="0" applyFont="1" applyFill="1" applyBorder="1" applyAlignment="1" applyProtection="1">
      <alignment horizontal="center" vertical="center" wrapText="1"/>
      <protection hidden="1"/>
    </xf>
    <xf numFmtId="0" fontId="308" fillId="30" borderId="34" xfId="0" applyFont="1" applyFill="1" applyBorder="1" applyAlignment="1" applyProtection="1">
      <alignment horizontal="center" vertical="center" wrapText="1"/>
      <protection hidden="1"/>
    </xf>
    <xf numFmtId="0" fontId="308" fillId="30" borderId="0" xfId="0" applyFont="1" applyFill="1" applyAlignment="1" applyProtection="1">
      <alignment horizontal="center" vertical="center" wrapText="1"/>
      <protection hidden="1"/>
    </xf>
    <xf numFmtId="0" fontId="308" fillId="30" borderId="4" xfId="0" applyFont="1" applyFill="1" applyBorder="1" applyAlignment="1" applyProtection="1">
      <alignment horizontal="center" vertical="center" wrapText="1"/>
      <protection hidden="1"/>
    </xf>
    <xf numFmtId="0" fontId="308" fillId="30" borderId="38" xfId="0" applyFont="1" applyFill="1" applyBorder="1" applyAlignment="1" applyProtection="1">
      <alignment horizontal="center" vertical="center" wrapText="1"/>
      <protection hidden="1"/>
    </xf>
    <xf numFmtId="0" fontId="308" fillId="30" borderId="39" xfId="0" applyFont="1" applyFill="1" applyBorder="1" applyAlignment="1" applyProtection="1">
      <alignment horizontal="center" vertical="center" wrapText="1"/>
      <protection hidden="1"/>
    </xf>
    <xf numFmtId="0" fontId="308" fillId="30" borderId="72" xfId="0" applyFont="1" applyFill="1" applyBorder="1" applyAlignment="1" applyProtection="1">
      <alignment horizontal="center" vertical="center" wrapText="1"/>
      <protection hidden="1"/>
    </xf>
    <xf numFmtId="0" fontId="50" fillId="27" borderId="91" xfId="0" applyFont="1" applyFill="1" applyBorder="1" applyAlignment="1" applyProtection="1">
      <alignment horizontal="center" wrapText="1"/>
      <protection hidden="1"/>
    </xf>
    <xf numFmtId="0" fontId="50" fillId="27" borderId="87" xfId="0" applyFont="1" applyFill="1" applyBorder="1" applyAlignment="1" applyProtection="1">
      <alignment horizontal="center" wrapText="1"/>
      <protection hidden="1"/>
    </xf>
    <xf numFmtId="0" fontId="246" fillId="27" borderId="13" xfId="0" applyFont="1" applyFill="1" applyBorder="1" applyAlignment="1" applyProtection="1">
      <alignment horizontal="center" vertical="top" wrapText="1"/>
      <protection hidden="1"/>
    </xf>
    <xf numFmtId="0" fontId="246" fillId="27" borderId="14" xfId="0" applyFont="1" applyFill="1" applyBorder="1" applyAlignment="1" applyProtection="1">
      <alignment horizontal="center" vertical="top" wrapText="1"/>
      <protection hidden="1"/>
    </xf>
    <xf numFmtId="0" fontId="246" fillId="27" borderId="65" xfId="0" applyFont="1" applyFill="1" applyBorder="1" applyAlignment="1" applyProtection="1">
      <alignment horizontal="center" vertical="top" wrapText="1"/>
      <protection hidden="1"/>
    </xf>
    <xf numFmtId="0" fontId="246" fillId="27" borderId="66" xfId="0" applyFont="1" applyFill="1" applyBorder="1" applyAlignment="1" applyProtection="1">
      <alignment horizontal="center" vertical="top" wrapText="1"/>
      <protection hidden="1"/>
    </xf>
    <xf numFmtId="0" fontId="246" fillId="0" borderId="66" xfId="0" applyFont="1" applyBorder="1" applyAlignment="1" applyProtection="1">
      <alignment horizontal="center" vertical="top" wrapText="1"/>
      <protection hidden="1"/>
    </xf>
    <xf numFmtId="0" fontId="246" fillId="0" borderId="14" xfId="0" applyFont="1" applyBorder="1" applyAlignment="1" applyProtection="1">
      <alignment horizontal="center" vertical="top" wrapText="1"/>
      <protection hidden="1"/>
    </xf>
    <xf numFmtId="0" fontId="246" fillId="0" borderId="15" xfId="0" applyFont="1" applyBorder="1" applyAlignment="1" applyProtection="1">
      <alignment horizontal="center" vertical="top" wrapText="1"/>
      <protection hidden="1"/>
    </xf>
    <xf numFmtId="0" fontId="244" fillId="0" borderId="35" xfId="0" applyFont="1" applyBorder="1" applyAlignment="1" applyProtection="1">
      <alignment horizontal="center" vertical="center" wrapText="1" readingOrder="1"/>
      <protection hidden="1"/>
    </xf>
    <xf numFmtId="0" fontId="244" fillId="0" borderId="36" xfId="0" applyFont="1" applyBorder="1" applyAlignment="1" applyProtection="1">
      <alignment horizontal="center" vertical="center" wrapText="1" readingOrder="1"/>
      <protection hidden="1"/>
    </xf>
    <xf numFmtId="0" fontId="244" fillId="0" borderId="37" xfId="0" applyFont="1" applyBorder="1" applyAlignment="1" applyProtection="1">
      <alignment horizontal="center" vertical="center" wrapText="1" readingOrder="1"/>
      <protection hidden="1"/>
    </xf>
    <xf numFmtId="0" fontId="244" fillId="0" borderId="34" xfId="0" applyFont="1" applyBorder="1" applyAlignment="1" applyProtection="1">
      <alignment horizontal="center" vertical="center" wrapText="1" readingOrder="1"/>
      <protection hidden="1"/>
    </xf>
    <xf numFmtId="0" fontId="244" fillId="0" borderId="0" xfId="0" applyFont="1" applyAlignment="1" applyProtection="1">
      <alignment horizontal="center" vertical="center" wrapText="1" readingOrder="1"/>
      <protection hidden="1"/>
    </xf>
    <xf numFmtId="0" fontId="244" fillId="0" borderId="29" xfId="0" applyFont="1" applyBorder="1" applyAlignment="1" applyProtection="1">
      <alignment horizontal="center" vertical="center" wrapText="1" readingOrder="1"/>
      <protection hidden="1"/>
    </xf>
    <xf numFmtId="0" fontId="244" fillId="0" borderId="38" xfId="0" applyFont="1" applyBorder="1" applyAlignment="1" applyProtection="1">
      <alignment horizontal="center" vertical="center" wrapText="1" readingOrder="1"/>
      <protection hidden="1"/>
    </xf>
    <xf numFmtId="0" fontId="244" fillId="0" borderId="39" xfId="0" applyFont="1" applyBorder="1" applyAlignment="1" applyProtection="1">
      <alignment horizontal="center" vertical="center" wrapText="1" readingOrder="1"/>
      <protection hidden="1"/>
    </xf>
    <xf numFmtId="0" fontId="244" fillId="0" borderId="40" xfId="0" applyFont="1" applyBorder="1" applyAlignment="1" applyProtection="1">
      <alignment horizontal="center" vertical="center" wrapText="1" readingOrder="1"/>
      <protection hidden="1"/>
    </xf>
    <xf numFmtId="0" fontId="272" fillId="28" borderId="165" xfId="0" applyFont="1" applyFill="1" applyBorder="1" applyAlignment="1" applyProtection="1">
      <alignment horizontal="center" vertical="center" wrapText="1" readingOrder="1"/>
      <protection hidden="1"/>
    </xf>
    <xf numFmtId="0" fontId="272" fillId="28" borderId="161" xfId="0" applyFont="1" applyFill="1" applyBorder="1" applyAlignment="1" applyProtection="1">
      <alignment horizontal="center" vertical="center" wrapText="1" readingOrder="1"/>
      <protection hidden="1"/>
    </xf>
    <xf numFmtId="0" fontId="272" fillId="31" borderId="28" xfId="0" applyFont="1" applyFill="1" applyBorder="1" applyAlignment="1" applyProtection="1">
      <alignment horizontal="center" vertical="center" wrapText="1" readingOrder="1"/>
      <protection hidden="1"/>
    </xf>
    <xf numFmtId="0" fontId="347" fillId="28" borderId="66" xfId="0" applyFont="1" applyFill="1" applyBorder="1" applyAlignment="1" applyProtection="1">
      <alignment horizontal="center" vertical="center" wrapText="1" readingOrder="1"/>
      <protection hidden="1"/>
    </xf>
    <xf numFmtId="0" fontId="271" fillId="27" borderId="63" xfId="0" applyFont="1" applyFill="1" applyBorder="1" applyAlignment="1" applyProtection="1">
      <alignment horizontal="center" vertical="center" wrapText="1" readingOrder="1"/>
      <protection hidden="1"/>
    </xf>
    <xf numFmtId="0" fontId="271" fillId="27" borderId="73" xfId="0" applyFont="1" applyFill="1" applyBorder="1" applyAlignment="1" applyProtection="1">
      <alignment horizontal="center" vertical="center" wrapText="1" readingOrder="1"/>
      <protection hidden="1"/>
    </xf>
    <xf numFmtId="0" fontId="229" fillId="0" borderId="66" xfId="0" applyFont="1" applyBorder="1" applyAlignment="1" applyProtection="1">
      <alignment horizontal="center" vertical="top" wrapText="1"/>
      <protection hidden="1"/>
    </xf>
    <xf numFmtId="0" fontId="229" fillId="0" borderId="14" xfId="0" applyFont="1" applyBorder="1" applyAlignment="1" applyProtection="1">
      <alignment horizontal="center" vertical="top" wrapText="1"/>
      <protection hidden="1"/>
    </xf>
    <xf numFmtId="0" fontId="229" fillId="0" borderId="15" xfId="0" applyFont="1" applyBorder="1" applyAlignment="1" applyProtection="1">
      <alignment horizontal="center" vertical="top" wrapText="1"/>
      <protection hidden="1"/>
    </xf>
    <xf numFmtId="0" fontId="229" fillId="0" borderId="62" xfId="0" applyFont="1" applyBorder="1" applyAlignment="1" applyProtection="1">
      <alignment horizontal="center" vertical="top" wrapText="1"/>
      <protection hidden="1"/>
    </xf>
    <xf numFmtId="0" fontId="229" fillId="0" borderId="18" xfId="0" applyFont="1" applyBorder="1" applyAlignment="1" applyProtection="1">
      <alignment horizontal="center" vertical="top" wrapText="1"/>
      <protection hidden="1"/>
    </xf>
    <xf numFmtId="0" fontId="229" fillId="0" borderId="19" xfId="0" applyFont="1" applyBorder="1" applyAlignment="1" applyProtection="1">
      <alignment horizontal="center" vertical="top" wrapText="1"/>
      <protection hidden="1"/>
    </xf>
    <xf numFmtId="0" fontId="229" fillId="0" borderId="28" xfId="0" applyFont="1" applyBorder="1" applyAlignment="1" applyProtection="1">
      <alignment horizontal="center" vertical="top" wrapText="1"/>
      <protection hidden="1"/>
    </xf>
    <xf numFmtId="0" fontId="231" fillId="0" borderId="85" xfId="0" applyFont="1" applyBorder="1" applyAlignment="1" applyProtection="1">
      <alignment horizontal="center" wrapText="1"/>
      <protection hidden="1"/>
    </xf>
    <xf numFmtId="0" fontId="231" fillId="0" borderId="27" xfId="0" applyFont="1" applyBorder="1" applyAlignment="1" applyProtection="1">
      <alignment horizontal="center" wrapText="1"/>
      <protection hidden="1"/>
    </xf>
    <xf numFmtId="0" fontId="231" fillId="0" borderId="89" xfId="0" applyFont="1" applyBorder="1" applyAlignment="1" applyProtection="1">
      <alignment horizontal="center" wrapText="1"/>
      <protection hidden="1"/>
    </xf>
    <xf numFmtId="0" fontId="229" fillId="0" borderId="65" xfId="0" applyFont="1" applyBorder="1" applyAlignment="1" applyProtection="1">
      <alignment horizontal="center" vertical="top" wrapText="1"/>
      <protection hidden="1"/>
    </xf>
    <xf numFmtId="0" fontId="226" fillId="62" borderId="63" xfId="0" applyFont="1" applyFill="1" applyBorder="1" applyAlignment="1" applyProtection="1">
      <alignment horizontal="center" vertical="center" wrapText="1" readingOrder="1"/>
      <protection hidden="1"/>
    </xf>
    <xf numFmtId="0" fontId="226" fillId="62" borderId="73" xfId="0" applyFont="1" applyFill="1" applyBorder="1" applyAlignment="1" applyProtection="1">
      <alignment horizontal="center" vertical="center" wrapText="1" readingOrder="1"/>
      <protection hidden="1"/>
    </xf>
    <xf numFmtId="0" fontId="226" fillId="56" borderId="11" xfId="0" applyFont="1" applyFill="1" applyBorder="1" applyAlignment="1" applyProtection="1">
      <alignment horizontal="center" vertical="center" wrapText="1" readingOrder="1"/>
      <protection hidden="1"/>
    </xf>
    <xf numFmtId="0" fontId="226" fillId="56" borderId="4" xfId="0" applyFont="1" applyFill="1" applyBorder="1" applyAlignment="1" applyProtection="1">
      <alignment horizontal="center" vertical="center" wrapText="1" readingOrder="1"/>
      <protection hidden="1"/>
    </xf>
    <xf numFmtId="0" fontId="226" fillId="56" borderId="25" xfId="0" applyFont="1" applyFill="1" applyBorder="1" applyAlignment="1" applyProtection="1">
      <alignment horizontal="center" vertical="center" wrapText="1" readingOrder="1"/>
      <protection hidden="1"/>
    </xf>
    <xf numFmtId="0" fontId="226" fillId="56" borderId="63" xfId="0" applyFont="1" applyFill="1" applyBorder="1" applyAlignment="1" applyProtection="1">
      <alignment horizontal="center" vertical="center" wrapText="1" readingOrder="1"/>
      <protection hidden="1"/>
    </xf>
    <xf numFmtId="0" fontId="226" fillId="56" borderId="73" xfId="0" applyFont="1" applyFill="1" applyBorder="1" applyAlignment="1" applyProtection="1">
      <alignment horizontal="center" vertical="center" wrapText="1" readingOrder="1"/>
      <protection hidden="1"/>
    </xf>
    <xf numFmtId="0" fontId="229" fillId="0" borderId="0" xfId="0" applyFont="1" applyAlignment="1" applyProtection="1">
      <alignment horizontal="center" vertical="top" wrapText="1"/>
      <protection hidden="1"/>
    </xf>
    <xf numFmtId="0" fontId="231" fillId="0" borderId="1" xfId="0" applyFont="1" applyBorder="1" applyAlignment="1" applyProtection="1">
      <alignment horizontal="center"/>
      <protection hidden="1"/>
    </xf>
    <xf numFmtId="0" fontId="347" fillId="31" borderId="62" xfId="0" applyFont="1" applyFill="1" applyBorder="1" applyAlignment="1" applyProtection="1">
      <alignment horizontal="center" vertical="center" wrapText="1" readingOrder="1"/>
      <protection hidden="1"/>
    </xf>
    <xf numFmtId="0" fontId="347" fillId="31" borderId="18" xfId="0" applyFont="1" applyFill="1" applyBorder="1" applyAlignment="1" applyProtection="1">
      <alignment horizontal="center" vertical="center" wrapText="1" readingOrder="1"/>
      <protection hidden="1"/>
    </xf>
    <xf numFmtId="0" fontId="231" fillId="27" borderId="85" xfId="0" applyFont="1" applyFill="1" applyBorder="1" applyAlignment="1" applyProtection="1">
      <alignment horizontal="center" wrapText="1"/>
      <protection hidden="1"/>
    </xf>
    <xf numFmtId="0" fontId="231" fillId="27" borderId="27" xfId="0" applyFont="1" applyFill="1" applyBorder="1" applyAlignment="1" applyProtection="1">
      <alignment horizontal="center" wrapText="1"/>
      <protection hidden="1"/>
    </xf>
    <xf numFmtId="0" fontId="229" fillId="27" borderId="62" xfId="0" applyFont="1" applyFill="1" applyBorder="1" applyAlignment="1" applyProtection="1">
      <alignment horizontal="center" vertical="top" wrapText="1"/>
      <protection hidden="1"/>
    </xf>
    <xf numFmtId="0" fontId="229" fillId="27" borderId="18" xfId="0" applyFont="1" applyFill="1" applyBorder="1" applyAlignment="1" applyProtection="1">
      <alignment horizontal="center" vertical="top" wrapText="1"/>
      <protection hidden="1"/>
    </xf>
    <xf numFmtId="0" fontId="229" fillId="27" borderId="28" xfId="0" applyFont="1" applyFill="1" applyBorder="1" applyAlignment="1" applyProtection="1">
      <alignment horizontal="center" vertical="top" wrapText="1"/>
      <protection hidden="1"/>
    </xf>
    <xf numFmtId="0" fontId="271" fillId="31" borderId="19" xfId="0" applyFont="1" applyFill="1" applyBorder="1" applyAlignment="1" applyProtection="1">
      <alignment horizontal="center" vertical="center" wrapText="1" readingOrder="1"/>
      <protection hidden="1"/>
    </xf>
    <xf numFmtId="0" fontId="271" fillId="28" borderId="15" xfId="0" applyFont="1" applyFill="1" applyBorder="1" applyAlignment="1" applyProtection="1">
      <alignment horizontal="center" vertical="center" wrapText="1" readingOrder="1"/>
      <protection hidden="1"/>
    </xf>
    <xf numFmtId="0" fontId="347" fillId="67" borderId="62" xfId="0" applyFont="1" applyFill="1" applyBorder="1" applyAlignment="1" applyProtection="1">
      <alignment horizontal="center" vertical="center" wrapText="1" readingOrder="1"/>
      <protection hidden="1"/>
    </xf>
    <xf numFmtId="0" fontId="229" fillId="0" borderId="1" xfId="0" applyFont="1" applyBorder="1" applyAlignment="1" applyProtection="1">
      <alignment horizontal="center" wrapText="1"/>
      <protection hidden="1"/>
    </xf>
    <xf numFmtId="0" fontId="231" fillId="0" borderId="31" xfId="0" applyFont="1" applyBorder="1" applyAlignment="1" applyProtection="1">
      <alignment horizontal="center"/>
      <protection hidden="1"/>
    </xf>
    <xf numFmtId="0" fontId="230" fillId="30" borderId="61" xfId="0" applyFont="1" applyFill="1" applyBorder="1" applyAlignment="1" applyProtection="1">
      <alignment horizontal="center" vertical="center" wrapText="1"/>
      <protection hidden="1"/>
    </xf>
    <xf numFmtId="0" fontId="230" fillId="30" borderId="30" xfId="0" applyFont="1" applyFill="1" applyBorder="1" applyAlignment="1" applyProtection="1">
      <alignment horizontal="center" vertical="center" wrapText="1"/>
      <protection hidden="1"/>
    </xf>
    <xf numFmtId="0" fontId="238" fillId="25" borderId="1" xfId="0" applyFont="1" applyFill="1" applyBorder="1" applyAlignment="1" applyProtection="1">
      <alignment horizontal="center" vertical="center" textRotation="90"/>
      <protection hidden="1"/>
    </xf>
    <xf numFmtId="0" fontId="103" fillId="25" borderId="1" xfId="0" applyFont="1" applyFill="1" applyBorder="1" applyAlignment="1">
      <alignment horizontal="center"/>
    </xf>
    <xf numFmtId="0" fontId="231" fillId="52" borderId="38" xfId="0" applyFont="1" applyFill="1" applyBorder="1" applyAlignment="1" applyProtection="1">
      <alignment horizontal="center" wrapText="1"/>
      <protection hidden="1"/>
    </xf>
    <xf numFmtId="0" fontId="231" fillId="52" borderId="39" xfId="0" applyFont="1" applyFill="1" applyBorder="1" applyAlignment="1" applyProtection="1">
      <alignment horizontal="center" wrapText="1"/>
      <protection hidden="1"/>
    </xf>
    <xf numFmtId="0" fontId="231" fillId="52" borderId="72" xfId="0" applyFont="1" applyFill="1" applyBorder="1" applyAlignment="1" applyProtection="1">
      <alignment horizontal="center" wrapText="1"/>
      <protection hidden="1"/>
    </xf>
    <xf numFmtId="0" fontId="103" fillId="25" borderId="36" xfId="0" applyFont="1" applyFill="1" applyBorder="1" applyAlignment="1">
      <alignment horizontal="center"/>
    </xf>
    <xf numFmtId="0" fontId="229" fillId="0" borderId="0" xfId="0" applyFont="1" applyAlignment="1" applyProtection="1">
      <alignment horizontal="center" wrapText="1"/>
      <protection hidden="1"/>
    </xf>
    <xf numFmtId="0" fontId="229" fillId="0" borderId="4" xfId="0" applyFont="1" applyBorder="1" applyAlignment="1" applyProtection="1">
      <alignment horizontal="center" wrapText="1"/>
      <protection hidden="1"/>
    </xf>
    <xf numFmtId="0" fontId="334" fillId="0" borderId="35" xfId="0" applyFont="1" applyBorder="1" applyAlignment="1" applyProtection="1">
      <alignment horizontal="center" vertical="top" wrapText="1"/>
      <protection hidden="1"/>
    </xf>
    <xf numFmtId="0" fontId="334" fillId="0" borderId="36" xfId="0" applyFont="1" applyBorder="1" applyAlignment="1" applyProtection="1">
      <alignment horizontal="center" vertical="top" wrapText="1"/>
      <protection hidden="1"/>
    </xf>
    <xf numFmtId="0" fontId="229" fillId="0" borderId="62" xfId="0" applyFont="1" applyBorder="1" applyAlignment="1" applyProtection="1">
      <alignment horizontal="center" wrapText="1"/>
      <protection hidden="1"/>
    </xf>
    <xf numFmtId="0" fontId="229" fillId="0" borderId="18" xfId="0" applyFont="1" applyBorder="1" applyAlignment="1" applyProtection="1">
      <alignment horizontal="center" wrapText="1"/>
      <protection hidden="1"/>
    </xf>
    <xf numFmtId="0" fontId="229" fillId="0" borderId="28" xfId="0" applyFont="1" applyBorder="1" applyAlignment="1" applyProtection="1">
      <alignment horizontal="center" wrapText="1"/>
      <protection hidden="1"/>
    </xf>
    <xf numFmtId="0" fontId="229" fillId="0" borderId="31" xfId="0" applyFont="1" applyBorder="1" applyAlignment="1" applyProtection="1">
      <alignment horizontal="center" vertical="top" wrapText="1"/>
      <protection hidden="1"/>
    </xf>
    <xf numFmtId="0" fontId="229" fillId="0" borderId="45" xfId="0" applyFont="1" applyBorder="1" applyAlignment="1" applyProtection="1">
      <alignment horizontal="center" vertical="top" wrapText="1"/>
      <protection hidden="1"/>
    </xf>
    <xf numFmtId="0" fontId="226" fillId="25" borderId="0" xfId="0" applyFont="1" applyFill="1" applyAlignment="1" applyProtection="1">
      <alignment horizontal="center" vertical="center" wrapText="1" readingOrder="1"/>
      <protection hidden="1"/>
    </xf>
    <xf numFmtId="0" fontId="226" fillId="25" borderId="4" xfId="0" applyFont="1" applyFill="1" applyBorder="1" applyAlignment="1" applyProtection="1">
      <alignment horizontal="center" vertical="center" wrapText="1" readingOrder="1"/>
      <protection hidden="1"/>
    </xf>
    <xf numFmtId="2" fontId="231" fillId="25" borderId="62" xfId="0" applyNumberFormat="1" applyFont="1" applyFill="1" applyBorder="1" applyAlignment="1" applyProtection="1">
      <alignment horizontal="center" wrapText="1"/>
      <protection hidden="1"/>
    </xf>
    <xf numFmtId="2" fontId="231" fillId="25" borderId="18" xfId="0" applyNumberFormat="1" applyFont="1" applyFill="1" applyBorder="1" applyAlignment="1" applyProtection="1">
      <alignment horizontal="center" wrapText="1"/>
      <protection hidden="1"/>
    </xf>
    <xf numFmtId="2" fontId="231" fillId="25" borderId="28" xfId="0" applyNumberFormat="1" applyFont="1" applyFill="1" applyBorder="1" applyAlignment="1" applyProtection="1">
      <alignment horizontal="center" wrapText="1"/>
      <protection hidden="1"/>
    </xf>
    <xf numFmtId="0" fontId="230" fillId="30" borderId="5" xfId="0" applyFont="1" applyFill="1" applyBorder="1" applyAlignment="1" applyProtection="1">
      <alignment horizontal="center" vertical="center" wrapText="1"/>
      <protection hidden="1"/>
    </xf>
    <xf numFmtId="0" fontId="230" fillId="30" borderId="0" xfId="0" applyFont="1" applyFill="1" applyAlignment="1" applyProtection="1">
      <alignment horizontal="center" vertical="center" wrapText="1"/>
      <protection hidden="1"/>
    </xf>
    <xf numFmtId="0" fontId="230" fillId="30" borderId="4" xfId="0" applyFont="1" applyFill="1" applyBorder="1" applyAlignment="1" applyProtection="1">
      <alignment horizontal="center" vertical="center" wrapText="1"/>
      <protection hidden="1"/>
    </xf>
    <xf numFmtId="0" fontId="292" fillId="0" borderId="25" xfId="0" applyFont="1" applyBorder="1" applyAlignment="1" applyProtection="1">
      <alignment horizontal="center" vertical="center" wrapText="1" readingOrder="1"/>
      <protection hidden="1"/>
    </xf>
    <xf numFmtId="0" fontId="338" fillId="0" borderId="1" xfId="0" applyFont="1" applyBorder="1" applyAlignment="1" applyProtection="1">
      <alignment horizontal="center"/>
      <protection hidden="1"/>
    </xf>
    <xf numFmtId="0" fontId="246" fillId="27" borderId="62" xfId="0" applyFont="1" applyFill="1" applyBorder="1" applyAlignment="1" applyProtection="1">
      <alignment horizontal="center" vertical="top" wrapText="1"/>
      <protection hidden="1"/>
    </xf>
    <xf numFmtId="0" fontId="246" fillId="27" borderId="18" xfId="0" applyFont="1" applyFill="1" applyBorder="1" applyAlignment="1" applyProtection="1">
      <alignment horizontal="center" vertical="top" wrapText="1"/>
      <protection hidden="1"/>
    </xf>
    <xf numFmtId="0" fontId="246" fillId="27" borderId="28" xfId="0" applyFont="1" applyFill="1" applyBorder="1" applyAlignment="1" applyProtection="1">
      <alignment horizontal="center" vertical="top" wrapText="1"/>
      <protection hidden="1"/>
    </xf>
    <xf numFmtId="0" fontId="246" fillId="0" borderId="62" xfId="0" applyFont="1" applyBorder="1" applyAlignment="1" applyProtection="1">
      <alignment horizontal="center" vertical="top" wrapText="1"/>
      <protection hidden="1"/>
    </xf>
    <xf numFmtId="0" fontId="246" fillId="0" borderId="18" xfId="0" applyFont="1" applyBorder="1" applyAlignment="1" applyProtection="1">
      <alignment horizontal="center" vertical="top" wrapText="1"/>
      <protection hidden="1"/>
    </xf>
    <xf numFmtId="0" fontId="246" fillId="0" borderId="28" xfId="0" applyFont="1" applyBorder="1" applyAlignment="1" applyProtection="1">
      <alignment horizontal="center" vertical="top" wrapText="1"/>
      <protection hidden="1"/>
    </xf>
    <xf numFmtId="0" fontId="104" fillId="0" borderId="1" xfId="0" applyFont="1" applyBorder="1" applyAlignment="1" applyProtection="1">
      <alignment horizontal="center"/>
      <protection hidden="1"/>
    </xf>
    <xf numFmtId="0" fontId="229" fillId="52" borderId="24" xfId="0" applyFont="1" applyFill="1" applyBorder="1" applyAlignment="1" applyProtection="1">
      <alignment horizontal="center" wrapText="1"/>
      <protection hidden="1"/>
    </xf>
    <xf numFmtId="0" fontId="229" fillId="52" borderId="25" xfId="0" applyFont="1" applyFill="1" applyBorder="1" applyAlignment="1" applyProtection="1">
      <alignment horizontal="center" wrapText="1"/>
      <protection hidden="1"/>
    </xf>
    <xf numFmtId="0" fontId="229" fillId="52" borderId="26" xfId="0" applyFont="1" applyFill="1" applyBorder="1" applyAlignment="1" applyProtection="1">
      <alignment horizontal="center" wrapText="1"/>
      <protection hidden="1"/>
    </xf>
    <xf numFmtId="0" fontId="246" fillId="27" borderId="15" xfId="0" applyFont="1" applyFill="1" applyBorder="1" applyAlignment="1" applyProtection="1">
      <alignment horizontal="center" vertical="top" wrapText="1"/>
      <protection hidden="1"/>
    </xf>
    <xf numFmtId="0" fontId="246" fillId="0" borderId="0" xfId="0" applyFont="1" applyAlignment="1" applyProtection="1">
      <alignment horizontal="center" vertical="top" wrapText="1"/>
      <protection hidden="1"/>
    </xf>
    <xf numFmtId="0" fontId="246" fillId="0" borderId="29" xfId="0" applyFont="1" applyBorder="1" applyAlignment="1" applyProtection="1">
      <alignment horizontal="center" vertical="top" wrapText="1"/>
      <protection hidden="1"/>
    </xf>
    <xf numFmtId="0" fontId="129" fillId="0" borderId="35" xfId="0" applyFont="1" applyBorder="1" applyAlignment="1">
      <alignment horizontal="center" vertical="center"/>
    </xf>
    <xf numFmtId="0" fontId="129" fillId="0" borderId="34" xfId="0" applyFont="1" applyBorder="1" applyAlignment="1">
      <alignment horizontal="center" vertical="center"/>
    </xf>
    <xf numFmtId="0" fontId="243" fillId="28" borderId="66" xfId="0" applyFont="1" applyFill="1" applyBorder="1" applyAlignment="1" applyProtection="1">
      <alignment horizontal="center" vertical="center" wrapText="1" readingOrder="1"/>
      <protection hidden="1"/>
    </xf>
    <xf numFmtId="0" fontId="243" fillId="28" borderId="15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9" xfId="0" applyFont="1" applyFill="1" applyBorder="1" applyAlignment="1" applyProtection="1">
      <alignment horizontal="center" vertical="center" wrapText="1" readingOrder="1"/>
      <protection hidden="1"/>
    </xf>
    <xf numFmtId="0" fontId="243" fillId="67" borderId="2" xfId="0" applyFont="1" applyFill="1" applyBorder="1" applyAlignment="1" applyProtection="1">
      <alignment horizontal="center" vertical="center" wrapText="1" readingOrder="1"/>
      <protection hidden="1"/>
    </xf>
    <xf numFmtId="0" fontId="243" fillId="67" borderId="76" xfId="0" applyFont="1" applyFill="1" applyBorder="1" applyAlignment="1" applyProtection="1">
      <alignment horizontal="center" vertical="center" wrapText="1" readingOrder="1"/>
      <protection hidden="1"/>
    </xf>
    <xf numFmtId="0" fontId="129" fillId="0" borderId="81" xfId="0" applyFont="1" applyBorder="1" applyAlignment="1">
      <alignment horizontal="center" vertical="center"/>
    </xf>
    <xf numFmtId="0" fontId="243" fillId="67" borderId="62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9" xfId="0" applyFont="1" applyFill="1" applyBorder="1" applyAlignment="1" applyProtection="1">
      <alignment horizontal="center" vertical="center" wrapText="1" readingOrder="1"/>
      <protection hidden="1"/>
    </xf>
    <xf numFmtId="0" fontId="246" fillId="0" borderId="19" xfId="0" applyFont="1" applyBorder="1" applyAlignment="1" applyProtection="1">
      <alignment horizontal="center" vertical="top" wrapText="1"/>
      <protection hidden="1"/>
    </xf>
    <xf numFmtId="0" fontId="246" fillId="27" borderId="1" xfId="0" applyFont="1" applyFill="1" applyBorder="1" applyAlignment="1" applyProtection="1">
      <alignment horizontal="center" vertical="top" wrapText="1"/>
      <protection hidden="1"/>
    </xf>
    <xf numFmtId="0" fontId="211" fillId="27" borderId="5" xfId="0" applyFont="1" applyFill="1" applyBorder="1" applyAlignment="1" applyProtection="1">
      <alignment horizontal="center" vertical="center" wrapText="1"/>
      <protection hidden="1"/>
    </xf>
    <xf numFmtId="0" fontId="211" fillId="27" borderId="0" xfId="0" applyFont="1" applyFill="1" applyAlignment="1" applyProtection="1">
      <alignment horizontal="center" vertical="center" wrapText="1"/>
      <protection hidden="1"/>
    </xf>
    <xf numFmtId="0" fontId="211" fillId="27" borderId="86" xfId="0" applyFont="1" applyFill="1" applyBorder="1" applyAlignment="1" applyProtection="1">
      <alignment horizontal="center" vertical="center" wrapText="1"/>
      <protection hidden="1"/>
    </xf>
    <xf numFmtId="0" fontId="211" fillId="27" borderId="39" xfId="0" applyFont="1" applyFill="1" applyBorder="1" applyAlignment="1" applyProtection="1">
      <alignment horizontal="center" vertical="center" wrapText="1"/>
      <protection hidden="1"/>
    </xf>
    <xf numFmtId="0" fontId="229" fillId="0" borderId="43" xfId="0" applyFont="1" applyBorder="1" applyAlignment="1" applyProtection="1">
      <alignment horizontal="center" vertical="top" wrapText="1"/>
      <protection hidden="1"/>
    </xf>
    <xf numFmtId="0" fontId="229" fillId="0" borderId="25" xfId="0" applyFont="1" applyBorder="1" applyAlignment="1" applyProtection="1">
      <alignment horizontal="center" vertical="top" wrapText="1"/>
      <protection hidden="1"/>
    </xf>
    <xf numFmtId="0" fontId="229" fillId="0" borderId="84" xfId="0" applyFont="1" applyBorder="1" applyAlignment="1" applyProtection="1">
      <alignment horizontal="center" vertical="top" wrapText="1"/>
      <protection hidden="1"/>
    </xf>
    <xf numFmtId="0" fontId="246" fillId="0" borderId="1" xfId="0" applyFont="1" applyBorder="1" applyAlignment="1" applyProtection="1">
      <alignment horizontal="center" vertical="top" wrapText="1"/>
      <protection hidden="1"/>
    </xf>
    <xf numFmtId="0" fontId="238" fillId="25" borderId="35" xfId="0" applyFont="1" applyFill="1" applyBorder="1" applyAlignment="1" applyProtection="1">
      <alignment horizontal="center" vertical="center" textRotation="90"/>
      <protection hidden="1"/>
    </xf>
    <xf numFmtId="0" fontId="238" fillId="25" borderId="34" xfId="0" applyFont="1" applyFill="1" applyBorder="1" applyAlignment="1" applyProtection="1">
      <alignment horizontal="center" vertical="center" textRotation="90"/>
      <protection hidden="1"/>
    </xf>
    <xf numFmtId="0" fontId="238" fillId="25" borderId="38" xfId="0" applyFont="1" applyFill="1" applyBorder="1" applyAlignment="1" applyProtection="1">
      <alignment horizontal="center" vertical="center" textRotation="90"/>
      <protection hidden="1"/>
    </xf>
    <xf numFmtId="0" fontId="244" fillId="64" borderId="121" xfId="0" applyFont="1" applyFill="1" applyBorder="1" applyAlignment="1" applyProtection="1">
      <alignment horizontal="center" vertical="center" wrapText="1" readingOrder="1"/>
      <protection hidden="1"/>
    </xf>
    <xf numFmtId="0" fontId="244" fillId="64" borderId="122" xfId="0" applyFont="1" applyFill="1" applyBorder="1" applyAlignment="1" applyProtection="1">
      <alignment horizontal="center" vertical="center" wrapText="1" readingOrder="1"/>
      <protection hidden="1"/>
    </xf>
    <xf numFmtId="0" fontId="244" fillId="64" borderId="119" xfId="0" applyFont="1" applyFill="1" applyBorder="1" applyAlignment="1" applyProtection="1">
      <alignment horizontal="center" vertical="center" wrapText="1" readingOrder="1"/>
      <protection hidden="1"/>
    </xf>
    <xf numFmtId="0" fontId="244" fillId="64" borderId="120" xfId="0" applyFont="1" applyFill="1" applyBorder="1" applyAlignment="1" applyProtection="1">
      <alignment horizontal="center" vertical="center" wrapText="1" readingOrder="1"/>
      <protection hidden="1"/>
    </xf>
    <xf numFmtId="0" fontId="211" fillId="27" borderId="29" xfId="0" applyFont="1" applyFill="1" applyBorder="1" applyAlignment="1" applyProtection="1">
      <alignment horizontal="center" vertical="center" wrapText="1"/>
      <protection hidden="1"/>
    </xf>
    <xf numFmtId="0" fontId="211" fillId="27" borderId="40" xfId="0" applyFont="1" applyFill="1" applyBorder="1" applyAlignment="1" applyProtection="1">
      <alignment horizontal="center" vertical="center" wrapText="1"/>
      <protection hidden="1"/>
    </xf>
    <xf numFmtId="0" fontId="103" fillId="0" borderId="13" xfId="0" applyFont="1" applyBorder="1" applyAlignment="1" applyProtection="1">
      <alignment horizontal="center" vertical="top" wrapText="1"/>
      <protection hidden="1"/>
    </xf>
    <xf numFmtId="0" fontId="103" fillId="0" borderId="14" xfId="0" applyFont="1" applyBorder="1" applyAlignment="1" applyProtection="1">
      <alignment horizontal="center" vertical="top" wrapText="1"/>
      <protection hidden="1"/>
    </xf>
    <xf numFmtId="0" fontId="103" fillId="0" borderId="15" xfId="0" applyFont="1" applyBorder="1" applyAlignment="1" applyProtection="1">
      <alignment horizontal="center" vertical="top" wrapText="1"/>
      <protection hidden="1"/>
    </xf>
    <xf numFmtId="0" fontId="245" fillId="0" borderId="5" xfId="0" applyFont="1" applyBorder="1" applyAlignment="1" applyProtection="1">
      <alignment horizontal="center" vertical="center" wrapText="1"/>
      <protection hidden="1"/>
    </xf>
    <xf numFmtId="0" fontId="245" fillId="0" borderId="0" xfId="0" applyFont="1" applyAlignment="1" applyProtection="1">
      <alignment horizontal="center" vertical="center" wrapText="1"/>
      <protection hidden="1"/>
    </xf>
    <xf numFmtId="0" fontId="245" fillId="0" borderId="29" xfId="0" applyFont="1" applyBorder="1" applyAlignment="1" applyProtection="1">
      <alignment horizontal="center" vertical="center" wrapText="1"/>
      <protection hidden="1"/>
    </xf>
    <xf numFmtId="0" fontId="245" fillId="0" borderId="86" xfId="0" applyFont="1" applyBorder="1" applyAlignment="1" applyProtection="1">
      <alignment horizontal="center" vertical="center" wrapText="1"/>
      <protection hidden="1"/>
    </xf>
    <xf numFmtId="0" fontId="245" fillId="0" borderId="39" xfId="0" applyFont="1" applyBorder="1" applyAlignment="1" applyProtection="1">
      <alignment horizontal="center" vertical="center" wrapText="1"/>
      <protection hidden="1"/>
    </xf>
    <xf numFmtId="0" fontId="245" fillId="0" borderId="40" xfId="0" applyFont="1" applyBorder="1" applyAlignment="1" applyProtection="1">
      <alignment horizontal="center" vertical="center" wrapText="1"/>
      <protection hidden="1"/>
    </xf>
    <xf numFmtId="0" fontId="246" fillId="0" borderId="7" xfId="0" applyFont="1" applyBorder="1" applyAlignment="1" applyProtection="1">
      <alignment horizontal="center" vertical="top" wrapText="1"/>
      <protection hidden="1"/>
    </xf>
    <xf numFmtId="0" fontId="104" fillId="25" borderId="35" xfId="0" applyFont="1" applyFill="1" applyBorder="1" applyAlignment="1" applyProtection="1">
      <alignment horizontal="center" vertical="center" wrapText="1"/>
      <protection hidden="1"/>
    </xf>
    <xf numFmtId="0" fontId="104" fillId="25" borderId="36" xfId="0" applyFont="1" applyFill="1" applyBorder="1" applyAlignment="1" applyProtection="1">
      <alignment horizontal="center" vertical="center" wrapText="1"/>
      <protection hidden="1"/>
    </xf>
    <xf numFmtId="0" fontId="104" fillId="25" borderId="77" xfId="0" applyFont="1" applyFill="1" applyBorder="1" applyAlignment="1" applyProtection="1">
      <alignment horizontal="center" vertical="center" wrapText="1"/>
      <protection hidden="1"/>
    </xf>
    <xf numFmtId="0" fontId="104" fillId="25" borderId="34" xfId="0" applyFont="1" applyFill="1" applyBorder="1" applyAlignment="1" applyProtection="1">
      <alignment horizontal="center" vertical="center" wrapText="1"/>
      <protection hidden="1"/>
    </xf>
    <xf numFmtId="0" fontId="104" fillId="25" borderId="0" xfId="0" applyFont="1" applyFill="1" applyAlignment="1" applyProtection="1">
      <alignment horizontal="center" vertical="center" wrapText="1"/>
      <protection hidden="1"/>
    </xf>
    <xf numFmtId="0" fontId="104" fillId="25" borderId="4" xfId="0" applyFont="1" applyFill="1" applyBorder="1" applyAlignment="1" applyProtection="1">
      <alignment horizontal="center" vertical="center" wrapText="1"/>
      <protection hidden="1"/>
    </xf>
    <xf numFmtId="0" fontId="245" fillId="0" borderId="89" xfId="0" applyFont="1" applyBorder="1" applyAlignment="1" applyProtection="1">
      <alignment horizontal="center" vertical="center" wrapText="1"/>
      <protection hidden="1"/>
    </xf>
    <xf numFmtId="0" fontId="245" fillId="0" borderId="81" xfId="0" applyFont="1" applyBorder="1" applyAlignment="1" applyProtection="1">
      <alignment horizontal="center" vertical="center" wrapText="1"/>
      <protection hidden="1"/>
    </xf>
    <xf numFmtId="0" fontId="245" fillId="0" borderId="27" xfId="0" applyFont="1" applyBorder="1" applyAlignment="1" applyProtection="1">
      <alignment horizontal="center" vertical="center" wrapText="1"/>
      <protection hidden="1"/>
    </xf>
    <xf numFmtId="0" fontId="243" fillId="27" borderId="2" xfId="0" applyFont="1" applyFill="1" applyBorder="1" applyAlignment="1" applyProtection="1">
      <alignment horizontal="center" vertical="center" wrapText="1" readingOrder="1"/>
      <protection hidden="1"/>
    </xf>
    <xf numFmtId="0" fontId="243" fillId="27" borderId="5" xfId="0" applyFont="1" applyFill="1" applyBorder="1" applyAlignment="1" applyProtection="1">
      <alignment horizontal="center" vertical="center" wrapText="1" readingOrder="1"/>
      <protection hidden="1"/>
    </xf>
    <xf numFmtId="0" fontId="243" fillId="27" borderId="86" xfId="0" applyFont="1" applyFill="1" applyBorder="1" applyAlignment="1" applyProtection="1">
      <alignment horizontal="center" vertical="center" wrapText="1" readingOrder="1"/>
      <protection hidden="1"/>
    </xf>
    <xf numFmtId="0" fontId="246" fillId="0" borderId="17" xfId="0" applyFont="1" applyBorder="1" applyAlignment="1" applyProtection="1">
      <alignment horizontal="center" vertical="top" wrapText="1"/>
      <protection hidden="1"/>
    </xf>
    <xf numFmtId="0" fontId="54" fillId="33" borderId="79" xfId="0" applyFont="1" applyFill="1" applyBorder="1" applyAlignment="1" applyProtection="1">
      <alignment horizontal="center" vertical="center" textRotation="90" wrapText="1"/>
      <protection hidden="1"/>
    </xf>
    <xf numFmtId="0" fontId="54" fillId="33" borderId="70" xfId="0" applyFont="1" applyFill="1" applyBorder="1" applyAlignment="1" applyProtection="1">
      <alignment horizontal="center" vertical="center" textRotation="90" wrapText="1"/>
      <protection hidden="1"/>
    </xf>
    <xf numFmtId="0" fontId="54" fillId="33" borderId="8" xfId="0" applyFont="1" applyFill="1" applyBorder="1" applyAlignment="1" applyProtection="1">
      <alignment horizontal="center" vertical="center" textRotation="90" wrapText="1"/>
      <protection hidden="1"/>
    </xf>
    <xf numFmtId="0" fontId="243" fillId="0" borderId="34" xfId="0" applyFont="1" applyBorder="1" applyAlignment="1" applyProtection="1">
      <alignment horizontal="center" vertical="center" wrapText="1" readingOrder="1"/>
      <protection hidden="1"/>
    </xf>
    <xf numFmtId="0" fontId="243" fillId="0" borderId="0" xfId="0" applyFont="1" applyAlignment="1" applyProtection="1">
      <alignment horizontal="center" vertical="center" wrapText="1" readingOrder="1"/>
      <protection hidden="1"/>
    </xf>
    <xf numFmtId="0" fontId="243" fillId="0" borderId="29" xfId="0" applyFont="1" applyBorder="1" applyAlignment="1" applyProtection="1">
      <alignment horizontal="center" vertical="center" wrapText="1" readingOrder="1"/>
      <protection hidden="1"/>
    </xf>
    <xf numFmtId="0" fontId="82" fillId="23" borderId="179" xfId="0" applyFont="1" applyFill="1" applyBorder="1" applyAlignment="1" applyProtection="1">
      <alignment horizontal="center" vertical="center" wrapText="1" readingOrder="1"/>
      <protection hidden="1"/>
    </xf>
    <xf numFmtId="0" fontId="82" fillId="23" borderId="180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5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6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7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4" xfId="0" applyFont="1" applyFill="1" applyBorder="1" applyAlignment="1" applyProtection="1">
      <alignment horizontal="center" vertical="center" wrapText="1" readingOrder="1"/>
      <protection hidden="1"/>
    </xf>
    <xf numFmtId="0" fontId="292" fillId="36" borderId="0" xfId="0" applyFont="1" applyFill="1" applyAlignment="1" applyProtection="1">
      <alignment horizontal="center" vertical="center" wrapText="1" readingOrder="1"/>
      <protection hidden="1"/>
    </xf>
    <xf numFmtId="0" fontId="292" fillId="36" borderId="29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8" xfId="0" applyFont="1" applyFill="1" applyBorder="1" applyAlignment="1" applyProtection="1">
      <alignment horizontal="center" vertical="center" wrapText="1" readingOrder="1"/>
      <protection hidden="1"/>
    </xf>
    <xf numFmtId="0" fontId="292" fillId="36" borderId="39" xfId="0" applyFont="1" applyFill="1" applyBorder="1" applyAlignment="1" applyProtection="1">
      <alignment horizontal="center" vertical="center" wrapText="1" readingOrder="1"/>
      <protection hidden="1"/>
    </xf>
    <xf numFmtId="0" fontId="292" fillId="36" borderId="40" xfId="0" applyFont="1" applyFill="1" applyBorder="1" applyAlignment="1" applyProtection="1">
      <alignment horizontal="center" vertical="center" wrapText="1" readingOrder="1"/>
      <protection hidden="1"/>
    </xf>
    <xf numFmtId="0" fontId="246" fillId="0" borderId="13" xfId="0" applyFont="1" applyBorder="1" applyAlignment="1" applyProtection="1">
      <alignment horizontal="center" vertical="top" wrapText="1"/>
      <protection hidden="1"/>
    </xf>
    <xf numFmtId="0" fontId="222" fillId="0" borderId="0" xfId="0" applyFont="1" applyAlignment="1" applyProtection="1">
      <alignment horizontal="center" wrapText="1"/>
      <protection hidden="1"/>
    </xf>
    <xf numFmtId="0" fontId="230" fillId="0" borderId="0" xfId="0" applyFont="1" applyAlignment="1" applyProtection="1">
      <alignment horizontal="center" vertical="top" wrapText="1"/>
      <protection hidden="1"/>
    </xf>
    <xf numFmtId="0" fontId="232" fillId="0" borderId="34" xfId="0" applyFont="1" applyBorder="1" applyAlignment="1" applyProtection="1">
      <alignment horizontal="center" wrapText="1"/>
      <protection hidden="1"/>
    </xf>
    <xf numFmtId="0" fontId="232" fillId="0" borderId="0" xfId="0" applyFont="1" applyAlignment="1" applyProtection="1">
      <alignment horizontal="center" wrapText="1"/>
      <protection hidden="1"/>
    </xf>
    <xf numFmtId="0" fontId="225" fillId="0" borderId="13" xfId="0" applyFont="1" applyBorder="1" applyAlignment="1" applyProtection="1">
      <alignment horizontal="center"/>
      <protection hidden="1"/>
    </xf>
    <xf numFmtId="0" fontId="225" fillId="0" borderId="14" xfId="0" applyFont="1" applyBorder="1" applyAlignment="1" applyProtection="1">
      <alignment horizontal="center"/>
      <protection hidden="1"/>
    </xf>
    <xf numFmtId="0" fontId="225" fillId="0" borderId="65" xfId="0" applyFont="1" applyBorder="1" applyAlignment="1" applyProtection="1">
      <alignment horizontal="center"/>
      <protection hidden="1"/>
    </xf>
    <xf numFmtId="0" fontId="225" fillId="0" borderId="17" xfId="0" applyFont="1" applyBorder="1" applyAlignment="1" applyProtection="1">
      <alignment horizontal="center" vertical="top" wrapText="1"/>
      <protection hidden="1"/>
    </xf>
    <xf numFmtId="0" fontId="225" fillId="0" borderId="18" xfId="0" applyFont="1" applyBorder="1" applyAlignment="1" applyProtection="1">
      <alignment horizontal="center" vertical="top" wrapText="1"/>
      <protection hidden="1"/>
    </xf>
    <xf numFmtId="0" fontId="225" fillId="0" borderId="28" xfId="0" applyFont="1" applyBorder="1" applyAlignment="1" applyProtection="1">
      <alignment horizontal="center" vertical="top" wrapText="1"/>
      <protection hidden="1"/>
    </xf>
    <xf numFmtId="0" fontId="225" fillId="0" borderId="17" xfId="0" applyFont="1" applyBorder="1" applyAlignment="1" applyProtection="1">
      <alignment horizontal="center"/>
      <protection hidden="1"/>
    </xf>
    <xf numFmtId="0" fontId="225" fillId="0" borderId="18" xfId="0" applyFont="1" applyBorder="1" applyAlignment="1" applyProtection="1">
      <alignment horizontal="center"/>
      <protection hidden="1"/>
    </xf>
    <xf numFmtId="0" fontId="225" fillId="0" borderId="28" xfId="0" applyFont="1" applyBorder="1" applyAlignment="1" applyProtection="1">
      <alignment horizontal="center"/>
      <protection hidden="1"/>
    </xf>
    <xf numFmtId="0" fontId="221" fillId="0" borderId="59" xfId="0" applyFont="1" applyBorder="1" applyAlignment="1" applyProtection="1">
      <alignment horizontal="center"/>
      <protection hidden="1"/>
    </xf>
    <xf numFmtId="0" fontId="221" fillId="0" borderId="31" xfId="0" applyFont="1" applyBorder="1" applyAlignment="1" applyProtection="1">
      <alignment horizontal="center"/>
      <protection hidden="1"/>
    </xf>
    <xf numFmtId="0" fontId="221" fillId="0" borderId="45" xfId="0" applyFont="1" applyBorder="1" applyAlignment="1" applyProtection="1">
      <alignment horizontal="center"/>
      <protection hidden="1"/>
    </xf>
    <xf numFmtId="0" fontId="231" fillId="0" borderId="77" xfId="0" applyFont="1" applyBorder="1" applyAlignment="1" applyProtection="1">
      <alignment horizontal="center" wrapText="1"/>
      <protection hidden="1"/>
    </xf>
    <xf numFmtId="0" fontId="231" fillId="0" borderId="26" xfId="0" applyFont="1" applyBorder="1" applyAlignment="1" applyProtection="1">
      <alignment horizontal="center" wrapText="1"/>
      <protection hidden="1"/>
    </xf>
    <xf numFmtId="0" fontId="221" fillId="0" borderId="0" xfId="0" applyFont="1" applyAlignment="1" applyProtection="1">
      <alignment horizontal="center"/>
      <protection hidden="1"/>
    </xf>
    <xf numFmtId="0" fontId="229" fillId="0" borderId="24" xfId="0" applyFont="1" applyBorder="1" applyAlignment="1" applyProtection="1">
      <alignment horizontal="center" vertical="top" wrapText="1"/>
      <protection hidden="1"/>
    </xf>
    <xf numFmtId="0" fontId="229" fillId="0" borderId="26" xfId="0" applyFont="1" applyBorder="1" applyAlignment="1" applyProtection="1">
      <alignment horizontal="center" vertical="top" wrapText="1"/>
      <protection hidden="1"/>
    </xf>
    <xf numFmtId="0" fontId="231" fillId="27" borderId="33" xfId="0" applyFont="1" applyFill="1" applyBorder="1" applyAlignment="1" applyProtection="1">
      <alignment horizontal="center" wrapText="1"/>
      <protection hidden="1"/>
    </xf>
    <xf numFmtId="0" fontId="231" fillId="27" borderId="60" xfId="0" applyFont="1" applyFill="1" applyBorder="1" applyAlignment="1" applyProtection="1">
      <alignment horizontal="center" wrapText="1"/>
      <protection hidden="1"/>
    </xf>
    <xf numFmtId="0" fontId="226" fillId="27" borderId="34" xfId="0" applyFont="1" applyFill="1" applyBorder="1" applyAlignment="1" applyProtection="1">
      <alignment horizontal="center" vertical="center" wrapText="1" readingOrder="1"/>
      <protection hidden="1"/>
    </xf>
    <xf numFmtId="0" fontId="226" fillId="27" borderId="0" xfId="0" applyFont="1" applyFill="1" applyAlignment="1" applyProtection="1">
      <alignment horizontal="center" vertical="center" wrapText="1" readingOrder="1"/>
      <protection hidden="1"/>
    </xf>
    <xf numFmtId="0" fontId="226" fillId="27" borderId="4" xfId="0" applyFont="1" applyFill="1" applyBorder="1" applyAlignment="1" applyProtection="1">
      <alignment horizontal="center" vertical="center" wrapText="1" readingOrder="1"/>
      <protection hidden="1"/>
    </xf>
    <xf numFmtId="0" fontId="243" fillId="27" borderId="79" xfId="0" applyFont="1" applyFill="1" applyBorder="1" applyAlignment="1" applyProtection="1">
      <alignment horizontal="center" vertical="center" wrapText="1" readingOrder="1"/>
      <protection hidden="1"/>
    </xf>
    <xf numFmtId="0" fontId="243" fillId="27" borderId="70" xfId="0" applyFont="1" applyFill="1" applyBorder="1" applyAlignment="1" applyProtection="1">
      <alignment horizontal="center" vertical="center" wrapText="1" readingOrder="1"/>
      <protection hidden="1"/>
    </xf>
    <xf numFmtId="0" fontId="243" fillId="27" borderId="8" xfId="0" applyFont="1" applyFill="1" applyBorder="1" applyAlignment="1" applyProtection="1">
      <alignment horizontal="center" vertical="center" wrapText="1" readingOrder="1"/>
      <protection hidden="1"/>
    </xf>
    <xf numFmtId="0" fontId="246" fillId="0" borderId="43" xfId="0" applyFont="1" applyBorder="1" applyAlignment="1" applyProtection="1">
      <alignment horizontal="center" vertical="top" wrapText="1"/>
      <protection hidden="1"/>
    </xf>
    <xf numFmtId="0" fontId="246" fillId="0" borderId="25" xfId="0" applyFont="1" applyBorder="1" applyAlignment="1" applyProtection="1">
      <alignment horizontal="center" vertical="top" wrapText="1"/>
      <protection hidden="1"/>
    </xf>
    <xf numFmtId="0" fontId="246" fillId="0" borderId="84" xfId="0" applyFont="1" applyBorder="1" applyAlignment="1" applyProtection="1">
      <alignment horizontal="center" vertical="top" wrapText="1"/>
      <protection hidden="1"/>
    </xf>
    <xf numFmtId="0" fontId="248" fillId="27" borderId="34" xfId="0" applyFont="1" applyFill="1" applyBorder="1" applyAlignment="1" applyProtection="1">
      <alignment horizontal="center" vertical="center" wrapText="1" readingOrder="1"/>
      <protection hidden="1"/>
    </xf>
    <xf numFmtId="0" fontId="248" fillId="27" borderId="0" xfId="0" applyFont="1" applyFill="1" applyAlignment="1" applyProtection="1">
      <alignment horizontal="center" vertical="center" wrapText="1" readingOrder="1"/>
      <protection hidden="1"/>
    </xf>
    <xf numFmtId="0" fontId="248" fillId="27" borderId="29" xfId="0" applyFont="1" applyFill="1" applyBorder="1" applyAlignment="1" applyProtection="1">
      <alignment horizontal="center" vertical="center" wrapText="1" readingOrder="1"/>
      <protection hidden="1"/>
    </xf>
    <xf numFmtId="0" fontId="292" fillId="27" borderId="176" xfId="0" applyFont="1" applyFill="1" applyBorder="1" applyAlignment="1" applyProtection="1">
      <alignment horizontal="center" vertical="center" textRotation="90" wrapText="1" readingOrder="1"/>
      <protection hidden="1"/>
    </xf>
    <xf numFmtId="0" fontId="291" fillId="27" borderId="177" xfId="0" applyFont="1" applyFill="1" applyBorder="1" applyAlignment="1" applyProtection="1">
      <alignment horizontal="center" vertical="center" textRotation="90" wrapText="1" readingOrder="1"/>
      <protection hidden="1"/>
    </xf>
    <xf numFmtId="0" fontId="291" fillId="27" borderId="178" xfId="0" applyFont="1" applyFill="1" applyBorder="1" applyAlignment="1" applyProtection="1">
      <alignment horizontal="center" vertical="center" textRotation="90" wrapText="1" readingOrder="1"/>
      <protection hidden="1"/>
    </xf>
    <xf numFmtId="0" fontId="82" fillId="23" borderId="181" xfId="0" applyFont="1" applyFill="1" applyBorder="1" applyAlignment="1" applyProtection="1">
      <alignment horizontal="center" vertical="center" wrapText="1" readingOrder="1"/>
      <protection hidden="1"/>
    </xf>
    <xf numFmtId="0" fontId="82" fillId="23" borderId="4" xfId="0" applyFont="1" applyFill="1" applyBorder="1" applyAlignment="1" applyProtection="1">
      <alignment horizontal="center" vertical="center" wrapText="1" readingOrder="1"/>
      <protection hidden="1"/>
    </xf>
    <xf numFmtId="0" fontId="82" fillId="23" borderId="182" xfId="0" applyFont="1" applyFill="1" applyBorder="1" applyAlignment="1" applyProtection="1">
      <alignment horizontal="center" vertical="center" wrapText="1" readingOrder="1"/>
      <protection hidden="1"/>
    </xf>
    <xf numFmtId="0" fontId="244" fillId="29" borderId="35" xfId="0" applyFont="1" applyFill="1" applyBorder="1" applyAlignment="1" applyProtection="1">
      <alignment horizontal="center" vertical="center" wrapText="1" readingOrder="1"/>
      <protection hidden="1"/>
    </xf>
    <xf numFmtId="0" fontId="244" fillId="29" borderId="36" xfId="0" applyFont="1" applyFill="1" applyBorder="1" applyAlignment="1" applyProtection="1">
      <alignment horizontal="center" vertical="center" wrapText="1" readingOrder="1"/>
      <protection hidden="1"/>
    </xf>
    <xf numFmtId="0" fontId="244" fillId="29" borderId="34" xfId="0" applyFont="1" applyFill="1" applyBorder="1" applyAlignment="1" applyProtection="1">
      <alignment horizontal="center" vertical="center" wrapText="1" readingOrder="1"/>
      <protection hidden="1"/>
    </xf>
    <xf numFmtId="0" fontId="244" fillId="29" borderId="0" xfId="0" applyFont="1" applyFill="1" applyAlignment="1" applyProtection="1">
      <alignment horizontal="center" vertical="center" wrapText="1" readingOrder="1"/>
      <protection hidden="1"/>
    </xf>
    <xf numFmtId="0" fontId="244" fillId="29" borderId="38" xfId="0" applyFont="1" applyFill="1" applyBorder="1" applyAlignment="1" applyProtection="1">
      <alignment horizontal="center" vertical="center" wrapText="1" readingOrder="1"/>
      <protection hidden="1"/>
    </xf>
    <xf numFmtId="0" fontId="244" fillId="29" borderId="39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5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6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4" xfId="0" applyFont="1" applyFill="1" applyBorder="1" applyAlignment="1" applyProtection="1">
      <alignment horizontal="center" vertical="center" wrapText="1" readingOrder="1"/>
      <protection hidden="1"/>
    </xf>
    <xf numFmtId="0" fontId="248" fillId="26" borderId="0" xfId="0" applyFont="1" applyFill="1" applyAlignment="1" applyProtection="1">
      <alignment horizontal="center" vertical="center" wrapText="1" readingOrder="1"/>
      <protection hidden="1"/>
    </xf>
    <xf numFmtId="0" fontId="248" fillId="26" borderId="38" xfId="0" applyFont="1" applyFill="1" applyBorder="1" applyAlignment="1" applyProtection="1">
      <alignment horizontal="center" vertical="center" wrapText="1" readingOrder="1"/>
      <protection hidden="1"/>
    </xf>
    <xf numFmtId="0" fontId="248" fillId="26" borderId="39" xfId="0" applyFont="1" applyFill="1" applyBorder="1" applyAlignment="1" applyProtection="1">
      <alignment horizontal="center" vertical="center" wrapText="1" readingOrder="1"/>
      <protection hidden="1"/>
    </xf>
    <xf numFmtId="0" fontId="307" fillId="31" borderId="18" xfId="0" applyFont="1" applyFill="1" applyBorder="1" applyAlignment="1" applyProtection="1">
      <alignment horizontal="center" vertical="center" wrapText="1" readingOrder="1"/>
      <protection hidden="1"/>
    </xf>
    <xf numFmtId="0" fontId="307" fillId="31" borderId="28" xfId="0" applyFont="1" applyFill="1" applyBorder="1" applyAlignment="1" applyProtection="1">
      <alignment horizontal="center" vertical="center" wrapText="1" readingOrder="1"/>
      <protection hidden="1"/>
    </xf>
    <xf numFmtId="0" fontId="307" fillId="67" borderId="18" xfId="0" applyFont="1" applyFill="1" applyBorder="1" applyAlignment="1" applyProtection="1">
      <alignment horizontal="center" vertical="center" wrapText="1" readingOrder="1"/>
      <protection hidden="1"/>
    </xf>
    <xf numFmtId="0" fontId="307" fillId="67" borderId="28" xfId="0" applyFont="1" applyFill="1" applyBorder="1" applyAlignment="1" applyProtection="1">
      <alignment horizontal="center" vertical="center" wrapText="1" readingOrder="1"/>
      <protection hidden="1"/>
    </xf>
    <xf numFmtId="0" fontId="272" fillId="67" borderId="18" xfId="0" applyFont="1" applyFill="1" applyBorder="1" applyAlignment="1" applyProtection="1">
      <alignment horizontal="center" vertical="center" wrapText="1" readingOrder="1"/>
      <protection hidden="1"/>
    </xf>
    <xf numFmtId="0" fontId="272" fillId="67" borderId="28" xfId="0" applyFont="1" applyFill="1" applyBorder="1" applyAlignment="1" applyProtection="1">
      <alignment horizontal="center" vertical="center" wrapText="1" readingOrder="1"/>
      <protection hidden="1"/>
    </xf>
    <xf numFmtId="0" fontId="272" fillId="67" borderId="166" xfId="0" applyFont="1" applyFill="1" applyBorder="1" applyAlignment="1" applyProtection="1">
      <alignment horizontal="center" vertical="center" wrapText="1" readingOrder="1"/>
      <protection hidden="1"/>
    </xf>
    <xf numFmtId="0" fontId="272" fillId="67" borderId="164" xfId="0" applyFont="1" applyFill="1" applyBorder="1" applyAlignment="1" applyProtection="1">
      <alignment horizontal="center" vertical="center" wrapText="1" readingOrder="1"/>
      <protection hidden="1"/>
    </xf>
    <xf numFmtId="0" fontId="270" fillId="29" borderId="36" xfId="0" applyFont="1" applyFill="1" applyBorder="1" applyAlignment="1" applyProtection="1">
      <alignment horizontal="center" vertical="center" wrapText="1" readingOrder="1"/>
      <protection hidden="1"/>
    </xf>
    <xf numFmtId="0" fontId="270" fillId="29" borderId="123" xfId="0" applyFont="1" applyFill="1" applyBorder="1" applyAlignment="1" applyProtection="1">
      <alignment horizontal="center" vertical="center" wrapText="1" readingOrder="1"/>
      <protection hidden="1"/>
    </xf>
    <xf numFmtId="0" fontId="244" fillId="26" borderId="147" xfId="0" applyFont="1" applyFill="1" applyBorder="1" applyAlignment="1" applyProtection="1">
      <alignment horizontal="center" vertical="center" wrapText="1" readingOrder="1"/>
      <protection hidden="1"/>
    </xf>
    <xf numFmtId="0" fontId="244" fillId="26" borderId="122" xfId="0" applyFont="1" applyFill="1" applyBorder="1" applyAlignment="1" applyProtection="1">
      <alignment horizontal="center" vertical="center" wrapText="1" readingOrder="1"/>
      <protection hidden="1"/>
    </xf>
    <xf numFmtId="0" fontId="50" fillId="27" borderId="77" xfId="0" applyFont="1" applyFill="1" applyBorder="1" applyAlignment="1" applyProtection="1">
      <alignment horizontal="center" wrapText="1"/>
      <protection hidden="1"/>
    </xf>
    <xf numFmtId="0" fontId="50" fillId="27" borderId="26" xfId="0" applyFont="1" applyFill="1" applyBorder="1" applyAlignment="1" applyProtection="1">
      <alignment horizontal="center" wrapText="1"/>
      <protection hidden="1"/>
    </xf>
    <xf numFmtId="0" fontId="252" fillId="27" borderId="63" xfId="0" applyFont="1" applyFill="1" applyBorder="1" applyAlignment="1" applyProtection="1">
      <alignment horizontal="center" vertical="top" wrapText="1"/>
      <protection hidden="1"/>
    </xf>
    <xf numFmtId="0" fontId="252" fillId="27" borderId="73" xfId="0" applyFont="1" applyFill="1" applyBorder="1" applyAlignment="1" applyProtection="1">
      <alignment horizontal="center" vertical="top" wrapText="1"/>
      <protection hidden="1"/>
    </xf>
    <xf numFmtId="0" fontId="252" fillId="27" borderId="58" xfId="0" applyFont="1" applyFill="1" applyBorder="1" applyAlignment="1" applyProtection="1">
      <alignment horizontal="center" vertical="top" wrapText="1"/>
      <protection hidden="1"/>
    </xf>
    <xf numFmtId="0" fontId="82" fillId="0" borderId="35" xfId="0" applyFont="1" applyBorder="1" applyAlignment="1" applyProtection="1">
      <alignment horizontal="center" vertical="center" wrapText="1"/>
      <protection hidden="1"/>
    </xf>
    <xf numFmtId="0" fontId="82" fillId="0" borderId="36" xfId="0" applyFont="1" applyBorder="1" applyAlignment="1" applyProtection="1">
      <alignment horizontal="center" vertical="center" wrapText="1"/>
      <protection hidden="1"/>
    </xf>
    <xf numFmtId="0" fontId="82" fillId="0" borderId="77" xfId="0" applyFont="1" applyBorder="1" applyAlignment="1" applyProtection="1">
      <alignment horizontal="center" vertical="center" wrapText="1"/>
      <protection hidden="1"/>
    </xf>
    <xf numFmtId="0" fontId="82" fillId="0" borderId="34" xfId="0" applyFont="1" applyBorder="1" applyAlignment="1" applyProtection="1">
      <alignment horizontal="center" vertical="center" wrapText="1"/>
      <protection hidden="1"/>
    </xf>
    <xf numFmtId="0" fontId="82" fillId="0" borderId="0" xfId="0" applyFont="1" applyAlignment="1" applyProtection="1">
      <alignment horizontal="center" vertical="center" wrapText="1"/>
      <protection hidden="1"/>
    </xf>
    <xf numFmtId="0" fontId="82" fillId="0" borderId="4" xfId="0" applyFont="1" applyBorder="1" applyAlignment="1" applyProtection="1">
      <alignment horizontal="center" vertical="center" wrapText="1"/>
      <protection hidden="1"/>
    </xf>
    <xf numFmtId="0" fontId="82" fillId="0" borderId="38" xfId="0" applyFont="1" applyBorder="1" applyAlignment="1" applyProtection="1">
      <alignment horizontal="center" vertical="center" wrapText="1"/>
      <protection hidden="1"/>
    </xf>
    <xf numFmtId="0" fontId="82" fillId="0" borderId="39" xfId="0" applyFont="1" applyBorder="1" applyAlignment="1" applyProtection="1">
      <alignment horizontal="center" vertical="center" wrapText="1"/>
      <protection hidden="1"/>
    </xf>
    <xf numFmtId="0" fontId="82" fillId="0" borderId="72" xfId="0" applyFont="1" applyBorder="1" applyAlignment="1" applyProtection="1">
      <alignment horizontal="center" vertical="center" wrapText="1"/>
      <protection hidden="1"/>
    </xf>
    <xf numFmtId="0" fontId="82" fillId="0" borderId="35" xfId="0" applyFont="1" applyBorder="1" applyAlignment="1" applyProtection="1">
      <alignment horizontal="center"/>
      <protection hidden="1"/>
    </xf>
    <xf numFmtId="0" fontId="82" fillId="0" borderId="36" xfId="0" applyFont="1" applyBorder="1" applyAlignment="1" applyProtection="1">
      <alignment horizontal="center"/>
      <protection hidden="1"/>
    </xf>
    <xf numFmtId="0" fontId="82" fillId="0" borderId="77" xfId="0" applyFont="1" applyBorder="1" applyAlignment="1" applyProtection="1">
      <alignment horizontal="center"/>
      <protection hidden="1"/>
    </xf>
    <xf numFmtId="0" fontId="82" fillId="0" borderId="34" xfId="0" applyFont="1" applyBorder="1" applyAlignment="1" applyProtection="1">
      <alignment horizontal="center"/>
      <protection hidden="1"/>
    </xf>
    <xf numFmtId="0" fontId="82" fillId="0" borderId="0" xfId="0" applyFont="1" applyAlignment="1" applyProtection="1">
      <alignment horizontal="center"/>
      <protection hidden="1"/>
    </xf>
    <xf numFmtId="0" fontId="82" fillId="0" borderId="4" xfId="0" applyFont="1" applyBorder="1" applyAlignment="1" applyProtection="1">
      <alignment horizontal="center"/>
      <protection hidden="1"/>
    </xf>
    <xf numFmtId="0" fontId="82" fillId="0" borderId="38" xfId="0" applyFont="1" applyBorder="1" applyAlignment="1" applyProtection="1">
      <alignment horizontal="center"/>
      <protection hidden="1"/>
    </xf>
    <xf numFmtId="0" fontId="82" fillId="0" borderId="39" xfId="0" applyFont="1" applyBorder="1" applyAlignment="1" applyProtection="1">
      <alignment horizontal="center"/>
      <protection hidden="1"/>
    </xf>
    <xf numFmtId="0" fontId="82" fillId="0" borderId="72" xfId="0" applyFont="1" applyBorder="1" applyAlignment="1" applyProtection="1">
      <alignment horizontal="center"/>
      <protection hidden="1"/>
    </xf>
    <xf numFmtId="0" fontId="82" fillId="27" borderId="17" xfId="0" applyFont="1" applyFill="1" applyBorder="1" applyAlignment="1" applyProtection="1">
      <alignment horizontal="center" vertical="center" wrapText="1"/>
      <protection hidden="1"/>
    </xf>
    <xf numFmtId="0" fontId="82" fillId="27" borderId="18" xfId="0" applyFont="1" applyFill="1" applyBorder="1" applyAlignment="1" applyProtection="1">
      <alignment horizontal="center" vertical="center" wrapText="1"/>
      <protection hidden="1"/>
    </xf>
    <xf numFmtId="0" fontId="82" fillId="27" borderId="19" xfId="0" applyFont="1" applyFill="1" applyBorder="1" applyAlignment="1" applyProtection="1">
      <alignment horizontal="center" vertical="center" wrapText="1"/>
      <protection hidden="1"/>
    </xf>
    <xf numFmtId="0" fontId="243" fillId="27" borderId="11" xfId="0" applyFont="1" applyFill="1" applyBorder="1" applyAlignment="1" applyProtection="1">
      <alignment horizontal="center" vertical="center" wrapText="1" readingOrder="1"/>
      <protection hidden="1"/>
    </xf>
    <xf numFmtId="0" fontId="243" fillId="27" borderId="72" xfId="0" applyFont="1" applyFill="1" applyBorder="1" applyAlignment="1" applyProtection="1">
      <alignment horizontal="center" vertical="center" wrapText="1" readingOrder="1"/>
      <protection hidden="1"/>
    </xf>
    <xf numFmtId="0" fontId="50" fillId="27" borderId="1" xfId="0" applyFont="1" applyFill="1" applyBorder="1" applyAlignment="1" applyProtection="1">
      <alignment horizontal="center" wrapText="1"/>
      <protection hidden="1"/>
    </xf>
    <xf numFmtId="0" fontId="50" fillId="27" borderId="33" xfId="0" applyFont="1" applyFill="1" applyBorder="1" applyAlignment="1" applyProtection="1">
      <alignment horizontal="center" wrapText="1"/>
      <protection hidden="1"/>
    </xf>
    <xf numFmtId="0" fontId="122" fillId="0" borderId="1" xfId="0" applyFont="1" applyBorder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/>
      <protection hidden="1"/>
    </xf>
    <xf numFmtId="0" fontId="50" fillId="0" borderId="59" xfId="0" applyFont="1" applyBorder="1" applyAlignment="1" applyProtection="1">
      <alignment horizontal="center"/>
      <protection hidden="1"/>
    </xf>
    <xf numFmtId="0" fontId="50" fillId="0" borderId="31" xfId="0" applyFont="1" applyBorder="1" applyAlignment="1" applyProtection="1">
      <alignment horizontal="center"/>
      <protection hidden="1"/>
    </xf>
    <xf numFmtId="0" fontId="50" fillId="0" borderId="45" xfId="0" applyFont="1" applyBorder="1" applyAlignment="1" applyProtection="1">
      <alignment horizontal="center"/>
      <protection hidden="1"/>
    </xf>
    <xf numFmtId="0" fontId="272" fillId="0" borderId="81" xfId="0" applyFont="1" applyBorder="1" applyAlignment="1" applyProtection="1">
      <alignment horizontal="center" vertical="center" wrapText="1" readingOrder="1"/>
      <protection hidden="1"/>
    </xf>
    <xf numFmtId="0" fontId="370" fillId="0" borderId="89" xfId="0" applyFont="1" applyBorder="1" applyAlignment="1" applyProtection="1">
      <alignment horizontal="center" vertical="center" textRotation="90"/>
      <protection hidden="1"/>
    </xf>
    <xf numFmtId="0" fontId="370" fillId="0" borderId="90" xfId="0" applyFont="1" applyBorder="1" applyAlignment="1" applyProtection="1">
      <alignment horizontal="center" vertical="center" textRotation="90"/>
      <protection hidden="1"/>
    </xf>
    <xf numFmtId="0" fontId="370" fillId="0" borderId="77" xfId="0" applyFont="1" applyBorder="1" applyAlignment="1" applyProtection="1">
      <alignment horizontal="center" vertical="center" textRotation="90"/>
      <protection hidden="1"/>
    </xf>
    <xf numFmtId="0" fontId="370" fillId="0" borderId="4" xfId="0" applyFont="1" applyBorder="1" applyAlignment="1" applyProtection="1">
      <alignment horizontal="center" vertical="center" textRotation="90"/>
      <protection hidden="1"/>
    </xf>
    <xf numFmtId="0" fontId="44" fillId="0" borderId="13" xfId="0" applyFont="1" applyBorder="1" applyAlignment="1" applyProtection="1">
      <alignment horizontal="center"/>
      <protection hidden="1"/>
    </xf>
    <xf numFmtId="0" fontId="44" fillId="0" borderId="14" xfId="0" applyFont="1" applyBorder="1" applyAlignment="1" applyProtection="1">
      <alignment horizontal="center"/>
      <protection hidden="1"/>
    </xf>
    <xf numFmtId="0" fontId="44" fillId="0" borderId="15" xfId="0" applyFont="1" applyBorder="1" applyAlignment="1" applyProtection="1">
      <alignment horizontal="center"/>
      <protection hidden="1"/>
    </xf>
    <xf numFmtId="0" fontId="156" fillId="0" borderId="89" xfId="0" applyFont="1" applyBorder="1" applyAlignment="1" applyProtection="1">
      <alignment horizontal="center" vertical="center" wrapText="1" readingOrder="1"/>
      <protection hidden="1"/>
    </xf>
    <xf numFmtId="0" fontId="156" fillId="0" borderId="81" xfId="0" applyFont="1" applyBorder="1" applyAlignment="1" applyProtection="1">
      <alignment horizontal="center" vertical="center" wrapText="1" readingOrder="1"/>
      <protection hidden="1"/>
    </xf>
    <xf numFmtId="0" fontId="271" fillId="30" borderId="89" xfId="0" applyFont="1" applyFill="1" applyBorder="1" applyAlignment="1" applyProtection="1">
      <alignment horizontal="center" vertical="center" wrapText="1" readingOrder="1"/>
      <protection hidden="1"/>
    </xf>
    <xf numFmtId="0" fontId="271" fillId="30" borderId="81" xfId="0" applyFont="1" applyFill="1" applyBorder="1" applyAlignment="1" applyProtection="1">
      <alignment horizontal="center" vertical="center" wrapText="1" readingOrder="1"/>
      <protection hidden="1"/>
    </xf>
    <xf numFmtId="0" fontId="271" fillId="30" borderId="34" xfId="0" applyFont="1" applyFill="1" applyBorder="1" applyAlignment="1" applyProtection="1">
      <alignment horizontal="center" vertical="center" wrapText="1" readingOrder="1"/>
      <protection hidden="1"/>
    </xf>
    <xf numFmtId="0" fontId="271" fillId="30" borderId="38" xfId="0" applyFont="1" applyFill="1" applyBorder="1" applyAlignment="1" applyProtection="1">
      <alignment horizontal="center" vertical="center" wrapText="1" readingOrder="1"/>
      <protection hidden="1"/>
    </xf>
    <xf numFmtId="0" fontId="226" fillId="62" borderId="34" xfId="0" applyFont="1" applyFill="1" applyBorder="1" applyAlignment="1" applyProtection="1">
      <alignment horizontal="center" vertical="center" wrapText="1" readingOrder="1"/>
      <protection hidden="1"/>
    </xf>
    <xf numFmtId="0" fontId="226" fillId="62" borderId="43" xfId="0" applyFont="1" applyFill="1" applyBorder="1" applyAlignment="1" applyProtection="1">
      <alignment horizontal="center" vertical="center" wrapText="1" readingOrder="1"/>
      <protection hidden="1"/>
    </xf>
    <xf numFmtId="0" fontId="241" fillId="71" borderId="2" xfId="0" applyFont="1" applyFill="1" applyBorder="1" applyAlignment="1" applyProtection="1">
      <alignment horizontal="center"/>
      <protection locked="0"/>
    </xf>
    <xf numFmtId="0" fontId="241" fillId="71" borderId="3" xfId="0" applyFont="1" applyFill="1" applyBorder="1" applyAlignment="1" applyProtection="1">
      <alignment horizontal="center"/>
      <protection locked="0"/>
    </xf>
    <xf numFmtId="0" fontId="241" fillId="71" borderId="76" xfId="0" applyFont="1" applyFill="1" applyBorder="1" applyAlignment="1" applyProtection="1">
      <alignment horizontal="center"/>
      <protection locked="0"/>
    </xf>
    <xf numFmtId="0" fontId="231" fillId="0" borderId="9" xfId="0" applyFont="1" applyBorder="1" applyAlignment="1" applyProtection="1">
      <alignment horizontal="center"/>
      <protection hidden="1"/>
    </xf>
    <xf numFmtId="0" fontId="231" fillId="0" borderId="10" xfId="0" applyFont="1" applyBorder="1" applyAlignment="1" applyProtection="1">
      <alignment horizontal="center"/>
      <protection hidden="1"/>
    </xf>
    <xf numFmtId="0" fontId="221" fillId="0" borderId="63" xfId="0" applyFont="1" applyBorder="1" applyAlignment="1" applyProtection="1">
      <alignment horizontal="center"/>
      <protection hidden="1"/>
    </xf>
    <xf numFmtId="0" fontId="221" fillId="0" borderId="73" xfId="0" applyFont="1" applyBorder="1" applyAlignment="1" applyProtection="1">
      <alignment horizontal="center"/>
      <protection hidden="1"/>
    </xf>
    <xf numFmtId="0" fontId="221" fillId="0" borderId="58" xfId="0" applyFont="1" applyBorder="1" applyAlignment="1" applyProtection="1">
      <alignment horizontal="center"/>
      <protection hidden="1"/>
    </xf>
    <xf numFmtId="0" fontId="231" fillId="0" borderId="7" xfId="0" applyFont="1" applyBorder="1" applyAlignment="1" applyProtection="1">
      <alignment horizontal="center"/>
      <protection hidden="1"/>
    </xf>
    <xf numFmtId="0" fontId="231" fillId="0" borderId="45" xfId="0" applyFont="1" applyBorder="1" applyAlignment="1" applyProtection="1">
      <alignment horizontal="center"/>
      <protection hidden="1"/>
    </xf>
    <xf numFmtId="0" fontId="231" fillId="0" borderId="59" xfId="0" applyFont="1" applyBorder="1" applyAlignment="1" applyProtection="1">
      <alignment horizontal="center"/>
      <protection hidden="1"/>
    </xf>
    <xf numFmtId="0" fontId="231" fillId="0" borderId="63" xfId="0" applyFont="1" applyBorder="1" applyAlignment="1" applyProtection="1">
      <alignment horizontal="center"/>
      <protection hidden="1"/>
    </xf>
    <xf numFmtId="0" fontId="231" fillId="0" borderId="58" xfId="0" applyFont="1" applyBorder="1" applyAlignment="1" applyProtection="1">
      <alignment horizontal="center"/>
      <protection hidden="1"/>
    </xf>
    <xf numFmtId="0" fontId="334" fillId="0" borderId="34" xfId="0" applyFont="1" applyBorder="1" applyAlignment="1" applyProtection="1">
      <alignment horizontal="center" vertical="top" wrapText="1"/>
      <protection hidden="1"/>
    </xf>
    <xf numFmtId="0" fontId="334" fillId="0" borderId="0" xfId="0" applyFont="1" applyAlignment="1" applyProtection="1">
      <alignment horizontal="center" vertical="top" wrapText="1"/>
      <protection hidden="1"/>
    </xf>
    <xf numFmtId="0" fontId="231" fillId="0" borderId="17" xfId="0" applyFont="1" applyBorder="1" applyAlignment="1" applyProtection="1">
      <alignment horizontal="center"/>
      <protection hidden="1"/>
    </xf>
    <xf numFmtId="0" fontId="231" fillId="0" borderId="18" xfId="0" applyFont="1" applyBorder="1" applyAlignment="1" applyProtection="1">
      <alignment horizontal="center"/>
      <protection hidden="1"/>
    </xf>
    <xf numFmtId="0" fontId="231" fillId="0" borderId="28" xfId="0" applyFont="1" applyBorder="1" applyAlignment="1" applyProtection="1">
      <alignment horizontal="center"/>
      <protection hidden="1"/>
    </xf>
    <xf numFmtId="0" fontId="229" fillId="0" borderId="1" xfId="0" applyFont="1" applyBorder="1" applyAlignment="1" applyProtection="1">
      <alignment horizontal="center" vertical="top" wrapText="1"/>
      <protection hidden="1"/>
    </xf>
    <xf numFmtId="0" fontId="221" fillId="0" borderId="86" xfId="0" applyFont="1" applyBorder="1" applyAlignment="1" applyProtection="1">
      <alignment horizontal="center"/>
      <protection hidden="1"/>
    </xf>
    <xf numFmtId="0" fontId="221" fillId="0" borderId="39" xfId="0" applyFont="1" applyBorder="1" applyAlignment="1" applyProtection="1">
      <alignment horizontal="center"/>
      <protection hidden="1"/>
    </xf>
    <xf numFmtId="0" fontId="221" fillId="0" borderId="40" xfId="0" applyFont="1" applyBorder="1" applyAlignment="1" applyProtection="1">
      <alignment horizontal="center"/>
      <protection hidden="1"/>
    </xf>
    <xf numFmtId="0" fontId="225" fillId="0" borderId="21" xfId="0" applyFont="1" applyBorder="1" applyAlignment="1" applyProtection="1">
      <alignment horizontal="center"/>
      <protection hidden="1"/>
    </xf>
    <xf numFmtId="0" fontId="225" fillId="0" borderId="22" xfId="0" applyFont="1" applyBorder="1" applyAlignment="1" applyProtection="1">
      <alignment horizontal="center"/>
      <protection hidden="1"/>
    </xf>
    <xf numFmtId="0" fontId="225" fillId="0" borderId="67" xfId="0" applyFont="1" applyBorder="1" applyAlignment="1" applyProtection="1">
      <alignment horizontal="center"/>
      <protection hidden="1"/>
    </xf>
    <xf numFmtId="0" fontId="76" fillId="33" borderId="10" xfId="0" applyFont="1" applyFill="1" applyBorder="1" applyAlignment="1" applyProtection="1">
      <alignment horizontal="center" vertical="center" textRotation="90" wrapText="1"/>
      <protection hidden="1"/>
    </xf>
    <xf numFmtId="0" fontId="309" fillId="27" borderId="35" xfId="0" applyFont="1" applyFill="1" applyBorder="1" applyAlignment="1" applyProtection="1">
      <alignment horizontal="center" vertical="center" wrapText="1"/>
      <protection hidden="1"/>
    </xf>
    <xf numFmtId="0" fontId="309" fillId="27" borderId="36" xfId="0" applyFont="1" applyFill="1" applyBorder="1" applyAlignment="1" applyProtection="1">
      <alignment horizontal="center" vertical="center" wrapText="1"/>
      <protection hidden="1"/>
    </xf>
    <xf numFmtId="0" fontId="309" fillId="27" borderId="37" xfId="0" applyFont="1" applyFill="1" applyBorder="1" applyAlignment="1" applyProtection="1">
      <alignment horizontal="center" vertical="center" wrapText="1"/>
      <protection hidden="1"/>
    </xf>
    <xf numFmtId="0" fontId="309" fillId="27" borderId="34" xfId="0" applyFont="1" applyFill="1" applyBorder="1" applyAlignment="1" applyProtection="1">
      <alignment horizontal="center" vertical="center" wrapText="1"/>
      <protection hidden="1"/>
    </xf>
    <xf numFmtId="0" fontId="309" fillId="27" borderId="0" xfId="0" applyFont="1" applyFill="1" applyAlignment="1" applyProtection="1">
      <alignment horizontal="center" vertical="center" wrapText="1"/>
      <protection hidden="1"/>
    </xf>
    <xf numFmtId="0" fontId="309" fillId="27" borderId="29" xfId="0" applyFont="1" applyFill="1" applyBorder="1" applyAlignment="1" applyProtection="1">
      <alignment horizontal="center" vertical="center" wrapText="1"/>
      <protection hidden="1"/>
    </xf>
    <xf numFmtId="0" fontId="309" fillId="27" borderId="38" xfId="0" applyFont="1" applyFill="1" applyBorder="1" applyAlignment="1" applyProtection="1">
      <alignment horizontal="center" vertical="center" wrapText="1"/>
      <protection hidden="1"/>
    </xf>
    <xf numFmtId="0" fontId="309" fillId="27" borderId="39" xfId="0" applyFont="1" applyFill="1" applyBorder="1" applyAlignment="1" applyProtection="1">
      <alignment horizontal="center" vertical="center" wrapText="1"/>
      <protection hidden="1"/>
    </xf>
    <xf numFmtId="0" fontId="309" fillId="27" borderId="40" xfId="0" applyFont="1" applyFill="1" applyBorder="1" applyAlignment="1" applyProtection="1">
      <alignment horizontal="center" vertical="center" wrapText="1"/>
      <protection hidden="1"/>
    </xf>
    <xf numFmtId="0" fontId="245" fillId="0" borderId="90" xfId="0" applyFont="1" applyBorder="1" applyAlignment="1" applyProtection="1">
      <alignment horizontal="center" vertical="center" wrapText="1"/>
      <protection hidden="1"/>
    </xf>
    <xf numFmtId="0" fontId="246" fillId="0" borderId="44" xfId="0" applyFont="1" applyBorder="1" applyAlignment="1" applyProtection="1">
      <alignment horizontal="center" vertical="center" wrapText="1"/>
      <protection hidden="1"/>
    </xf>
    <xf numFmtId="0" fontId="246" fillId="0" borderId="3" xfId="0" applyFont="1" applyBorder="1" applyAlignment="1" applyProtection="1">
      <alignment horizontal="center" vertical="center" wrapText="1"/>
      <protection hidden="1"/>
    </xf>
    <xf numFmtId="0" fontId="246" fillId="0" borderId="11" xfId="0" applyFont="1" applyBorder="1" applyAlignment="1" applyProtection="1">
      <alignment horizontal="center" vertical="center" wrapText="1"/>
      <protection hidden="1"/>
    </xf>
    <xf numFmtId="0" fontId="246" fillId="0" borderId="34" xfId="0" applyFont="1" applyBorder="1" applyAlignment="1" applyProtection="1">
      <alignment horizontal="center" vertical="center" wrapText="1"/>
      <protection hidden="1"/>
    </xf>
    <xf numFmtId="0" fontId="246" fillId="0" borderId="0" xfId="0" applyFont="1" applyAlignment="1" applyProtection="1">
      <alignment horizontal="center" vertical="center" wrapText="1"/>
      <protection hidden="1"/>
    </xf>
    <xf numFmtId="0" fontId="246" fillId="0" borderId="4" xfId="0" applyFont="1" applyBorder="1" applyAlignment="1" applyProtection="1">
      <alignment horizontal="center" vertical="center" wrapText="1"/>
      <protection hidden="1"/>
    </xf>
    <xf numFmtId="0" fontId="246" fillId="0" borderId="43" xfId="0" applyFont="1" applyBorder="1" applyAlignment="1" applyProtection="1">
      <alignment horizontal="center" vertical="center" wrapText="1"/>
      <protection hidden="1"/>
    </xf>
    <xf numFmtId="0" fontId="246" fillId="0" borderId="25" xfId="0" applyFont="1" applyBorder="1" applyAlignment="1" applyProtection="1">
      <alignment horizontal="center" vertical="center" wrapText="1"/>
      <protection hidden="1"/>
    </xf>
    <xf numFmtId="0" fontId="246" fillId="0" borderId="26" xfId="0" applyFont="1" applyBorder="1" applyAlignment="1" applyProtection="1">
      <alignment horizontal="center" vertical="center" wrapText="1"/>
      <protection hidden="1"/>
    </xf>
    <xf numFmtId="0" fontId="238" fillId="0" borderId="89" xfId="0" applyFont="1" applyBorder="1" applyAlignment="1" applyProtection="1">
      <alignment horizontal="center" vertical="center" textRotation="90"/>
      <protection hidden="1"/>
    </xf>
    <xf numFmtId="0" fontId="238" fillId="0" borderId="90" xfId="0" applyFont="1" applyBorder="1" applyAlignment="1" applyProtection="1">
      <alignment horizontal="center" vertical="center" textRotation="90"/>
      <protection hidden="1"/>
    </xf>
    <xf numFmtId="0" fontId="238" fillId="0" borderId="77" xfId="0" applyFont="1" applyBorder="1" applyAlignment="1" applyProtection="1">
      <alignment horizontal="center" vertical="center" textRotation="90"/>
      <protection hidden="1"/>
    </xf>
    <xf numFmtId="0" fontId="238" fillId="0" borderId="4" xfId="0" applyFont="1" applyBorder="1" applyAlignment="1" applyProtection="1">
      <alignment horizontal="center" vertical="center" textRotation="90"/>
      <protection hidden="1"/>
    </xf>
    <xf numFmtId="0" fontId="129" fillId="0" borderId="79" xfId="0" applyFont="1" applyBorder="1" applyAlignment="1">
      <alignment horizontal="center" vertical="center"/>
    </xf>
    <xf numFmtId="0" fontId="129" fillId="0" borderId="70" xfId="0" applyFont="1" applyBorder="1" applyAlignment="1">
      <alignment horizontal="center" vertical="center"/>
    </xf>
    <xf numFmtId="0" fontId="129" fillId="0" borderId="8" xfId="0" applyFont="1" applyBorder="1" applyAlignment="1">
      <alignment horizontal="center" vertical="center"/>
    </xf>
    <xf numFmtId="0" fontId="82" fillId="28" borderId="66" xfId="0" applyFont="1" applyFill="1" applyBorder="1" applyAlignment="1" applyProtection="1">
      <alignment horizontal="center" vertical="center" wrapText="1" readingOrder="1"/>
      <protection hidden="1"/>
    </xf>
    <xf numFmtId="0" fontId="82" fillId="28" borderId="15" xfId="0" applyFont="1" applyFill="1" applyBorder="1" applyAlignment="1" applyProtection="1">
      <alignment horizontal="center" vertical="center" wrapText="1" readingOrder="1"/>
      <protection hidden="1"/>
    </xf>
    <xf numFmtId="0" fontId="82" fillId="31" borderId="62" xfId="0" applyFont="1" applyFill="1" applyBorder="1" applyAlignment="1" applyProtection="1">
      <alignment horizontal="center" vertical="center" wrapText="1" readingOrder="1"/>
      <protection hidden="1"/>
    </xf>
    <xf numFmtId="0" fontId="82" fillId="31" borderId="19" xfId="0" applyFont="1" applyFill="1" applyBorder="1" applyAlignment="1" applyProtection="1">
      <alignment horizontal="center" vertical="center" wrapText="1" readingOrder="1"/>
      <protection hidden="1"/>
    </xf>
    <xf numFmtId="0" fontId="82" fillId="67" borderId="62" xfId="0" applyFont="1" applyFill="1" applyBorder="1" applyAlignment="1" applyProtection="1">
      <alignment horizontal="center" vertical="center" wrapText="1" readingOrder="1"/>
      <protection hidden="1"/>
    </xf>
    <xf numFmtId="0" fontId="82" fillId="67" borderId="19" xfId="0" applyFont="1" applyFill="1" applyBorder="1" applyAlignment="1" applyProtection="1">
      <alignment horizontal="center" vertical="center" wrapText="1" readingOrder="1"/>
      <protection hidden="1"/>
    </xf>
    <xf numFmtId="0" fontId="105" fillId="0" borderId="0" xfId="0" applyFont="1" applyAlignment="1" applyProtection="1">
      <alignment horizontal="center" vertical="top" wrapText="1"/>
      <protection hidden="1"/>
    </xf>
    <xf numFmtId="0" fontId="271" fillId="67" borderId="2" xfId="0" applyFont="1" applyFill="1" applyBorder="1" applyAlignment="1" applyProtection="1">
      <alignment horizontal="center" vertical="center" wrapText="1" readingOrder="1"/>
      <protection hidden="1"/>
    </xf>
    <xf numFmtId="0" fontId="271" fillId="67" borderId="62" xfId="0" applyFont="1" applyFill="1" applyBorder="1" applyAlignment="1" applyProtection="1">
      <alignment horizontal="center" vertical="center" wrapText="1" readingOrder="1"/>
      <protection hidden="1"/>
    </xf>
    <xf numFmtId="0" fontId="271" fillId="67" borderId="19" xfId="0" applyFont="1" applyFill="1" applyBorder="1" applyAlignment="1" applyProtection="1">
      <alignment horizontal="center" vertical="center" wrapText="1" readingOrder="1"/>
      <protection hidden="1"/>
    </xf>
    <xf numFmtId="0" fontId="272" fillId="0" borderId="89" xfId="0" applyFont="1" applyBorder="1" applyAlignment="1" applyProtection="1">
      <alignment horizontal="center" vertical="center" wrapText="1" readingOrder="1"/>
      <protection hidden="1"/>
    </xf>
    <xf numFmtId="0" fontId="325" fillId="0" borderId="7" xfId="0" applyFont="1" applyBorder="1" applyAlignment="1" applyProtection="1">
      <alignment horizontal="center" vertical="center" wrapText="1" shrinkToFit="1"/>
      <protection hidden="1"/>
    </xf>
    <xf numFmtId="0" fontId="325" fillId="0" borderId="1" xfId="0" applyFont="1" applyBorder="1" applyAlignment="1" applyProtection="1">
      <alignment horizontal="center" vertical="center" wrapText="1" shrinkToFit="1"/>
      <protection hidden="1"/>
    </xf>
    <xf numFmtId="0" fontId="325" fillId="0" borderId="7" xfId="0" applyFont="1" applyBorder="1" applyAlignment="1" applyProtection="1">
      <alignment horizontal="center" vertical="center" wrapText="1"/>
      <protection hidden="1"/>
    </xf>
    <xf numFmtId="0" fontId="325" fillId="0" borderId="1" xfId="0" applyFont="1" applyBorder="1" applyAlignment="1" applyProtection="1">
      <alignment horizontal="center" vertical="center" wrapText="1"/>
      <protection hidden="1"/>
    </xf>
    <xf numFmtId="0" fontId="326" fillId="3" borderId="79" xfId="0" applyFont="1" applyFill="1" applyBorder="1" applyAlignment="1" applyProtection="1">
      <alignment horizontal="center" vertical="center" textRotation="90"/>
      <protection hidden="1"/>
    </xf>
    <xf numFmtId="0" fontId="326" fillId="3" borderId="70" xfId="0" applyFont="1" applyFill="1" applyBorder="1" applyAlignment="1" applyProtection="1">
      <alignment horizontal="center" vertical="center" textRotation="90"/>
      <protection hidden="1"/>
    </xf>
    <xf numFmtId="0" fontId="326" fillId="3" borderId="8" xfId="0" applyFont="1" applyFill="1" applyBorder="1" applyAlignment="1" applyProtection="1">
      <alignment horizontal="center" vertical="center" textRotation="90"/>
      <protection hidden="1"/>
    </xf>
    <xf numFmtId="0" fontId="325" fillId="3" borderId="1" xfId="0" applyFont="1" applyFill="1" applyBorder="1" applyAlignment="1" applyProtection="1">
      <alignment horizontal="center" vertical="center" wrapText="1"/>
      <protection hidden="1"/>
    </xf>
    <xf numFmtId="0" fontId="35" fillId="3" borderId="1" xfId="0" applyFont="1" applyFill="1" applyBorder="1" applyAlignment="1" applyProtection="1">
      <alignment horizontal="center" vertical="center" wrapText="1"/>
      <protection hidden="1"/>
    </xf>
    <xf numFmtId="0" fontId="35" fillId="0" borderId="1" xfId="0" applyFont="1" applyBorder="1" applyAlignment="1" applyProtection="1">
      <alignment horizontal="center" vertical="center" wrapText="1"/>
      <protection hidden="1"/>
    </xf>
    <xf numFmtId="0" fontId="217" fillId="56" borderId="35" xfId="0" applyFont="1" applyFill="1" applyBorder="1" applyAlignment="1" applyProtection="1">
      <alignment horizontal="center" vertical="center" wrapText="1"/>
      <protection hidden="1"/>
    </xf>
    <xf numFmtId="0" fontId="217" fillId="56" borderId="36" xfId="0" applyFont="1" applyFill="1" applyBorder="1" applyAlignment="1" applyProtection="1">
      <alignment horizontal="center" vertical="center" wrapText="1"/>
      <protection hidden="1"/>
    </xf>
    <xf numFmtId="0" fontId="217" fillId="56" borderId="38" xfId="0" applyFont="1" applyFill="1" applyBorder="1" applyAlignment="1" applyProtection="1">
      <alignment horizontal="center" vertical="center" wrapText="1"/>
      <protection hidden="1"/>
    </xf>
    <xf numFmtId="0" fontId="217" fillId="56" borderId="39" xfId="0" applyFont="1" applyFill="1" applyBorder="1" applyAlignment="1" applyProtection="1">
      <alignment horizontal="center" vertical="center" wrapText="1"/>
      <protection hidden="1"/>
    </xf>
    <xf numFmtId="0" fontId="217" fillId="56" borderId="0" xfId="0" applyFont="1" applyFill="1" applyAlignment="1" applyProtection="1">
      <alignment horizontal="center" vertical="center" wrapText="1"/>
      <protection hidden="1"/>
    </xf>
    <xf numFmtId="0" fontId="324" fillId="0" borderId="1" xfId="0" applyFont="1" applyBorder="1" applyAlignment="1">
      <alignment horizontal="center"/>
    </xf>
    <xf numFmtId="0" fontId="32" fillId="0" borderId="43" xfId="0" applyFont="1" applyBorder="1" applyAlignment="1" applyProtection="1">
      <alignment horizontal="center" vertical="top" wrapText="1"/>
      <protection hidden="1"/>
    </xf>
    <xf numFmtId="0" fontId="32" fillId="0" borderId="25" xfId="0" applyFont="1" applyBorder="1" applyAlignment="1" applyProtection="1">
      <alignment horizontal="center" vertical="top" wrapText="1"/>
      <protection hidden="1"/>
    </xf>
    <xf numFmtId="0" fontId="32" fillId="0" borderId="84" xfId="0" applyFont="1" applyBorder="1" applyAlignment="1" applyProtection="1">
      <alignment horizontal="center" vertical="top" wrapText="1"/>
      <protection hidden="1"/>
    </xf>
    <xf numFmtId="0" fontId="320" fillId="0" borderId="0" xfId="0" applyFont="1" applyAlignment="1">
      <alignment horizontal="center" vertical="top"/>
    </xf>
    <xf numFmtId="0" fontId="330" fillId="0" borderId="0" xfId="0" applyFont="1" applyAlignment="1" applyProtection="1">
      <alignment horizontal="center" wrapText="1"/>
      <protection hidden="1"/>
    </xf>
    <xf numFmtId="0" fontId="85" fillId="0" borderId="34" xfId="0" applyFont="1" applyBorder="1" applyAlignment="1" applyProtection="1">
      <alignment horizontal="center" vertical="top" wrapText="1"/>
      <protection hidden="1"/>
    </xf>
    <xf numFmtId="0" fontId="85" fillId="0" borderId="0" xfId="0" applyFont="1" applyAlignment="1" applyProtection="1">
      <alignment horizontal="center" vertical="top" wrapText="1"/>
      <protection hidden="1"/>
    </xf>
    <xf numFmtId="0" fontId="84" fillId="0" borderId="0" xfId="0" applyFont="1" applyAlignment="1" applyProtection="1">
      <alignment horizontal="center" vertical="top" wrapText="1"/>
      <protection hidden="1"/>
    </xf>
    <xf numFmtId="0" fontId="10" fillId="72" borderId="0" xfId="0" applyFont="1" applyFill="1" applyAlignment="1">
      <alignment horizontal="center"/>
    </xf>
    <xf numFmtId="0" fontId="10" fillId="72" borderId="4" xfId="0" applyFont="1" applyFill="1" applyBorder="1" applyAlignment="1">
      <alignment horizontal="center"/>
    </xf>
    <xf numFmtId="0" fontId="32" fillId="0" borderId="7" xfId="0" applyFont="1" applyBorder="1" applyAlignment="1" applyProtection="1">
      <alignment horizontal="center" vertical="top" wrapText="1"/>
      <protection hidden="1"/>
    </xf>
    <xf numFmtId="0" fontId="32" fillId="27" borderId="62" xfId="0" applyFont="1" applyFill="1" applyBorder="1" applyAlignment="1" applyProtection="1">
      <alignment horizontal="center" vertical="top" wrapText="1"/>
      <protection hidden="1"/>
    </xf>
    <xf numFmtId="0" fontId="32" fillId="27" borderId="18" xfId="0" applyFont="1" applyFill="1" applyBorder="1" applyAlignment="1" applyProtection="1">
      <alignment horizontal="center" vertical="top" wrapText="1"/>
      <protection hidden="1"/>
    </xf>
    <xf numFmtId="0" fontId="32" fillId="27" borderId="28" xfId="0" applyFont="1" applyFill="1" applyBorder="1" applyAlignment="1" applyProtection="1">
      <alignment horizontal="center" vertical="top" wrapText="1"/>
      <protection hidden="1"/>
    </xf>
    <xf numFmtId="0" fontId="259" fillId="0" borderId="62" xfId="0" applyFont="1" applyBorder="1" applyAlignment="1">
      <alignment horizontal="center" wrapText="1"/>
    </xf>
    <xf numFmtId="0" fontId="259" fillId="0" borderId="18" xfId="0" applyFont="1" applyBorder="1" applyAlignment="1">
      <alignment horizontal="center" wrapText="1"/>
    </xf>
    <xf numFmtId="0" fontId="259" fillId="0" borderId="28" xfId="0" applyFont="1" applyBorder="1" applyAlignment="1">
      <alignment horizontal="center" wrapText="1"/>
    </xf>
    <xf numFmtId="0" fontId="55" fillId="72" borderId="25" xfId="0" applyFont="1" applyFill="1" applyBorder="1" applyAlignment="1">
      <alignment horizontal="center"/>
    </xf>
    <xf numFmtId="0" fontId="55" fillId="72" borderId="26" xfId="0" applyFont="1" applyFill="1" applyBorder="1" applyAlignment="1">
      <alignment horizontal="center"/>
    </xf>
    <xf numFmtId="0" fontId="244" fillId="41" borderId="62" xfId="0" applyFont="1" applyFill="1" applyBorder="1" applyAlignment="1" applyProtection="1">
      <alignment horizontal="center" vertical="center" wrapText="1" readingOrder="1"/>
      <protection hidden="1"/>
    </xf>
    <xf numFmtId="0" fontId="244" fillId="41" borderId="28" xfId="0" applyFont="1" applyFill="1" applyBorder="1" applyAlignment="1" applyProtection="1">
      <alignment horizontal="center" vertical="center" wrapText="1" readingOrder="1"/>
      <protection hidden="1"/>
    </xf>
    <xf numFmtId="0" fontId="190" fillId="26" borderId="86" xfId="0" applyFont="1" applyFill="1" applyBorder="1" applyAlignment="1" applyProtection="1">
      <alignment horizontal="center" vertical="center" wrapText="1" readingOrder="1"/>
      <protection hidden="1"/>
    </xf>
    <xf numFmtId="0" fontId="190" fillId="26" borderId="39" xfId="0" applyFont="1" applyFill="1" applyBorder="1" applyAlignment="1" applyProtection="1">
      <alignment horizontal="center" vertical="center" wrapText="1" readingOrder="1"/>
      <protection hidden="1"/>
    </xf>
    <xf numFmtId="0" fontId="196" fillId="42" borderId="18" xfId="0" applyFont="1" applyFill="1" applyBorder="1" applyAlignment="1" applyProtection="1">
      <alignment horizontal="center" vertical="center" wrapText="1" readingOrder="1"/>
      <protection hidden="1"/>
    </xf>
    <xf numFmtId="0" fontId="275" fillId="29" borderId="39" xfId="0" applyFont="1" applyFill="1" applyBorder="1" applyAlignment="1" applyProtection="1">
      <alignment horizontal="center" vertical="center" textRotation="90"/>
      <protection hidden="1"/>
    </xf>
    <xf numFmtId="0" fontId="226" fillId="62" borderId="35" xfId="0" applyFont="1" applyFill="1" applyBorder="1" applyAlignment="1" applyProtection="1">
      <alignment horizontal="center" vertical="center" wrapText="1" readingOrder="1"/>
      <protection hidden="1"/>
    </xf>
    <xf numFmtId="0" fontId="243" fillId="28" borderId="1" xfId="0" applyFont="1" applyFill="1" applyBorder="1" applyAlignment="1" applyProtection="1">
      <alignment horizontal="center" vertical="center" wrapText="1" readingOrder="1"/>
      <protection hidden="1"/>
    </xf>
    <xf numFmtId="0" fontId="113" fillId="66" borderId="79" xfId="0" applyFont="1" applyFill="1" applyBorder="1" applyAlignment="1" applyProtection="1">
      <alignment horizontal="center" vertical="center" textRotation="90"/>
      <protection hidden="1"/>
    </xf>
    <xf numFmtId="0" fontId="113" fillId="66" borderId="70" xfId="0" applyFont="1" applyFill="1" applyBorder="1" applyAlignment="1" applyProtection="1">
      <alignment horizontal="center" vertical="center" textRotation="90"/>
      <protection hidden="1"/>
    </xf>
    <xf numFmtId="0" fontId="113" fillId="66" borderId="8" xfId="0" applyFont="1" applyFill="1" applyBorder="1" applyAlignment="1" applyProtection="1">
      <alignment horizontal="center" vertical="center" textRotation="90"/>
      <protection hidden="1"/>
    </xf>
    <xf numFmtId="0" fontId="301" fillId="42" borderId="73" xfId="0" applyFont="1" applyFill="1" applyBorder="1" applyAlignment="1" applyProtection="1">
      <alignment horizontal="center" vertical="center" wrapText="1" readingOrder="1"/>
      <protection hidden="1"/>
    </xf>
    <xf numFmtId="0" fontId="301" fillId="42" borderId="88" xfId="0" applyFont="1" applyFill="1" applyBorder="1" applyAlignment="1" applyProtection="1">
      <alignment horizontal="center" vertical="center" wrapText="1" readingOrder="1"/>
      <protection hidden="1"/>
    </xf>
    <xf numFmtId="0" fontId="76" fillId="33" borderId="3" xfId="0" applyFont="1" applyFill="1" applyBorder="1" applyAlignment="1" applyProtection="1">
      <alignment horizontal="center" vertical="center" textRotation="90" wrapText="1"/>
      <protection hidden="1"/>
    </xf>
    <xf numFmtId="0" fontId="76" fillId="33" borderId="0" xfId="0" applyFont="1" applyFill="1" applyAlignment="1" applyProtection="1">
      <alignment horizontal="center" vertical="center" textRotation="90" wrapText="1"/>
      <protection hidden="1"/>
    </xf>
    <xf numFmtId="0" fontId="238" fillId="26" borderId="90" xfId="0" applyFont="1" applyFill="1" applyBorder="1" applyAlignment="1" applyProtection="1">
      <alignment horizontal="center" vertical="center" textRotation="90"/>
      <protection hidden="1"/>
    </xf>
    <xf numFmtId="0" fontId="196" fillId="37" borderId="18" xfId="0" applyFont="1" applyFill="1" applyBorder="1" applyAlignment="1" applyProtection="1">
      <alignment horizontal="center" vertical="center" wrapText="1" readingOrder="1"/>
      <protection hidden="1"/>
    </xf>
    <xf numFmtId="0" fontId="226" fillId="56" borderId="35" xfId="0" applyFont="1" applyFill="1" applyBorder="1" applyAlignment="1" applyProtection="1">
      <alignment horizontal="center" vertical="center" wrapText="1" readingOrder="1"/>
      <protection hidden="1"/>
    </xf>
    <xf numFmtId="0" fontId="226" fillId="56" borderId="34" xfId="0" applyFont="1" applyFill="1" applyBorder="1" applyAlignment="1" applyProtection="1">
      <alignment horizontal="center" vertical="center" wrapText="1" readingOrder="1"/>
      <protection hidden="1"/>
    </xf>
    <xf numFmtId="0" fontId="226" fillId="56" borderId="38" xfId="0" applyFont="1" applyFill="1" applyBorder="1" applyAlignment="1" applyProtection="1">
      <alignment horizontal="center" vertical="center" wrapText="1" readingOrder="1"/>
      <protection hidden="1"/>
    </xf>
    <xf numFmtId="0" fontId="238" fillId="29" borderId="0" xfId="0" applyFont="1" applyFill="1" applyAlignment="1" applyProtection="1">
      <alignment horizontal="center" vertical="center" textRotation="90"/>
      <protection hidden="1"/>
    </xf>
    <xf numFmtId="0" fontId="272" fillId="30" borderId="8" xfId="0" applyFont="1" applyFill="1" applyBorder="1" applyAlignment="1" applyProtection="1">
      <alignment horizontal="center" vertical="center" wrapText="1" readingOrder="1"/>
      <protection hidden="1"/>
    </xf>
    <xf numFmtId="0" fontId="243" fillId="28" borderId="14" xfId="0" applyFont="1" applyFill="1" applyBorder="1" applyAlignment="1" applyProtection="1">
      <alignment horizontal="center" vertical="center" wrapText="1" readingOrder="1"/>
      <protection hidden="1"/>
    </xf>
    <xf numFmtId="0" fontId="190" fillId="41" borderId="33" xfId="0" applyFont="1" applyFill="1" applyBorder="1" applyAlignment="1" applyProtection="1">
      <alignment horizontal="center" vertical="center" wrapText="1" readingOrder="1"/>
      <protection hidden="1"/>
    </xf>
    <xf numFmtId="0" fontId="190" fillId="41" borderId="2" xfId="0" applyFont="1" applyFill="1" applyBorder="1" applyAlignment="1" applyProtection="1">
      <alignment horizontal="center" vertical="center" wrapText="1" readingOrder="1"/>
      <protection hidden="1"/>
    </xf>
    <xf numFmtId="0" fontId="272" fillId="56" borderId="8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8" xfId="0" applyFont="1" applyFill="1" applyBorder="1" applyAlignment="1" applyProtection="1">
      <alignment horizontal="center" vertical="center" wrapText="1" readingOrder="1"/>
      <protection hidden="1"/>
    </xf>
    <xf numFmtId="0" fontId="243" fillId="28" borderId="62" xfId="0" applyFont="1" applyFill="1" applyBorder="1" applyAlignment="1" applyProtection="1">
      <alignment horizontal="center" vertical="center" wrapText="1" readingOrder="1"/>
      <protection hidden="1"/>
    </xf>
    <xf numFmtId="0" fontId="243" fillId="28" borderId="18" xfId="0" applyFont="1" applyFill="1" applyBorder="1" applyAlignment="1" applyProtection="1">
      <alignment horizontal="center" vertical="center" wrapText="1" readingOrder="1"/>
      <protection hidden="1"/>
    </xf>
    <xf numFmtId="0" fontId="272" fillId="61" borderId="8" xfId="0" applyFont="1" applyFill="1" applyBorder="1" applyAlignment="1" applyProtection="1">
      <alignment horizontal="center" vertical="center" wrapText="1" readingOrder="1"/>
      <protection hidden="1"/>
    </xf>
    <xf numFmtId="0" fontId="82" fillId="23" borderId="79" xfId="0" applyFont="1" applyFill="1" applyBorder="1" applyAlignment="1" applyProtection="1">
      <alignment horizontal="center" vertical="center" textRotation="90" wrapText="1" readingOrder="1"/>
      <protection hidden="1"/>
    </xf>
    <xf numFmtId="0" fontId="82" fillId="23" borderId="70" xfId="0" applyFont="1" applyFill="1" applyBorder="1" applyAlignment="1" applyProtection="1">
      <alignment horizontal="center" vertical="center" textRotation="90" wrapText="1" readingOrder="1"/>
      <protection hidden="1"/>
    </xf>
    <xf numFmtId="0" fontId="82" fillId="23" borderId="34" xfId="0" applyFont="1" applyFill="1" applyBorder="1" applyAlignment="1" applyProtection="1">
      <alignment horizontal="center" vertical="center" textRotation="90" wrapText="1" readingOrder="1"/>
      <protection hidden="1"/>
    </xf>
    <xf numFmtId="0" fontId="156" fillId="31" borderId="85" xfId="0" applyFont="1" applyFill="1" applyBorder="1" applyAlignment="1" applyProtection="1">
      <alignment horizontal="center" vertical="center" wrapText="1" readingOrder="1"/>
      <protection hidden="1"/>
    </xf>
    <xf numFmtId="0" fontId="156" fillId="31" borderId="81" xfId="0" applyFont="1" applyFill="1" applyBorder="1" applyAlignment="1" applyProtection="1">
      <alignment horizontal="center" vertical="center" wrapText="1" readingOrder="1"/>
      <protection hidden="1"/>
    </xf>
    <xf numFmtId="0" fontId="156" fillId="31" borderId="27" xfId="0" applyFont="1" applyFill="1" applyBorder="1" applyAlignment="1" applyProtection="1">
      <alignment horizontal="center" vertical="center" wrapText="1" readingOrder="1"/>
      <protection hidden="1"/>
    </xf>
    <xf numFmtId="0" fontId="79" fillId="23" borderId="79" xfId="0" applyFont="1" applyFill="1" applyBorder="1" applyAlignment="1" applyProtection="1">
      <alignment horizontal="center" vertical="center" wrapText="1" readingOrder="1"/>
      <protection hidden="1"/>
    </xf>
    <xf numFmtId="0" fontId="304" fillId="0" borderId="25" xfId="0" applyFont="1" applyBorder="1" applyAlignment="1" applyProtection="1">
      <alignment horizontal="center"/>
      <protection hidden="1"/>
    </xf>
    <xf numFmtId="0" fontId="43" fillId="0" borderId="33" xfId="0" applyFont="1" applyBorder="1" applyAlignment="1" applyProtection="1">
      <alignment horizontal="center" vertical="center" wrapText="1"/>
      <protection hidden="1"/>
    </xf>
    <xf numFmtId="0" fontId="5" fillId="0" borderId="33" xfId="0" applyFont="1" applyBorder="1" applyAlignment="1" applyProtection="1">
      <alignment horizontal="center" vertical="center" wrapText="1"/>
      <protection hidden="1"/>
    </xf>
    <xf numFmtId="0" fontId="213" fillId="0" borderId="1" xfId="0" applyFont="1" applyBorder="1" applyAlignment="1" applyProtection="1">
      <alignment horizontal="center"/>
      <protection hidden="1"/>
    </xf>
    <xf numFmtId="0" fontId="190" fillId="41" borderId="68" xfId="0" applyFont="1" applyFill="1" applyBorder="1" applyAlignment="1" applyProtection="1">
      <alignment horizontal="center" vertical="center" wrapText="1" readingOrder="1"/>
      <protection hidden="1"/>
    </xf>
    <xf numFmtId="0" fontId="190" fillId="41" borderId="22" xfId="0" applyFont="1" applyFill="1" applyBorder="1" applyAlignment="1" applyProtection="1">
      <alignment horizontal="center" vertical="center" wrapText="1" readingOrder="1"/>
      <protection hidden="1"/>
    </xf>
    <xf numFmtId="0" fontId="44" fillId="0" borderId="7" xfId="0" applyFont="1" applyBorder="1" applyAlignment="1" applyProtection="1">
      <alignment vertical="center" wrapText="1"/>
      <protection hidden="1"/>
    </xf>
    <xf numFmtId="0" fontId="10" fillId="0" borderId="1" xfId="0" applyFont="1" applyBorder="1" applyAlignment="1" applyProtection="1">
      <alignment vertical="center" wrapText="1"/>
      <protection hidden="1"/>
    </xf>
    <xf numFmtId="0" fontId="190" fillId="29" borderId="62" xfId="0" applyFont="1" applyFill="1" applyBorder="1" applyAlignment="1" applyProtection="1">
      <alignment horizontal="center" vertical="center" wrapText="1" readingOrder="1"/>
      <protection hidden="1"/>
    </xf>
    <xf numFmtId="0" fontId="0" fillId="0" borderId="1" xfId="0" applyBorder="1" applyAlignment="1" applyProtection="1">
      <alignment horizontal="left" vertical="center" wrapText="1"/>
      <protection hidden="1"/>
    </xf>
    <xf numFmtId="0" fontId="190" fillId="68" borderId="10" xfId="0" applyFont="1" applyFill="1" applyBorder="1" applyAlignment="1" applyProtection="1">
      <alignment horizontal="center" vertical="center" wrapText="1" readingOrder="1"/>
      <protection hidden="1"/>
    </xf>
    <xf numFmtId="0" fontId="196" fillId="42" borderId="17" xfId="0" applyFont="1" applyFill="1" applyBorder="1" applyAlignment="1" applyProtection="1">
      <alignment horizontal="center" vertical="center" wrapText="1" readingOrder="1"/>
      <protection hidden="1"/>
    </xf>
    <xf numFmtId="0" fontId="274" fillId="33" borderId="3" xfId="0" applyFont="1" applyFill="1" applyBorder="1" applyAlignment="1" applyProtection="1">
      <alignment horizontal="center" vertical="center" textRotation="90" wrapText="1"/>
      <protection hidden="1"/>
    </xf>
    <xf numFmtId="0" fontId="274" fillId="33" borderId="0" xfId="0" applyFont="1" applyFill="1" applyAlignment="1" applyProtection="1">
      <alignment horizontal="center" vertical="center" textRotation="90" wrapText="1"/>
      <protection hidden="1"/>
    </xf>
    <xf numFmtId="0" fontId="276" fillId="26" borderId="35" xfId="0" applyFont="1" applyFill="1" applyBorder="1" applyAlignment="1" applyProtection="1">
      <alignment horizontal="center" vertical="center" textRotation="91" wrapText="1"/>
      <protection hidden="1"/>
    </xf>
    <xf numFmtId="0" fontId="276" fillId="26" borderId="34" xfId="0" applyFont="1" applyFill="1" applyBorder="1" applyAlignment="1" applyProtection="1">
      <alignment horizontal="center" vertical="center" textRotation="91" wrapText="1"/>
      <protection hidden="1"/>
    </xf>
    <xf numFmtId="0" fontId="276" fillId="26" borderId="38" xfId="0" applyFont="1" applyFill="1" applyBorder="1" applyAlignment="1" applyProtection="1">
      <alignment horizontal="center" vertical="center" textRotation="91" wrapText="1"/>
      <protection hidden="1"/>
    </xf>
    <xf numFmtId="0" fontId="190" fillId="26" borderId="58" xfId="0" applyFont="1" applyFill="1" applyBorder="1" applyAlignment="1" applyProtection="1">
      <alignment horizontal="center" vertical="center" wrapText="1" readingOrder="1"/>
      <protection hidden="1"/>
    </xf>
    <xf numFmtId="0" fontId="190" fillId="26" borderId="40" xfId="0" applyFont="1" applyFill="1" applyBorder="1" applyAlignment="1" applyProtection="1">
      <alignment horizontal="center" vertical="center" wrapText="1" readingOrder="1"/>
      <protection hidden="1"/>
    </xf>
    <xf numFmtId="0" fontId="276" fillId="29" borderId="36" xfId="0" applyFont="1" applyFill="1" applyBorder="1" applyAlignment="1" applyProtection="1">
      <alignment horizontal="center" vertical="center" wrapText="1"/>
      <protection hidden="1"/>
    </xf>
    <xf numFmtId="0" fontId="276" fillId="29" borderId="39" xfId="0" applyFont="1" applyFill="1" applyBorder="1" applyAlignment="1" applyProtection="1">
      <alignment horizontal="center" vertical="center" wrapText="1"/>
      <protection hidden="1"/>
    </xf>
    <xf numFmtId="0" fontId="272" fillId="62" borderId="38" xfId="0" applyFont="1" applyFill="1" applyBorder="1" applyAlignment="1" applyProtection="1">
      <alignment horizontal="center" vertical="center" wrapText="1" readingOrder="1"/>
      <protection hidden="1"/>
    </xf>
    <xf numFmtId="0" fontId="190" fillId="41" borderId="1" xfId="0" applyFont="1" applyFill="1" applyBorder="1" applyAlignment="1" applyProtection="1">
      <alignment horizontal="center" vertical="center" wrapText="1" readingOrder="1"/>
      <protection hidden="1"/>
    </xf>
    <xf numFmtId="0" fontId="190" fillId="41" borderId="62" xfId="0" applyFont="1" applyFill="1" applyBorder="1" applyAlignment="1" applyProtection="1">
      <alignment horizontal="center" vertical="center" wrapText="1" readingOrder="1"/>
      <protection hidden="1"/>
    </xf>
    <xf numFmtId="0" fontId="190" fillId="41" borderId="28" xfId="0" applyFont="1" applyFill="1" applyBorder="1" applyAlignment="1" applyProtection="1">
      <alignment horizontal="center" vertical="center" wrapText="1" readingOrder="1"/>
      <protection hidden="1"/>
    </xf>
    <xf numFmtId="0" fontId="190" fillId="41" borderId="30" xfId="0" applyFont="1" applyFill="1" applyBorder="1" applyAlignment="1" applyProtection="1">
      <alignment horizontal="center" vertical="center" wrapText="1" readingOrder="1"/>
      <protection hidden="1"/>
    </xf>
    <xf numFmtId="0" fontId="0" fillId="0" borderId="1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8" borderId="62" xfId="0" applyFont="1" applyFill="1" applyBorder="1" applyAlignment="1" applyProtection="1">
      <alignment horizontal="left" vertical="center" wrapText="1"/>
      <protection hidden="1"/>
    </xf>
    <xf numFmtId="0" fontId="0" fillId="0" borderId="28" xfId="0" applyBorder="1" applyProtection="1"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5" fillId="0" borderId="62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0" fillId="0" borderId="62" xfId="0" applyFont="1" applyBorder="1" applyAlignment="1" applyProtection="1">
      <alignment horizontal="center"/>
      <protection hidden="1"/>
    </xf>
    <xf numFmtId="0" fontId="49" fillId="0" borderId="30" xfId="0" applyFont="1" applyBorder="1" applyAlignment="1" applyProtection="1">
      <alignment horizontal="center"/>
      <protection hidden="1"/>
    </xf>
    <xf numFmtId="0" fontId="49" fillId="0" borderId="68" xfId="0" applyFont="1" applyBorder="1" applyAlignment="1" applyProtection="1">
      <alignment horizontal="center"/>
      <protection hidden="1"/>
    </xf>
    <xf numFmtId="0" fontId="79" fillId="23" borderId="13" xfId="0" applyFont="1" applyFill="1" applyBorder="1" applyAlignment="1" applyProtection="1">
      <alignment horizontal="center" vertical="center" textRotation="90" wrapText="1" readingOrder="1"/>
      <protection hidden="1"/>
    </xf>
    <xf numFmtId="0" fontId="79" fillId="23" borderId="43" xfId="0" applyFont="1" applyFill="1" applyBorder="1" applyAlignment="1" applyProtection="1">
      <alignment horizontal="center" vertical="center" textRotation="90" wrapText="1" readingOrder="1"/>
      <protection hidden="1"/>
    </xf>
    <xf numFmtId="0" fontId="79" fillId="23" borderId="17" xfId="0" applyFont="1" applyFill="1" applyBorder="1" applyAlignment="1" applyProtection="1">
      <alignment horizontal="center" vertical="center" textRotation="90" wrapText="1" readingOrder="1"/>
      <protection hidden="1"/>
    </xf>
    <xf numFmtId="0" fontId="79" fillId="23" borderId="16" xfId="0" applyFont="1" applyFill="1" applyBorder="1" applyAlignment="1" applyProtection="1">
      <alignment horizontal="center" vertical="center" textRotation="90" wrapText="1" readingOrder="1"/>
      <protection hidden="1"/>
    </xf>
    <xf numFmtId="0" fontId="79" fillId="23" borderId="80" xfId="0" applyFont="1" applyFill="1" applyBorder="1" applyAlignment="1" applyProtection="1">
      <alignment horizontal="center" vertical="center" textRotation="90" wrapText="1" readingOrder="1"/>
      <protection hidden="1"/>
    </xf>
    <xf numFmtId="0" fontId="79" fillId="23" borderId="20" xfId="0" applyFont="1" applyFill="1" applyBorder="1" applyAlignment="1" applyProtection="1">
      <alignment horizontal="center" vertical="center" textRotation="90" wrapText="1" readingOrder="1"/>
      <protection hidden="1"/>
    </xf>
    <xf numFmtId="0" fontId="190" fillId="26" borderId="101" xfId="0" applyFont="1" applyFill="1" applyBorder="1" applyAlignment="1" applyProtection="1">
      <alignment horizontal="center" vertical="center" wrapText="1" readingOrder="1"/>
      <protection hidden="1"/>
    </xf>
    <xf numFmtId="0" fontId="190" fillId="26" borderId="103" xfId="0" applyFont="1" applyFill="1" applyBorder="1" applyAlignment="1" applyProtection="1">
      <alignment horizontal="center" vertical="center" wrapText="1" readingOrder="1"/>
      <protection hidden="1"/>
    </xf>
    <xf numFmtId="0" fontId="79" fillId="0" borderId="28" xfId="0" applyFont="1" applyBorder="1" applyAlignment="1" applyProtection="1">
      <alignment horizontal="center" vertical="center" wrapText="1" readingOrder="1"/>
      <protection hidden="1"/>
    </xf>
    <xf numFmtId="0" fontId="79" fillId="0" borderId="62" xfId="0" applyFont="1" applyBorder="1" applyAlignment="1" applyProtection="1">
      <alignment horizontal="center" vertical="center" wrapText="1" readingOrder="1"/>
      <protection hidden="1"/>
    </xf>
    <xf numFmtId="0" fontId="3" fillId="4" borderId="62" xfId="0" applyFont="1" applyFill="1" applyBorder="1" applyAlignment="1" applyProtection="1">
      <alignment horizontal="center"/>
      <protection hidden="1"/>
    </xf>
    <xf numFmtId="0" fontId="3" fillId="4" borderId="18" xfId="0" applyFont="1" applyFill="1" applyBorder="1" applyAlignment="1" applyProtection="1">
      <alignment horizontal="center"/>
      <protection hidden="1"/>
    </xf>
    <xf numFmtId="0" fontId="3" fillId="4" borderId="28" xfId="0" applyFont="1" applyFill="1" applyBorder="1" applyAlignment="1" applyProtection="1">
      <alignment horizontal="center"/>
      <protection hidden="1"/>
    </xf>
    <xf numFmtId="0" fontId="214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315" fillId="31" borderId="17" xfId="0" applyFont="1" applyFill="1" applyBorder="1" applyAlignment="1" applyProtection="1">
      <alignment horizontal="center" vertical="center" wrapText="1" readingOrder="1"/>
      <protection hidden="1"/>
    </xf>
    <xf numFmtId="0" fontId="315" fillId="31" borderId="18" xfId="0" applyFont="1" applyFill="1" applyBorder="1" applyAlignment="1" applyProtection="1">
      <alignment horizontal="center" vertical="center" wrapText="1" readingOrder="1"/>
      <protection hidden="1"/>
    </xf>
    <xf numFmtId="0" fontId="315" fillId="31" borderId="19" xfId="0" applyFont="1" applyFill="1" applyBorder="1" applyAlignment="1" applyProtection="1">
      <alignment horizontal="center" vertical="center" wrapText="1" readingOrder="1"/>
      <protection hidden="1"/>
    </xf>
    <xf numFmtId="0" fontId="311" fillId="37" borderId="18" xfId="0" applyFont="1" applyFill="1" applyBorder="1" applyAlignment="1" applyProtection="1">
      <alignment horizontal="center" vertical="center" wrapText="1" readingOrder="1"/>
      <protection hidden="1"/>
    </xf>
    <xf numFmtId="0" fontId="316" fillId="68" borderId="28" xfId="0" applyFont="1" applyFill="1" applyBorder="1" applyAlignment="1" applyProtection="1">
      <alignment horizontal="center" vertical="center" wrapText="1" readingOrder="1"/>
      <protection hidden="1"/>
    </xf>
    <xf numFmtId="0" fontId="316" fillId="68" borderId="1" xfId="0" applyFont="1" applyFill="1" applyBorder="1" applyAlignment="1" applyProtection="1">
      <alignment horizontal="center" vertical="center" wrapText="1" readingOrder="1"/>
      <protection hidden="1"/>
    </xf>
    <xf numFmtId="0" fontId="316" fillId="68" borderId="62" xfId="0" applyFont="1" applyFill="1" applyBorder="1" applyAlignment="1" applyProtection="1">
      <alignment horizontal="center" vertical="center" wrapText="1" readingOrder="1"/>
      <protection hidden="1"/>
    </xf>
    <xf numFmtId="0" fontId="315" fillId="60" borderId="1" xfId="0" applyFont="1" applyFill="1" applyBorder="1" applyAlignment="1" applyProtection="1">
      <alignment horizontal="center" vertical="center" wrapText="1" readingOrder="1"/>
      <protection hidden="1"/>
    </xf>
    <xf numFmtId="0" fontId="315" fillId="60" borderId="62" xfId="0" applyFont="1" applyFill="1" applyBorder="1" applyAlignment="1" applyProtection="1">
      <alignment horizontal="center" vertical="center" wrapText="1" readingOrder="1"/>
      <protection hidden="1"/>
    </xf>
    <xf numFmtId="0" fontId="103" fillId="23" borderId="85" xfId="0" applyFont="1" applyFill="1" applyBorder="1" applyAlignment="1" applyProtection="1">
      <alignment horizontal="center" vertical="center" wrapText="1" readingOrder="1"/>
      <protection hidden="1"/>
    </xf>
    <xf numFmtId="0" fontId="272" fillId="28" borderId="131" xfId="0" applyFont="1" applyFill="1" applyBorder="1" applyAlignment="1" applyProtection="1">
      <alignment horizontal="center" vertical="center" wrapText="1" readingOrder="1"/>
      <protection hidden="1"/>
    </xf>
    <xf numFmtId="0" fontId="103" fillId="23" borderId="27" xfId="0" applyFont="1" applyFill="1" applyBorder="1" applyAlignment="1" applyProtection="1">
      <alignment horizontal="center" vertical="center" wrapText="1" readingOrder="1"/>
      <protection hidden="1"/>
    </xf>
    <xf numFmtId="0" fontId="315" fillId="24" borderId="1" xfId="0" applyFont="1" applyFill="1" applyBorder="1" applyAlignment="1" applyProtection="1">
      <alignment horizontal="center" vertical="center" wrapText="1" readingOrder="1"/>
      <protection hidden="1"/>
    </xf>
    <xf numFmtId="0" fontId="315" fillId="24" borderId="62" xfId="0" applyFont="1" applyFill="1" applyBorder="1" applyAlignment="1" applyProtection="1">
      <alignment horizontal="center" vertical="center" wrapText="1" readingOrder="1"/>
      <protection hidden="1"/>
    </xf>
    <xf numFmtId="0" fontId="316" fillId="70" borderId="18" xfId="0" applyFont="1" applyFill="1" applyBorder="1" applyAlignment="1" applyProtection="1">
      <alignment horizontal="center" vertical="center" wrapText="1" readingOrder="1"/>
      <protection hidden="1"/>
    </xf>
    <xf numFmtId="0" fontId="315" fillId="24" borderId="19" xfId="0" applyFont="1" applyFill="1" applyBorder="1" applyAlignment="1" applyProtection="1">
      <alignment horizontal="center" vertical="center" wrapText="1" readingOrder="1"/>
      <protection hidden="1"/>
    </xf>
    <xf numFmtId="0" fontId="310" fillId="41" borderId="138" xfId="0" applyFont="1" applyFill="1" applyBorder="1" applyAlignment="1" applyProtection="1">
      <alignment horizontal="center" vertical="center" wrapText="1" readingOrder="1"/>
      <protection hidden="1"/>
    </xf>
    <xf numFmtId="0" fontId="310" fillId="41" borderId="139" xfId="0" applyFont="1" applyFill="1" applyBorder="1" applyAlignment="1" applyProtection="1">
      <alignment horizontal="center" vertical="center" wrapText="1" readingOrder="1"/>
      <protection hidden="1"/>
    </xf>
    <xf numFmtId="0" fontId="310" fillId="41" borderId="140" xfId="0" applyFont="1" applyFill="1" applyBorder="1" applyAlignment="1" applyProtection="1">
      <alignment horizontal="center" vertical="center" wrapText="1" readingOrder="1"/>
      <protection hidden="1"/>
    </xf>
    <xf numFmtId="0" fontId="271" fillId="56" borderId="79" xfId="0" applyFont="1" applyFill="1" applyBorder="1" applyAlignment="1" applyProtection="1">
      <alignment horizontal="center" vertical="center" wrapText="1" readingOrder="1"/>
      <protection hidden="1"/>
    </xf>
    <xf numFmtId="0" fontId="271" fillId="56" borderId="70" xfId="0" applyFont="1" applyFill="1" applyBorder="1" applyAlignment="1" applyProtection="1">
      <alignment horizontal="center" vertical="center" wrapText="1" readingOrder="1"/>
      <protection hidden="1"/>
    </xf>
    <xf numFmtId="0" fontId="271" fillId="56" borderId="8" xfId="0" applyFont="1" applyFill="1" applyBorder="1" applyAlignment="1" applyProtection="1">
      <alignment horizontal="center" vertical="center" wrapText="1" readingOrder="1"/>
      <protection hidden="1"/>
    </xf>
    <xf numFmtId="0" fontId="271" fillId="61" borderId="79" xfId="0" applyFont="1" applyFill="1" applyBorder="1" applyAlignment="1" applyProtection="1">
      <alignment horizontal="center" vertical="center" wrapText="1" readingOrder="1"/>
      <protection hidden="1"/>
    </xf>
    <xf numFmtId="0" fontId="271" fillId="61" borderId="70" xfId="0" applyFont="1" applyFill="1" applyBorder="1" applyAlignment="1" applyProtection="1">
      <alignment horizontal="center" vertical="center" wrapText="1" readingOrder="1"/>
      <protection hidden="1"/>
    </xf>
    <xf numFmtId="0" fontId="271" fillId="61" borderId="8" xfId="0" applyFont="1" applyFill="1" applyBorder="1" applyAlignment="1" applyProtection="1">
      <alignment horizontal="center" vertical="center" wrapText="1" readingOrder="1"/>
      <protection hidden="1"/>
    </xf>
    <xf numFmtId="0" fontId="271" fillId="62" borderId="79" xfId="0" applyFont="1" applyFill="1" applyBorder="1" applyAlignment="1" applyProtection="1">
      <alignment horizontal="center" vertical="center" wrapText="1" readingOrder="1"/>
      <protection hidden="1"/>
    </xf>
    <xf numFmtId="0" fontId="271" fillId="62" borderId="70" xfId="0" applyFont="1" applyFill="1" applyBorder="1" applyAlignment="1" applyProtection="1">
      <alignment horizontal="center" vertical="center" wrapText="1" readingOrder="1"/>
      <protection hidden="1"/>
    </xf>
    <xf numFmtId="0" fontId="271" fillId="62" borderId="8" xfId="0" applyFont="1" applyFill="1" applyBorder="1" applyAlignment="1" applyProtection="1">
      <alignment horizontal="center" vertical="center" wrapText="1" readingOrder="1"/>
      <protection hidden="1"/>
    </xf>
    <xf numFmtId="0" fontId="271" fillId="63" borderId="79" xfId="0" applyFont="1" applyFill="1" applyBorder="1" applyAlignment="1" applyProtection="1">
      <alignment horizontal="center" vertical="center" wrapText="1" readingOrder="1"/>
      <protection hidden="1"/>
    </xf>
    <xf numFmtId="0" fontId="271" fillId="63" borderId="70" xfId="0" applyFont="1" applyFill="1" applyBorder="1" applyAlignment="1" applyProtection="1">
      <alignment horizontal="center" vertical="center" wrapText="1" readingOrder="1"/>
      <protection hidden="1"/>
    </xf>
    <xf numFmtId="0" fontId="306" fillId="31" borderId="19" xfId="0" applyFont="1" applyFill="1" applyBorder="1" applyAlignment="1" applyProtection="1">
      <alignment horizontal="center" vertical="center" wrapText="1" readingOrder="1"/>
      <protection hidden="1"/>
    </xf>
    <xf numFmtId="1" fontId="186" fillId="0" borderId="1" xfId="0" applyNumberFormat="1" applyFont="1" applyBorder="1" applyAlignment="1" applyProtection="1">
      <alignment horizontal="center" vertical="center" wrapText="1"/>
      <protection hidden="1"/>
    </xf>
    <xf numFmtId="0" fontId="271" fillId="30" borderId="79" xfId="0" applyFont="1" applyFill="1" applyBorder="1" applyAlignment="1" applyProtection="1">
      <alignment horizontal="center" vertical="center" wrapText="1" readingOrder="1"/>
      <protection hidden="1"/>
    </xf>
    <xf numFmtId="0" fontId="271" fillId="30" borderId="70" xfId="0" applyFont="1" applyFill="1" applyBorder="1" applyAlignment="1" applyProtection="1">
      <alignment horizontal="center" vertical="center" wrapText="1" readingOrder="1"/>
      <protection hidden="1"/>
    </xf>
    <xf numFmtId="0" fontId="271" fillId="30" borderId="8" xfId="0" applyFont="1" applyFill="1" applyBorder="1" applyAlignment="1" applyProtection="1">
      <alignment horizontal="center" vertical="center" wrapText="1" readingOrder="1"/>
      <protection hidden="1"/>
    </xf>
    <xf numFmtId="0" fontId="272" fillId="67" borderId="1" xfId="0" applyFont="1" applyFill="1" applyBorder="1" applyAlignment="1" applyProtection="1">
      <alignment horizontal="center" vertical="center" wrapText="1" readingOrder="1"/>
      <protection hidden="1"/>
    </xf>
    <xf numFmtId="0" fontId="272" fillId="67" borderId="62" xfId="0" applyFont="1" applyFill="1" applyBorder="1" applyAlignment="1" applyProtection="1">
      <alignment horizontal="center" vertical="center" wrapText="1" readingOrder="1"/>
      <protection hidden="1"/>
    </xf>
    <xf numFmtId="0" fontId="103" fillId="23" borderId="11" xfId="0" applyFont="1" applyFill="1" applyBorder="1" applyAlignment="1" applyProtection="1">
      <alignment horizontal="center" vertical="center" wrapText="1" readingOrder="1"/>
      <protection hidden="1"/>
    </xf>
    <xf numFmtId="0" fontId="103" fillId="23" borderId="26" xfId="0" applyFont="1" applyFill="1" applyBorder="1" applyAlignment="1" applyProtection="1">
      <alignment horizontal="center" vertical="center" wrapText="1" readingOrder="1"/>
      <protection hidden="1"/>
    </xf>
    <xf numFmtId="0" fontId="10" fillId="0" borderId="0" xfId="0" applyFont="1" applyAlignment="1" applyProtection="1">
      <alignment horizontal="center" vertical="center" wrapText="1"/>
      <protection hidden="1"/>
    </xf>
    <xf numFmtId="0" fontId="10" fillId="0" borderId="39" xfId="0" applyFont="1" applyBorder="1" applyAlignment="1" applyProtection="1">
      <alignment horizontal="center" vertical="center" wrapText="1"/>
      <protection hidden="1"/>
    </xf>
    <xf numFmtId="0" fontId="10" fillId="0" borderId="63" xfId="0" applyFont="1" applyBorder="1" applyAlignment="1" applyProtection="1">
      <alignment horizontal="center"/>
      <protection hidden="1"/>
    </xf>
    <xf numFmtId="0" fontId="10" fillId="0" borderId="73" xfId="0" applyFont="1" applyBorder="1" applyAlignment="1" applyProtection="1">
      <alignment horizontal="center"/>
      <protection hidden="1"/>
    </xf>
    <xf numFmtId="0" fontId="10" fillId="0" borderId="58" xfId="0" applyFont="1" applyBorder="1" applyAlignment="1" applyProtection="1">
      <alignment horizontal="center"/>
      <protection hidden="1"/>
    </xf>
    <xf numFmtId="0" fontId="272" fillId="31" borderId="19" xfId="0" applyFont="1" applyFill="1" applyBorder="1" applyAlignment="1" applyProtection="1">
      <alignment horizontal="center" vertical="center" wrapText="1" readingOrder="1"/>
      <protection hidden="1"/>
    </xf>
    <xf numFmtId="0" fontId="17" fillId="0" borderId="24" xfId="0" applyFont="1" applyBorder="1" applyAlignment="1" applyProtection="1">
      <alignment horizontal="center" vertical="center" wrapText="1"/>
      <protection hidden="1"/>
    </xf>
    <xf numFmtId="0" fontId="17" fillId="0" borderId="25" xfId="0" applyFont="1" applyBorder="1" applyAlignment="1" applyProtection="1">
      <alignment horizontal="center" vertical="center" wrapText="1"/>
      <protection hidden="1"/>
    </xf>
    <xf numFmtId="0" fontId="17" fillId="0" borderId="26" xfId="0" applyFont="1" applyBorder="1" applyAlignment="1" applyProtection="1">
      <alignment horizontal="center" vertical="center" wrapText="1"/>
      <protection hidden="1"/>
    </xf>
    <xf numFmtId="0" fontId="12" fillId="0" borderId="24" xfId="0" applyFont="1" applyBorder="1" applyAlignment="1" applyProtection="1">
      <alignment horizontal="center" vertical="center" wrapText="1"/>
      <protection hidden="1"/>
    </xf>
    <xf numFmtId="0" fontId="12" fillId="0" borderId="25" xfId="0" applyFont="1" applyBorder="1" applyAlignment="1" applyProtection="1">
      <alignment horizontal="center" vertical="center" wrapText="1"/>
      <protection hidden="1"/>
    </xf>
    <xf numFmtId="0" fontId="12" fillId="0" borderId="26" xfId="0" applyFont="1" applyBorder="1" applyAlignment="1" applyProtection="1">
      <alignment horizontal="center" vertical="center" wrapText="1"/>
      <protection hidden="1"/>
    </xf>
    <xf numFmtId="0" fontId="12" fillId="0" borderId="33" xfId="0" applyFont="1" applyBorder="1" applyAlignment="1" applyProtection="1">
      <alignment horizontal="center" vertical="center" wrapText="1"/>
      <protection hidden="1"/>
    </xf>
    <xf numFmtId="0" fontId="12" fillId="0" borderId="7" xfId="0" applyFont="1" applyBorder="1" applyAlignment="1" applyProtection="1">
      <alignment horizontal="center" vertical="center" wrapText="1"/>
      <protection hidden="1"/>
    </xf>
    <xf numFmtId="0" fontId="5" fillId="0" borderId="35" xfId="0" applyFont="1" applyBorder="1" applyAlignment="1" applyProtection="1">
      <alignment horizontal="center" vertical="center" wrapText="1"/>
      <protection hidden="1"/>
    </xf>
    <xf numFmtId="0" fontId="5" fillId="0" borderId="36" xfId="0" applyFont="1" applyBorder="1" applyAlignment="1" applyProtection="1">
      <alignment horizontal="center" vertical="center" wrapText="1"/>
      <protection hidden="1"/>
    </xf>
    <xf numFmtId="0" fontId="5" fillId="0" borderId="37" xfId="0" applyFont="1" applyBorder="1" applyAlignment="1" applyProtection="1">
      <alignment horizontal="center" vertical="center" wrapTex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9" xfId="0" applyFont="1" applyBorder="1" applyAlignment="1" applyProtection="1">
      <alignment horizontal="center" vertical="center" wrapText="1"/>
      <protection hidden="1"/>
    </xf>
    <xf numFmtId="0" fontId="5" fillId="0" borderId="40" xfId="0" applyFont="1" applyBorder="1" applyAlignment="1" applyProtection="1">
      <alignment horizontal="center" vertical="center" wrapText="1"/>
      <protection hidden="1"/>
    </xf>
    <xf numFmtId="0" fontId="0" fillId="0" borderId="63" xfId="0" applyBorder="1" applyAlignment="1" applyProtection="1">
      <alignment horizontal="center" vertical="center" wrapText="1"/>
      <protection hidden="1"/>
    </xf>
    <xf numFmtId="0" fontId="0" fillId="0" borderId="73" xfId="0" applyBorder="1" applyAlignment="1" applyProtection="1">
      <alignment horizontal="center" vertical="center" wrapText="1"/>
      <protection hidden="1"/>
    </xf>
    <xf numFmtId="0" fontId="0" fillId="0" borderId="58" xfId="0" applyBorder="1" applyAlignment="1" applyProtection="1">
      <alignment horizontal="center" vertical="center" wrapText="1"/>
      <protection hidden="1"/>
    </xf>
    <xf numFmtId="0" fontId="189" fillId="56" borderId="0" xfId="0" applyFont="1" applyFill="1" applyAlignment="1" applyProtection="1">
      <alignment horizontal="center" vertical="center" wrapText="1"/>
      <protection hidden="1"/>
    </xf>
    <xf numFmtId="0" fontId="189" fillId="56" borderId="29" xfId="0" applyFont="1" applyFill="1" applyBorder="1" applyAlignment="1" applyProtection="1">
      <alignment horizontal="center" vertical="center" wrapText="1"/>
      <protection hidden="1"/>
    </xf>
    <xf numFmtId="0" fontId="50" fillId="0" borderId="38" xfId="0" applyFont="1" applyBorder="1" applyAlignment="1" applyProtection="1">
      <alignment horizontal="center" vertical="center" wrapText="1"/>
      <protection hidden="1"/>
    </xf>
    <xf numFmtId="0" fontId="50" fillId="0" borderId="39" xfId="0" applyFont="1" applyBorder="1" applyAlignment="1" applyProtection="1">
      <alignment horizontal="center" vertical="center" wrapText="1"/>
      <protection hidden="1"/>
    </xf>
    <xf numFmtId="0" fontId="50" fillId="0" borderId="29" xfId="0" applyFont="1" applyBorder="1" applyAlignment="1" applyProtection="1">
      <alignment horizontal="center" vertical="center" wrapText="1"/>
      <protection hidden="1"/>
    </xf>
    <xf numFmtId="0" fontId="0" fillId="0" borderId="66" xfId="0" applyBorder="1" applyAlignment="1" applyProtection="1">
      <alignment horizontal="center" vertical="center" wrapText="1"/>
      <protection hidden="1"/>
    </xf>
    <xf numFmtId="0" fontId="0" fillId="0" borderId="14" xfId="0" applyBorder="1" applyAlignment="1" applyProtection="1">
      <alignment horizontal="center" vertical="center" wrapText="1"/>
      <protection hidden="1"/>
    </xf>
    <xf numFmtId="0" fontId="0" fillId="0" borderId="65" xfId="0" applyBorder="1" applyAlignment="1" applyProtection="1">
      <alignment horizontal="center" vertical="center" wrapText="1"/>
      <protection hidden="1"/>
    </xf>
    <xf numFmtId="0" fontId="10" fillId="0" borderId="43" xfId="0" applyFont="1" applyBorder="1" applyAlignment="1" applyProtection="1">
      <alignment horizontal="center" vertical="center" wrapText="1"/>
      <protection hidden="1"/>
    </xf>
    <xf numFmtId="0" fontId="10" fillId="0" borderId="25" xfId="0" applyFont="1" applyBorder="1" applyAlignment="1" applyProtection="1">
      <alignment horizontal="center" vertical="center" wrapText="1"/>
      <protection hidden="1"/>
    </xf>
    <xf numFmtId="0" fontId="10" fillId="0" borderId="26" xfId="0" applyFont="1" applyBorder="1" applyAlignment="1" applyProtection="1">
      <alignment horizontal="center" vertical="center" wrapText="1"/>
      <protection hidden="1"/>
    </xf>
    <xf numFmtId="0" fontId="78" fillId="8" borderId="3" xfId="0" applyFont="1" applyFill="1" applyBorder="1" applyAlignment="1" applyProtection="1">
      <alignment horizontal="center" vertical="center" textRotation="90"/>
      <protection hidden="1"/>
    </xf>
    <xf numFmtId="0" fontId="78" fillId="8" borderId="0" xfId="0" applyFont="1" applyFill="1" applyAlignment="1" applyProtection="1">
      <alignment horizontal="center" vertical="center" textRotation="90"/>
      <protection hidden="1"/>
    </xf>
    <xf numFmtId="0" fontId="78" fillId="8" borderId="25" xfId="0" applyFont="1" applyFill="1" applyBorder="1" applyAlignment="1" applyProtection="1">
      <alignment horizontal="center" vertical="center" textRotation="90"/>
      <protection hidden="1"/>
    </xf>
    <xf numFmtId="0" fontId="50" fillId="0" borderId="0" xfId="0" applyFont="1" applyAlignment="1" applyProtection="1">
      <alignment horizontal="center" vertical="center" wrapText="1"/>
      <protection hidden="1"/>
    </xf>
    <xf numFmtId="0" fontId="189" fillId="56" borderId="35" xfId="0" applyFont="1" applyFill="1" applyBorder="1" applyAlignment="1" applyProtection="1">
      <alignment horizontal="center" vertical="center" wrapText="1"/>
      <protection hidden="1"/>
    </xf>
    <xf numFmtId="0" fontId="189" fillId="56" borderId="36" xfId="0" applyFont="1" applyFill="1" applyBorder="1" applyAlignment="1" applyProtection="1">
      <alignment horizontal="center" vertical="center" wrapText="1"/>
      <protection hidden="1"/>
    </xf>
    <xf numFmtId="0" fontId="189" fillId="56" borderId="37" xfId="0" applyFont="1" applyFill="1" applyBorder="1" applyAlignment="1" applyProtection="1">
      <alignment horizontal="center" vertical="center" wrapText="1"/>
      <protection hidden="1"/>
    </xf>
    <xf numFmtId="0" fontId="189" fillId="56" borderId="38" xfId="0" applyFont="1" applyFill="1" applyBorder="1" applyAlignment="1" applyProtection="1">
      <alignment horizontal="center" vertical="center" wrapText="1"/>
      <protection hidden="1"/>
    </xf>
    <xf numFmtId="0" fontId="189" fillId="56" borderId="39" xfId="0" applyFont="1" applyFill="1" applyBorder="1" applyAlignment="1" applyProtection="1">
      <alignment horizontal="center" vertical="center" wrapText="1"/>
      <protection hidden="1"/>
    </xf>
    <xf numFmtId="0" fontId="189" fillId="56" borderId="40" xfId="0" applyFont="1" applyFill="1" applyBorder="1" applyAlignment="1" applyProtection="1">
      <alignment horizontal="center" vertical="center" wrapText="1"/>
      <protection hidden="1"/>
    </xf>
    <xf numFmtId="0" fontId="0" fillId="0" borderId="31" xfId="0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3" fillId="0" borderId="18" xfId="0" applyFont="1" applyBorder="1" applyAlignment="1" applyProtection="1">
      <alignment horizontal="center" vertical="center" wrapText="1"/>
      <protection hidden="1"/>
    </xf>
    <xf numFmtId="0" fontId="3" fillId="0" borderId="28" xfId="0" applyFont="1" applyBorder="1" applyAlignment="1" applyProtection="1">
      <alignment horizontal="center" vertical="center" wrapText="1"/>
      <protection hidden="1"/>
    </xf>
    <xf numFmtId="0" fontId="120" fillId="17" borderId="38" xfId="0" applyFont="1" applyFill="1" applyBorder="1" applyAlignment="1" applyProtection="1">
      <alignment horizontal="center" vertical="center"/>
      <protection hidden="1"/>
    </xf>
    <xf numFmtId="0" fontId="120" fillId="17" borderId="39" xfId="0" applyFont="1" applyFill="1" applyBorder="1" applyAlignment="1" applyProtection="1">
      <alignment horizontal="center" vertical="center"/>
      <protection hidden="1"/>
    </xf>
    <xf numFmtId="0" fontId="120" fillId="17" borderId="72" xfId="0" applyFont="1" applyFill="1" applyBorder="1" applyAlignment="1" applyProtection="1">
      <alignment horizontal="center" vertical="center"/>
      <protection hidden="1"/>
    </xf>
    <xf numFmtId="0" fontId="189" fillId="56" borderId="25" xfId="0" applyFont="1" applyFill="1" applyBorder="1" applyAlignment="1" applyProtection="1">
      <alignment horizontal="center" vertical="center" wrapText="1"/>
      <protection hidden="1"/>
    </xf>
    <xf numFmtId="0" fontId="189" fillId="56" borderId="84" xfId="0" applyFont="1" applyFill="1" applyBorder="1" applyAlignment="1" applyProtection="1">
      <alignment horizontal="center" vertical="center" wrapText="1"/>
      <protection hidden="1"/>
    </xf>
    <xf numFmtId="0" fontId="33" fillId="17" borderId="10" xfId="0" applyFont="1" applyFill="1" applyBorder="1" applyAlignment="1" applyProtection="1">
      <alignment horizontal="center" vertical="center" textRotation="90"/>
      <protection hidden="1"/>
    </xf>
    <xf numFmtId="0" fontId="47" fillId="37" borderId="1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1" fillId="0" borderId="11" xfId="0" applyFont="1" applyBorder="1" applyAlignment="1" applyProtection="1">
      <alignment horizontal="center" vertical="center" wrapText="1"/>
      <protection hidden="1"/>
    </xf>
    <xf numFmtId="0" fontId="1" fillId="0" borderId="5" xfId="0" applyFont="1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1" fillId="0" borderId="24" xfId="0" applyFont="1" applyBorder="1" applyAlignment="1" applyProtection="1">
      <alignment horizontal="center" vertical="center" wrapText="1"/>
      <protection hidden="1"/>
    </xf>
    <xf numFmtId="0" fontId="1" fillId="0" borderId="26" xfId="0" applyFont="1" applyBorder="1" applyAlignment="1" applyProtection="1">
      <alignment horizontal="center" vertical="center" wrapText="1"/>
      <protection hidden="1"/>
    </xf>
    <xf numFmtId="0" fontId="49" fillId="0" borderId="1" xfId="0" applyFont="1" applyBorder="1" applyAlignment="1" applyProtection="1">
      <alignment horizontal="center" vertical="center" wrapText="1"/>
      <protection hidden="1"/>
    </xf>
    <xf numFmtId="0" fontId="33" fillId="7" borderId="1" xfId="0" applyFont="1" applyFill="1" applyBorder="1" applyAlignment="1" applyProtection="1">
      <alignment horizontal="center" textRotation="90"/>
      <protection hidden="1"/>
    </xf>
    <xf numFmtId="0" fontId="49" fillId="37" borderId="1" xfId="0" applyFont="1" applyFill="1" applyBorder="1" applyAlignment="1" applyProtection="1">
      <alignment horizontal="center" vertical="center" wrapText="1"/>
      <protection hidden="1"/>
    </xf>
    <xf numFmtId="0" fontId="43" fillId="37" borderId="62" xfId="0" applyFont="1" applyFill="1" applyBorder="1" applyAlignment="1" applyProtection="1">
      <alignment horizontal="center" vertical="center" wrapText="1"/>
      <protection hidden="1"/>
    </xf>
    <xf numFmtId="0" fontId="43" fillId="37" borderId="28" xfId="0" applyFont="1" applyFill="1" applyBorder="1" applyAlignment="1" applyProtection="1">
      <alignment horizontal="center" vertical="center" wrapText="1"/>
      <protection hidden="1"/>
    </xf>
    <xf numFmtId="0" fontId="47" fillId="5" borderId="1" xfId="0" applyFont="1" applyFill="1" applyBorder="1" applyAlignment="1" applyProtection="1">
      <alignment horizontal="center" vertical="center" wrapText="1"/>
      <protection hidden="1"/>
    </xf>
    <xf numFmtId="0" fontId="47" fillId="5" borderId="18" xfId="0" applyFont="1" applyFill="1" applyBorder="1" applyAlignment="1" applyProtection="1">
      <alignment horizontal="center" vertical="center" wrapText="1"/>
      <protection hidden="1"/>
    </xf>
    <xf numFmtId="0" fontId="44" fillId="5" borderId="1" xfId="0" applyFont="1" applyFill="1" applyBorder="1" applyAlignment="1" applyProtection="1">
      <alignment horizontal="center" vertical="center" wrapText="1"/>
      <protection hidden="1"/>
    </xf>
    <xf numFmtId="0" fontId="76" fillId="6" borderId="1" xfId="0" applyFont="1" applyFill="1" applyBorder="1" applyAlignment="1" applyProtection="1">
      <alignment horizontal="center" vertical="center" textRotation="90"/>
      <protection hidden="1"/>
    </xf>
    <xf numFmtId="0" fontId="5" fillId="5" borderId="11" xfId="0" applyFont="1" applyFill="1" applyBorder="1" applyAlignment="1" applyProtection="1">
      <alignment horizontal="center" vertical="center" wrapText="1"/>
      <protection hidden="1"/>
    </xf>
    <xf numFmtId="0" fontId="5" fillId="5" borderId="4" xfId="0" applyFont="1" applyFill="1" applyBorder="1" applyAlignment="1" applyProtection="1">
      <alignment horizontal="center" vertical="center" wrapText="1"/>
      <protection hidden="1"/>
    </xf>
    <xf numFmtId="0" fontId="50" fillId="5" borderId="3" xfId="0" applyFont="1" applyFill="1" applyBorder="1" applyAlignment="1" applyProtection="1">
      <alignment horizontal="center" vertical="center" wrapText="1"/>
      <protection hidden="1"/>
    </xf>
    <xf numFmtId="0" fontId="50" fillId="5" borderId="11" xfId="0" applyFont="1" applyFill="1" applyBorder="1" applyAlignment="1" applyProtection="1">
      <alignment horizontal="center" vertical="center" wrapText="1"/>
      <protection hidden="1"/>
    </xf>
    <xf numFmtId="0" fontId="5" fillId="5" borderId="22" xfId="0" applyFont="1" applyFill="1" applyBorder="1" applyAlignment="1" applyProtection="1">
      <alignment horizontal="center" vertical="center" wrapText="1"/>
      <protection hidden="1"/>
    </xf>
    <xf numFmtId="0" fontId="5" fillId="5" borderId="3" xfId="0" applyFont="1" applyFill="1" applyBorder="1" applyAlignment="1" applyProtection="1">
      <alignment horizontal="center" vertical="center" wrapText="1"/>
      <protection hidden="1"/>
    </xf>
    <xf numFmtId="0" fontId="47" fillId="5" borderId="25" xfId="0" applyFont="1" applyFill="1" applyBorder="1" applyAlignment="1" applyProtection="1">
      <alignment horizontal="center" vertical="center" wrapText="1"/>
      <protection hidden="1"/>
    </xf>
    <xf numFmtId="0" fontId="17" fillId="5" borderId="18" xfId="0" applyFont="1" applyFill="1" applyBorder="1" applyAlignment="1" applyProtection="1">
      <alignment horizontal="center" vertical="center" wrapText="1"/>
      <protection hidden="1"/>
    </xf>
    <xf numFmtId="0" fontId="17" fillId="5" borderId="19" xfId="0" applyFont="1" applyFill="1" applyBorder="1" applyAlignment="1" applyProtection="1">
      <alignment horizontal="center" vertical="center" wrapText="1"/>
      <protection hidden="1"/>
    </xf>
    <xf numFmtId="0" fontId="12" fillId="5" borderId="22" xfId="0" applyFont="1" applyFill="1" applyBorder="1" applyAlignment="1" applyProtection="1">
      <alignment horizontal="center" vertical="center" wrapText="1"/>
      <protection hidden="1"/>
    </xf>
    <xf numFmtId="0" fontId="42" fillId="3" borderId="62" xfId="0" applyFont="1" applyFill="1" applyBorder="1" applyAlignment="1" applyProtection="1">
      <alignment horizontal="center" vertical="center" wrapText="1"/>
      <protection hidden="1"/>
    </xf>
    <xf numFmtId="0" fontId="42" fillId="3" borderId="18" xfId="0" applyFont="1" applyFill="1" applyBorder="1" applyAlignment="1" applyProtection="1">
      <alignment horizontal="center" vertical="center" wrapText="1"/>
      <protection hidden="1"/>
    </xf>
    <xf numFmtId="0" fontId="42" fillId="3" borderId="28" xfId="0" applyFont="1" applyFill="1" applyBorder="1" applyAlignment="1" applyProtection="1">
      <alignment horizontal="center" vertical="center" wrapText="1"/>
      <protection hidden="1"/>
    </xf>
    <xf numFmtId="0" fontId="43" fillId="3" borderId="86" xfId="0" applyFont="1" applyFill="1" applyBorder="1" applyAlignment="1" applyProtection="1">
      <alignment horizontal="center" vertical="center" wrapText="1"/>
      <protection hidden="1"/>
    </xf>
    <xf numFmtId="0" fontId="43" fillId="3" borderId="39" xfId="0" applyFont="1" applyFill="1" applyBorder="1" applyAlignment="1" applyProtection="1">
      <alignment horizontal="center" vertical="center" wrapText="1"/>
      <protection hidden="1"/>
    </xf>
    <xf numFmtId="0" fontId="43" fillId="3" borderId="40" xfId="0" applyFont="1" applyFill="1" applyBorder="1" applyAlignment="1" applyProtection="1">
      <alignment horizontal="center" vertical="center" wrapText="1"/>
      <protection hidden="1"/>
    </xf>
    <xf numFmtId="0" fontId="189" fillId="56" borderId="34" xfId="0" applyFont="1" applyFill="1" applyBorder="1" applyAlignment="1" applyProtection="1">
      <alignment horizontal="center" vertical="center" wrapText="1"/>
      <protection hidden="1"/>
    </xf>
    <xf numFmtId="0" fontId="43" fillId="0" borderId="5" xfId="0" applyFont="1" applyBorder="1" applyAlignment="1" applyProtection="1">
      <alignment horizontal="center" vertical="center" wrapText="1"/>
      <protection hidden="1"/>
    </xf>
    <xf numFmtId="0" fontId="47" fillId="0" borderId="1" xfId="0" applyFont="1" applyBorder="1" applyAlignment="1" applyProtection="1">
      <alignment horizontal="center" vertical="center" wrapText="1" shrinkToFit="1"/>
      <protection hidden="1"/>
    </xf>
    <xf numFmtId="0" fontId="5" fillId="0" borderId="18" xfId="0" applyFont="1" applyBorder="1" applyAlignment="1" applyProtection="1">
      <alignment horizontal="center" vertical="center" wrapText="1"/>
      <protection hidden="1"/>
    </xf>
    <xf numFmtId="0" fontId="76" fillId="5" borderId="1" xfId="0" applyFont="1" applyFill="1" applyBorder="1" applyAlignment="1" applyProtection="1">
      <alignment horizontal="center" vertical="center" textRotation="90"/>
      <protection hidden="1"/>
    </xf>
    <xf numFmtId="0" fontId="17" fillId="5" borderId="4" xfId="0" applyFont="1" applyFill="1" applyBorder="1" applyAlignment="1" applyProtection="1">
      <alignment horizontal="center" vertical="center" wrapText="1"/>
      <protection hidden="1"/>
    </xf>
    <xf numFmtId="0" fontId="17" fillId="5" borderId="25" xfId="0" applyFont="1" applyFill="1" applyBorder="1" applyAlignment="1" applyProtection="1">
      <alignment horizontal="center" vertical="center" wrapText="1"/>
      <protection hidden="1"/>
    </xf>
    <xf numFmtId="0" fontId="17" fillId="5" borderId="11" xfId="0" applyFont="1" applyFill="1" applyBorder="1" applyAlignment="1" applyProtection="1">
      <alignment horizontal="center" vertical="center" wrapText="1"/>
      <protection hidden="1"/>
    </xf>
    <xf numFmtId="0" fontId="47" fillId="0" borderId="35" xfId="0" applyFont="1" applyBorder="1" applyAlignment="1" applyProtection="1">
      <alignment horizontal="center" vertical="center" wrapText="1" shrinkToFit="1"/>
      <protection hidden="1"/>
    </xf>
    <xf numFmtId="0" fontId="42" fillId="3" borderId="44" xfId="0" applyFont="1" applyFill="1" applyBorder="1" applyAlignment="1" applyProtection="1">
      <alignment horizontal="center" vertical="center" wrapText="1"/>
      <protection hidden="1"/>
    </xf>
    <xf numFmtId="0" fontId="42" fillId="3" borderId="11" xfId="0" applyFont="1" applyFill="1" applyBorder="1" applyAlignment="1" applyProtection="1">
      <alignment horizontal="center" vertical="center" wrapText="1"/>
      <protection hidden="1"/>
    </xf>
    <xf numFmtId="0" fontId="42" fillId="3" borderId="34" xfId="0" applyFont="1" applyFill="1" applyBorder="1" applyAlignment="1" applyProtection="1">
      <alignment horizontal="center" vertical="center" wrapText="1"/>
      <protection hidden="1"/>
    </xf>
    <xf numFmtId="0" fontId="42" fillId="3" borderId="4" xfId="0" applyFont="1" applyFill="1" applyBorder="1" applyAlignment="1" applyProtection="1">
      <alignment horizontal="center" vertical="center" wrapText="1"/>
      <protection hidden="1"/>
    </xf>
    <xf numFmtId="0" fontId="42" fillId="3" borderId="43" xfId="0" applyFont="1" applyFill="1" applyBorder="1" applyAlignment="1" applyProtection="1">
      <alignment horizontal="center" vertical="center" wrapText="1"/>
      <protection hidden="1"/>
    </xf>
    <xf numFmtId="0" fontId="42" fillId="3" borderId="26" xfId="0" applyFont="1" applyFill="1" applyBorder="1" applyAlignment="1" applyProtection="1">
      <alignment horizontal="center" vertical="center" wrapText="1"/>
      <protection hidden="1"/>
    </xf>
    <xf numFmtId="0" fontId="42" fillId="3" borderId="2" xfId="0" applyFont="1" applyFill="1" applyBorder="1" applyAlignment="1" applyProtection="1">
      <alignment horizontal="center" vertical="center" wrapText="1"/>
      <protection hidden="1"/>
    </xf>
    <xf numFmtId="0" fontId="42" fillId="3" borderId="5" xfId="0" applyFont="1" applyFill="1" applyBorder="1" applyAlignment="1" applyProtection="1">
      <alignment horizontal="center" vertical="center" wrapText="1"/>
      <protection hidden="1"/>
    </xf>
    <xf numFmtId="0" fontId="42" fillId="3" borderId="24" xfId="0" applyFont="1" applyFill="1" applyBorder="1" applyAlignment="1" applyProtection="1">
      <alignment horizontal="center" vertical="center" wrapText="1"/>
      <protection hidden="1"/>
    </xf>
    <xf numFmtId="0" fontId="3" fillId="0" borderId="31" xfId="0" applyFont="1" applyBorder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center" vertical="center" wrapText="1"/>
      <protection hidden="1"/>
    </xf>
    <xf numFmtId="0" fontId="33" fillId="0" borderId="10" xfId="0" applyFont="1" applyBorder="1" applyAlignment="1" applyProtection="1">
      <alignment horizontal="center" vertical="center" textRotation="90"/>
      <protection hidden="1"/>
    </xf>
    <xf numFmtId="0" fontId="42" fillId="3" borderId="1" xfId="0" applyFont="1" applyFill="1" applyBorder="1" applyAlignment="1" applyProtection="1">
      <alignment horizontal="center" vertical="center" wrapText="1"/>
      <protection hidden="1"/>
    </xf>
    <xf numFmtId="0" fontId="44" fillId="3" borderId="30" xfId="0" applyFont="1" applyFill="1" applyBorder="1" applyAlignment="1" applyProtection="1">
      <alignment horizontal="center" vertical="center" wrapText="1"/>
      <protection hidden="1"/>
    </xf>
    <xf numFmtId="0" fontId="44" fillId="8" borderId="35" xfId="0" applyFont="1" applyFill="1" applyBorder="1" applyAlignment="1" applyProtection="1">
      <alignment horizontal="center" vertical="center" wrapText="1"/>
      <protection hidden="1"/>
    </xf>
    <xf numFmtId="0" fontId="44" fillId="8" borderId="37" xfId="0" applyFont="1" applyFill="1" applyBorder="1" applyAlignment="1" applyProtection="1">
      <alignment horizontal="center" vertical="center" wrapText="1"/>
      <protection hidden="1"/>
    </xf>
    <xf numFmtId="0" fontId="44" fillId="8" borderId="34" xfId="0" applyFont="1" applyFill="1" applyBorder="1" applyAlignment="1" applyProtection="1">
      <alignment horizontal="center" vertical="center" wrapText="1"/>
      <protection hidden="1"/>
    </xf>
    <xf numFmtId="0" fontId="44" fillId="8" borderId="29" xfId="0" applyFont="1" applyFill="1" applyBorder="1" applyAlignment="1" applyProtection="1">
      <alignment horizontal="center" vertical="center" wrapText="1"/>
      <protection hidden="1"/>
    </xf>
    <xf numFmtId="0" fontId="44" fillId="8" borderId="38" xfId="0" applyFont="1" applyFill="1" applyBorder="1" applyAlignment="1" applyProtection="1">
      <alignment horizontal="center" vertical="center" wrapText="1"/>
      <protection hidden="1"/>
    </xf>
    <xf numFmtId="0" fontId="44" fillId="8" borderId="40" xfId="0" applyFont="1" applyFill="1" applyBorder="1" applyAlignment="1" applyProtection="1">
      <alignment horizontal="center" vertical="center" wrapText="1"/>
      <protection hidden="1"/>
    </xf>
    <xf numFmtId="0" fontId="69" fillId="12" borderId="62" xfId="0" applyFont="1" applyFill="1" applyBorder="1" applyAlignment="1" applyProtection="1">
      <alignment horizontal="center" vertical="top" wrapText="1"/>
      <protection hidden="1"/>
    </xf>
    <xf numFmtId="0" fontId="69" fillId="12" borderId="28" xfId="0" applyFont="1" applyFill="1" applyBorder="1" applyAlignment="1" applyProtection="1">
      <alignment horizontal="center" vertical="top" wrapText="1"/>
      <protection hidden="1"/>
    </xf>
    <xf numFmtId="0" fontId="72" fillId="12" borderId="2" xfId="0" applyFont="1" applyFill="1" applyBorder="1" applyAlignment="1" applyProtection="1">
      <alignment horizontal="center" vertical="center" wrapText="1"/>
      <protection hidden="1"/>
    </xf>
    <xf numFmtId="0" fontId="72" fillId="12" borderId="11" xfId="0" applyFont="1" applyFill="1" applyBorder="1" applyAlignment="1" applyProtection="1">
      <alignment horizontal="center" vertical="center" wrapText="1"/>
      <protection hidden="1"/>
    </xf>
    <xf numFmtId="0" fontId="72" fillId="12" borderId="5" xfId="0" applyFont="1" applyFill="1" applyBorder="1" applyAlignment="1" applyProtection="1">
      <alignment horizontal="center" vertical="center" wrapText="1"/>
      <protection hidden="1"/>
    </xf>
    <xf numFmtId="0" fontId="72" fillId="12" borderId="4" xfId="0" applyFont="1" applyFill="1" applyBorder="1" applyAlignment="1" applyProtection="1">
      <alignment horizontal="center" vertical="center" wrapText="1"/>
      <protection hidden="1"/>
    </xf>
    <xf numFmtId="0" fontId="72" fillId="12" borderId="24" xfId="0" applyFont="1" applyFill="1" applyBorder="1" applyAlignment="1" applyProtection="1">
      <alignment horizontal="center" vertical="center" wrapText="1"/>
      <protection hidden="1"/>
    </xf>
    <xf numFmtId="0" fontId="72" fillId="12" borderId="26" xfId="0" applyFont="1" applyFill="1" applyBorder="1" applyAlignment="1" applyProtection="1">
      <alignment horizontal="center" vertical="center" wrapText="1"/>
      <protection hidden="1"/>
    </xf>
    <xf numFmtId="0" fontId="189" fillId="56" borderId="77" xfId="0" applyFont="1" applyFill="1" applyBorder="1" applyAlignment="1" applyProtection="1">
      <alignment horizontal="center" vertical="center" wrapText="1"/>
      <protection hidden="1"/>
    </xf>
    <xf numFmtId="0" fontId="189" fillId="56" borderId="43" xfId="0" applyFont="1" applyFill="1" applyBorder="1" applyAlignment="1" applyProtection="1">
      <alignment horizontal="center" vertical="center" wrapText="1"/>
      <protection hidden="1"/>
    </xf>
    <xf numFmtId="0" fontId="189" fillId="56" borderId="26" xfId="0" applyFont="1" applyFill="1" applyBorder="1" applyAlignment="1" applyProtection="1">
      <alignment horizontal="center" vertical="center" wrapText="1"/>
      <protection hidden="1"/>
    </xf>
    <xf numFmtId="0" fontId="3" fillId="0" borderId="77" xfId="0" applyFont="1" applyBorder="1" applyAlignment="1" applyProtection="1">
      <alignment horizontal="center" vertical="center" wrapText="1"/>
      <protection hidden="1"/>
    </xf>
    <xf numFmtId="0" fontId="3" fillId="0" borderId="72" xfId="0" applyFont="1" applyBorder="1" applyAlignment="1" applyProtection="1">
      <alignment horizontal="center" vertical="center" wrapText="1"/>
      <protection hidden="1"/>
    </xf>
    <xf numFmtId="0" fontId="3" fillId="0" borderId="66" xfId="0" applyFont="1" applyBorder="1" applyAlignment="1" applyProtection="1">
      <alignment horizontal="center" vertical="center" wrapText="1"/>
      <protection hidden="1"/>
    </xf>
    <xf numFmtId="0" fontId="45" fillId="0" borderId="35" xfId="0" applyFont="1" applyBorder="1" applyAlignment="1" applyProtection="1">
      <alignment horizontal="center" vertical="center" wrapText="1" shrinkToFit="1"/>
      <protection hidden="1"/>
    </xf>
    <xf numFmtId="0" fontId="45" fillId="0" borderId="34" xfId="0" applyFont="1" applyBorder="1" applyAlignment="1" applyProtection="1">
      <alignment horizontal="center" vertical="center" wrapText="1" shrinkToFit="1"/>
      <protection hidden="1"/>
    </xf>
    <xf numFmtId="0" fontId="46" fillId="0" borderId="31" xfId="0" applyFont="1" applyBorder="1" applyAlignment="1" applyProtection="1">
      <alignment horizontal="center" vertical="center" wrapText="1"/>
      <protection hidden="1"/>
    </xf>
    <xf numFmtId="0" fontId="46" fillId="0" borderId="1" xfId="0" applyFont="1" applyBorder="1" applyAlignment="1" applyProtection="1">
      <alignment horizontal="center" vertical="center" wrapText="1"/>
      <protection hidden="1"/>
    </xf>
    <xf numFmtId="17" fontId="213" fillId="30" borderId="63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30" borderId="73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30" borderId="58" xfId="0" applyNumberFormat="1" applyFont="1" applyFill="1" applyBorder="1" applyAlignment="1" applyProtection="1">
      <alignment horizontal="center" vertical="center" wrapText="1"/>
      <protection locked="0" hidden="1"/>
    </xf>
    <xf numFmtId="0" fontId="157" fillId="60" borderId="28" xfId="0" applyFont="1" applyFill="1" applyBorder="1" applyAlignment="1" applyProtection="1">
      <alignment horizontal="center" vertical="center" wrapText="1" readingOrder="1"/>
      <protection hidden="1"/>
    </xf>
    <xf numFmtId="0" fontId="157" fillId="24" borderId="28" xfId="0" applyFont="1" applyFill="1" applyBorder="1" applyAlignment="1" applyProtection="1">
      <alignment horizontal="center" vertical="center" wrapText="1" readingOrder="1"/>
      <protection hidden="1"/>
    </xf>
    <xf numFmtId="0" fontId="272" fillId="62" borderId="70" xfId="0" applyFont="1" applyFill="1" applyBorder="1" applyAlignment="1" applyProtection="1">
      <alignment horizontal="center" vertical="center" wrapText="1" readingOrder="1"/>
      <protection hidden="1"/>
    </xf>
    <xf numFmtId="0" fontId="157" fillId="62" borderId="79" xfId="0" applyFont="1" applyFill="1" applyBorder="1" applyAlignment="1" applyProtection="1">
      <alignment horizontal="center" vertical="center" wrapText="1" readingOrder="1"/>
      <protection hidden="1"/>
    </xf>
    <xf numFmtId="0" fontId="157" fillId="62" borderId="70" xfId="0" applyFont="1" applyFill="1" applyBorder="1" applyAlignment="1" applyProtection="1">
      <alignment horizontal="center" vertical="center" wrapText="1" readingOrder="1"/>
      <protection hidden="1"/>
    </xf>
    <xf numFmtId="0" fontId="157" fillId="62" borderId="8" xfId="0" applyFont="1" applyFill="1" applyBorder="1" applyAlignment="1" applyProtection="1">
      <alignment horizontal="center" vertical="center" wrapText="1" readingOrder="1"/>
      <protection hidden="1"/>
    </xf>
    <xf numFmtId="0" fontId="157" fillId="31" borderId="2" xfId="0" applyFont="1" applyFill="1" applyBorder="1" applyAlignment="1" applyProtection="1">
      <alignment horizontal="center" vertical="center" wrapText="1" readingOrder="1"/>
      <protection hidden="1"/>
    </xf>
    <xf numFmtId="0" fontId="157" fillId="31" borderId="11" xfId="0" applyFont="1" applyFill="1" applyBorder="1" applyAlignment="1" applyProtection="1">
      <alignment horizontal="center" vertical="center" wrapText="1" readingOrder="1"/>
      <protection hidden="1"/>
    </xf>
    <xf numFmtId="0" fontId="157" fillId="31" borderId="5" xfId="0" applyFont="1" applyFill="1" applyBorder="1" applyAlignment="1" applyProtection="1">
      <alignment horizontal="center" vertical="center" wrapText="1" readingOrder="1"/>
      <protection hidden="1"/>
    </xf>
    <xf numFmtId="0" fontId="157" fillId="31" borderId="4" xfId="0" applyFont="1" applyFill="1" applyBorder="1" applyAlignment="1" applyProtection="1">
      <alignment horizontal="center" vertical="center" wrapText="1" readingOrder="1"/>
      <protection hidden="1"/>
    </xf>
    <xf numFmtId="0" fontId="157" fillId="31" borderId="24" xfId="0" applyFont="1" applyFill="1" applyBorder="1" applyAlignment="1" applyProtection="1">
      <alignment horizontal="center" vertical="center" wrapText="1" readingOrder="1"/>
      <protection hidden="1"/>
    </xf>
    <xf numFmtId="0" fontId="157" fillId="31" borderId="26" xfId="0" applyFont="1" applyFill="1" applyBorder="1" applyAlignment="1" applyProtection="1">
      <alignment horizontal="center" vertical="center" wrapText="1" readingOrder="1"/>
      <protection hidden="1"/>
    </xf>
    <xf numFmtId="0" fontId="288" fillId="60" borderId="28" xfId="0" applyFont="1" applyFill="1" applyBorder="1" applyAlignment="1" applyProtection="1">
      <alignment horizontal="center" vertical="center" wrapText="1" readingOrder="1"/>
      <protection hidden="1"/>
    </xf>
    <xf numFmtId="0" fontId="288" fillId="24" borderId="28" xfId="0" applyFont="1" applyFill="1" applyBorder="1" applyAlignment="1" applyProtection="1">
      <alignment horizontal="center" vertical="center" wrapText="1" readingOrder="1"/>
      <protection hidden="1"/>
    </xf>
    <xf numFmtId="0" fontId="157" fillId="63" borderId="4" xfId="0" applyFont="1" applyFill="1" applyBorder="1" applyAlignment="1" applyProtection="1">
      <alignment horizontal="center" vertical="center" wrapText="1" readingOrder="1"/>
      <protection hidden="1"/>
    </xf>
    <xf numFmtId="0" fontId="157" fillId="63" borderId="72" xfId="0" applyFont="1" applyFill="1" applyBorder="1" applyAlignment="1" applyProtection="1">
      <alignment horizontal="center" vertical="center" wrapText="1" readingOrder="1"/>
      <protection hidden="1"/>
    </xf>
    <xf numFmtId="0" fontId="272" fillId="63" borderId="29" xfId="0" applyFont="1" applyFill="1" applyBorder="1" applyAlignment="1" applyProtection="1">
      <alignment horizontal="center" vertical="center" wrapText="1" readingOrder="1"/>
      <protection hidden="1"/>
    </xf>
    <xf numFmtId="0" fontId="272" fillId="63" borderId="40" xfId="0" applyFont="1" applyFill="1" applyBorder="1" applyAlignment="1" applyProtection="1">
      <alignment horizontal="center" vertical="center" wrapText="1" readingOrder="1"/>
      <protection hidden="1"/>
    </xf>
    <xf numFmtId="0" fontId="157" fillId="31" borderId="3" xfId="0" applyFont="1" applyFill="1" applyBorder="1" applyAlignment="1" applyProtection="1">
      <alignment horizontal="center" vertical="center" wrapText="1" readingOrder="1"/>
      <protection hidden="1"/>
    </xf>
    <xf numFmtId="0" fontId="157" fillId="31" borderId="0" xfId="0" applyFont="1" applyFill="1" applyAlignment="1" applyProtection="1">
      <alignment horizontal="center" vertical="center" wrapText="1" readingOrder="1"/>
      <protection hidden="1"/>
    </xf>
    <xf numFmtId="0" fontId="157" fillId="31" borderId="25" xfId="0" applyFont="1" applyFill="1" applyBorder="1" applyAlignment="1" applyProtection="1">
      <alignment horizontal="center" vertical="center" wrapText="1" readingOrder="1"/>
      <protection hidden="1"/>
    </xf>
    <xf numFmtId="0" fontId="157" fillId="30" borderId="79" xfId="0" applyFont="1" applyFill="1" applyBorder="1" applyAlignment="1" applyProtection="1">
      <alignment horizontal="center" vertical="center" wrapText="1" readingOrder="1"/>
      <protection hidden="1"/>
    </xf>
    <xf numFmtId="0" fontId="157" fillId="30" borderId="70" xfId="0" applyFont="1" applyFill="1" applyBorder="1" applyAlignment="1" applyProtection="1">
      <alignment horizontal="center" vertical="center" wrapText="1" readingOrder="1"/>
      <protection hidden="1"/>
    </xf>
    <xf numFmtId="0" fontId="157" fillId="30" borderId="8" xfId="0" applyFont="1" applyFill="1" applyBorder="1" applyAlignment="1" applyProtection="1">
      <alignment horizontal="center" vertical="center" wrapText="1" readingOrder="1"/>
      <protection hidden="1"/>
    </xf>
    <xf numFmtId="0" fontId="157" fillId="56" borderId="79" xfId="0" applyFont="1" applyFill="1" applyBorder="1" applyAlignment="1" applyProtection="1">
      <alignment horizontal="center" vertical="center" wrapText="1" readingOrder="1"/>
      <protection hidden="1"/>
    </xf>
    <xf numFmtId="0" fontId="157" fillId="56" borderId="70" xfId="0" applyFont="1" applyFill="1" applyBorder="1" applyAlignment="1" applyProtection="1">
      <alignment horizontal="center" vertical="center" wrapText="1" readingOrder="1"/>
      <protection hidden="1"/>
    </xf>
    <xf numFmtId="0" fontId="157" fillId="56" borderId="8" xfId="0" applyFont="1" applyFill="1" applyBorder="1" applyAlignment="1" applyProtection="1">
      <alignment horizontal="center" vertical="center" wrapText="1" readingOrder="1"/>
      <protection hidden="1"/>
    </xf>
    <xf numFmtId="0" fontId="157" fillId="31" borderId="36" xfId="0" applyFont="1" applyFill="1" applyBorder="1" applyAlignment="1" applyProtection="1">
      <alignment horizontal="center" vertical="center" wrapText="1" readingOrder="1"/>
      <protection hidden="1"/>
    </xf>
    <xf numFmtId="0" fontId="157" fillId="31" borderId="39" xfId="0" applyFont="1" applyFill="1" applyBorder="1" applyAlignment="1" applyProtection="1">
      <alignment horizontal="center" vertical="center" wrapText="1" readingOrder="1"/>
      <protection hidden="1"/>
    </xf>
    <xf numFmtId="0" fontId="157" fillId="61" borderId="79" xfId="0" applyFont="1" applyFill="1" applyBorder="1" applyAlignment="1" applyProtection="1">
      <alignment horizontal="center" vertical="center" wrapText="1" readingOrder="1"/>
      <protection hidden="1"/>
    </xf>
    <xf numFmtId="0" fontId="157" fillId="61" borderId="70" xfId="0" applyFont="1" applyFill="1" applyBorder="1" applyAlignment="1" applyProtection="1">
      <alignment horizontal="center" vertical="center" wrapText="1" readingOrder="1"/>
      <protection hidden="1"/>
    </xf>
    <xf numFmtId="0" fontId="157" fillId="61" borderId="8" xfId="0" applyFont="1" applyFill="1" applyBorder="1" applyAlignment="1" applyProtection="1">
      <alignment horizontal="center" vertical="center" wrapText="1" readingOrder="1"/>
      <protection hidden="1"/>
    </xf>
    <xf numFmtId="0" fontId="157" fillId="28" borderId="3" xfId="0" applyFont="1" applyFill="1" applyBorder="1" applyAlignment="1" applyProtection="1">
      <alignment horizontal="center" vertical="center" wrapText="1" readingOrder="1"/>
      <protection hidden="1"/>
    </xf>
    <xf numFmtId="0" fontId="157" fillId="28" borderId="11" xfId="0" applyFont="1" applyFill="1" applyBorder="1" applyAlignment="1" applyProtection="1">
      <alignment horizontal="center" vertical="center" wrapText="1" readingOrder="1"/>
      <protection hidden="1"/>
    </xf>
    <xf numFmtId="0" fontId="157" fillId="28" borderId="0" xfId="0" applyFont="1" applyFill="1" applyAlignment="1" applyProtection="1">
      <alignment horizontal="center" vertical="center" wrapText="1" readingOrder="1"/>
      <protection hidden="1"/>
    </xf>
    <xf numFmtId="0" fontId="157" fillId="28" borderId="4" xfId="0" applyFont="1" applyFill="1" applyBorder="1" applyAlignment="1" applyProtection="1">
      <alignment horizontal="center" vertical="center" wrapText="1" readingOrder="1"/>
      <protection hidden="1"/>
    </xf>
    <xf numFmtId="0" fontId="157" fillId="28" borderId="25" xfId="0" applyFont="1" applyFill="1" applyBorder="1" applyAlignment="1" applyProtection="1">
      <alignment horizontal="center" vertical="center" wrapText="1" readingOrder="1"/>
      <protection hidden="1"/>
    </xf>
    <xf numFmtId="0" fontId="157" fillId="28" borderId="26" xfId="0" applyFont="1" applyFill="1" applyBorder="1" applyAlignment="1" applyProtection="1">
      <alignment horizontal="center" vertical="center" wrapText="1" readingOrder="1"/>
      <protection hidden="1"/>
    </xf>
    <xf numFmtId="0" fontId="347" fillId="23" borderId="11" xfId="0" applyFont="1" applyFill="1" applyBorder="1" applyAlignment="1" applyProtection="1">
      <alignment horizontal="center" vertical="center" wrapText="1" readingOrder="1"/>
      <protection hidden="1"/>
    </xf>
    <xf numFmtId="0" fontId="347" fillId="23" borderId="26" xfId="0" applyFont="1" applyFill="1" applyBorder="1" applyAlignment="1" applyProtection="1">
      <alignment horizontal="center" vertical="center" wrapText="1" readingOrder="1"/>
      <protection hidden="1"/>
    </xf>
    <xf numFmtId="0" fontId="271" fillId="60" borderId="1" xfId="0" applyFont="1" applyFill="1" applyBorder="1" applyAlignment="1" applyProtection="1">
      <alignment horizontal="center" vertical="center" wrapText="1" readingOrder="1"/>
      <protection hidden="1"/>
    </xf>
    <xf numFmtId="0" fontId="271" fillId="60" borderId="62" xfId="0" applyFont="1" applyFill="1" applyBorder="1" applyAlignment="1" applyProtection="1">
      <alignment horizontal="center" vertical="center" wrapText="1" readingOrder="1"/>
      <protection hidden="1"/>
    </xf>
    <xf numFmtId="0" fontId="271" fillId="24" borderId="1" xfId="0" applyFont="1" applyFill="1" applyBorder="1" applyAlignment="1" applyProtection="1">
      <alignment horizontal="center" vertical="center" wrapText="1" readingOrder="1"/>
      <protection hidden="1"/>
    </xf>
    <xf numFmtId="0" fontId="271" fillId="63" borderId="0" xfId="0" applyFont="1" applyFill="1" applyAlignment="1" applyProtection="1">
      <alignment horizontal="center" vertical="center" wrapText="1" readingOrder="1"/>
      <protection hidden="1"/>
    </xf>
    <xf numFmtId="0" fontId="271" fillId="63" borderId="39" xfId="0" applyFont="1" applyFill="1" applyBorder="1" applyAlignment="1" applyProtection="1">
      <alignment horizontal="center" vertical="center" wrapText="1" readingOrder="1"/>
      <protection hidden="1"/>
    </xf>
    <xf numFmtId="0" fontId="371" fillId="60" borderId="1" xfId="0" applyFont="1" applyFill="1" applyBorder="1" applyAlignment="1" applyProtection="1">
      <alignment horizontal="center" vertical="center" wrapText="1" readingOrder="1"/>
      <protection hidden="1"/>
    </xf>
    <xf numFmtId="0" fontId="371" fillId="60" borderId="62" xfId="0" applyFont="1" applyFill="1" applyBorder="1" applyAlignment="1" applyProtection="1">
      <alignment horizontal="center" vertical="center" wrapText="1" readingOrder="1"/>
      <protection hidden="1"/>
    </xf>
    <xf numFmtId="0" fontId="371" fillId="24" borderId="1" xfId="0" applyFont="1" applyFill="1" applyBorder="1" applyAlignment="1" applyProtection="1">
      <alignment horizontal="center" vertical="center" wrapText="1" readingOrder="1"/>
      <protection hidden="1"/>
    </xf>
    <xf numFmtId="0" fontId="371" fillId="24" borderId="62" xfId="0" applyFont="1" applyFill="1" applyBorder="1" applyAlignment="1" applyProtection="1">
      <alignment horizontal="center" vertical="center" wrapText="1" readingOrder="1"/>
      <protection hidden="1"/>
    </xf>
    <xf numFmtId="0" fontId="347" fillId="23" borderId="85" xfId="0" applyFont="1" applyFill="1" applyBorder="1" applyAlignment="1" applyProtection="1">
      <alignment horizontal="center" vertical="center" wrapText="1" readingOrder="1"/>
      <protection hidden="1"/>
    </xf>
    <xf numFmtId="0" fontId="347" fillId="23" borderId="81" xfId="0" applyFont="1" applyFill="1" applyBorder="1" applyAlignment="1" applyProtection="1">
      <alignment horizontal="center" vertical="center" wrapText="1" readingOrder="1"/>
      <protection hidden="1"/>
    </xf>
    <xf numFmtId="0" fontId="347" fillId="23" borderId="27" xfId="0" applyFont="1" applyFill="1" applyBorder="1" applyAlignment="1" applyProtection="1">
      <alignment horizontal="center" vertical="center" wrapText="1" readingOrder="1"/>
      <protection hidden="1"/>
    </xf>
    <xf numFmtId="0" fontId="347" fillId="23" borderId="4" xfId="0" applyFont="1" applyFill="1" applyBorder="1" applyAlignment="1" applyProtection="1">
      <alignment horizontal="center" vertical="center" wrapText="1" readingOrder="1"/>
      <protection hidden="1"/>
    </xf>
    <xf numFmtId="0" fontId="271" fillId="59" borderId="1" xfId="0" applyFont="1" applyFill="1" applyBorder="1" applyAlignment="1" applyProtection="1">
      <alignment horizontal="center" vertical="center" wrapText="1" readingOrder="1"/>
      <protection hidden="1"/>
    </xf>
    <xf numFmtId="0" fontId="271" fillId="59" borderId="62" xfId="0" applyFont="1" applyFill="1" applyBorder="1" applyAlignment="1" applyProtection="1">
      <alignment horizontal="center" vertical="center" wrapText="1" readingOrder="1"/>
      <protection hidden="1"/>
    </xf>
    <xf numFmtId="0" fontId="243" fillId="31" borderId="24" xfId="0" applyFont="1" applyFill="1" applyBorder="1" applyAlignment="1" applyProtection="1">
      <alignment horizontal="center" vertical="center" wrapText="1" readingOrder="1"/>
      <protection hidden="1"/>
    </xf>
    <xf numFmtId="0" fontId="243" fillId="31" borderId="84" xfId="0" applyFont="1" applyFill="1" applyBorder="1" applyAlignment="1" applyProtection="1">
      <alignment horizontal="center" vertical="center" wrapText="1" readingOrder="1"/>
      <protection hidden="1"/>
    </xf>
    <xf numFmtId="0" fontId="243" fillId="31" borderId="68" xfId="0" applyFont="1" applyFill="1" applyBorder="1" applyAlignment="1" applyProtection="1">
      <alignment horizontal="center" vertical="center" wrapText="1" readingOrder="1"/>
      <protection hidden="1"/>
    </xf>
    <xf numFmtId="0" fontId="243" fillId="31" borderId="23" xfId="0" applyFont="1" applyFill="1" applyBorder="1" applyAlignment="1" applyProtection="1">
      <alignment horizontal="center" vertical="center" wrapText="1" readingOrder="1"/>
      <protection hidden="1"/>
    </xf>
    <xf numFmtId="1" fontId="355" fillId="0" borderId="1" xfId="0" applyNumberFormat="1" applyFont="1" applyBorder="1" applyAlignment="1" applyProtection="1">
      <alignment horizontal="center" vertical="center" wrapText="1"/>
      <protection hidden="1"/>
    </xf>
    <xf numFmtId="1" fontId="356" fillId="0" borderId="1" xfId="0" applyNumberFormat="1" applyFont="1" applyBorder="1" applyAlignment="1" applyProtection="1">
      <alignment horizontal="center" vertical="center" wrapText="1"/>
      <protection hidden="1"/>
    </xf>
    <xf numFmtId="1" fontId="357" fillId="0" borderId="1" xfId="0" applyNumberFormat="1" applyFont="1" applyBorder="1" applyAlignment="1" applyProtection="1">
      <alignment horizontal="center" vertical="center" wrapText="1"/>
      <protection hidden="1"/>
    </xf>
    <xf numFmtId="0" fontId="271" fillId="56" borderId="33" xfId="0" applyFont="1" applyFill="1" applyBorder="1" applyAlignment="1" applyProtection="1">
      <alignment horizontal="center" vertical="center" wrapText="1" readingOrder="1"/>
      <protection hidden="1"/>
    </xf>
    <xf numFmtId="0" fontId="271" fillId="56" borderId="60" xfId="0" applyFont="1" applyFill="1" applyBorder="1" applyAlignment="1" applyProtection="1">
      <alignment horizontal="center" vertical="center" wrapText="1" readingOrder="1"/>
      <protection hidden="1"/>
    </xf>
    <xf numFmtId="0" fontId="271" fillId="56" borderId="7" xfId="0" applyFont="1" applyFill="1" applyBorder="1" applyAlignment="1" applyProtection="1">
      <alignment horizontal="center" vertical="center" wrapText="1" readingOrder="1"/>
      <protection hidden="1"/>
    </xf>
    <xf numFmtId="0" fontId="243" fillId="31" borderId="7" xfId="0" applyFont="1" applyFill="1" applyBorder="1" applyAlignment="1" applyProtection="1">
      <alignment horizontal="center" vertical="center" wrapText="1" readingOrder="1"/>
      <protection hidden="1"/>
    </xf>
    <xf numFmtId="0" fontId="33" fillId="0" borderId="1" xfId="0" applyFont="1" applyBorder="1" applyAlignment="1" applyProtection="1">
      <alignment horizontal="center" vertical="center" textRotation="90" wrapText="1"/>
      <protection hidden="1"/>
    </xf>
    <xf numFmtId="0" fontId="50" fillId="0" borderId="33" xfId="0" applyFont="1" applyBorder="1" applyAlignment="1" applyProtection="1">
      <alignment horizontal="center" vertical="center" wrapText="1"/>
      <protection hidden="1"/>
    </xf>
    <xf numFmtId="0" fontId="50" fillId="0" borderId="7" xfId="0" applyFont="1" applyBorder="1" applyAlignment="1" applyProtection="1">
      <alignment horizontal="center" vertical="center" wrapText="1"/>
      <protection hidden="1"/>
    </xf>
    <xf numFmtId="0" fontId="157" fillId="59" borderId="28" xfId="0" applyFont="1" applyFill="1" applyBorder="1" applyAlignment="1" applyProtection="1">
      <alignment horizontal="center" vertical="center" wrapText="1" readingOrder="1"/>
      <protection hidden="1"/>
    </xf>
    <xf numFmtId="0" fontId="212" fillId="0" borderId="3" xfId="0" applyFont="1" applyBorder="1" applyAlignment="1" applyProtection="1">
      <alignment horizontal="center" vertical="center" wrapText="1"/>
      <protection hidden="1"/>
    </xf>
    <xf numFmtId="0" fontId="212" fillId="0" borderId="11" xfId="0" applyFont="1" applyBorder="1" applyAlignment="1" applyProtection="1">
      <alignment horizontal="center" vertical="center" wrapText="1"/>
      <protection hidden="1"/>
    </xf>
    <xf numFmtId="0" fontId="212" fillId="0" borderId="4" xfId="0" applyFont="1" applyBorder="1" applyAlignment="1" applyProtection="1">
      <alignment horizontal="center" vertical="center" wrapText="1"/>
      <protection hidden="1"/>
    </xf>
    <xf numFmtId="0" fontId="343" fillId="56" borderId="0" xfId="0" applyFont="1" applyFill="1" applyAlignment="1" applyProtection="1">
      <alignment horizontal="center" vertical="center" wrapText="1"/>
      <protection hidden="1"/>
    </xf>
    <xf numFmtId="0" fontId="343" fillId="56" borderId="29" xfId="0" applyFont="1" applyFill="1" applyBorder="1" applyAlignment="1" applyProtection="1">
      <alignment horizontal="center" vertical="center" wrapText="1"/>
      <protection hidden="1"/>
    </xf>
    <xf numFmtId="0" fontId="344" fillId="0" borderId="10" xfId="0" applyFont="1" applyBorder="1" applyAlignment="1" applyProtection="1">
      <alignment horizontal="center" vertical="center" wrapText="1"/>
      <protection hidden="1"/>
    </xf>
    <xf numFmtId="0" fontId="344" fillId="0" borderId="1" xfId="0" applyFont="1" applyBorder="1" applyAlignment="1" applyProtection="1">
      <alignment horizontal="center" vertical="center" wrapText="1"/>
      <protection hidden="1"/>
    </xf>
    <xf numFmtId="0" fontId="344" fillId="0" borderId="62" xfId="0" applyFont="1" applyBorder="1" applyAlignment="1" applyProtection="1">
      <alignment horizontal="center" vertical="center" wrapText="1"/>
      <protection hidden="1"/>
    </xf>
    <xf numFmtId="0" fontId="344" fillId="0" borderId="33" xfId="0" applyFont="1" applyBorder="1" applyAlignment="1" applyProtection="1">
      <alignment horizontal="center" vertical="center" wrapText="1"/>
      <protection hidden="1"/>
    </xf>
    <xf numFmtId="0" fontId="344" fillId="0" borderId="2" xfId="0" applyFont="1" applyBorder="1" applyAlignment="1" applyProtection="1">
      <alignment horizontal="center" vertical="center" wrapText="1"/>
      <protection hidden="1"/>
    </xf>
    <xf numFmtId="0" fontId="33" fillId="0" borderId="12" xfId="0" applyFont="1" applyBorder="1" applyAlignment="1" applyProtection="1">
      <alignment horizontal="center" vertical="center" wrapText="1"/>
      <protection hidden="1"/>
    </xf>
    <xf numFmtId="0" fontId="33" fillId="0" borderId="80" xfId="0" applyFont="1" applyBorder="1" applyAlignment="1" applyProtection="1">
      <alignment horizontal="center" vertical="center" wrapText="1"/>
      <protection hidden="1"/>
    </xf>
    <xf numFmtId="0" fontId="213" fillId="0" borderId="35" xfId="0" applyFont="1" applyBorder="1" applyAlignment="1" applyProtection="1">
      <alignment horizontal="center" vertical="center" wrapText="1"/>
      <protection hidden="1"/>
    </xf>
    <xf numFmtId="0" fontId="213" fillId="0" borderId="34" xfId="0" applyFont="1" applyBorder="1" applyAlignment="1" applyProtection="1">
      <alignment horizontal="center" vertical="center" wrapText="1"/>
      <protection hidden="1"/>
    </xf>
    <xf numFmtId="1" fontId="213" fillId="0" borderId="45" xfId="0" applyNumberFormat="1" applyFont="1" applyBorder="1" applyAlignment="1" applyProtection="1">
      <alignment horizontal="center" vertical="center" wrapText="1"/>
      <protection hidden="1"/>
    </xf>
    <xf numFmtId="1" fontId="213" fillId="0" borderId="9" xfId="0" applyNumberFormat="1" applyFont="1" applyBorder="1" applyAlignment="1" applyProtection="1">
      <alignment horizontal="center" vertical="center" wrapText="1"/>
      <protection hidden="1"/>
    </xf>
    <xf numFmtId="0" fontId="271" fillId="30" borderId="1" xfId="0" applyFont="1" applyFill="1" applyBorder="1" applyAlignment="1" applyProtection="1">
      <alignment horizontal="center" vertical="center" wrapText="1" readingOrder="1"/>
      <protection hidden="1"/>
    </xf>
    <xf numFmtId="0" fontId="271" fillId="23" borderId="70" xfId="0" applyFont="1" applyFill="1" applyBorder="1" applyAlignment="1" applyProtection="1">
      <alignment horizontal="center" vertical="center" wrapText="1" readingOrder="1"/>
      <protection hidden="1"/>
    </xf>
    <xf numFmtId="0" fontId="347" fillId="23" borderId="28" xfId="0" applyFont="1" applyFill="1" applyBorder="1" applyAlignment="1" applyProtection="1">
      <alignment horizontal="center" vertical="center" wrapText="1" readingOrder="1"/>
      <protection hidden="1"/>
    </xf>
    <xf numFmtId="0" fontId="76" fillId="27" borderId="35" xfId="0" applyFont="1" applyFill="1" applyBorder="1" applyAlignment="1" applyProtection="1">
      <alignment horizontal="center" vertical="center" wrapText="1"/>
      <protection hidden="1"/>
    </xf>
    <xf numFmtId="0" fontId="76" fillId="27" borderId="36" xfId="0" applyFont="1" applyFill="1" applyBorder="1" applyAlignment="1" applyProtection="1">
      <alignment horizontal="center" vertical="center" wrapText="1"/>
      <protection hidden="1"/>
    </xf>
    <xf numFmtId="0" fontId="76" fillId="27" borderId="77" xfId="0" applyFont="1" applyFill="1" applyBorder="1" applyAlignment="1" applyProtection="1">
      <alignment horizontal="center" vertical="center" wrapText="1"/>
      <protection hidden="1"/>
    </xf>
    <xf numFmtId="0" fontId="50" fillId="2" borderId="38" xfId="0" applyFont="1" applyFill="1" applyBorder="1" applyAlignment="1" applyProtection="1">
      <alignment horizontal="center"/>
      <protection locked="0"/>
    </xf>
    <xf numFmtId="0" fontId="50" fillId="2" borderId="39" xfId="0" applyFont="1" applyFill="1" applyBorder="1" applyAlignment="1" applyProtection="1">
      <alignment horizontal="center"/>
      <protection locked="0"/>
    </xf>
    <xf numFmtId="0" fontId="50" fillId="2" borderId="40" xfId="0" applyFont="1" applyFill="1" applyBorder="1" applyAlignment="1" applyProtection="1">
      <alignment horizontal="center"/>
      <protection locked="0"/>
    </xf>
    <xf numFmtId="0" fontId="50" fillId="2" borderId="63" xfId="0" applyFont="1" applyFill="1" applyBorder="1" applyAlignment="1" applyProtection="1">
      <alignment horizontal="center"/>
      <protection locked="0"/>
    </xf>
    <xf numFmtId="0" fontId="50" fillId="2" borderId="73" xfId="0" applyFont="1" applyFill="1" applyBorder="1" applyAlignment="1" applyProtection="1">
      <alignment horizontal="center"/>
      <protection locked="0"/>
    </xf>
    <xf numFmtId="0" fontId="50" fillId="2" borderId="58" xfId="0" applyFont="1" applyFill="1" applyBorder="1" applyAlignment="1" applyProtection="1">
      <alignment horizontal="center"/>
      <protection locked="0"/>
    </xf>
    <xf numFmtId="17" fontId="213" fillId="2" borderId="35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2" borderId="36" xfId="0" applyNumberFormat="1" applyFont="1" applyFill="1" applyBorder="1" applyAlignment="1" applyProtection="1">
      <alignment horizontal="center" vertical="center" wrapText="1"/>
      <protection locked="0" hidden="1"/>
    </xf>
    <xf numFmtId="17" fontId="213" fillId="2" borderId="37" xfId="0" applyNumberFormat="1" applyFont="1" applyFill="1" applyBorder="1" applyAlignment="1" applyProtection="1">
      <alignment horizontal="center" vertical="center" wrapText="1"/>
      <protection locked="0" hidden="1"/>
    </xf>
    <xf numFmtId="0" fontId="33" fillId="0" borderId="13" xfId="0" applyFont="1" applyBorder="1" applyAlignment="1" applyProtection="1">
      <alignment horizontal="center" vertical="center" wrapText="1"/>
      <protection hidden="1"/>
    </xf>
    <xf numFmtId="0" fontId="33" fillId="0" borderId="44" xfId="0" applyFont="1" applyBorder="1" applyAlignment="1" applyProtection="1">
      <alignment horizontal="center" vertical="center" wrapText="1"/>
      <protection hidden="1"/>
    </xf>
    <xf numFmtId="0" fontId="213" fillId="0" borderId="1" xfId="0" applyFont="1" applyBorder="1" applyAlignment="1" applyProtection="1">
      <alignment horizontal="center" vertical="center" wrapText="1"/>
      <protection hidden="1"/>
    </xf>
    <xf numFmtId="0" fontId="271" fillId="61" borderId="1" xfId="0" applyFont="1" applyFill="1" applyBorder="1" applyAlignment="1" applyProtection="1">
      <alignment horizontal="center" vertical="center" wrapText="1" readingOrder="1"/>
      <protection hidden="1"/>
    </xf>
    <xf numFmtId="0" fontId="271" fillId="62" borderId="1" xfId="0" applyFont="1" applyFill="1" applyBorder="1" applyAlignment="1" applyProtection="1">
      <alignment horizontal="center" vertical="center" wrapText="1" readingOrder="1"/>
      <protection hidden="1"/>
    </xf>
    <xf numFmtId="0" fontId="342" fillId="0" borderId="63" xfId="0" applyFont="1" applyBorder="1" applyAlignment="1" applyProtection="1">
      <alignment horizontal="center" vertical="top" wrapText="1"/>
      <protection hidden="1"/>
    </xf>
    <xf numFmtId="0" fontId="119" fillId="0" borderId="73" xfId="0" applyFont="1" applyBorder="1" applyAlignment="1" applyProtection="1">
      <alignment horizontal="center" vertical="top" wrapText="1"/>
      <protection hidden="1"/>
    </xf>
    <xf numFmtId="0" fontId="119" fillId="0" borderId="58" xfId="0" applyFont="1" applyBorder="1" applyAlignment="1" applyProtection="1">
      <alignment horizontal="center" vertical="top" wrapText="1"/>
      <protection hidden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7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72" fillId="41" borderId="12" xfId="0" applyFont="1" applyFill="1" applyBorder="1" applyAlignment="1" applyProtection="1">
      <alignment horizontal="center" wrapText="1"/>
      <protection hidden="1"/>
    </xf>
    <xf numFmtId="0" fontId="372" fillId="41" borderId="16" xfId="0" applyFont="1" applyFill="1" applyBorder="1" applyAlignment="1" applyProtection="1">
      <alignment horizontal="center" wrapText="1"/>
      <protection hidden="1"/>
    </xf>
    <xf numFmtId="0" fontId="372" fillId="41" borderId="20" xfId="0" applyFont="1" applyFill="1" applyBorder="1" applyAlignment="1" applyProtection="1">
      <alignment horizontal="center" wrapText="1"/>
      <protection hidden="1"/>
    </xf>
    <xf numFmtId="0" fontId="3" fillId="30" borderId="1" xfId="0" applyFont="1" applyFill="1" applyBorder="1" applyAlignment="1" applyProtection="1">
      <alignment horizontal="center" wrapText="1"/>
      <protection hidden="1"/>
    </xf>
    <xf numFmtId="0" fontId="27" fillId="30" borderId="1" xfId="0" applyFont="1" applyFill="1" applyBorder="1" applyAlignment="1" applyProtection="1">
      <alignment horizontal="center" vertical="top" wrapText="1"/>
      <protection hidden="1"/>
    </xf>
    <xf numFmtId="0" fontId="10" fillId="30" borderId="63" xfId="0" applyFont="1" applyFill="1" applyBorder="1" applyAlignment="1" applyProtection="1">
      <alignment horizontal="center"/>
      <protection hidden="1"/>
    </xf>
    <xf numFmtId="0" fontId="10" fillId="30" borderId="73" xfId="0" applyFont="1" applyFill="1" applyBorder="1" applyAlignment="1" applyProtection="1">
      <alignment horizontal="center"/>
      <protection hidden="1"/>
    </xf>
    <xf numFmtId="0" fontId="10" fillId="30" borderId="58" xfId="0" applyFont="1" applyFill="1" applyBorder="1" applyAlignment="1" applyProtection="1">
      <alignment horizontal="center"/>
      <protection hidden="1"/>
    </xf>
    <xf numFmtId="0" fontId="10" fillId="33" borderId="34" xfId="0" applyFont="1" applyFill="1" applyBorder="1" applyAlignment="1" applyProtection="1">
      <alignment horizontal="center"/>
      <protection hidden="1"/>
    </xf>
    <xf numFmtId="0" fontId="10" fillId="33" borderId="0" xfId="0" applyFont="1" applyFill="1" applyAlignment="1" applyProtection="1">
      <alignment horizontal="center"/>
      <protection hidden="1"/>
    </xf>
    <xf numFmtId="0" fontId="3" fillId="33" borderId="31" xfId="0" applyFont="1" applyFill="1" applyBorder="1" applyAlignment="1" applyProtection="1">
      <alignment horizontal="center" wrapText="1"/>
      <protection hidden="1"/>
    </xf>
    <xf numFmtId="0" fontId="3" fillId="33" borderId="1" xfId="0" applyFont="1" applyFill="1" applyBorder="1" applyAlignment="1" applyProtection="1">
      <alignment horizontal="center" wrapText="1"/>
      <protection hidden="1"/>
    </xf>
    <xf numFmtId="0" fontId="27" fillId="33" borderId="31" xfId="0" applyFont="1" applyFill="1" applyBorder="1" applyAlignment="1" applyProtection="1">
      <alignment horizontal="center" vertical="top" wrapText="1"/>
      <protection hidden="1"/>
    </xf>
    <xf numFmtId="0" fontId="27" fillId="33" borderId="45" xfId="0" applyFont="1" applyFill="1" applyBorder="1" applyAlignment="1" applyProtection="1">
      <alignment horizontal="center" vertical="top" wrapText="1"/>
      <protection hidden="1"/>
    </xf>
    <xf numFmtId="0" fontId="364" fillId="24" borderId="35" xfId="0" applyFont="1" applyFill="1" applyBorder="1" applyAlignment="1">
      <alignment horizontal="center" vertical="center" wrapText="1"/>
    </xf>
    <xf numFmtId="0" fontId="364" fillId="24" borderId="37" xfId="0" applyFont="1" applyFill="1" applyBorder="1" applyAlignment="1">
      <alignment horizontal="center" vertical="center" wrapText="1"/>
    </xf>
    <xf numFmtId="0" fontId="364" fillId="24" borderId="34" xfId="0" applyFont="1" applyFill="1" applyBorder="1" applyAlignment="1">
      <alignment horizontal="center" vertical="center" wrapText="1"/>
    </xf>
    <xf numFmtId="0" fontId="364" fillId="24" borderId="0" xfId="0" applyFont="1" applyFill="1" applyAlignment="1">
      <alignment horizontal="center" vertical="center" wrapText="1"/>
    </xf>
    <xf numFmtId="0" fontId="364" fillId="24" borderId="38" xfId="0" applyFont="1" applyFill="1" applyBorder="1" applyAlignment="1">
      <alignment horizontal="center" vertical="center" wrapText="1"/>
    </xf>
    <xf numFmtId="0" fontId="364" fillId="24" borderId="39" xfId="0" applyFont="1" applyFill="1" applyBorder="1" applyAlignment="1">
      <alignment horizontal="center" vertical="center" wrapText="1"/>
    </xf>
    <xf numFmtId="0" fontId="27" fillId="33" borderId="65" xfId="0" applyFont="1" applyFill="1" applyBorder="1" applyAlignment="1" applyProtection="1">
      <alignment horizontal="center" vertical="top" wrapText="1"/>
      <protection hidden="1"/>
    </xf>
    <xf numFmtId="0" fontId="27" fillId="30" borderId="9" xfId="0" applyFont="1" applyFill="1" applyBorder="1" applyAlignment="1" applyProtection="1">
      <alignment horizontal="center" vertical="top" wrapText="1"/>
      <protection hidden="1"/>
    </xf>
    <xf numFmtId="0" fontId="205" fillId="57" borderId="1" xfId="0" applyFont="1" applyFill="1" applyBorder="1" applyAlignment="1" applyProtection="1">
      <alignment horizontal="center" vertical="center" wrapText="1" readingOrder="1"/>
      <protection hidden="1"/>
    </xf>
    <xf numFmtId="0" fontId="217" fillId="0" borderId="1" xfId="0" applyFont="1" applyBorder="1" applyAlignment="1" applyProtection="1">
      <alignment horizontal="center" vertical="center" wrapText="1"/>
      <protection hidden="1"/>
    </xf>
    <xf numFmtId="0" fontId="217" fillId="0" borderId="62" xfId="0" applyFont="1" applyBorder="1" applyAlignment="1" applyProtection="1">
      <alignment horizontal="center" vertical="center" wrapText="1"/>
      <protection hidden="1"/>
    </xf>
    <xf numFmtId="0" fontId="217" fillId="0" borderId="33" xfId="0" applyFont="1" applyBorder="1" applyAlignment="1" applyProtection="1">
      <alignment horizontal="center" vertical="center" wrapText="1"/>
      <protection hidden="1"/>
    </xf>
    <xf numFmtId="0" fontId="217" fillId="0" borderId="2" xfId="0" applyFont="1" applyBorder="1" applyAlignment="1" applyProtection="1">
      <alignment horizontal="center" vertical="center" wrapText="1"/>
      <protection hidden="1"/>
    </xf>
    <xf numFmtId="0" fontId="152" fillId="66" borderId="3" xfId="0" applyFont="1" applyFill="1" applyBorder="1" applyAlignment="1" applyProtection="1">
      <alignment horizontal="center" vertical="center" textRotation="90"/>
      <protection hidden="1"/>
    </xf>
    <xf numFmtId="0" fontId="152" fillId="66" borderId="0" xfId="0" applyFont="1" applyFill="1" applyAlignment="1" applyProtection="1">
      <alignment horizontal="center" vertical="center" textRotation="90"/>
      <protection hidden="1"/>
    </xf>
    <xf numFmtId="0" fontId="205" fillId="24" borderId="1" xfId="0" applyFont="1" applyFill="1" applyBorder="1" applyAlignment="1" applyProtection="1">
      <alignment horizontal="center" vertical="center" wrapText="1" readingOrder="1"/>
      <protection hidden="1"/>
    </xf>
    <xf numFmtId="0" fontId="144" fillId="23" borderId="33" xfId="0" applyFont="1" applyFill="1" applyBorder="1" applyAlignment="1" applyProtection="1">
      <alignment horizontal="center" vertical="center" wrapText="1" readingOrder="1"/>
      <protection hidden="1"/>
    </xf>
    <xf numFmtId="0" fontId="144" fillId="23" borderId="60" xfId="0" applyFont="1" applyFill="1" applyBorder="1" applyAlignment="1" applyProtection="1">
      <alignment horizontal="center" vertical="center" wrapText="1" readingOrder="1"/>
      <protection hidden="1"/>
    </xf>
    <xf numFmtId="0" fontId="144" fillId="23" borderId="7" xfId="0" applyFont="1" applyFill="1" applyBorder="1" applyAlignment="1" applyProtection="1">
      <alignment horizontal="center" vertical="center" wrapText="1" readingOrder="1"/>
      <protection hidden="1"/>
    </xf>
    <xf numFmtId="0" fontId="205" fillId="62" borderId="36" xfId="0" applyFont="1" applyFill="1" applyBorder="1" applyAlignment="1" applyProtection="1">
      <alignment horizontal="center" vertical="center" wrapText="1" readingOrder="1"/>
      <protection hidden="1"/>
    </xf>
    <xf numFmtId="0" fontId="205" fillId="62" borderId="0" xfId="0" applyFont="1" applyFill="1" applyAlignment="1" applyProtection="1">
      <alignment horizontal="center" vertical="center" wrapText="1" readingOrder="1"/>
      <protection hidden="1"/>
    </xf>
    <xf numFmtId="0" fontId="205" fillId="31" borderId="1" xfId="0" applyFont="1" applyFill="1" applyBorder="1" applyAlignment="1" applyProtection="1">
      <alignment horizontal="center" vertical="center" wrapText="1" readingOrder="1"/>
      <protection hidden="1"/>
    </xf>
    <xf numFmtId="0" fontId="144" fillId="23" borderId="1" xfId="0" applyFont="1" applyFill="1" applyBorder="1" applyAlignment="1" applyProtection="1">
      <alignment horizontal="center" vertical="center" wrapText="1" readingOrder="1"/>
      <protection hidden="1"/>
    </xf>
    <xf numFmtId="0" fontId="205" fillId="60" borderId="1" xfId="0" applyFont="1" applyFill="1" applyBorder="1" applyAlignment="1" applyProtection="1">
      <alignment horizontal="center" vertical="center" wrapText="1" readingOrder="1"/>
      <protection hidden="1"/>
    </xf>
    <xf numFmtId="0" fontId="206" fillId="41" borderId="1" xfId="0" applyFont="1" applyFill="1" applyBorder="1" applyAlignment="1" applyProtection="1">
      <alignment horizontal="center" wrapText="1" readingOrder="1"/>
      <protection hidden="1"/>
    </xf>
    <xf numFmtId="0" fontId="205" fillId="61" borderId="77" xfId="0" applyFont="1" applyFill="1" applyBorder="1" applyAlignment="1" applyProtection="1">
      <alignment horizontal="center" vertical="center" wrapText="1" readingOrder="1"/>
      <protection hidden="1"/>
    </xf>
    <xf numFmtId="0" fontId="205" fillId="61" borderId="0" xfId="0" applyFont="1" applyFill="1" applyAlignment="1" applyProtection="1">
      <alignment horizontal="center" vertical="center" wrapText="1" readingOrder="1"/>
      <protection hidden="1"/>
    </xf>
    <xf numFmtId="0" fontId="205" fillId="31" borderId="62" xfId="0" applyFont="1" applyFill="1" applyBorder="1" applyAlignment="1" applyProtection="1">
      <alignment horizontal="center" vertical="center" wrapText="1" readingOrder="1"/>
      <protection hidden="1"/>
    </xf>
    <xf numFmtId="0" fontId="205" fillId="31" borderId="18" xfId="0" applyFont="1" applyFill="1" applyBorder="1" applyAlignment="1" applyProtection="1">
      <alignment horizontal="center" vertical="center" wrapText="1" readingOrder="1"/>
      <protection hidden="1"/>
    </xf>
    <xf numFmtId="0" fontId="205" fillId="31" borderId="28" xfId="0" applyFont="1" applyFill="1" applyBorder="1" applyAlignment="1" applyProtection="1">
      <alignment horizontal="center" vertical="center" wrapText="1" readingOrder="1"/>
      <protection hidden="1"/>
    </xf>
    <xf numFmtId="0" fontId="35" fillId="0" borderId="12" xfId="0" applyFont="1" applyBorder="1" applyAlignment="1" applyProtection="1">
      <alignment horizontal="center" vertical="center" wrapText="1"/>
      <protection hidden="1"/>
    </xf>
    <xf numFmtId="0" fontId="35" fillId="0" borderId="80" xfId="0" applyFont="1" applyBorder="1" applyAlignment="1" applyProtection="1">
      <alignment horizontal="center" vertical="center" wrapText="1"/>
      <protection hidden="1"/>
    </xf>
    <xf numFmtId="0" fontId="205" fillId="56" borderId="35" xfId="0" applyFont="1" applyFill="1" applyBorder="1" applyAlignment="1" applyProtection="1">
      <alignment horizontal="center" vertical="center" wrapText="1" readingOrder="1"/>
      <protection hidden="1"/>
    </xf>
    <xf numFmtId="0" fontId="205" fillId="56" borderId="34" xfId="0" applyFont="1" applyFill="1" applyBorder="1" applyAlignment="1" applyProtection="1">
      <alignment horizontal="center" vertical="center" wrapText="1" readingOrder="1"/>
      <protection hidden="1"/>
    </xf>
    <xf numFmtId="0" fontId="205" fillId="56" borderId="38" xfId="0" applyFont="1" applyFill="1" applyBorder="1" applyAlignment="1" applyProtection="1">
      <alignment horizontal="center" vertical="center" wrapText="1" readingOrder="1"/>
      <protection hidden="1"/>
    </xf>
    <xf numFmtId="0" fontId="205" fillId="59" borderId="1" xfId="0" applyFont="1" applyFill="1" applyBorder="1" applyAlignment="1" applyProtection="1">
      <alignment horizontal="center" vertical="center" wrapText="1" readingOrder="1"/>
      <protection hidden="1"/>
    </xf>
    <xf numFmtId="0" fontId="206" fillId="41" borderId="1" xfId="0" applyFont="1" applyFill="1" applyBorder="1" applyAlignment="1" applyProtection="1">
      <alignment horizontal="center" vertical="center" wrapText="1" readingOrder="1"/>
      <protection hidden="1"/>
    </xf>
    <xf numFmtId="0" fontId="205" fillId="30" borderId="35" xfId="0" applyFont="1" applyFill="1" applyBorder="1" applyAlignment="1" applyProtection="1">
      <alignment horizontal="center" vertical="center" wrapText="1" readingOrder="1"/>
      <protection hidden="1"/>
    </xf>
    <xf numFmtId="0" fontId="205" fillId="30" borderId="34" xfId="0" applyFont="1" applyFill="1" applyBorder="1" applyAlignment="1" applyProtection="1">
      <alignment horizontal="center" vertical="center" wrapText="1" readingOrder="1"/>
      <protection hidden="1"/>
    </xf>
    <xf numFmtId="0" fontId="205" fillId="63" borderId="0" xfId="0" applyFont="1" applyFill="1" applyAlignment="1" applyProtection="1">
      <alignment horizontal="center" vertical="center" wrapText="1" readingOrder="1"/>
      <protection hidden="1"/>
    </xf>
    <xf numFmtId="0" fontId="12" fillId="0" borderId="63" xfId="0" applyFont="1" applyBorder="1" applyAlignment="1" applyProtection="1">
      <alignment horizontal="center" vertical="center" wrapText="1"/>
      <protection hidden="1"/>
    </xf>
    <xf numFmtId="0" fontId="12" fillId="0" borderId="73" xfId="0" applyFont="1" applyBorder="1" applyAlignment="1" applyProtection="1">
      <alignment horizontal="center" vertical="center" wrapText="1"/>
      <protection hidden="1"/>
    </xf>
    <xf numFmtId="0" fontId="12" fillId="0" borderId="58" xfId="0" applyFont="1" applyBorder="1" applyAlignment="1" applyProtection="1">
      <alignment horizontal="center" vertical="center" wrapText="1"/>
      <protection hidden="1"/>
    </xf>
    <xf numFmtId="1" fontId="17" fillId="32" borderId="66" xfId="0" applyNumberFormat="1" applyFont="1" applyFill="1" applyBorder="1" applyAlignment="1" applyProtection="1">
      <alignment horizontal="center" vertical="center" wrapText="1"/>
      <protection hidden="1"/>
    </xf>
    <xf numFmtId="1" fontId="17" fillId="32" borderId="14" xfId="0" applyNumberFormat="1" applyFont="1" applyFill="1" applyBorder="1" applyAlignment="1" applyProtection="1">
      <alignment horizontal="center" vertical="center" wrapText="1"/>
      <protection hidden="1"/>
    </xf>
    <xf numFmtId="1" fontId="17" fillId="32" borderId="15" xfId="0" applyNumberFormat="1" applyFont="1" applyFill="1" applyBorder="1" applyAlignment="1" applyProtection="1">
      <alignment horizontal="center" vertical="center" wrapText="1"/>
      <protection hidden="1"/>
    </xf>
    <xf numFmtId="0" fontId="17" fillId="32" borderId="63" xfId="0" applyFont="1" applyFill="1" applyBorder="1" applyAlignment="1" applyProtection="1">
      <alignment horizontal="center" vertical="center" wrapText="1"/>
      <protection hidden="1"/>
    </xf>
    <xf numFmtId="0" fontId="17" fillId="32" borderId="73" xfId="0" applyFont="1" applyFill="1" applyBorder="1" applyAlignment="1" applyProtection="1">
      <alignment horizontal="center" vertical="center" wrapText="1"/>
      <protection hidden="1"/>
    </xf>
    <xf numFmtId="0" fontId="17" fillId="32" borderId="58" xfId="0" applyFont="1" applyFill="1" applyBorder="1" applyAlignment="1" applyProtection="1">
      <alignment horizontal="center" vertical="center" wrapText="1"/>
      <protection hidden="1"/>
    </xf>
    <xf numFmtId="0" fontId="17" fillId="0" borderId="63" xfId="0" applyFont="1" applyBorder="1" applyAlignment="1" applyProtection="1">
      <alignment horizontal="center" vertical="center" wrapText="1"/>
      <protection hidden="1"/>
    </xf>
    <xf numFmtId="0" fontId="17" fillId="0" borderId="73" xfId="0" applyFont="1" applyBorder="1" applyAlignment="1" applyProtection="1">
      <alignment horizontal="center" vertical="center" wrapText="1"/>
      <protection hidden="1"/>
    </xf>
    <xf numFmtId="0" fontId="17" fillId="0" borderId="58" xfId="0" applyFont="1" applyBorder="1" applyAlignment="1" applyProtection="1">
      <alignment horizontal="center" vertical="center" wrapText="1"/>
      <protection hidden="1"/>
    </xf>
    <xf numFmtId="0" fontId="44" fillId="0" borderId="1" xfId="0" applyFont="1" applyBorder="1" applyAlignment="1">
      <alignment horizontal="center"/>
    </xf>
    <xf numFmtId="0" fontId="272" fillId="61" borderId="35" xfId="0" applyFont="1" applyFill="1" applyBorder="1" applyAlignment="1" applyProtection="1">
      <alignment horizontal="center" vertical="center" wrapText="1" readingOrder="1"/>
      <protection hidden="1"/>
    </xf>
    <xf numFmtId="0" fontId="272" fillId="61" borderId="34" xfId="0" applyFont="1" applyFill="1" applyBorder="1" applyAlignment="1" applyProtection="1">
      <alignment horizontal="center" vertical="center" wrapText="1" readingOrder="1"/>
      <protection hidden="1"/>
    </xf>
    <xf numFmtId="0" fontId="272" fillId="61" borderId="38" xfId="0" applyFont="1" applyFill="1" applyBorder="1" applyAlignment="1" applyProtection="1">
      <alignment horizontal="center" vertical="center" wrapText="1" readingOrder="1"/>
      <protection hidden="1"/>
    </xf>
    <xf numFmtId="0" fontId="226" fillId="62" borderId="62" xfId="0" applyFont="1" applyFill="1" applyBorder="1" applyAlignment="1" applyProtection="1">
      <alignment horizontal="center" vertical="center" wrapText="1" readingOrder="1"/>
      <protection hidden="1"/>
    </xf>
    <xf numFmtId="0" fontId="226" fillId="62" borderId="18" xfId="0" applyFont="1" applyFill="1" applyBorder="1" applyAlignment="1" applyProtection="1">
      <alignment horizontal="center" vertical="center" wrapText="1" readingOrder="1"/>
      <protection hidden="1"/>
    </xf>
    <xf numFmtId="0" fontId="226" fillId="62" borderId="28" xfId="0" applyFont="1" applyFill="1" applyBorder="1" applyAlignment="1" applyProtection="1">
      <alignment horizontal="center" vertical="center" wrapText="1" readingOrder="1"/>
      <protection hidden="1"/>
    </xf>
    <xf numFmtId="0" fontId="226" fillId="27" borderId="44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" xfId="0" applyFont="1" applyFill="1" applyBorder="1" applyAlignment="1" applyProtection="1">
      <alignment horizontal="center" vertical="center" wrapText="1" readingOrder="1"/>
      <protection hidden="1"/>
    </xf>
    <xf numFmtId="0" fontId="226" fillId="27" borderId="76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9" xfId="0" applyFont="1" applyFill="1" applyBorder="1" applyAlignment="1" applyProtection="1">
      <alignment horizontal="center" vertical="center" wrapText="1" readingOrder="1"/>
      <protection hidden="1"/>
    </xf>
    <xf numFmtId="0" fontId="226" fillId="61" borderId="24" xfId="0" applyFont="1" applyFill="1" applyBorder="1" applyAlignment="1" applyProtection="1">
      <alignment horizontal="center" vertical="center" wrapText="1" readingOrder="1"/>
      <protection hidden="1"/>
    </xf>
    <xf numFmtId="0" fontId="226" fillId="61" borderId="25" xfId="0" applyFont="1" applyFill="1" applyBorder="1" applyAlignment="1" applyProtection="1">
      <alignment horizontal="center" vertical="center" wrapText="1" readingOrder="1"/>
      <protection hidden="1"/>
    </xf>
    <xf numFmtId="0" fontId="226" fillId="61" borderId="26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" xfId="0" applyFont="1" applyFill="1" applyBorder="1" applyAlignment="1" applyProtection="1">
      <alignment horizontal="center" vertical="center" wrapText="1" readingOrder="1"/>
      <protection hidden="1"/>
    </xf>
    <xf numFmtId="0" fontId="221" fillId="33" borderId="0" xfId="0" applyFont="1" applyFill="1" applyAlignment="1" applyProtection="1">
      <alignment horizontal="center"/>
      <protection hidden="1"/>
    </xf>
    <xf numFmtId="0" fontId="231" fillId="52" borderId="0" xfId="0" applyFont="1" applyFill="1" applyAlignment="1" applyProtection="1">
      <alignment horizontal="center" wrapText="1"/>
      <protection hidden="1"/>
    </xf>
    <xf numFmtId="0" fontId="231" fillId="52" borderId="4" xfId="0" applyFont="1" applyFill="1" applyBorder="1" applyAlignment="1" applyProtection="1">
      <alignment horizontal="center" wrapText="1"/>
      <protection hidden="1"/>
    </xf>
    <xf numFmtId="0" fontId="196" fillId="0" borderId="71" xfId="0" applyFont="1" applyBorder="1" applyAlignment="1" applyProtection="1">
      <alignment horizontal="center" vertical="center" wrapText="1" readingOrder="1"/>
      <protection hidden="1"/>
    </xf>
    <xf numFmtId="0" fontId="196" fillId="0" borderId="73" xfId="0" applyFont="1" applyBorder="1" applyAlignment="1" applyProtection="1">
      <alignment horizontal="center" vertical="center" wrapText="1" readingOrder="1"/>
      <protection hidden="1"/>
    </xf>
    <xf numFmtId="0" fontId="238" fillId="0" borderId="36" xfId="0" applyFont="1" applyBorder="1" applyAlignment="1" applyProtection="1">
      <alignment horizontal="center" vertical="center" textRotation="90"/>
      <protection hidden="1"/>
    </xf>
    <xf numFmtId="0" fontId="238" fillId="0" borderId="0" xfId="0" applyFont="1" applyAlignment="1" applyProtection="1">
      <alignment horizontal="center" vertical="center" textRotation="90"/>
      <protection hidden="1"/>
    </xf>
    <xf numFmtId="0" fontId="238" fillId="0" borderId="39" xfId="0" applyFont="1" applyBorder="1" applyAlignment="1" applyProtection="1">
      <alignment horizontal="center" vertical="center" textRotation="90"/>
      <protection hidden="1"/>
    </xf>
    <xf numFmtId="0" fontId="190" fillId="0" borderId="71" xfId="0" applyFont="1" applyBorder="1" applyAlignment="1" applyProtection="1">
      <alignment horizontal="center" vertical="center" wrapText="1" readingOrder="1"/>
      <protection hidden="1"/>
    </xf>
    <xf numFmtId="0" fontId="190" fillId="0" borderId="73" xfId="0" applyFont="1" applyBorder="1" applyAlignment="1" applyProtection="1">
      <alignment horizontal="center" vertical="center" wrapText="1" readingOrder="1"/>
      <protection hidden="1"/>
    </xf>
    <xf numFmtId="0" fontId="190" fillId="0" borderId="58" xfId="0" applyFont="1" applyBorder="1" applyAlignment="1" applyProtection="1">
      <alignment horizontal="center" vertical="center" wrapText="1" readingOrder="1"/>
      <protection hidden="1"/>
    </xf>
    <xf numFmtId="0" fontId="196" fillId="0" borderId="14" xfId="0" applyFont="1" applyBorder="1" applyAlignment="1" applyProtection="1">
      <alignment horizontal="center" vertical="center" wrapText="1" readingOrder="1"/>
      <protection hidden="1"/>
    </xf>
    <xf numFmtId="0" fontId="301" fillId="0" borderId="73" xfId="0" applyFont="1" applyBorder="1" applyAlignment="1" applyProtection="1">
      <alignment horizontal="center" vertical="center" wrapText="1" readingOrder="1"/>
      <protection hidden="1"/>
    </xf>
    <xf numFmtId="0" fontId="301" fillId="0" borderId="58" xfId="0" applyFont="1" applyBorder="1" applyAlignment="1" applyProtection="1">
      <alignment horizontal="center" vertical="center" wrapText="1" readingOrder="1"/>
      <protection hidden="1"/>
    </xf>
    <xf numFmtId="0" fontId="238" fillId="0" borderId="81" xfId="0" applyFont="1" applyBorder="1" applyAlignment="1" applyProtection="1">
      <alignment horizontal="center" vertical="center" textRotation="90"/>
      <protection hidden="1"/>
    </xf>
    <xf numFmtId="0" fontId="113" fillId="0" borderId="79" xfId="0" applyFont="1" applyBorder="1" applyAlignment="1" applyProtection="1">
      <alignment horizontal="center" vertical="center" textRotation="90"/>
      <protection hidden="1"/>
    </xf>
    <xf numFmtId="0" fontId="113" fillId="0" borderId="70" xfId="0" applyFont="1" applyBorder="1" applyAlignment="1" applyProtection="1">
      <alignment horizontal="center" vertical="center" textRotation="90"/>
      <protection hidden="1"/>
    </xf>
    <xf numFmtId="0" fontId="113" fillId="0" borderId="8" xfId="0" applyFont="1" applyBorder="1" applyAlignment="1" applyProtection="1">
      <alignment horizontal="center" vertical="center" textRotation="90"/>
      <protection hidden="1"/>
    </xf>
    <xf numFmtId="0" fontId="229" fillId="0" borderId="24" xfId="0" applyFont="1" applyBorder="1" applyAlignment="1" applyProtection="1">
      <alignment horizontal="center" wrapText="1"/>
      <protection hidden="1"/>
    </xf>
    <xf numFmtId="0" fontId="229" fillId="0" borderId="25" xfId="0" applyFont="1" applyBorder="1" applyAlignment="1" applyProtection="1">
      <alignment horizontal="center" wrapText="1"/>
      <protection hidden="1"/>
    </xf>
    <xf numFmtId="0" fontId="229" fillId="0" borderId="26" xfId="0" applyFont="1" applyBorder="1" applyAlignment="1" applyProtection="1">
      <alignment horizontal="center" wrapText="1"/>
      <protection hidden="1"/>
    </xf>
    <xf numFmtId="0" fontId="283" fillId="0" borderId="108" xfId="0" applyFont="1" applyBorder="1" applyAlignment="1" applyProtection="1">
      <alignment horizontal="center" vertical="center" wrapText="1"/>
      <protection hidden="1"/>
    </xf>
    <xf numFmtId="0" fontId="283" fillId="0" borderId="109" xfId="0" applyFont="1" applyBorder="1" applyAlignment="1" applyProtection="1">
      <alignment horizontal="center" vertical="center" wrapText="1"/>
      <protection hidden="1"/>
    </xf>
    <xf numFmtId="0" fontId="283" fillId="0" borderId="118" xfId="0" applyFont="1" applyBorder="1" applyAlignment="1" applyProtection="1">
      <alignment horizontal="center" vertical="center" wrapText="1"/>
      <protection hidden="1"/>
    </xf>
    <xf numFmtId="0" fontId="246" fillId="0" borderId="129" xfId="0" applyFont="1" applyBorder="1" applyAlignment="1" applyProtection="1">
      <alignment horizontal="center" vertical="top" wrapText="1"/>
      <protection hidden="1"/>
    </xf>
    <xf numFmtId="0" fontId="246" fillId="0" borderId="125" xfId="0" applyFont="1" applyBorder="1" applyAlignment="1" applyProtection="1">
      <alignment horizontal="center" vertical="top" wrapText="1"/>
      <protection hidden="1"/>
    </xf>
    <xf numFmtId="0" fontId="246" fillId="0" borderId="130" xfId="0" applyFont="1" applyBorder="1" applyAlignment="1" applyProtection="1">
      <alignment horizontal="center" vertical="top" wrapText="1"/>
      <protection hidden="1"/>
    </xf>
    <xf numFmtId="0" fontId="50" fillId="27" borderId="37" xfId="0" applyFont="1" applyFill="1" applyBorder="1" applyAlignment="1" applyProtection="1">
      <alignment horizontal="center" wrapText="1"/>
      <protection hidden="1"/>
    </xf>
    <xf numFmtId="0" fontId="50" fillId="27" borderId="84" xfId="0" applyFont="1" applyFill="1" applyBorder="1" applyAlignment="1" applyProtection="1">
      <alignment horizontal="center" wrapText="1"/>
      <protection hidden="1"/>
    </xf>
    <xf numFmtId="0" fontId="246" fillId="27" borderId="17" xfId="0" applyFont="1" applyFill="1" applyBorder="1" applyAlignment="1" applyProtection="1">
      <alignment horizontal="center" vertical="top" wrapText="1"/>
      <protection hidden="1"/>
    </xf>
    <xf numFmtId="0" fontId="284" fillId="0" borderId="108" xfId="0" applyFont="1" applyBorder="1" applyAlignment="1" applyProtection="1">
      <alignment horizontal="center" vertical="center" wrapText="1"/>
      <protection hidden="1"/>
    </xf>
    <xf numFmtId="0" fontId="284" fillId="0" borderId="109" xfId="0" applyFont="1" applyBorder="1" applyAlignment="1" applyProtection="1">
      <alignment horizontal="center" vertical="center" wrapText="1"/>
      <protection hidden="1"/>
    </xf>
    <xf numFmtId="0" fontId="284" fillId="0" borderId="118" xfId="0" applyFont="1" applyBorder="1" applyAlignment="1" applyProtection="1">
      <alignment horizontal="center" vertical="center" wrapText="1"/>
      <protection hidden="1"/>
    </xf>
    <xf numFmtId="0" fontId="245" fillId="28" borderId="108" xfId="0" applyFont="1" applyFill="1" applyBorder="1" applyAlignment="1" applyProtection="1">
      <alignment horizontal="center" vertical="center" wrapText="1"/>
      <protection hidden="1"/>
    </xf>
    <xf numFmtId="0" fontId="245" fillId="28" borderId="109" xfId="0" applyFont="1" applyFill="1" applyBorder="1" applyAlignment="1" applyProtection="1">
      <alignment horizontal="center" vertical="center" wrapText="1"/>
      <protection hidden="1"/>
    </xf>
    <xf numFmtId="0" fontId="245" fillId="28" borderId="118" xfId="0" applyFont="1" applyFill="1" applyBorder="1" applyAlignment="1" applyProtection="1">
      <alignment horizontal="center" vertical="center" wrapText="1"/>
      <protection hidden="1"/>
    </xf>
    <xf numFmtId="0" fontId="245" fillId="0" borderId="108" xfId="0" applyFont="1" applyBorder="1" applyAlignment="1" applyProtection="1">
      <alignment horizontal="center" vertical="center" wrapText="1"/>
      <protection hidden="1"/>
    </xf>
    <xf numFmtId="0" fontId="245" fillId="0" borderId="109" xfId="0" applyFont="1" applyBorder="1" applyAlignment="1" applyProtection="1">
      <alignment horizontal="center" vertical="center" wrapText="1"/>
      <protection hidden="1"/>
    </xf>
    <xf numFmtId="0" fontId="245" fillId="0" borderId="110" xfId="0" applyFont="1" applyBorder="1" applyAlignment="1" applyProtection="1">
      <alignment horizontal="center" vertical="center" wrapText="1"/>
      <protection hidden="1"/>
    </xf>
    <xf numFmtId="0" fontId="273" fillId="42" borderId="3" xfId="0" applyFont="1" applyFill="1" applyBorder="1" applyAlignment="1" applyProtection="1">
      <alignment horizontal="center" vertical="center" wrapText="1" readingOrder="1"/>
      <protection hidden="1"/>
    </xf>
    <xf numFmtId="0" fontId="273" fillId="28" borderId="108" xfId="0" applyFont="1" applyFill="1" applyBorder="1" applyAlignment="1" applyProtection="1">
      <alignment horizontal="center" vertical="center" wrapText="1"/>
      <protection hidden="1"/>
    </xf>
    <xf numFmtId="0" fontId="273" fillId="28" borderId="109" xfId="0" applyFont="1" applyFill="1" applyBorder="1" applyAlignment="1" applyProtection="1">
      <alignment horizontal="center" vertical="center" wrapText="1"/>
      <protection hidden="1"/>
    </xf>
    <xf numFmtId="0" fontId="273" fillId="28" borderId="118" xfId="0" applyFont="1" applyFill="1" applyBorder="1" applyAlignment="1" applyProtection="1">
      <alignment horizontal="center" vertical="center" wrapText="1"/>
      <protection hidden="1"/>
    </xf>
    <xf numFmtId="0" fontId="246" fillId="0" borderId="2" xfId="0" applyFont="1" applyBorder="1" applyAlignment="1" applyProtection="1">
      <alignment horizontal="center" vertical="center" wrapText="1"/>
      <protection hidden="1"/>
    </xf>
    <xf numFmtId="0" fontId="246" fillId="0" borderId="5" xfId="0" applyFont="1" applyBorder="1" applyAlignment="1" applyProtection="1">
      <alignment horizontal="center" vertical="center" wrapText="1"/>
      <protection hidden="1"/>
    </xf>
    <xf numFmtId="0" fontId="246" fillId="0" borderId="24" xfId="0" applyFont="1" applyBorder="1" applyAlignment="1" applyProtection="1">
      <alignment horizontal="center" vertical="center" wrapText="1"/>
      <protection hidden="1"/>
    </xf>
    <xf numFmtId="0" fontId="82" fillId="0" borderId="37" xfId="0" applyFont="1" applyBorder="1" applyAlignment="1" applyProtection="1">
      <alignment horizontal="center"/>
      <protection hidden="1"/>
    </xf>
    <xf numFmtId="0" fontId="82" fillId="0" borderId="29" xfId="0" applyFont="1" applyBorder="1" applyAlignment="1" applyProtection="1">
      <alignment horizontal="center"/>
      <protection hidden="1"/>
    </xf>
    <xf numFmtId="0" fontId="82" fillId="0" borderId="40" xfId="0" applyFont="1" applyBorder="1" applyAlignment="1" applyProtection="1">
      <alignment horizontal="center"/>
      <protection hidden="1"/>
    </xf>
    <xf numFmtId="0" fontId="246" fillId="27" borderId="25" xfId="0" applyFont="1" applyFill="1" applyBorder="1" applyAlignment="1" applyProtection="1">
      <alignment horizontal="center" vertical="top" wrapText="1"/>
      <protection hidden="1"/>
    </xf>
    <xf numFmtId="0" fontId="246" fillId="27" borderId="26" xfId="0" applyFont="1" applyFill="1" applyBorder="1" applyAlignment="1" applyProtection="1">
      <alignment horizontal="center" vertical="top" wrapText="1"/>
      <protection hidden="1"/>
    </xf>
    <xf numFmtId="0" fontId="229" fillId="0" borderId="13" xfId="0" applyFont="1" applyBorder="1" applyAlignment="1" applyProtection="1">
      <alignment horizontal="center" vertical="top" wrapText="1"/>
      <protection hidden="1"/>
    </xf>
    <xf numFmtId="0" fontId="236" fillId="27" borderId="63" xfId="0" applyFont="1" applyFill="1" applyBorder="1" applyAlignment="1" applyProtection="1">
      <alignment horizontal="center" vertical="center" wrapText="1"/>
      <protection hidden="1"/>
    </xf>
    <xf numFmtId="0" fontId="236" fillId="27" borderId="73" xfId="0" applyFont="1" applyFill="1" applyBorder="1" applyAlignment="1" applyProtection="1">
      <alignment horizontal="center" vertical="center" wrapText="1"/>
      <protection hidden="1"/>
    </xf>
    <xf numFmtId="0" fontId="236" fillId="27" borderId="58" xfId="0" applyFont="1" applyFill="1" applyBorder="1" applyAlignment="1" applyProtection="1">
      <alignment horizontal="center" vertical="center" wrapText="1"/>
      <protection hidden="1"/>
    </xf>
    <xf numFmtId="0" fontId="229" fillId="0" borderId="63" xfId="0" applyFont="1" applyBorder="1" applyAlignment="1" applyProtection="1">
      <alignment horizontal="center" vertical="top" wrapText="1"/>
      <protection hidden="1"/>
    </xf>
    <xf numFmtId="0" fontId="229" fillId="0" borderId="73" xfId="0" applyFont="1" applyBorder="1" applyAlignment="1" applyProtection="1">
      <alignment horizontal="center" vertical="top" wrapText="1"/>
      <protection hidden="1"/>
    </xf>
    <xf numFmtId="0" fontId="229" fillId="0" borderId="58" xfId="0" applyFont="1" applyBorder="1" applyAlignment="1" applyProtection="1">
      <alignment horizontal="center" vertical="top" wrapText="1"/>
      <protection hidden="1"/>
    </xf>
    <xf numFmtId="0" fontId="285" fillId="0" borderId="108" xfId="0" applyFont="1" applyBorder="1" applyAlignment="1" applyProtection="1">
      <alignment horizontal="center" vertical="center" wrapText="1"/>
      <protection hidden="1"/>
    </xf>
    <xf numFmtId="0" fontId="285" fillId="0" borderId="109" xfId="0" applyFont="1" applyBorder="1" applyAlignment="1" applyProtection="1">
      <alignment horizontal="center" vertical="center" wrapText="1"/>
      <protection hidden="1"/>
    </xf>
    <xf numFmtId="0" fontId="285" fillId="0" borderId="127" xfId="0" applyFont="1" applyBorder="1" applyAlignment="1" applyProtection="1">
      <alignment horizontal="center" vertical="center" wrapText="1"/>
      <protection hidden="1"/>
    </xf>
    <xf numFmtId="0" fontId="285" fillId="0" borderId="128" xfId="0" applyFont="1" applyBorder="1" applyAlignment="1" applyProtection="1">
      <alignment horizontal="center" vertical="center" wrapText="1"/>
      <protection hidden="1"/>
    </xf>
    <xf numFmtId="0" fontId="299" fillId="0" borderId="2" xfId="0" applyFont="1" applyBorder="1" applyAlignment="1" applyProtection="1">
      <alignment horizontal="center" vertical="center" wrapText="1"/>
      <protection hidden="1"/>
    </xf>
    <xf numFmtId="0" fontId="299" fillId="0" borderId="3" xfId="0" applyFont="1" applyBorder="1" applyAlignment="1" applyProtection="1">
      <alignment horizontal="center" vertical="center" wrapText="1"/>
      <protection hidden="1"/>
    </xf>
    <xf numFmtId="0" fontId="299" fillId="0" borderId="5" xfId="0" applyFont="1" applyBorder="1" applyAlignment="1" applyProtection="1">
      <alignment horizontal="center" vertical="center" wrapText="1"/>
      <protection hidden="1"/>
    </xf>
    <xf numFmtId="0" fontId="299" fillId="0" borderId="0" xfId="0" applyFont="1" applyAlignment="1" applyProtection="1">
      <alignment horizontal="center" vertical="center" wrapText="1"/>
      <protection hidden="1"/>
    </xf>
    <xf numFmtId="0" fontId="299" fillId="0" borderId="24" xfId="0" applyFont="1" applyBorder="1" applyAlignment="1" applyProtection="1">
      <alignment horizontal="center" vertical="center" wrapText="1"/>
      <protection hidden="1"/>
    </xf>
    <xf numFmtId="0" fontId="299" fillId="0" borderId="25" xfId="0" applyFont="1" applyBorder="1" applyAlignment="1" applyProtection="1">
      <alignment horizontal="center" vertical="center" wrapText="1"/>
      <protection hidden="1"/>
    </xf>
    <xf numFmtId="0" fontId="50" fillId="27" borderId="85" xfId="0" applyFont="1" applyFill="1" applyBorder="1" applyAlignment="1" applyProtection="1">
      <alignment horizontal="center" wrapText="1"/>
      <protection hidden="1"/>
    </xf>
    <xf numFmtId="0" fontId="50" fillId="27" borderId="27" xfId="0" applyFont="1" applyFill="1" applyBorder="1" applyAlignment="1" applyProtection="1">
      <alignment horizontal="center" wrapText="1"/>
      <protection hidden="1"/>
    </xf>
    <xf numFmtId="0" fontId="50" fillId="27" borderId="79" xfId="0" applyFont="1" applyFill="1" applyBorder="1" applyAlignment="1" applyProtection="1">
      <alignment horizontal="center" wrapText="1"/>
      <protection hidden="1"/>
    </xf>
    <xf numFmtId="0" fontId="50" fillId="27" borderId="75" xfId="0" applyFont="1" applyFill="1" applyBorder="1" applyAlignment="1" applyProtection="1">
      <alignment horizontal="center" wrapText="1"/>
      <protection hidden="1"/>
    </xf>
    <xf numFmtId="0" fontId="246" fillId="0" borderId="124" xfId="0" applyFont="1" applyBorder="1" applyAlignment="1" applyProtection="1">
      <alignment horizontal="center" vertical="top" wrapText="1"/>
      <protection hidden="1"/>
    </xf>
    <xf numFmtId="0" fontId="246" fillId="0" borderId="126" xfId="0" applyFont="1" applyBorder="1" applyAlignment="1" applyProtection="1">
      <alignment horizontal="center" vertical="top" wrapText="1"/>
      <protection hidden="1"/>
    </xf>
    <xf numFmtId="0" fontId="286" fillId="28" borderId="108" xfId="0" applyFont="1" applyFill="1" applyBorder="1" applyAlignment="1" applyProtection="1">
      <alignment horizontal="center" vertical="center" wrapText="1"/>
      <protection hidden="1"/>
    </xf>
    <xf numFmtId="0" fontId="286" fillId="28" borderId="109" xfId="0" applyFont="1" applyFill="1" applyBorder="1" applyAlignment="1" applyProtection="1">
      <alignment horizontal="center" vertical="center" wrapText="1"/>
      <protection hidden="1"/>
    </xf>
    <xf numFmtId="0" fontId="286" fillId="28" borderId="118" xfId="0" applyFont="1" applyFill="1" applyBorder="1" applyAlignment="1" applyProtection="1">
      <alignment horizontal="center" vertical="center" wrapText="1"/>
      <protection hidden="1"/>
    </xf>
    <xf numFmtId="0" fontId="273" fillId="42" borderId="62" xfId="0" applyFont="1" applyFill="1" applyBorder="1" applyAlignment="1" applyProtection="1">
      <alignment horizontal="center" vertical="center" wrapText="1" readingOrder="1"/>
      <protection hidden="1"/>
    </xf>
    <xf numFmtId="0" fontId="273" fillId="42" borderId="18" xfId="0" applyFont="1" applyFill="1" applyBorder="1" applyAlignment="1" applyProtection="1">
      <alignment horizontal="center" vertical="center" wrapText="1" readingOrder="1"/>
      <protection hidden="1"/>
    </xf>
    <xf numFmtId="0" fontId="273" fillId="42" borderId="28" xfId="0" applyFont="1" applyFill="1" applyBorder="1" applyAlignment="1" applyProtection="1">
      <alignment horizontal="center" vertical="center" wrapText="1" readingOrder="1"/>
      <protection hidden="1"/>
    </xf>
    <xf numFmtId="0" fontId="50" fillId="27" borderId="76" xfId="0" applyFont="1" applyFill="1" applyBorder="1" applyAlignment="1" applyProtection="1">
      <alignment horizontal="center" wrapText="1"/>
      <protection hidden="1"/>
    </xf>
    <xf numFmtId="0" fontId="273" fillId="28" borderId="110" xfId="0" applyFont="1" applyFill="1" applyBorder="1" applyAlignment="1" applyProtection="1">
      <alignment horizontal="center" vertical="center" wrapText="1"/>
      <protection hidden="1"/>
    </xf>
    <xf numFmtId="0" fontId="245" fillId="27" borderId="35" xfId="0" applyFont="1" applyFill="1" applyBorder="1" applyAlignment="1" applyProtection="1">
      <alignment horizontal="center" vertical="center" wrapText="1"/>
      <protection hidden="1"/>
    </xf>
    <xf numFmtId="0" fontId="245" fillId="27" borderId="36" xfId="0" applyFont="1" applyFill="1" applyBorder="1" applyAlignment="1" applyProtection="1">
      <alignment horizontal="center" vertical="center" wrapText="1"/>
      <protection hidden="1"/>
    </xf>
    <xf numFmtId="0" fontId="245" fillId="27" borderId="37" xfId="0" applyFont="1" applyFill="1" applyBorder="1" applyAlignment="1" applyProtection="1">
      <alignment horizontal="center" vertical="center" wrapText="1"/>
      <protection hidden="1"/>
    </xf>
    <xf numFmtId="0" fontId="245" fillId="27" borderId="34" xfId="0" applyFont="1" applyFill="1" applyBorder="1" applyAlignment="1" applyProtection="1">
      <alignment horizontal="center" vertical="center" wrapText="1"/>
      <protection hidden="1"/>
    </xf>
    <xf numFmtId="0" fontId="245" fillId="27" borderId="0" xfId="0" applyFont="1" applyFill="1" applyAlignment="1" applyProtection="1">
      <alignment horizontal="center" vertical="center" wrapText="1"/>
      <protection hidden="1"/>
    </xf>
    <xf numFmtId="0" fontId="245" fillId="27" borderId="29" xfId="0" applyFont="1" applyFill="1" applyBorder="1" applyAlignment="1" applyProtection="1">
      <alignment horizontal="center" vertical="center" wrapText="1"/>
      <protection hidden="1"/>
    </xf>
    <xf numFmtId="0" fontId="245" fillId="27" borderId="38" xfId="0" applyFont="1" applyFill="1" applyBorder="1" applyAlignment="1" applyProtection="1">
      <alignment horizontal="center" vertical="center" wrapText="1"/>
      <protection hidden="1"/>
    </xf>
    <xf numFmtId="0" fontId="245" fillId="27" borderId="39" xfId="0" applyFont="1" applyFill="1" applyBorder="1" applyAlignment="1" applyProtection="1">
      <alignment horizontal="center" vertical="center" wrapText="1"/>
      <protection hidden="1"/>
    </xf>
    <xf numFmtId="0" fontId="245" fillId="27" borderId="40" xfId="0" applyFont="1" applyFill="1" applyBorder="1" applyAlignment="1" applyProtection="1">
      <alignment horizontal="center" vertical="center" wrapText="1"/>
      <protection hidden="1"/>
    </xf>
    <xf numFmtId="0" fontId="243" fillId="27" borderId="85" xfId="0" applyFont="1" applyFill="1" applyBorder="1" applyAlignment="1" applyProtection="1">
      <alignment horizontal="center" vertical="center" wrapText="1" readingOrder="1"/>
      <protection hidden="1"/>
    </xf>
    <xf numFmtId="0" fontId="243" fillId="27" borderId="90" xfId="0" applyFont="1" applyFill="1" applyBorder="1" applyAlignment="1" applyProtection="1">
      <alignment horizontal="center" vertical="center" wrapText="1" readingOrder="1"/>
      <protection hidden="1"/>
    </xf>
    <xf numFmtId="0" fontId="244" fillId="29" borderId="44" xfId="0" applyFont="1" applyFill="1" applyBorder="1" applyAlignment="1" applyProtection="1">
      <alignment horizontal="center" vertical="center" wrapText="1" readingOrder="1"/>
      <protection hidden="1"/>
    </xf>
    <xf numFmtId="0" fontId="244" fillId="29" borderId="3" xfId="0" applyFont="1" applyFill="1" applyBorder="1" applyAlignment="1" applyProtection="1">
      <alignment horizontal="center" vertical="center" wrapText="1" readingOrder="1"/>
      <protection hidden="1"/>
    </xf>
    <xf numFmtId="0" fontId="244" fillId="29" borderId="43" xfId="0" applyFont="1" applyFill="1" applyBorder="1" applyAlignment="1" applyProtection="1">
      <alignment horizontal="center" vertical="center" wrapText="1" readingOrder="1"/>
      <protection hidden="1"/>
    </xf>
    <xf numFmtId="0" fontId="244" fillId="29" borderId="25" xfId="0" applyFont="1" applyFill="1" applyBorder="1" applyAlignment="1" applyProtection="1">
      <alignment horizontal="center" vertical="center" wrapText="1" readingOrder="1"/>
      <protection hidden="1"/>
    </xf>
    <xf numFmtId="0" fontId="50" fillId="27" borderId="11" xfId="0" applyFont="1" applyFill="1" applyBorder="1" applyAlignment="1" applyProtection="1">
      <alignment horizontal="center" wrapText="1"/>
      <protection hidden="1"/>
    </xf>
    <xf numFmtId="0" fontId="251" fillId="30" borderId="35" xfId="0" applyFont="1" applyFill="1" applyBorder="1" applyAlignment="1" applyProtection="1">
      <alignment horizontal="center" vertical="center" wrapText="1"/>
      <protection hidden="1"/>
    </xf>
    <xf numFmtId="0" fontId="251" fillId="30" borderId="36" xfId="0" applyFont="1" applyFill="1" applyBorder="1" applyAlignment="1" applyProtection="1">
      <alignment horizontal="center" vertical="center" wrapText="1"/>
      <protection hidden="1"/>
    </xf>
    <xf numFmtId="0" fontId="251" fillId="30" borderId="77" xfId="0" applyFont="1" applyFill="1" applyBorder="1" applyAlignment="1" applyProtection="1">
      <alignment horizontal="center" vertical="center" wrapText="1"/>
      <protection hidden="1"/>
    </xf>
    <xf numFmtId="0" fontId="251" fillId="30" borderId="34" xfId="0" applyFont="1" applyFill="1" applyBorder="1" applyAlignment="1" applyProtection="1">
      <alignment horizontal="center" vertical="center" wrapText="1"/>
      <protection hidden="1"/>
    </xf>
    <xf numFmtId="0" fontId="251" fillId="30" borderId="0" xfId="0" applyFont="1" applyFill="1" applyAlignment="1" applyProtection="1">
      <alignment horizontal="center" vertical="center" wrapText="1"/>
      <protection hidden="1"/>
    </xf>
    <xf numFmtId="0" fontId="251" fillId="30" borderId="4" xfId="0" applyFont="1" applyFill="1" applyBorder="1" applyAlignment="1" applyProtection="1">
      <alignment horizontal="center" vertical="center" wrapText="1"/>
      <protection hidden="1"/>
    </xf>
    <xf numFmtId="0" fontId="251" fillId="30" borderId="38" xfId="0" applyFont="1" applyFill="1" applyBorder="1" applyAlignment="1" applyProtection="1">
      <alignment horizontal="center" vertical="center" wrapText="1"/>
      <protection hidden="1"/>
    </xf>
    <xf numFmtId="0" fontId="251" fillId="30" borderId="39" xfId="0" applyFont="1" applyFill="1" applyBorder="1" applyAlignment="1" applyProtection="1">
      <alignment horizontal="center" vertical="center" wrapText="1"/>
      <protection hidden="1"/>
    </xf>
    <xf numFmtId="0" fontId="251" fillId="30" borderId="72" xfId="0" applyFont="1" applyFill="1" applyBorder="1" applyAlignment="1" applyProtection="1">
      <alignment horizontal="center" vertical="center" wrapText="1"/>
      <protection hidden="1"/>
    </xf>
    <xf numFmtId="0" fontId="244" fillId="26" borderId="121" xfId="0" applyFont="1" applyFill="1" applyBorder="1" applyAlignment="1" applyProtection="1">
      <alignment horizontal="center" vertical="center" wrapText="1" readingOrder="1"/>
      <protection hidden="1"/>
    </xf>
    <xf numFmtId="0" fontId="226" fillId="27" borderId="17" xfId="0" applyFont="1" applyFill="1" applyBorder="1" applyAlignment="1" applyProtection="1">
      <alignment horizontal="center" vertical="center" wrapText="1" readingOrder="1"/>
      <protection hidden="1"/>
    </xf>
    <xf numFmtId="0" fontId="226" fillId="27" borderId="18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8" xfId="0" applyFont="1" applyFill="1" applyBorder="1" applyAlignment="1" applyProtection="1">
      <alignment horizontal="center" vertical="center" wrapText="1" readingOrder="1"/>
      <protection hidden="1"/>
    </xf>
    <xf numFmtId="0" fontId="243" fillId="36" borderId="44" xfId="0" applyFont="1" applyFill="1" applyBorder="1" applyAlignment="1" applyProtection="1">
      <alignment horizontal="center" vertical="center" wrapText="1" readingOrder="1"/>
      <protection hidden="1"/>
    </xf>
    <xf numFmtId="0" fontId="243" fillId="36" borderId="3" xfId="0" applyFont="1" applyFill="1" applyBorder="1" applyAlignment="1" applyProtection="1">
      <alignment horizontal="center" vertical="center" wrapText="1" readingOrder="1"/>
      <protection hidden="1"/>
    </xf>
    <xf numFmtId="0" fontId="243" fillId="36" borderId="76" xfId="0" applyFont="1" applyFill="1" applyBorder="1" applyAlignment="1" applyProtection="1">
      <alignment horizontal="center" vertical="center" wrapText="1" readingOrder="1"/>
      <protection hidden="1"/>
    </xf>
    <xf numFmtId="0" fontId="243" fillId="36" borderId="34" xfId="0" applyFont="1" applyFill="1" applyBorder="1" applyAlignment="1" applyProtection="1">
      <alignment horizontal="center" vertical="center" wrapText="1" readingOrder="1"/>
      <protection hidden="1"/>
    </xf>
    <xf numFmtId="0" fontId="243" fillId="36" borderId="0" xfId="0" applyFont="1" applyFill="1" applyAlignment="1" applyProtection="1">
      <alignment horizontal="center" vertical="center" wrapText="1" readingOrder="1"/>
      <protection hidden="1"/>
    </xf>
    <xf numFmtId="0" fontId="243" fillId="36" borderId="29" xfId="0" applyFont="1" applyFill="1" applyBorder="1" applyAlignment="1" applyProtection="1">
      <alignment horizontal="center" vertical="center" wrapText="1" readingOrder="1"/>
      <protection hidden="1"/>
    </xf>
    <xf numFmtId="0" fontId="226" fillId="63" borderId="3" xfId="0" applyFont="1" applyFill="1" applyBorder="1" applyAlignment="1" applyProtection="1">
      <alignment horizontal="center" vertical="center" wrapText="1" readingOrder="1"/>
      <protection hidden="1"/>
    </xf>
    <xf numFmtId="0" fontId="226" fillId="63" borderId="11" xfId="0" applyFont="1" applyFill="1" applyBorder="1" applyAlignment="1" applyProtection="1">
      <alignment horizontal="center" vertical="center" wrapText="1" readingOrder="1"/>
      <protection hidden="1"/>
    </xf>
    <xf numFmtId="0" fontId="226" fillId="27" borderId="43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5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6" xfId="0" applyFont="1" applyFill="1" applyBorder="1" applyAlignment="1" applyProtection="1">
      <alignment horizontal="center" vertical="center" wrapText="1" readingOrder="1"/>
      <protection hidden="1"/>
    </xf>
    <xf numFmtId="0" fontId="231" fillId="27" borderId="2" xfId="0" applyFont="1" applyFill="1" applyBorder="1" applyAlignment="1" applyProtection="1">
      <alignment horizontal="center" wrapText="1"/>
      <protection hidden="1"/>
    </xf>
    <xf numFmtId="0" fontId="231" fillId="27" borderId="24" xfId="0" applyFont="1" applyFill="1" applyBorder="1" applyAlignment="1" applyProtection="1">
      <alignment horizontal="center" wrapText="1"/>
      <protection hidden="1"/>
    </xf>
    <xf numFmtId="0" fontId="226" fillId="27" borderId="85" xfId="0" applyFont="1" applyFill="1" applyBorder="1" applyAlignment="1" applyProtection="1">
      <alignment horizontal="center" vertical="center" wrapText="1" readingOrder="1"/>
      <protection hidden="1"/>
    </xf>
    <xf numFmtId="0" fontId="226" fillId="27" borderId="81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7" xfId="0" applyFont="1" applyFill="1" applyBorder="1" applyAlignment="1" applyProtection="1">
      <alignment horizontal="center" vertical="center" wrapText="1" readingOrder="1"/>
      <protection hidden="1"/>
    </xf>
    <xf numFmtId="0" fontId="243" fillId="28" borderId="28" xfId="0" applyFont="1" applyFill="1" applyBorder="1" applyAlignment="1" applyProtection="1">
      <alignment horizontal="center" vertical="center" wrapText="1" readingOrder="1"/>
      <protection hidden="1"/>
    </xf>
    <xf numFmtId="0" fontId="243" fillId="31" borderId="28" xfId="0" applyFont="1" applyFill="1" applyBorder="1" applyAlignment="1" applyProtection="1">
      <alignment horizontal="center" vertical="center" wrapText="1" readingOrder="1"/>
      <protection hidden="1"/>
    </xf>
    <xf numFmtId="0" fontId="243" fillId="67" borderId="28" xfId="0" applyFont="1" applyFill="1" applyBorder="1" applyAlignment="1" applyProtection="1">
      <alignment horizontal="center" vertical="center" wrapText="1" readingOrder="1"/>
      <protection hidden="1"/>
    </xf>
    <xf numFmtId="0" fontId="231" fillId="0" borderId="62" xfId="0" applyFont="1" applyBorder="1" applyAlignment="1" applyProtection="1">
      <alignment horizontal="center"/>
      <protection hidden="1"/>
    </xf>
    <xf numFmtId="0" fontId="233" fillId="0" borderId="35" xfId="0" applyFont="1" applyBorder="1" applyAlignment="1" applyProtection="1">
      <alignment horizontal="center" wrapText="1"/>
      <protection hidden="1"/>
    </xf>
    <xf numFmtId="0" fontId="233" fillId="0" borderId="36" xfId="0" applyFont="1" applyBorder="1" applyAlignment="1" applyProtection="1">
      <alignment horizontal="center" wrapText="1"/>
      <protection hidden="1"/>
    </xf>
    <xf numFmtId="0" fontId="233" fillId="0" borderId="37" xfId="0" applyFont="1" applyBorder="1" applyAlignment="1" applyProtection="1">
      <alignment horizontal="center" wrapText="1"/>
      <protection hidden="1"/>
    </xf>
    <xf numFmtId="0" fontId="233" fillId="0" borderId="38" xfId="0" applyFont="1" applyBorder="1" applyAlignment="1" applyProtection="1">
      <alignment horizontal="center" wrapText="1"/>
      <protection hidden="1"/>
    </xf>
    <xf numFmtId="0" fontId="233" fillId="0" borderId="39" xfId="0" applyFont="1" applyBorder="1" applyAlignment="1" applyProtection="1">
      <alignment horizontal="center" wrapText="1"/>
      <protection hidden="1"/>
    </xf>
    <xf numFmtId="0" fontId="233" fillId="0" borderId="40" xfId="0" applyFont="1" applyBorder="1" applyAlignment="1" applyProtection="1">
      <alignment horizontal="center" wrapText="1"/>
      <protection hidden="1"/>
    </xf>
    <xf numFmtId="0" fontId="243" fillId="67" borderId="68" xfId="0" applyFont="1" applyFill="1" applyBorder="1" applyAlignment="1" applyProtection="1">
      <alignment horizontal="center" vertical="center" wrapText="1" readingOrder="1"/>
      <protection hidden="1"/>
    </xf>
    <xf numFmtId="0" fontId="243" fillId="67" borderId="23" xfId="0" applyFont="1" applyFill="1" applyBorder="1" applyAlignment="1" applyProtection="1">
      <alignment horizontal="center" vertical="center" wrapText="1" readingOrder="1"/>
      <protection hidden="1"/>
    </xf>
    <xf numFmtId="0" fontId="226" fillId="56" borderId="62" xfId="0" applyFont="1" applyFill="1" applyBorder="1" applyAlignment="1" applyProtection="1">
      <alignment horizontal="center" vertical="center" wrapText="1" readingOrder="1"/>
      <protection hidden="1"/>
    </xf>
    <xf numFmtId="0" fontId="226" fillId="56" borderId="18" xfId="0" applyFont="1" applyFill="1" applyBorder="1" applyAlignment="1" applyProtection="1">
      <alignment horizontal="center" vertical="center" wrapText="1" readingOrder="1"/>
      <protection hidden="1"/>
    </xf>
    <xf numFmtId="0" fontId="226" fillId="56" borderId="28" xfId="0" applyFont="1" applyFill="1" applyBorder="1" applyAlignment="1" applyProtection="1">
      <alignment horizontal="center" vertical="center" wrapText="1" readingOrder="1"/>
      <protection hidden="1"/>
    </xf>
    <xf numFmtId="0" fontId="233" fillId="0" borderId="0" xfId="0" applyFont="1" applyAlignment="1" applyProtection="1">
      <alignment horizontal="center" wrapText="1"/>
      <protection hidden="1"/>
    </xf>
    <xf numFmtId="0" fontId="233" fillId="0" borderId="29" xfId="0" applyFont="1" applyBorder="1" applyAlignment="1" applyProtection="1">
      <alignment horizontal="center" wrapText="1"/>
      <protection hidden="1"/>
    </xf>
    <xf numFmtId="0" fontId="231" fillId="0" borderId="81" xfId="0" applyFont="1" applyBorder="1" applyAlignment="1" applyProtection="1">
      <alignment horizontal="center" wrapText="1"/>
      <protection hidden="1"/>
    </xf>
    <xf numFmtId="0" fontId="243" fillId="28" borderId="71" xfId="0" applyFont="1" applyFill="1" applyBorder="1" applyAlignment="1" applyProtection="1">
      <alignment horizontal="center" vertical="center" wrapText="1" readingOrder="1"/>
      <protection hidden="1"/>
    </xf>
    <xf numFmtId="0" fontId="243" fillId="28" borderId="58" xfId="0" applyFont="1" applyFill="1" applyBorder="1" applyAlignment="1" applyProtection="1">
      <alignment horizontal="center" vertical="center" wrapText="1" readingOrder="1"/>
      <protection hidden="1"/>
    </xf>
    <xf numFmtId="0" fontId="243" fillId="31" borderId="66" xfId="0" applyFont="1" applyFill="1" applyBorder="1" applyAlignment="1" applyProtection="1">
      <alignment horizontal="center" vertical="center" wrapText="1" readingOrder="1"/>
      <protection hidden="1"/>
    </xf>
    <xf numFmtId="0" fontId="243" fillId="31" borderId="15" xfId="0" applyFont="1" applyFill="1" applyBorder="1" applyAlignment="1" applyProtection="1">
      <alignment horizontal="center" vertical="center" wrapText="1" readingOrder="1"/>
      <protection hidden="1"/>
    </xf>
    <xf numFmtId="0" fontId="243" fillId="67" borderId="66" xfId="0" applyFont="1" applyFill="1" applyBorder="1" applyAlignment="1" applyProtection="1">
      <alignment horizontal="center" vertical="center" wrapText="1" readingOrder="1"/>
      <protection hidden="1"/>
    </xf>
    <xf numFmtId="0" fontId="243" fillId="67" borderId="15" xfId="0" applyFont="1" applyFill="1" applyBorder="1" applyAlignment="1" applyProtection="1">
      <alignment horizontal="center" vertical="center" wrapText="1" readingOrder="1"/>
      <protection hidden="1"/>
    </xf>
    <xf numFmtId="0" fontId="190" fillId="41" borderId="86" xfId="0" applyFont="1" applyFill="1" applyBorder="1" applyAlignment="1" applyProtection="1">
      <alignment horizontal="center" vertical="center" wrapText="1" readingOrder="1"/>
      <protection hidden="1"/>
    </xf>
    <xf numFmtId="0" fontId="190" fillId="41" borderId="39" xfId="0" applyFont="1" applyFill="1" applyBorder="1" applyAlignment="1" applyProtection="1">
      <alignment horizontal="center" vertical="center" wrapText="1" readingOrder="1"/>
      <protection hidden="1"/>
    </xf>
    <xf numFmtId="0" fontId="226" fillId="27" borderId="68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2" xfId="0" applyFont="1" applyFill="1" applyBorder="1" applyAlignment="1" applyProtection="1">
      <alignment horizontal="center" vertical="center" wrapText="1" readingOrder="1"/>
      <protection hidden="1"/>
    </xf>
    <xf numFmtId="0" fontId="226" fillId="27" borderId="23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5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6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7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8" xfId="0" applyFont="1" applyFill="1" applyBorder="1" applyAlignment="1" applyProtection="1">
      <alignment horizontal="center" vertical="center" wrapText="1" readingOrder="1"/>
      <protection hidden="1"/>
    </xf>
    <xf numFmtId="0" fontId="226" fillId="27" borderId="39" xfId="0" applyFont="1" applyFill="1" applyBorder="1" applyAlignment="1" applyProtection="1">
      <alignment horizontal="center" vertical="center" wrapText="1" readingOrder="1"/>
      <protection hidden="1"/>
    </xf>
    <xf numFmtId="0" fontId="226" fillId="27" borderId="40" xfId="0" applyFont="1" applyFill="1" applyBorder="1" applyAlignment="1" applyProtection="1">
      <alignment horizontal="center" vertical="center" wrapText="1" readingOrder="1"/>
      <protection hidden="1"/>
    </xf>
    <xf numFmtId="0" fontId="233" fillId="0" borderId="34" xfId="0" applyFont="1" applyBorder="1" applyAlignment="1" applyProtection="1">
      <alignment horizontal="center" wrapText="1"/>
      <protection hidden="1"/>
    </xf>
    <xf numFmtId="0" fontId="205" fillId="27" borderId="85" xfId="0" applyFont="1" applyFill="1" applyBorder="1" applyAlignment="1" applyProtection="1">
      <alignment horizontal="center" vertical="center" wrapText="1" readingOrder="1"/>
      <protection hidden="1"/>
    </xf>
    <xf numFmtId="0" fontId="205" fillId="27" borderId="81" xfId="0" applyFont="1" applyFill="1" applyBorder="1" applyAlignment="1" applyProtection="1">
      <alignment horizontal="center" vertical="center" wrapText="1" readingOrder="1"/>
      <protection hidden="1"/>
    </xf>
    <xf numFmtId="0" fontId="205" fillId="27" borderId="27" xfId="0" applyFont="1" applyFill="1" applyBorder="1" applyAlignment="1" applyProtection="1">
      <alignment horizontal="center" vertical="center" wrapText="1" readingOrder="1"/>
      <protection hidden="1"/>
    </xf>
    <xf numFmtId="0" fontId="205" fillId="28" borderId="62" xfId="0" applyFont="1" applyFill="1" applyBorder="1" applyAlignment="1" applyProtection="1">
      <alignment horizontal="center" vertical="center" wrapText="1" readingOrder="1"/>
      <protection hidden="1"/>
    </xf>
    <xf numFmtId="0" fontId="205" fillId="28" borderId="28" xfId="0" applyFont="1" applyFill="1" applyBorder="1" applyAlignment="1" applyProtection="1">
      <alignment horizontal="center" vertical="center" wrapText="1" readingOrder="1"/>
      <protection hidden="1"/>
    </xf>
    <xf numFmtId="0" fontId="313" fillId="31" borderId="62" xfId="0" applyFont="1" applyFill="1" applyBorder="1" applyAlignment="1" applyProtection="1">
      <alignment horizontal="center" vertical="center" wrapText="1" readingOrder="1"/>
      <protection hidden="1"/>
    </xf>
    <xf numFmtId="0" fontId="313" fillId="31" borderId="28" xfId="0" applyFont="1" applyFill="1" applyBorder="1" applyAlignment="1" applyProtection="1">
      <alignment horizontal="center" vertical="center" wrapText="1" readingOrder="1"/>
      <protection hidden="1"/>
    </xf>
    <xf numFmtId="0" fontId="205" fillId="67" borderId="62" xfId="0" applyFont="1" applyFill="1" applyBorder="1" applyAlignment="1" applyProtection="1">
      <alignment horizontal="center" vertical="center" wrapText="1" readingOrder="1"/>
      <protection hidden="1"/>
    </xf>
    <xf numFmtId="0" fontId="205" fillId="67" borderId="28" xfId="0" applyFont="1" applyFill="1" applyBorder="1" applyAlignment="1" applyProtection="1">
      <alignment horizontal="center" vertical="center" wrapText="1" readingOrder="1"/>
      <protection hidden="1"/>
    </xf>
    <xf numFmtId="0" fontId="313" fillId="67" borderId="62" xfId="0" applyFont="1" applyFill="1" applyBorder="1" applyAlignment="1" applyProtection="1">
      <alignment horizontal="center" vertical="center" wrapText="1" readingOrder="1"/>
      <protection hidden="1"/>
    </xf>
    <xf numFmtId="0" fontId="313" fillId="67" borderId="28" xfId="0" applyFont="1" applyFill="1" applyBorder="1" applyAlignment="1" applyProtection="1">
      <alignment horizontal="center" vertical="center" wrapText="1" readingOrder="1"/>
      <protection hidden="1"/>
    </xf>
    <xf numFmtId="0" fontId="3" fillId="0" borderId="1" xfId="0" applyFont="1" applyBorder="1" applyAlignment="1">
      <alignment horizontal="center"/>
    </xf>
    <xf numFmtId="0" fontId="243" fillId="61" borderId="77" xfId="0" applyFont="1" applyFill="1" applyBorder="1" applyAlignment="1" applyProtection="1">
      <alignment horizontal="center" vertical="center" wrapText="1" readingOrder="1"/>
      <protection hidden="1"/>
    </xf>
    <xf numFmtId="0" fontId="243" fillId="61" borderId="0" xfId="0" applyFont="1" applyFill="1" applyAlignment="1" applyProtection="1">
      <alignment horizontal="center" vertical="center" wrapText="1" readingOrder="1"/>
      <protection hidden="1"/>
    </xf>
    <xf numFmtId="0" fontId="243" fillId="60" borderId="1" xfId="0" applyFont="1" applyFill="1" applyBorder="1" applyAlignment="1" applyProtection="1">
      <alignment horizontal="center" vertical="center" wrapText="1" readingOrder="1"/>
      <protection hidden="1"/>
    </xf>
    <xf numFmtId="0" fontId="243" fillId="24" borderId="1" xfId="0" applyFont="1" applyFill="1" applyBorder="1" applyAlignment="1" applyProtection="1">
      <alignment horizontal="center" vertical="center" wrapText="1" readingOrder="1"/>
      <protection hidden="1"/>
    </xf>
    <xf numFmtId="0" fontId="244" fillId="41" borderId="1" xfId="0" applyFont="1" applyFill="1" applyBorder="1" applyAlignment="1" applyProtection="1">
      <alignment horizontal="center" wrapText="1" readingOrder="1"/>
      <protection hidden="1"/>
    </xf>
    <xf numFmtId="0" fontId="243" fillId="62" borderId="36" xfId="0" applyFont="1" applyFill="1" applyBorder="1" applyAlignment="1" applyProtection="1">
      <alignment horizontal="center" vertical="center" wrapText="1" readingOrder="1"/>
      <protection hidden="1"/>
    </xf>
    <xf numFmtId="0" fontId="243" fillId="62" borderId="0" xfId="0" applyFont="1" applyFill="1" applyAlignment="1" applyProtection="1">
      <alignment horizontal="center" vertical="center" wrapText="1" readingOrder="1"/>
      <protection hidden="1"/>
    </xf>
    <xf numFmtId="0" fontId="246" fillId="0" borderId="9" xfId="0" applyFont="1" applyBorder="1" applyAlignment="1" applyProtection="1">
      <alignment horizontal="center" vertical="top" wrapText="1"/>
      <protection hidden="1"/>
    </xf>
    <xf numFmtId="0" fontId="243" fillId="59" borderId="1" xfId="0" applyFont="1" applyFill="1" applyBorder="1" applyAlignment="1" applyProtection="1">
      <alignment horizontal="center" vertical="center" wrapText="1" readingOrder="1"/>
      <protection hidden="1"/>
    </xf>
    <xf numFmtId="0" fontId="243" fillId="56" borderId="35" xfId="0" applyFont="1" applyFill="1" applyBorder="1" applyAlignment="1" applyProtection="1">
      <alignment horizontal="center" vertical="center" wrapText="1" readingOrder="1"/>
      <protection hidden="1"/>
    </xf>
    <xf numFmtId="0" fontId="243" fillId="56" borderId="34" xfId="0" applyFont="1" applyFill="1" applyBorder="1" applyAlignment="1" applyProtection="1">
      <alignment horizontal="center" vertical="center" wrapText="1" readingOrder="1"/>
      <protection hidden="1"/>
    </xf>
    <xf numFmtId="0" fontId="243" fillId="56" borderId="38" xfId="0" applyFont="1" applyFill="1" applyBorder="1" applyAlignment="1" applyProtection="1">
      <alignment horizontal="center" vertical="center" wrapText="1" readingOrder="1"/>
      <protection hidden="1"/>
    </xf>
    <xf numFmtId="0" fontId="244" fillId="68" borderId="1" xfId="0" applyFont="1" applyFill="1" applyBorder="1" applyAlignment="1" applyProtection="1">
      <alignment horizontal="center" vertical="center" wrapText="1" readingOrder="1"/>
      <protection hidden="1"/>
    </xf>
    <xf numFmtId="0" fontId="297" fillId="0" borderId="35" xfId="0" applyFont="1" applyBorder="1" applyAlignment="1" applyProtection="1">
      <alignment horizontal="center" vertical="center" wrapText="1"/>
      <protection hidden="1"/>
    </xf>
    <xf numFmtId="0" fontId="297" fillId="0" borderId="36" xfId="0" applyFont="1" applyBorder="1" applyAlignment="1" applyProtection="1">
      <alignment horizontal="center" vertical="center" wrapText="1"/>
      <protection hidden="1"/>
    </xf>
    <xf numFmtId="0" fontId="297" fillId="0" borderId="34" xfId="0" applyFont="1" applyBorder="1" applyAlignment="1" applyProtection="1">
      <alignment horizontal="center" vertical="center" wrapText="1"/>
      <protection hidden="1"/>
    </xf>
    <xf numFmtId="0" fontId="297" fillId="0" borderId="0" xfId="0" applyFont="1" applyAlignment="1" applyProtection="1">
      <alignment horizontal="center" vertical="center" wrapText="1"/>
      <protection hidden="1"/>
    </xf>
    <xf numFmtId="0" fontId="297" fillId="0" borderId="38" xfId="0" applyFont="1" applyBorder="1" applyAlignment="1" applyProtection="1">
      <alignment horizontal="center" vertical="center" wrapText="1"/>
      <protection hidden="1"/>
    </xf>
    <xf numFmtId="0" fontId="297" fillId="0" borderId="39" xfId="0" applyFont="1" applyBorder="1" applyAlignment="1" applyProtection="1">
      <alignment horizontal="center" vertical="center" wrapText="1"/>
      <protection hidden="1"/>
    </xf>
    <xf numFmtId="0" fontId="246" fillId="0" borderId="31" xfId="0" applyFont="1" applyBorder="1" applyAlignment="1" applyProtection="1">
      <alignment horizontal="center" vertical="top" wrapText="1"/>
      <protection hidden="1"/>
    </xf>
    <xf numFmtId="0" fontId="246" fillId="0" borderId="45" xfId="0" applyFont="1" applyBorder="1" applyAlignment="1" applyProtection="1">
      <alignment horizontal="center" vertical="top" wrapText="1"/>
      <protection hidden="1"/>
    </xf>
    <xf numFmtId="0" fontId="243" fillId="30" borderId="35" xfId="0" applyFont="1" applyFill="1" applyBorder="1" applyAlignment="1" applyProtection="1">
      <alignment horizontal="center" vertical="center" wrapText="1" readingOrder="1"/>
      <protection hidden="1"/>
    </xf>
    <xf numFmtId="0" fontId="243" fillId="30" borderId="34" xfId="0" applyFont="1" applyFill="1" applyBorder="1" applyAlignment="1" applyProtection="1">
      <alignment horizontal="center" vertical="center" wrapText="1" readingOrder="1"/>
      <protection hidden="1"/>
    </xf>
    <xf numFmtId="0" fontId="229" fillId="0" borderId="9" xfId="0" applyFont="1" applyBorder="1" applyAlignment="1" applyProtection="1">
      <alignment horizontal="center" vertical="top" wrapText="1"/>
      <protection hidden="1"/>
    </xf>
    <xf numFmtId="0" fontId="246" fillId="27" borderId="7" xfId="0" applyFont="1" applyFill="1" applyBorder="1" applyAlignment="1" applyProtection="1">
      <alignment horizontal="center" vertical="top" wrapText="1"/>
      <protection hidden="1"/>
    </xf>
    <xf numFmtId="0" fontId="246" fillId="27" borderId="31" xfId="0" applyFont="1" applyFill="1" applyBorder="1" applyAlignment="1" applyProtection="1">
      <alignment horizontal="center" vertical="top" wrapText="1"/>
      <protection hidden="1"/>
    </xf>
    <xf numFmtId="0" fontId="297" fillId="0" borderId="59" xfId="0" applyFont="1" applyBorder="1" applyAlignment="1" applyProtection="1">
      <alignment horizontal="center"/>
      <protection hidden="1"/>
    </xf>
    <xf numFmtId="0" fontId="297" fillId="0" borderId="31" xfId="0" applyFont="1" applyBorder="1" applyAlignment="1" applyProtection="1">
      <alignment horizontal="center"/>
      <protection hidden="1"/>
    </xf>
    <xf numFmtId="0" fontId="297" fillId="0" borderId="10" xfId="0" applyFont="1" applyBorder="1" applyAlignment="1" applyProtection="1">
      <alignment horizontal="center"/>
      <protection hidden="1"/>
    </xf>
    <xf numFmtId="0" fontId="297" fillId="0" borderId="1" xfId="0" applyFont="1" applyBorder="1" applyAlignment="1" applyProtection="1">
      <alignment horizontal="center"/>
      <protection hidden="1"/>
    </xf>
    <xf numFmtId="0" fontId="297" fillId="0" borderId="61" xfId="0" applyFont="1" applyBorder="1" applyAlignment="1" applyProtection="1">
      <alignment horizontal="center"/>
      <protection hidden="1"/>
    </xf>
    <xf numFmtId="0" fontId="297" fillId="0" borderId="30" xfId="0" applyFont="1" applyBorder="1" applyAlignment="1" applyProtection="1">
      <alignment horizontal="center"/>
      <protection hidden="1"/>
    </xf>
    <xf numFmtId="0" fontId="246" fillId="27" borderId="45" xfId="0" applyFont="1" applyFill="1" applyBorder="1" applyAlignment="1" applyProtection="1">
      <alignment horizontal="center" vertical="top" wrapText="1"/>
      <protection hidden="1"/>
    </xf>
    <xf numFmtId="0" fontId="226" fillId="62" borderId="36" xfId="0" applyFont="1" applyFill="1" applyBorder="1" applyAlignment="1" applyProtection="1">
      <alignment horizontal="center" vertical="center" wrapText="1" readingOrder="1"/>
      <protection hidden="1"/>
    </xf>
    <xf numFmtId="0" fontId="226" fillId="62" borderId="0" xfId="0" applyFont="1" applyFill="1" applyAlignment="1" applyProtection="1">
      <alignment horizontal="center" vertical="center" wrapText="1" readingOrder="1"/>
      <protection hidden="1"/>
    </xf>
    <xf numFmtId="0" fontId="157" fillId="37" borderId="62" xfId="0" applyFont="1" applyFill="1" applyBorder="1" applyAlignment="1" applyProtection="1">
      <alignment horizontal="center" vertical="center" wrapText="1" readingOrder="1"/>
      <protection hidden="1"/>
    </xf>
    <xf numFmtId="0" fontId="157" fillId="37" borderId="18" xfId="0" applyFont="1" applyFill="1" applyBorder="1" applyAlignment="1" applyProtection="1">
      <alignment horizontal="center" vertical="center" wrapText="1" readingOrder="1"/>
      <protection hidden="1"/>
    </xf>
    <xf numFmtId="0" fontId="157" fillId="37" borderId="28" xfId="0" applyFont="1" applyFill="1" applyBorder="1" applyAlignment="1" applyProtection="1">
      <alignment horizontal="center" vertical="center" wrapText="1" readingOrder="1"/>
      <protection hidden="1"/>
    </xf>
    <xf numFmtId="0" fontId="226" fillId="24" borderId="1" xfId="0" applyFont="1" applyFill="1" applyBorder="1" applyAlignment="1" applyProtection="1">
      <alignment horizontal="center" vertical="center" wrapText="1" readingOrder="1"/>
      <protection hidden="1"/>
    </xf>
    <xf numFmtId="0" fontId="245" fillId="0" borderId="10" xfId="0" applyFont="1" applyBorder="1" applyAlignment="1" applyProtection="1">
      <alignment horizontal="center" vertical="center" wrapText="1"/>
      <protection hidden="1"/>
    </xf>
    <xf numFmtId="0" fontId="245" fillId="0" borderId="61" xfId="0" applyFont="1" applyBorder="1" applyAlignment="1" applyProtection="1">
      <alignment horizontal="center" vertical="center" wrapText="1"/>
      <protection hidden="1"/>
    </xf>
    <xf numFmtId="0" fontId="246" fillId="0" borderId="10" xfId="0" applyFont="1" applyBorder="1" applyAlignment="1" applyProtection="1">
      <alignment horizontal="center" vertical="center" wrapText="1"/>
      <protection hidden="1"/>
    </xf>
    <xf numFmtId="0" fontId="246" fillId="0" borderId="1" xfId="0" applyFont="1" applyBorder="1" applyAlignment="1" applyProtection="1">
      <alignment horizontal="center" vertical="center" wrapText="1"/>
      <protection hidden="1"/>
    </xf>
    <xf numFmtId="0" fontId="103" fillId="0" borderId="28" xfId="0" applyFont="1" applyBorder="1" applyAlignment="1" applyProtection="1">
      <alignment horizontal="center" vertical="top" wrapText="1"/>
      <protection hidden="1"/>
    </xf>
    <xf numFmtId="0" fontId="103" fillId="0" borderId="1" xfId="0" applyFont="1" applyBorder="1" applyAlignment="1" applyProtection="1">
      <alignment horizontal="center" vertical="top" wrapText="1"/>
      <protection hidden="1"/>
    </xf>
    <xf numFmtId="0" fontId="103" fillId="0" borderId="9" xfId="0" applyFont="1" applyBorder="1" applyAlignment="1" applyProtection="1">
      <alignment horizontal="center" vertical="top" wrapText="1"/>
      <protection hidden="1"/>
    </xf>
    <xf numFmtId="0" fontId="244" fillId="64" borderId="116" xfId="0" applyFont="1" applyFill="1" applyBorder="1" applyAlignment="1" applyProtection="1">
      <alignment horizontal="center" vertical="center" wrapText="1" readingOrder="1"/>
      <protection hidden="1"/>
    </xf>
    <xf numFmtId="0" fontId="244" fillId="64" borderId="100" xfId="0" applyFont="1" applyFill="1" applyBorder="1" applyAlignment="1" applyProtection="1">
      <alignment horizontal="center" vertical="center" wrapText="1" readingOrder="1"/>
      <protection hidden="1"/>
    </xf>
    <xf numFmtId="0" fontId="246" fillId="0" borderId="26" xfId="0" applyFont="1" applyBorder="1" applyAlignment="1" applyProtection="1">
      <alignment horizontal="center" vertical="top" wrapText="1"/>
      <protection hidden="1"/>
    </xf>
    <xf numFmtId="0" fontId="246" fillId="0" borderId="87" xfId="0" applyFont="1" applyBorder="1" applyAlignment="1" applyProtection="1">
      <alignment horizontal="center" vertical="top" wrapText="1"/>
      <protection hidden="1"/>
    </xf>
    <xf numFmtId="0" fontId="243" fillId="27" borderId="76" xfId="0" applyFont="1" applyFill="1" applyBorder="1" applyAlignment="1" applyProtection="1">
      <alignment horizontal="center" vertical="center" wrapText="1" readingOrder="1"/>
      <protection hidden="1"/>
    </xf>
    <xf numFmtId="0" fontId="243" fillId="27" borderId="29" xfId="0" applyFont="1" applyFill="1" applyBorder="1" applyAlignment="1" applyProtection="1">
      <alignment horizontal="center" vertical="center" wrapText="1" readingOrder="1"/>
      <protection hidden="1"/>
    </xf>
    <xf numFmtId="0" fontId="243" fillId="27" borderId="39" xfId="0" applyFont="1" applyFill="1" applyBorder="1" applyAlignment="1" applyProtection="1">
      <alignment horizontal="center" vertical="center" wrapText="1" readingOrder="1"/>
      <protection hidden="1"/>
    </xf>
    <xf numFmtId="0" fontId="273" fillId="27" borderId="1" xfId="0" applyFont="1" applyFill="1" applyBorder="1" applyAlignment="1" applyProtection="1">
      <alignment horizontal="center" vertical="center" wrapText="1"/>
      <protection hidden="1"/>
    </xf>
    <xf numFmtId="0" fontId="243" fillId="27" borderId="28" xfId="0" applyFont="1" applyFill="1" applyBorder="1" applyAlignment="1" applyProtection="1">
      <alignment horizontal="center" vertical="center" wrapText="1" readingOrder="1"/>
      <protection hidden="1"/>
    </xf>
    <xf numFmtId="0" fontId="286" fillId="28" borderId="107" xfId="0" applyFont="1" applyFill="1" applyBorder="1" applyAlignment="1" applyProtection="1">
      <alignment horizontal="center" vertical="center" wrapText="1"/>
      <protection hidden="1"/>
    </xf>
    <xf numFmtId="0" fontId="226" fillId="27" borderId="10" xfId="0" applyFont="1" applyFill="1" applyBorder="1" applyAlignment="1" applyProtection="1">
      <alignment horizontal="center" vertical="center" wrapText="1" readingOrder="1"/>
      <protection hidden="1"/>
    </xf>
    <xf numFmtId="0" fontId="226" fillId="27" borderId="1" xfId="0" applyFont="1" applyFill="1" applyBorder="1" applyAlignment="1" applyProtection="1">
      <alignment horizontal="center" vertical="center" wrapText="1" readingOrder="1"/>
      <protection hidden="1"/>
    </xf>
    <xf numFmtId="0" fontId="293" fillId="26" borderId="1" xfId="0" applyFont="1" applyFill="1" applyBorder="1" applyAlignment="1" applyProtection="1">
      <alignment horizontal="center" vertical="center" wrapText="1" readingOrder="1"/>
      <protection hidden="1"/>
    </xf>
    <xf numFmtId="0" fontId="246" fillId="0" borderId="59" xfId="0" applyFont="1" applyBorder="1" applyAlignment="1" applyProtection="1">
      <alignment horizontal="center" vertical="top" wrapText="1"/>
      <protection hidden="1"/>
    </xf>
    <xf numFmtId="0" fontId="244" fillId="26" borderId="116" xfId="0" applyFont="1" applyFill="1" applyBorder="1" applyAlignment="1" applyProtection="1">
      <alignment horizontal="center" vertical="center" wrapText="1" readingOrder="1"/>
      <protection hidden="1"/>
    </xf>
    <xf numFmtId="0" fontId="244" fillId="26" borderId="100" xfId="0" applyFont="1" applyFill="1" applyBorder="1" applyAlignment="1" applyProtection="1">
      <alignment horizontal="center" vertical="center" wrapText="1" readingOrder="1"/>
      <protection hidden="1"/>
    </xf>
    <xf numFmtId="0" fontId="231" fillId="27" borderId="7" xfId="0" applyFont="1" applyFill="1" applyBorder="1" applyAlignment="1" applyProtection="1">
      <alignment horizontal="center" wrapText="1"/>
      <protection hidden="1"/>
    </xf>
    <xf numFmtId="0" fontId="229" fillId="27" borderId="1" xfId="0" applyFont="1" applyFill="1" applyBorder="1" applyAlignment="1" applyProtection="1">
      <alignment horizontal="center" vertical="top" wrapText="1"/>
      <protection hidden="1"/>
    </xf>
    <xf numFmtId="0" fontId="246" fillId="0" borderId="89" xfId="0" applyFont="1" applyBorder="1" applyAlignment="1" applyProtection="1">
      <alignment horizontal="center" vertical="top" wrapText="1"/>
      <protection hidden="1"/>
    </xf>
    <xf numFmtId="0" fontId="246" fillId="0" borderId="27" xfId="0" applyFont="1" applyBorder="1" applyAlignment="1" applyProtection="1">
      <alignment horizontal="center" vertical="top" wrapText="1"/>
      <protection hidden="1"/>
    </xf>
    <xf numFmtId="0" fontId="226" fillId="27" borderId="84" xfId="0" applyFont="1" applyFill="1" applyBorder="1" applyAlignment="1" applyProtection="1">
      <alignment horizontal="center" vertical="center" wrapText="1" readingOrder="1"/>
      <protection hidden="1"/>
    </xf>
    <xf numFmtId="0" fontId="233" fillId="0" borderId="43" xfId="0" applyFont="1" applyBorder="1" applyAlignment="1" applyProtection="1">
      <alignment horizontal="center" wrapText="1"/>
      <protection hidden="1"/>
    </xf>
    <xf numFmtId="0" fontId="233" fillId="0" borderId="25" xfId="0" applyFont="1" applyBorder="1" applyAlignment="1" applyProtection="1">
      <alignment horizontal="center" wrapText="1"/>
      <protection hidden="1"/>
    </xf>
    <xf numFmtId="0" fontId="225" fillId="0" borderId="10" xfId="0" applyFont="1" applyBorder="1" applyAlignment="1" applyProtection="1">
      <alignment horizontal="center"/>
      <protection hidden="1"/>
    </xf>
    <xf numFmtId="0" fontId="225" fillId="0" borderId="1" xfId="0" applyFont="1" applyBorder="1" applyAlignment="1" applyProtection="1">
      <alignment horizontal="center"/>
      <protection hidden="1"/>
    </xf>
    <xf numFmtId="0" fontId="225" fillId="0" borderId="61" xfId="0" applyFont="1" applyBorder="1" applyAlignment="1" applyProtection="1">
      <alignment horizontal="center"/>
      <protection hidden="1"/>
    </xf>
    <xf numFmtId="0" fontId="225" fillId="0" borderId="30" xfId="0" applyFont="1" applyBorder="1" applyAlignment="1" applyProtection="1">
      <alignment horizontal="center"/>
      <protection hidden="1"/>
    </xf>
    <xf numFmtId="0" fontId="225" fillId="0" borderId="59" xfId="0" applyFont="1" applyBorder="1" applyAlignment="1" applyProtection="1">
      <alignment horizontal="center"/>
      <protection hidden="1"/>
    </xf>
    <xf numFmtId="0" fontId="225" fillId="0" borderId="31" xfId="0" applyFont="1" applyBorder="1" applyAlignment="1" applyProtection="1">
      <alignment horizontal="center"/>
      <protection hidden="1"/>
    </xf>
    <xf numFmtId="0" fontId="225" fillId="0" borderId="10" xfId="0" applyFont="1" applyBorder="1" applyAlignment="1" applyProtection="1">
      <alignment horizontal="center" vertical="top" wrapText="1"/>
      <protection hidden="1"/>
    </xf>
    <xf numFmtId="0" fontId="225" fillId="0" borderId="1" xfId="0" applyFont="1" applyBorder="1" applyAlignment="1" applyProtection="1">
      <alignment horizontal="center" vertical="top" wrapText="1"/>
      <protection hidden="1"/>
    </xf>
    <xf numFmtId="0" fontId="118" fillId="0" borderId="35" xfId="0" applyFont="1" applyBorder="1" applyAlignment="1" applyProtection="1">
      <alignment horizontal="center" vertical="top" wrapText="1"/>
      <protection hidden="1"/>
    </xf>
    <xf numFmtId="0" fontId="118" fillId="0" borderId="36" xfId="0" applyFont="1" applyBorder="1" applyAlignment="1" applyProtection="1">
      <alignment horizontal="center" vertical="top" wrapText="1"/>
      <protection hidden="1"/>
    </xf>
    <xf numFmtId="0" fontId="118" fillId="0" borderId="37" xfId="0" applyFont="1" applyBorder="1" applyAlignment="1" applyProtection="1">
      <alignment horizontal="center" vertical="top" wrapText="1"/>
      <protection hidden="1"/>
    </xf>
    <xf numFmtId="0" fontId="222" fillId="0" borderId="34" xfId="0" applyFont="1" applyBorder="1" applyAlignment="1" applyProtection="1">
      <alignment horizontal="center" wrapText="1"/>
      <protection hidden="1"/>
    </xf>
    <xf numFmtId="0" fontId="231" fillId="0" borderId="4" xfId="0" applyFont="1" applyBorder="1" applyAlignment="1" applyProtection="1">
      <alignment horizontal="center" wrapText="1"/>
      <protection hidden="1"/>
    </xf>
    <xf numFmtId="0" fontId="226" fillId="56" borderId="24" xfId="0" applyFont="1" applyFill="1" applyBorder="1" applyAlignment="1" applyProtection="1">
      <alignment horizontal="center" vertical="center" wrapText="1" readingOrder="1"/>
      <protection hidden="1"/>
    </xf>
    <xf numFmtId="0" fontId="226" fillId="56" borderId="26" xfId="0" applyFont="1" applyFill="1" applyBorder="1" applyAlignment="1" applyProtection="1">
      <alignment horizontal="center" vertical="center" wrapText="1" readingOrder="1"/>
      <protection hidden="1"/>
    </xf>
    <xf numFmtId="0" fontId="231" fillId="0" borderId="33" xfId="0" applyFont="1" applyBorder="1" applyAlignment="1" applyProtection="1">
      <alignment horizontal="center" wrapText="1"/>
      <protection hidden="1"/>
    </xf>
    <xf numFmtId="0" fontId="231" fillId="0" borderId="7" xfId="0" applyFont="1" applyBorder="1" applyAlignment="1" applyProtection="1">
      <alignment horizontal="center" wrapText="1"/>
      <protection hidden="1"/>
    </xf>
    <xf numFmtId="0" fontId="226" fillId="61" borderId="62" xfId="0" applyFont="1" applyFill="1" applyBorder="1" applyAlignment="1" applyProtection="1">
      <alignment horizontal="center" vertical="center" wrapText="1" readingOrder="1"/>
      <protection hidden="1"/>
    </xf>
    <xf numFmtId="0" fontId="226" fillId="61" borderId="18" xfId="0" applyFont="1" applyFill="1" applyBorder="1" applyAlignment="1" applyProtection="1">
      <alignment horizontal="center" vertical="center" wrapText="1" readingOrder="1"/>
      <protection hidden="1"/>
    </xf>
    <xf numFmtId="0" fontId="226" fillId="61" borderId="28" xfId="0" applyFont="1" applyFill="1" applyBorder="1" applyAlignment="1" applyProtection="1">
      <alignment horizontal="center" vertical="center" wrapText="1" readingOrder="1"/>
      <protection hidden="1"/>
    </xf>
    <xf numFmtId="0" fontId="246" fillId="0" borderId="85" xfId="0" applyFont="1" applyBorder="1" applyAlignment="1" applyProtection="1">
      <alignment horizontal="center" vertical="top" wrapText="1"/>
      <protection hidden="1"/>
    </xf>
    <xf numFmtId="0" fontId="273" fillId="28" borderId="107" xfId="0" applyFont="1" applyFill="1" applyBorder="1" applyAlignment="1" applyProtection="1">
      <alignment horizontal="center" vertical="center" wrapText="1"/>
      <protection hidden="1"/>
    </xf>
    <xf numFmtId="0" fontId="95" fillId="0" borderId="1" xfId="0" applyFont="1" applyBorder="1" applyAlignment="1" applyProtection="1">
      <alignment horizontal="center" vertical="top" wrapText="1"/>
      <protection hidden="1"/>
    </xf>
    <xf numFmtId="0" fontId="295" fillId="29" borderId="1" xfId="0" applyFont="1" applyFill="1" applyBorder="1" applyAlignment="1" applyProtection="1">
      <alignment horizontal="center" vertical="center" wrapText="1" readingOrder="1"/>
      <protection hidden="1"/>
    </xf>
    <xf numFmtId="0" fontId="50" fillId="27" borderId="28" xfId="0" applyFont="1" applyFill="1" applyBorder="1" applyAlignment="1" applyProtection="1">
      <alignment horizontal="center" wrapText="1"/>
      <protection hidden="1"/>
    </xf>
    <xf numFmtId="0" fontId="284" fillId="0" borderId="107" xfId="0" applyFont="1" applyBorder="1" applyAlignment="1" applyProtection="1">
      <alignment horizontal="center" vertical="center" wrapText="1"/>
      <protection hidden="1"/>
    </xf>
    <xf numFmtId="0" fontId="285" fillId="0" borderId="107" xfId="0" applyFont="1" applyBorder="1" applyAlignment="1" applyProtection="1">
      <alignment horizontal="center" vertical="center" wrapText="1"/>
      <protection hidden="1"/>
    </xf>
    <xf numFmtId="0" fontId="285" fillId="0" borderId="117" xfId="0" applyFont="1" applyBorder="1" applyAlignment="1" applyProtection="1">
      <alignment horizontal="center" vertical="center" wrapText="1"/>
      <protection hidden="1"/>
    </xf>
    <xf numFmtId="0" fontId="95" fillId="0" borderId="66" xfId="0" applyFont="1" applyBorder="1" applyAlignment="1" applyProtection="1">
      <alignment horizontal="center" vertical="top" wrapText="1"/>
      <protection hidden="1"/>
    </xf>
    <xf numFmtId="0" fontId="95" fillId="0" borderId="14" xfId="0" applyFont="1" applyBorder="1" applyAlignment="1" applyProtection="1">
      <alignment horizontal="center" vertical="top" wrapText="1"/>
      <protection hidden="1"/>
    </xf>
    <xf numFmtId="0" fontId="95" fillId="0" borderId="15" xfId="0" applyFont="1" applyBorder="1" applyAlignment="1" applyProtection="1">
      <alignment horizontal="center" vertical="top" wrapText="1"/>
      <protection hidden="1"/>
    </xf>
    <xf numFmtId="0" fontId="299" fillId="0" borderId="1" xfId="0" applyFont="1" applyBorder="1" applyAlignment="1" applyProtection="1">
      <alignment horizontal="center" vertical="center" wrapText="1"/>
      <protection hidden="1"/>
    </xf>
    <xf numFmtId="0" fontId="244" fillId="41" borderId="1" xfId="0" applyFont="1" applyFill="1" applyBorder="1" applyAlignment="1" applyProtection="1">
      <alignment horizontal="center" vertical="center" wrapText="1" readingOrder="1"/>
      <protection hidden="1"/>
    </xf>
    <xf numFmtId="0" fontId="226" fillId="63" borderId="0" xfId="0" applyFont="1" applyFill="1" applyAlignment="1" applyProtection="1">
      <alignment horizontal="center" vertical="center" wrapText="1" readingOrder="1"/>
      <protection hidden="1"/>
    </xf>
    <xf numFmtId="0" fontId="235" fillId="41" borderId="1" xfId="0" applyFont="1" applyFill="1" applyBorder="1" applyAlignment="1" applyProtection="1">
      <alignment horizontal="center" wrapText="1" readingOrder="1"/>
      <protection hidden="1"/>
    </xf>
    <xf numFmtId="0" fontId="71" fillId="26" borderId="77" xfId="0" applyFont="1" applyFill="1" applyBorder="1" applyAlignment="1" applyProtection="1">
      <alignment horizontal="center" vertical="center" textRotation="90"/>
      <protection hidden="1"/>
    </xf>
    <xf numFmtId="0" fontId="71" fillId="26" borderId="4" xfId="0" applyFont="1" applyFill="1" applyBorder="1" applyAlignment="1" applyProtection="1">
      <alignment horizontal="center" vertical="center" textRotation="90"/>
      <protection hidden="1"/>
    </xf>
    <xf numFmtId="0" fontId="71" fillId="29" borderId="77" xfId="0" applyFont="1" applyFill="1" applyBorder="1" applyAlignment="1" applyProtection="1">
      <alignment horizontal="center" vertical="center" textRotation="90"/>
      <protection hidden="1"/>
    </xf>
    <xf numFmtId="0" fontId="71" fillId="29" borderId="4" xfId="0" applyFont="1" applyFill="1" applyBorder="1" applyAlignment="1" applyProtection="1">
      <alignment horizontal="center" vertical="center" textRotation="90"/>
      <protection hidden="1"/>
    </xf>
    <xf numFmtId="0" fontId="245" fillId="28" borderId="107" xfId="0" applyFont="1" applyFill="1" applyBorder="1" applyAlignment="1" applyProtection="1">
      <alignment horizontal="center" vertical="center" wrapText="1"/>
      <protection hidden="1"/>
    </xf>
    <xf numFmtId="0" fontId="229" fillId="52" borderId="1" xfId="0" applyFont="1" applyFill="1" applyBorder="1" applyAlignment="1" applyProtection="1">
      <alignment horizontal="center" wrapText="1"/>
      <protection hidden="1"/>
    </xf>
    <xf numFmtId="0" fontId="283" fillId="0" borderId="107" xfId="0" applyFont="1" applyBorder="1" applyAlignment="1" applyProtection="1">
      <alignment horizontal="center" vertical="center" wrapText="1"/>
      <protection hidden="1"/>
    </xf>
    <xf numFmtId="0" fontId="246" fillId="0" borderId="111" xfId="0" applyFont="1" applyBorder="1" applyAlignment="1" applyProtection="1">
      <alignment horizontal="center" vertical="top" wrapText="1"/>
      <protection hidden="1"/>
    </xf>
    <xf numFmtId="0" fontId="246" fillId="0" borderId="112" xfId="0" applyFont="1" applyBorder="1" applyAlignment="1" applyProtection="1">
      <alignment horizontal="center" vertical="top" wrapText="1"/>
      <protection hidden="1"/>
    </xf>
    <xf numFmtId="0" fontId="246" fillId="0" borderId="113" xfId="0" applyFont="1" applyBorder="1" applyAlignment="1" applyProtection="1">
      <alignment horizontal="center" vertical="top" wrapText="1"/>
      <protection hidden="1"/>
    </xf>
    <xf numFmtId="0" fontId="229" fillId="0" borderId="7" xfId="0" applyFont="1" applyBorder="1" applyAlignment="1" applyProtection="1">
      <alignment horizontal="center" wrapText="1"/>
      <protection hidden="1"/>
    </xf>
    <xf numFmtId="0" fontId="229" fillId="0" borderId="7" xfId="0" applyFont="1" applyBorder="1" applyAlignment="1" applyProtection="1">
      <alignment horizontal="center" vertical="top" wrapText="1"/>
      <protection hidden="1"/>
    </xf>
    <xf numFmtId="0" fontId="226" fillId="30" borderId="35" xfId="0" applyFont="1" applyFill="1" applyBorder="1" applyAlignment="1" applyProtection="1">
      <alignment horizontal="center" vertical="center" wrapText="1" readingOrder="1"/>
      <protection hidden="1"/>
    </xf>
    <xf numFmtId="0" fontId="226" fillId="30" borderId="34" xfId="0" applyFont="1" applyFill="1" applyBorder="1" applyAlignment="1" applyProtection="1">
      <alignment horizontal="center" vertical="center" wrapText="1" readingOrder="1"/>
      <protection hidden="1"/>
    </xf>
    <xf numFmtId="0" fontId="226" fillId="59" borderId="1" xfId="0" applyFont="1" applyFill="1" applyBorder="1" applyAlignment="1" applyProtection="1">
      <alignment horizontal="center" vertical="center" wrapText="1" readingOrder="1"/>
      <protection hidden="1"/>
    </xf>
    <xf numFmtId="0" fontId="235" fillId="41" borderId="1" xfId="0" applyFont="1" applyFill="1" applyBorder="1" applyAlignment="1" applyProtection="1">
      <alignment horizontal="center" vertical="center" wrapText="1" readingOrder="1"/>
      <protection hidden="1"/>
    </xf>
    <xf numFmtId="0" fontId="226" fillId="60" borderId="1" xfId="0" applyFont="1" applyFill="1" applyBorder="1" applyAlignment="1" applyProtection="1">
      <alignment horizontal="center" vertical="center" wrapText="1" readingOrder="1"/>
      <protection hidden="1"/>
    </xf>
    <xf numFmtId="0" fontId="226" fillId="61" borderId="77" xfId="0" applyFont="1" applyFill="1" applyBorder="1" applyAlignment="1" applyProtection="1">
      <alignment horizontal="center" vertical="center" wrapText="1" readingOrder="1"/>
      <protection hidden="1"/>
    </xf>
    <xf numFmtId="0" fontId="226" fillId="61" borderId="0" xfId="0" applyFont="1" applyFill="1" applyAlignment="1" applyProtection="1">
      <alignment horizontal="center" vertical="center" wrapText="1" readingOrder="1"/>
      <protection hidden="1"/>
    </xf>
    <xf numFmtId="0" fontId="71" fillId="26" borderId="72" xfId="0" applyFont="1" applyFill="1" applyBorder="1" applyAlignment="1" applyProtection="1">
      <alignment horizontal="center" vertical="center" textRotation="90"/>
      <protection hidden="1"/>
    </xf>
    <xf numFmtId="0" fontId="71" fillId="29" borderId="36" xfId="0" applyFont="1" applyFill="1" applyBorder="1" applyAlignment="1" applyProtection="1">
      <alignment horizontal="center" vertical="center" textRotation="90"/>
      <protection hidden="1"/>
    </xf>
    <xf numFmtId="0" fontId="71" fillId="29" borderId="0" xfId="0" applyFont="1" applyFill="1" applyAlignment="1" applyProtection="1">
      <alignment horizontal="center" vertical="center" textRotation="90"/>
      <protection hidden="1"/>
    </xf>
    <xf numFmtId="0" fontId="278" fillId="0" borderId="66" xfId="0" applyFont="1" applyBorder="1" applyAlignment="1" applyProtection="1">
      <alignment horizontal="center" vertical="top" wrapText="1"/>
      <protection hidden="1"/>
    </xf>
    <xf numFmtId="0" fontId="278" fillId="0" borderId="14" xfId="0" applyFont="1" applyBorder="1" applyAlignment="1" applyProtection="1">
      <alignment horizontal="center" vertical="top" wrapText="1"/>
      <protection hidden="1"/>
    </xf>
    <xf numFmtId="0" fontId="278" fillId="0" borderId="15" xfId="0" applyFont="1" applyBorder="1" applyAlignment="1" applyProtection="1">
      <alignment horizontal="center" vertical="top" wrapText="1"/>
      <protection hidden="1"/>
    </xf>
    <xf numFmtId="0" fontId="273" fillId="0" borderId="7" xfId="0" applyFont="1" applyBorder="1" applyAlignment="1" applyProtection="1">
      <alignment horizontal="center" vertical="center" wrapText="1"/>
      <protection hidden="1"/>
    </xf>
    <xf numFmtId="0" fontId="273" fillId="0" borderId="1" xfId="0" applyFont="1" applyBorder="1" applyAlignment="1" applyProtection="1">
      <alignment horizontal="center" vertical="center" wrapText="1"/>
      <protection hidden="1"/>
    </xf>
    <xf numFmtId="0" fontId="278" fillId="27" borderId="7" xfId="0" applyFont="1" applyFill="1" applyBorder="1" applyAlignment="1" applyProtection="1">
      <alignment horizontal="center" vertical="top" wrapText="1"/>
      <protection hidden="1"/>
    </xf>
    <xf numFmtId="0" fontId="298" fillId="0" borderId="38" xfId="0" applyFont="1" applyBorder="1" applyAlignment="1" applyProtection="1">
      <alignment horizontal="center" vertical="center" wrapText="1"/>
      <protection hidden="1"/>
    </xf>
    <xf numFmtId="0" fontId="298" fillId="0" borderId="39" xfId="0" applyFont="1" applyBorder="1" applyAlignment="1" applyProtection="1">
      <alignment horizontal="center" vertical="center" wrapText="1"/>
      <protection hidden="1"/>
    </xf>
    <xf numFmtId="0" fontId="151" fillId="33" borderId="0" xfId="0" applyFont="1" applyFill="1" applyAlignment="1" applyProtection="1">
      <alignment horizontal="center"/>
      <protection hidden="1"/>
    </xf>
    <xf numFmtId="0" fontId="143" fillId="0" borderId="0" xfId="0" applyFont="1" applyAlignment="1" applyProtection="1">
      <alignment horizontal="center"/>
      <protection hidden="1"/>
    </xf>
    <xf numFmtId="0" fontId="144" fillId="23" borderId="79" xfId="0" applyFont="1" applyFill="1" applyBorder="1" applyAlignment="1" applyProtection="1">
      <alignment horizontal="center" vertical="center" wrapText="1" readingOrder="1"/>
      <protection hidden="1"/>
    </xf>
    <xf numFmtId="0" fontId="144" fillId="23" borderId="70" xfId="0" applyFont="1" applyFill="1" applyBorder="1" applyAlignment="1" applyProtection="1">
      <alignment horizontal="center" vertical="center" wrapText="1" readingOrder="1"/>
      <protection hidden="1"/>
    </xf>
    <xf numFmtId="0" fontId="144" fillId="23" borderId="8" xfId="0" applyFont="1" applyFill="1" applyBorder="1" applyAlignment="1" applyProtection="1">
      <alignment horizontal="center" vertical="center" wrapText="1" readingOrder="1"/>
      <protection hidden="1"/>
    </xf>
    <xf numFmtId="0" fontId="53" fillId="0" borderId="1" xfId="0" applyFont="1" applyBorder="1" applyAlignment="1" applyProtection="1">
      <alignment horizontal="center" wrapText="1"/>
      <protection hidden="1"/>
    </xf>
    <xf numFmtId="0" fontId="95" fillId="0" borderId="62" xfId="0" applyFont="1" applyBorder="1" applyAlignment="1" applyProtection="1">
      <alignment horizontal="center" vertical="top" wrapText="1"/>
      <protection hidden="1"/>
    </xf>
    <xf numFmtId="0" fontId="95" fillId="0" borderId="18" xfId="0" applyFont="1" applyBorder="1" applyAlignment="1" applyProtection="1">
      <alignment horizontal="center" vertical="top" wrapText="1"/>
      <protection hidden="1"/>
    </xf>
    <xf numFmtId="0" fontId="95" fillId="0" borderId="28" xfId="0" applyFont="1" applyBorder="1" applyAlignment="1" applyProtection="1">
      <alignment horizontal="center" vertical="top" wrapText="1"/>
      <protection hidden="1"/>
    </xf>
    <xf numFmtId="0" fontId="53" fillId="0" borderId="1" xfId="0" applyFont="1" applyBorder="1" applyAlignment="1" applyProtection="1">
      <alignment horizontal="center" vertical="top" wrapText="1"/>
      <protection hidden="1"/>
    </xf>
    <xf numFmtId="0" fontId="94" fillId="0" borderId="62" xfId="0" applyFont="1" applyBorder="1" applyAlignment="1" applyProtection="1">
      <alignment horizontal="center" vertical="top" wrapText="1"/>
      <protection hidden="1"/>
    </xf>
    <xf numFmtId="0" fontId="94" fillId="0" borderId="18" xfId="0" applyFont="1" applyBorder="1" applyAlignment="1" applyProtection="1">
      <alignment horizontal="center" vertical="top" wrapText="1"/>
      <protection hidden="1"/>
    </xf>
    <xf numFmtId="0" fontId="94" fillId="0" borderId="28" xfId="0" applyFont="1" applyBorder="1" applyAlignment="1" applyProtection="1">
      <alignment horizontal="center" vertical="top" wrapText="1"/>
      <protection hidden="1"/>
    </xf>
    <xf numFmtId="0" fontId="205" fillId="31" borderId="78" xfId="0" applyFont="1" applyFill="1" applyBorder="1" applyAlignment="1" applyProtection="1">
      <alignment horizontal="center" vertical="center" wrapText="1" readingOrder="1"/>
      <protection hidden="1"/>
    </xf>
    <xf numFmtId="0" fontId="205" fillId="31" borderId="37" xfId="0" applyFont="1" applyFill="1" applyBorder="1" applyAlignment="1" applyProtection="1">
      <alignment horizontal="center" vertical="center" wrapText="1" readingOrder="1"/>
      <protection hidden="1"/>
    </xf>
    <xf numFmtId="0" fontId="29" fillId="0" borderId="1" xfId="0" applyFont="1" applyBorder="1" applyAlignment="1" applyProtection="1">
      <alignment horizontal="center" wrapText="1"/>
      <protection hidden="1"/>
    </xf>
    <xf numFmtId="0" fontId="94" fillId="0" borderId="1" xfId="0" applyFont="1" applyBorder="1" applyAlignment="1" applyProtection="1">
      <alignment horizontal="center" wrapText="1"/>
      <protection hidden="1"/>
    </xf>
    <xf numFmtId="0" fontId="94" fillId="0" borderId="24" xfId="0" applyFont="1" applyBorder="1" applyAlignment="1" applyProtection="1">
      <alignment horizontal="center" vertical="top" wrapText="1"/>
      <protection hidden="1"/>
    </xf>
    <xf numFmtId="0" fontId="94" fillId="0" borderId="25" xfId="0" applyFont="1" applyBorder="1" applyAlignment="1" applyProtection="1">
      <alignment horizontal="center" vertical="top" wrapText="1"/>
      <protection hidden="1"/>
    </xf>
    <xf numFmtId="0" fontId="94" fillId="0" borderId="26" xfId="0" applyFont="1" applyBorder="1" applyAlignment="1" applyProtection="1">
      <alignment horizontal="center" vertical="top" wrapText="1"/>
      <protection hidden="1"/>
    </xf>
    <xf numFmtId="0" fontId="94" fillId="0" borderId="1" xfId="0" applyFont="1" applyBorder="1" applyAlignment="1" applyProtection="1">
      <alignment horizontal="center" vertical="top" wrapText="1"/>
      <protection hidden="1"/>
    </xf>
    <xf numFmtId="0" fontId="94" fillId="52" borderId="1" xfId="0" applyFont="1" applyFill="1" applyBorder="1" applyAlignment="1" applyProtection="1">
      <alignment horizontal="center" wrapText="1"/>
      <protection hidden="1"/>
    </xf>
    <xf numFmtId="0" fontId="94" fillId="0" borderId="62" xfId="0" applyFont="1" applyBorder="1" applyAlignment="1" applyProtection="1">
      <alignment horizontal="center" wrapText="1"/>
      <protection hidden="1"/>
    </xf>
    <xf numFmtId="0" fontId="29" fillId="0" borderId="0" xfId="0" applyFont="1" applyAlignment="1" applyProtection="1">
      <alignment horizontal="center" wrapText="1"/>
      <protection hidden="1"/>
    </xf>
    <xf numFmtId="0" fontId="205" fillId="30" borderId="89" xfId="0" applyFont="1" applyFill="1" applyBorder="1" applyAlignment="1" applyProtection="1">
      <alignment horizontal="center" vertical="center" wrapText="1" readingOrder="1"/>
      <protection hidden="1"/>
    </xf>
    <xf numFmtId="0" fontId="205" fillId="30" borderId="81" xfId="0" applyFont="1" applyFill="1" applyBorder="1" applyAlignment="1" applyProtection="1">
      <alignment horizontal="center" vertical="center" wrapText="1" readingOrder="1"/>
      <protection hidden="1"/>
    </xf>
    <xf numFmtId="0" fontId="94" fillId="27" borderId="1" xfId="0" applyFont="1" applyFill="1" applyBorder="1" applyAlignment="1" applyProtection="1">
      <alignment horizontal="center" vertical="top" wrapText="1"/>
      <protection hidden="1"/>
    </xf>
    <xf numFmtId="0" fontId="95" fillId="0" borderId="9" xfId="0" applyFont="1" applyBorder="1" applyAlignment="1" applyProtection="1">
      <alignment horizontal="center" vertical="top" wrapText="1"/>
      <protection hidden="1"/>
    </xf>
    <xf numFmtId="0" fontId="94" fillId="0" borderId="7" xfId="0" applyFont="1" applyBorder="1" applyAlignment="1" applyProtection="1">
      <alignment horizontal="center" vertical="top" wrapText="1"/>
      <protection hidden="1"/>
    </xf>
    <xf numFmtId="0" fontId="94" fillId="0" borderId="87" xfId="0" applyFont="1" applyBorder="1" applyAlignment="1" applyProtection="1">
      <alignment horizontal="center" vertical="top" wrapText="1"/>
      <protection hidden="1"/>
    </xf>
    <xf numFmtId="0" fontId="156" fillId="27" borderId="79" xfId="0" applyFont="1" applyFill="1" applyBorder="1" applyAlignment="1" applyProtection="1">
      <alignment horizontal="center" vertical="center" wrapText="1" readingOrder="1"/>
      <protection hidden="1"/>
    </xf>
    <xf numFmtId="0" fontId="156" fillId="27" borderId="70" xfId="0" applyFont="1" applyFill="1" applyBorder="1" applyAlignment="1" applyProtection="1">
      <alignment horizontal="center" vertical="center" wrapText="1" readingOrder="1"/>
      <protection hidden="1"/>
    </xf>
    <xf numFmtId="0" fontId="156" fillId="27" borderId="8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4" xfId="0" applyFont="1" applyFill="1" applyBorder="1" applyAlignment="1" applyProtection="1">
      <alignment horizontal="center" vertical="center" wrapText="1" readingOrder="1"/>
      <protection hidden="1"/>
    </xf>
    <xf numFmtId="0" fontId="156" fillId="27" borderId="0" xfId="0" applyFont="1" applyFill="1" applyAlignment="1" applyProtection="1">
      <alignment horizontal="center" vertical="center" wrapText="1" readingOrder="1"/>
      <protection hidden="1"/>
    </xf>
    <xf numFmtId="0" fontId="156" fillId="27" borderId="29" xfId="0" applyFont="1" applyFill="1" applyBorder="1" applyAlignment="1" applyProtection="1">
      <alignment horizontal="center" vertical="center" wrapText="1" readingOrder="1"/>
      <protection hidden="1"/>
    </xf>
    <xf numFmtId="0" fontId="156" fillId="27" borderId="85" xfId="0" applyFont="1" applyFill="1" applyBorder="1" applyAlignment="1" applyProtection="1">
      <alignment horizontal="center" vertical="center" wrapText="1" readingOrder="1"/>
      <protection hidden="1"/>
    </xf>
    <xf numFmtId="0" fontId="156" fillId="27" borderId="81" xfId="0" applyFont="1" applyFill="1" applyBorder="1" applyAlignment="1" applyProtection="1">
      <alignment horizontal="center" vertical="center" wrapText="1" readingOrder="1"/>
      <protection hidden="1"/>
    </xf>
    <xf numFmtId="0" fontId="156" fillId="27" borderId="27" xfId="0" applyFont="1" applyFill="1" applyBorder="1" applyAlignment="1" applyProtection="1">
      <alignment horizontal="center" vertical="center" wrapText="1" readingOrder="1"/>
      <protection hidden="1"/>
    </xf>
    <xf numFmtId="0" fontId="157" fillId="27" borderId="2" xfId="0" applyFont="1" applyFill="1" applyBorder="1" applyAlignment="1" applyProtection="1">
      <alignment horizontal="center" vertical="center" wrapText="1" readingOrder="1"/>
      <protection hidden="1"/>
    </xf>
    <xf numFmtId="0" fontId="157" fillId="27" borderId="11" xfId="0" applyFont="1" applyFill="1" applyBorder="1" applyAlignment="1" applyProtection="1">
      <alignment horizontal="center" vertical="center" wrapText="1" readingOrder="1"/>
      <protection hidden="1"/>
    </xf>
    <xf numFmtId="0" fontId="157" fillId="27" borderId="5" xfId="0" applyFont="1" applyFill="1" applyBorder="1" applyAlignment="1" applyProtection="1">
      <alignment horizontal="center" vertical="center" wrapText="1" readingOrder="1"/>
      <protection hidden="1"/>
    </xf>
    <xf numFmtId="0" fontId="157" fillId="27" borderId="4" xfId="0" applyFont="1" applyFill="1" applyBorder="1" applyAlignment="1" applyProtection="1">
      <alignment horizontal="center" vertical="center" wrapText="1" readingOrder="1"/>
      <protection hidden="1"/>
    </xf>
    <xf numFmtId="0" fontId="157" fillId="27" borderId="24" xfId="0" applyFont="1" applyFill="1" applyBorder="1" applyAlignment="1" applyProtection="1">
      <alignment horizontal="center" vertical="center" wrapText="1" readingOrder="1"/>
      <protection hidden="1"/>
    </xf>
    <xf numFmtId="0" fontId="157" fillId="27" borderId="26" xfId="0" applyFont="1" applyFill="1" applyBorder="1" applyAlignment="1" applyProtection="1">
      <alignment horizontal="center" vertical="center" wrapText="1" readingOrder="1"/>
      <protection hidden="1"/>
    </xf>
    <xf numFmtId="0" fontId="156" fillId="27" borderId="10" xfId="0" applyFont="1" applyFill="1" applyBorder="1" applyAlignment="1" applyProtection="1">
      <alignment horizontal="center" vertical="center" wrapText="1" readingOrder="1"/>
      <protection hidden="1"/>
    </xf>
    <xf numFmtId="0" fontId="156" fillId="27" borderId="1" xfId="0" applyFont="1" applyFill="1" applyBorder="1" applyAlignment="1" applyProtection="1">
      <alignment horizontal="center" vertical="center" wrapText="1" readingOrder="1"/>
      <protection hidden="1"/>
    </xf>
    <xf numFmtId="0" fontId="195" fillId="26" borderId="35" xfId="0" applyFont="1" applyFill="1" applyBorder="1" applyAlignment="1" applyProtection="1">
      <alignment horizontal="center" vertical="center" wrapText="1" readingOrder="1"/>
      <protection hidden="1"/>
    </xf>
    <xf numFmtId="0" fontId="195" fillId="26" borderId="36" xfId="0" applyFont="1" applyFill="1" applyBorder="1" applyAlignment="1" applyProtection="1">
      <alignment horizontal="center" vertical="center" wrapText="1" readingOrder="1"/>
      <protection hidden="1"/>
    </xf>
    <xf numFmtId="0" fontId="195" fillId="26" borderId="34" xfId="0" applyFont="1" applyFill="1" applyBorder="1" applyAlignment="1" applyProtection="1">
      <alignment horizontal="center" vertical="center" wrapText="1" readingOrder="1"/>
      <protection hidden="1"/>
    </xf>
    <xf numFmtId="0" fontId="195" fillId="26" borderId="0" xfId="0" applyFont="1" applyFill="1" applyAlignment="1" applyProtection="1">
      <alignment horizontal="center" vertical="center" wrapText="1" readingOrder="1"/>
      <protection hidden="1"/>
    </xf>
    <xf numFmtId="0" fontId="195" fillId="26" borderId="38" xfId="0" applyFont="1" applyFill="1" applyBorder="1" applyAlignment="1" applyProtection="1">
      <alignment horizontal="center" vertical="center" wrapText="1" readingOrder="1"/>
      <protection hidden="1"/>
    </xf>
    <xf numFmtId="0" fontId="195" fillId="26" borderId="39" xfId="0" applyFont="1" applyFill="1" applyBorder="1" applyAlignment="1" applyProtection="1">
      <alignment horizontal="center" vertical="center" wrapText="1" readingOrder="1"/>
      <protection hidden="1"/>
    </xf>
    <xf numFmtId="0" fontId="3" fillId="27" borderId="33" xfId="0" applyFont="1" applyFill="1" applyBorder="1" applyAlignment="1" applyProtection="1">
      <alignment horizontal="center" wrapText="1"/>
      <protection hidden="1"/>
    </xf>
    <xf numFmtId="0" fontId="3" fillId="27" borderId="7" xfId="0" applyFont="1" applyFill="1" applyBorder="1" applyAlignment="1" applyProtection="1">
      <alignment horizontal="center" wrapText="1"/>
      <protection hidden="1"/>
    </xf>
    <xf numFmtId="0" fontId="156" fillId="27" borderId="4" xfId="0" applyFont="1" applyFill="1" applyBorder="1" applyAlignment="1" applyProtection="1">
      <alignment horizontal="center" vertical="center" wrapText="1" readingOrder="1"/>
      <protection hidden="1"/>
    </xf>
    <xf numFmtId="0" fontId="156" fillId="27" borderId="43" xfId="0" applyFont="1" applyFill="1" applyBorder="1" applyAlignment="1" applyProtection="1">
      <alignment horizontal="center" vertical="center" wrapText="1" readingOrder="1"/>
      <protection hidden="1"/>
    </xf>
    <xf numFmtId="0" fontId="156" fillId="27" borderId="25" xfId="0" applyFont="1" applyFill="1" applyBorder="1" applyAlignment="1" applyProtection="1">
      <alignment horizontal="center" vertical="center" wrapText="1" readingOrder="1"/>
      <protection hidden="1"/>
    </xf>
    <xf numFmtId="0" fontId="156" fillId="27" borderId="26" xfId="0" applyFont="1" applyFill="1" applyBorder="1" applyAlignment="1" applyProtection="1">
      <alignment horizontal="center" vertical="center" wrapText="1" readingOrder="1"/>
      <protection hidden="1"/>
    </xf>
    <xf numFmtId="0" fontId="156" fillId="36" borderId="44" xfId="0" applyFont="1" applyFill="1" applyBorder="1" applyAlignment="1" applyProtection="1">
      <alignment horizontal="center" vertical="center" wrapText="1" readingOrder="1"/>
      <protection hidden="1"/>
    </xf>
    <xf numFmtId="0" fontId="156" fillId="36" borderId="3" xfId="0" applyFont="1" applyFill="1" applyBorder="1" applyAlignment="1" applyProtection="1">
      <alignment horizontal="center" vertical="center" wrapText="1" readingOrder="1"/>
      <protection hidden="1"/>
    </xf>
    <xf numFmtId="0" fontId="156" fillId="36" borderId="34" xfId="0" applyFont="1" applyFill="1" applyBorder="1" applyAlignment="1" applyProtection="1">
      <alignment horizontal="center" vertical="center" wrapText="1" readingOrder="1"/>
      <protection hidden="1"/>
    </xf>
    <xf numFmtId="0" fontId="156" fillId="36" borderId="0" xfId="0" applyFont="1" applyFill="1" applyAlignment="1" applyProtection="1">
      <alignment horizontal="center" vertical="center" wrapText="1" readingOrder="1"/>
      <protection hidden="1"/>
    </xf>
    <xf numFmtId="0" fontId="3" fillId="0" borderId="4" xfId="0" applyFont="1" applyBorder="1" applyAlignment="1" applyProtection="1">
      <alignment horizontal="center" wrapText="1"/>
      <protection hidden="1"/>
    </xf>
    <xf numFmtId="0" fontId="3" fillId="0" borderId="26" xfId="0" applyFont="1" applyBorder="1" applyAlignment="1" applyProtection="1">
      <alignment horizontal="center" wrapText="1"/>
      <protection hidden="1"/>
    </xf>
    <xf numFmtId="0" fontId="109" fillId="0" borderId="34" xfId="0" applyFont="1" applyBorder="1" applyAlignment="1" applyProtection="1">
      <alignment horizontal="center" wrapText="1"/>
      <protection hidden="1"/>
    </xf>
    <xf numFmtId="0" fontId="109" fillId="0" borderId="0" xfId="0" applyFont="1" applyAlignment="1" applyProtection="1">
      <alignment horizontal="center" wrapText="1"/>
      <protection hidden="1"/>
    </xf>
    <xf numFmtId="0" fontId="94" fillId="0" borderId="66" xfId="0" applyFont="1" applyBorder="1" applyAlignment="1" applyProtection="1">
      <alignment horizontal="center" vertical="top" wrapText="1"/>
      <protection hidden="1"/>
    </xf>
    <xf numFmtId="0" fontId="94" fillId="0" borderId="14" xfId="0" applyFont="1" applyBorder="1" applyAlignment="1" applyProtection="1">
      <alignment horizontal="center" vertical="top" wrapText="1"/>
      <protection hidden="1"/>
    </xf>
    <xf numFmtId="0" fontId="94" fillId="0" borderId="65" xfId="0" applyFont="1" applyBorder="1" applyAlignment="1" applyProtection="1">
      <alignment horizontal="center" vertical="top" wrapText="1"/>
      <protection hidden="1"/>
    </xf>
    <xf numFmtId="0" fontId="94" fillId="0" borderId="15" xfId="0" applyFont="1" applyBorder="1" applyAlignment="1" applyProtection="1">
      <alignment horizontal="center" vertical="top" wrapText="1"/>
      <protection hidden="1"/>
    </xf>
    <xf numFmtId="0" fontId="106" fillId="0" borderId="34" xfId="0" applyFont="1" applyBorder="1" applyAlignment="1" applyProtection="1">
      <alignment horizontal="center" vertical="top" wrapText="1"/>
      <protection hidden="1"/>
    </xf>
    <xf numFmtId="0" fontId="106" fillId="0" borderId="0" xfId="0" applyFont="1" applyAlignment="1" applyProtection="1">
      <alignment horizontal="center" vertical="top" wrapText="1"/>
      <protection hidden="1"/>
    </xf>
    <xf numFmtId="0" fontId="95" fillId="0" borderId="7" xfId="0" applyFont="1" applyBorder="1" applyAlignment="1" applyProtection="1">
      <alignment horizontal="center" vertical="top" wrapText="1"/>
      <protection hidden="1"/>
    </xf>
    <xf numFmtId="0" fontId="95" fillId="0" borderId="87" xfId="0" applyFont="1" applyBorder="1" applyAlignment="1" applyProtection="1">
      <alignment horizontal="center" vertical="top" wrapText="1"/>
      <protection hidden="1"/>
    </xf>
    <xf numFmtId="0" fontId="3" fillId="0" borderId="33" xfId="0" applyFont="1" applyBorder="1" applyAlignment="1" applyProtection="1">
      <alignment horizontal="center" wrapText="1"/>
      <protection hidden="1"/>
    </xf>
    <xf numFmtId="0" fontId="3" fillId="0" borderId="7" xfId="0" applyFont="1" applyBorder="1" applyAlignment="1" applyProtection="1">
      <alignment horizontal="center" wrapText="1"/>
      <protection hidden="1"/>
    </xf>
    <xf numFmtId="0" fontId="88" fillId="0" borderId="34" xfId="0" applyFont="1" applyBorder="1" applyAlignment="1" applyProtection="1">
      <alignment horizontal="center" vertical="top" wrapText="1"/>
      <protection hidden="1"/>
    </xf>
    <xf numFmtId="0" fontId="88" fillId="0" borderId="0" xfId="0" applyFont="1" applyAlignment="1" applyProtection="1">
      <alignment horizontal="center" vertical="top" wrapText="1"/>
      <protection hidden="1"/>
    </xf>
    <xf numFmtId="0" fontId="111" fillId="0" borderId="0" xfId="0" applyFont="1" applyAlignment="1" applyProtection="1">
      <alignment horizontal="center" vertical="top" wrapText="1"/>
      <protection hidden="1"/>
    </xf>
    <xf numFmtId="0" fontId="215" fillId="0" borderId="34" xfId="0" applyFont="1" applyBorder="1" applyAlignment="1" applyProtection="1">
      <alignment horizontal="center" wrapText="1"/>
      <protection hidden="1"/>
    </xf>
    <xf numFmtId="0" fontId="215" fillId="0" borderId="0" xfId="0" applyFont="1" applyAlignment="1" applyProtection="1">
      <alignment horizontal="center" wrapText="1"/>
      <protection hidden="1"/>
    </xf>
    <xf numFmtId="0" fontId="215" fillId="0" borderId="43" xfId="0" applyFont="1" applyBorder="1" applyAlignment="1" applyProtection="1">
      <alignment horizontal="center" wrapText="1"/>
      <protection hidden="1"/>
    </xf>
    <xf numFmtId="0" fontId="215" fillId="0" borderId="25" xfId="0" applyFont="1" applyBorder="1" applyAlignment="1" applyProtection="1">
      <alignment horizontal="center" wrapText="1"/>
      <protection hidden="1"/>
    </xf>
    <xf numFmtId="0" fontId="172" fillId="0" borderId="34" xfId="0" applyFont="1" applyBorder="1" applyAlignment="1" applyProtection="1">
      <alignment horizontal="center" wrapText="1"/>
      <protection hidden="1"/>
    </xf>
    <xf numFmtId="0" fontId="172" fillId="0" borderId="0" xfId="0" applyFont="1" applyAlignment="1" applyProtection="1">
      <alignment horizontal="center" wrapText="1"/>
      <protection hidden="1"/>
    </xf>
    <xf numFmtId="0" fontId="116" fillId="0" borderId="63" xfId="0" applyFont="1" applyBorder="1" applyAlignment="1" applyProtection="1">
      <alignment horizontal="center" vertical="top" wrapText="1"/>
      <protection hidden="1"/>
    </xf>
    <xf numFmtId="0" fontId="117" fillId="0" borderId="73" xfId="0" applyFont="1" applyBorder="1" applyAlignment="1" applyProtection="1">
      <alignment horizontal="center" vertical="top" wrapText="1"/>
      <protection hidden="1"/>
    </xf>
    <xf numFmtId="0" fontId="117" fillId="0" borderId="58" xfId="0" applyFont="1" applyBorder="1" applyAlignment="1" applyProtection="1">
      <alignment horizontal="center" vertical="top" wrapText="1"/>
      <protection hidden="1"/>
    </xf>
    <xf numFmtId="0" fontId="94" fillId="27" borderId="62" xfId="0" applyFont="1" applyFill="1" applyBorder="1" applyAlignment="1" applyProtection="1">
      <alignment horizontal="center" vertical="top" wrapText="1"/>
      <protection hidden="1"/>
    </xf>
    <xf numFmtId="0" fontId="94" fillId="27" borderId="18" xfId="0" applyFont="1" applyFill="1" applyBorder="1" applyAlignment="1" applyProtection="1">
      <alignment horizontal="center" vertical="top" wrapText="1"/>
      <protection hidden="1"/>
    </xf>
    <xf numFmtId="0" fontId="94" fillId="27" borderId="28" xfId="0" applyFont="1" applyFill="1" applyBorder="1" applyAlignment="1" applyProtection="1">
      <alignment horizontal="center" vertical="top" wrapText="1"/>
      <protection hidden="1"/>
    </xf>
    <xf numFmtId="0" fontId="157" fillId="31" borderId="78" xfId="0" applyFont="1" applyFill="1" applyBorder="1" applyAlignment="1" applyProtection="1">
      <alignment horizontal="center" vertical="center" wrapText="1" readingOrder="1"/>
      <protection hidden="1"/>
    </xf>
    <xf numFmtId="0" fontId="157" fillId="31" borderId="37" xfId="0" applyFont="1" applyFill="1" applyBorder="1" applyAlignment="1" applyProtection="1">
      <alignment horizontal="center" vertical="center" wrapText="1" readingOrder="1"/>
      <protection hidden="1"/>
    </xf>
    <xf numFmtId="0" fontId="215" fillId="0" borderId="29" xfId="0" applyFont="1" applyBorder="1" applyAlignment="1" applyProtection="1">
      <alignment horizontal="center" wrapText="1"/>
      <protection hidden="1"/>
    </xf>
    <xf numFmtId="0" fontId="215" fillId="0" borderId="38" xfId="0" applyFont="1" applyBorder="1" applyAlignment="1" applyProtection="1">
      <alignment horizontal="center" wrapText="1"/>
      <protection hidden="1"/>
    </xf>
    <xf numFmtId="0" fontId="215" fillId="0" borderId="39" xfId="0" applyFont="1" applyBorder="1" applyAlignment="1" applyProtection="1">
      <alignment horizontal="center" wrapText="1"/>
      <protection hidden="1"/>
    </xf>
    <xf numFmtId="0" fontId="215" fillId="0" borderId="40" xfId="0" applyFont="1" applyBorder="1" applyAlignment="1" applyProtection="1">
      <alignment horizontal="center" wrapText="1"/>
      <protection hidden="1"/>
    </xf>
    <xf numFmtId="0" fontId="215" fillId="0" borderId="35" xfId="0" applyFont="1" applyBorder="1" applyAlignment="1" applyProtection="1">
      <alignment horizontal="center" wrapText="1"/>
      <protection hidden="1"/>
    </xf>
    <xf numFmtId="0" fontId="215" fillId="0" borderId="36" xfId="0" applyFont="1" applyBorder="1" applyAlignment="1" applyProtection="1">
      <alignment horizontal="center" wrapText="1"/>
      <protection hidden="1"/>
    </xf>
    <xf numFmtId="0" fontId="215" fillId="0" borderId="37" xfId="0" applyFont="1" applyBorder="1" applyAlignment="1" applyProtection="1">
      <alignment horizontal="center" wrapText="1"/>
      <protection hidden="1"/>
    </xf>
    <xf numFmtId="0" fontId="3" fillId="0" borderId="89" xfId="0" applyFont="1" applyBorder="1" applyAlignment="1" applyProtection="1">
      <alignment horizontal="center" wrapText="1"/>
      <protection hidden="1"/>
    </xf>
    <xf numFmtId="0" fontId="3" fillId="0" borderId="27" xfId="0" applyFont="1" applyBorder="1" applyAlignment="1" applyProtection="1">
      <alignment horizontal="center" wrapText="1"/>
      <protection hidden="1"/>
    </xf>
    <xf numFmtId="0" fontId="157" fillId="30" borderId="89" xfId="0" applyFont="1" applyFill="1" applyBorder="1" applyAlignment="1" applyProtection="1">
      <alignment horizontal="center" vertical="center" wrapText="1" readingOrder="1"/>
      <protection hidden="1"/>
    </xf>
    <xf numFmtId="0" fontId="157" fillId="30" borderId="81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5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6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7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8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9" xfId="0" applyFont="1" applyFill="1" applyBorder="1" applyAlignment="1" applyProtection="1">
      <alignment horizontal="center" vertical="center" wrapText="1" readingOrder="1"/>
      <protection hidden="1"/>
    </xf>
    <xf numFmtId="0" fontId="156" fillId="27" borderId="40" xfId="0" applyFont="1" applyFill="1" applyBorder="1" applyAlignment="1" applyProtection="1">
      <alignment horizontal="center" vertical="center" wrapText="1" readingOrder="1"/>
      <protection hidden="1"/>
    </xf>
    <xf numFmtId="0" fontId="156" fillId="27" borderId="44" xfId="0" applyFont="1" applyFill="1" applyBorder="1" applyAlignment="1" applyProtection="1">
      <alignment horizontal="center" vertical="center" wrapText="1" readingOrder="1"/>
      <protection hidden="1"/>
    </xf>
    <xf numFmtId="0" fontId="156" fillId="27" borderId="3" xfId="0" applyFont="1" applyFill="1" applyBorder="1" applyAlignment="1" applyProtection="1">
      <alignment horizontal="center" vertical="center" wrapText="1" readingOrder="1"/>
      <protection hidden="1"/>
    </xf>
    <xf numFmtId="0" fontId="156" fillId="27" borderId="76" xfId="0" applyFont="1" applyFill="1" applyBorder="1" applyAlignment="1" applyProtection="1">
      <alignment horizontal="center" vertical="center" wrapText="1" readingOrder="1"/>
      <protection hidden="1"/>
    </xf>
    <xf numFmtId="0" fontId="156" fillId="27" borderId="84" xfId="0" applyFont="1" applyFill="1" applyBorder="1" applyAlignment="1" applyProtection="1">
      <alignment horizontal="center" vertical="center" wrapText="1" readingOrder="1"/>
      <protection hidden="1"/>
    </xf>
    <xf numFmtId="0" fontId="81" fillId="23" borderId="2" xfId="0" applyFont="1" applyFill="1" applyBorder="1" applyAlignment="1" applyProtection="1">
      <alignment horizontal="center" vertical="center" wrapText="1" readingOrder="1"/>
      <protection hidden="1"/>
    </xf>
    <xf numFmtId="0" fontId="81" fillId="23" borderId="5" xfId="0" applyFont="1" applyFill="1" applyBorder="1" applyAlignment="1" applyProtection="1">
      <alignment horizontal="center" vertical="center" wrapText="1" readingOrder="1"/>
      <protection hidden="1"/>
    </xf>
    <xf numFmtId="0" fontId="81" fillId="23" borderId="24" xfId="0" applyFont="1" applyFill="1" applyBorder="1" applyAlignment="1" applyProtection="1">
      <alignment horizontal="center" vertical="center" wrapText="1" readingOrder="1"/>
      <protection hidden="1"/>
    </xf>
    <xf numFmtId="0" fontId="157" fillId="27" borderId="29" xfId="0" applyFont="1" applyFill="1" applyBorder="1" applyAlignment="1" applyProtection="1">
      <alignment horizontal="center" vertical="center" wrapText="1" readingOrder="1"/>
      <protection hidden="1"/>
    </xf>
    <xf numFmtId="0" fontId="156" fillId="27" borderId="68" xfId="0" applyFont="1" applyFill="1" applyBorder="1" applyAlignment="1" applyProtection="1">
      <alignment horizontal="center" vertical="center" wrapText="1" readingOrder="1"/>
      <protection hidden="1"/>
    </xf>
    <xf numFmtId="0" fontId="156" fillId="27" borderId="22" xfId="0" applyFont="1" applyFill="1" applyBorder="1" applyAlignment="1" applyProtection="1">
      <alignment horizontal="center" vertical="center" wrapText="1" readingOrder="1"/>
      <protection hidden="1"/>
    </xf>
    <xf numFmtId="0" fontId="156" fillId="27" borderId="23" xfId="0" applyFont="1" applyFill="1" applyBorder="1" applyAlignment="1" applyProtection="1">
      <alignment horizontal="center" vertical="center" wrapText="1" readingOrder="1"/>
      <protection hidden="1"/>
    </xf>
    <xf numFmtId="0" fontId="195" fillId="27" borderId="34" xfId="0" applyFont="1" applyFill="1" applyBorder="1" applyAlignment="1" applyProtection="1">
      <alignment horizontal="center" vertical="center" wrapText="1" readingOrder="1"/>
      <protection hidden="1"/>
    </xf>
    <xf numFmtId="0" fontId="195" fillId="27" borderId="0" xfId="0" applyFont="1" applyFill="1" applyAlignment="1" applyProtection="1">
      <alignment horizontal="center" vertical="center" wrapText="1" readingOrder="1"/>
      <protection hidden="1"/>
    </xf>
    <xf numFmtId="0" fontId="195" fillId="27" borderId="29" xfId="0" applyFont="1" applyFill="1" applyBorder="1" applyAlignment="1" applyProtection="1">
      <alignment horizontal="center" vertical="center" wrapText="1" readingOrder="1"/>
      <protection hidden="1"/>
    </xf>
    <xf numFmtId="0" fontId="145" fillId="23" borderId="79" xfId="0" applyFont="1" applyFill="1" applyBorder="1" applyAlignment="1" applyProtection="1">
      <alignment horizontal="center" vertical="center" wrapText="1" readingOrder="1"/>
      <protection hidden="1"/>
    </xf>
    <xf numFmtId="0" fontId="145" fillId="23" borderId="70" xfId="0" applyFont="1" applyFill="1" applyBorder="1" applyAlignment="1" applyProtection="1">
      <alignment horizontal="center" vertical="center" wrapText="1" readingOrder="1"/>
      <protection hidden="1"/>
    </xf>
    <xf numFmtId="0" fontId="145" fillId="23" borderId="8" xfId="0" applyFont="1" applyFill="1" applyBorder="1" applyAlignment="1" applyProtection="1">
      <alignment horizontal="center" vertical="center" wrapText="1" readingOrder="1"/>
      <protection hidden="1"/>
    </xf>
    <xf numFmtId="0" fontId="3" fillId="27" borderId="91" xfId="0" applyFont="1" applyFill="1" applyBorder="1" applyAlignment="1" applyProtection="1">
      <alignment horizontal="center" wrapText="1"/>
      <protection hidden="1"/>
    </xf>
    <xf numFmtId="0" fontId="3" fillId="27" borderId="87" xfId="0" applyFont="1" applyFill="1" applyBorder="1" applyAlignment="1" applyProtection="1">
      <alignment horizontal="center" wrapText="1"/>
      <protection hidden="1"/>
    </xf>
    <xf numFmtId="0" fontId="94" fillId="0" borderId="59" xfId="0" applyFont="1" applyBorder="1" applyAlignment="1" applyProtection="1">
      <alignment horizontal="center" vertical="top" wrapText="1"/>
      <protection hidden="1"/>
    </xf>
    <xf numFmtId="0" fontId="94" fillId="0" borderId="31" xfId="0" applyFont="1" applyBorder="1" applyAlignment="1" applyProtection="1">
      <alignment horizontal="center" vertical="top" wrapText="1"/>
      <protection hidden="1"/>
    </xf>
    <xf numFmtId="0" fontId="94" fillId="0" borderId="45" xfId="0" applyFont="1" applyBorder="1" applyAlignment="1" applyProtection="1">
      <alignment horizontal="center" vertical="top" wrapText="1"/>
      <protection hidden="1"/>
    </xf>
    <xf numFmtId="0" fontId="145" fillId="23" borderId="33" xfId="0" applyFont="1" applyFill="1" applyBorder="1" applyAlignment="1" applyProtection="1">
      <alignment horizontal="center" vertical="center" wrapText="1" readingOrder="1"/>
      <protection hidden="1"/>
    </xf>
    <xf numFmtId="0" fontId="145" fillId="23" borderId="60" xfId="0" applyFont="1" applyFill="1" applyBorder="1" applyAlignment="1" applyProtection="1">
      <alignment horizontal="center" vertical="center" wrapText="1" readingOrder="1"/>
      <protection hidden="1"/>
    </xf>
    <xf numFmtId="0" fontId="145" fillId="23" borderId="7" xfId="0" applyFont="1" applyFill="1" applyBorder="1" applyAlignment="1" applyProtection="1">
      <alignment horizontal="center" vertical="center" wrapText="1" readingOrder="1"/>
      <protection hidden="1"/>
    </xf>
    <xf numFmtId="0" fontId="198" fillId="27" borderId="63" xfId="0" applyFont="1" applyFill="1" applyBorder="1" applyAlignment="1" applyProtection="1">
      <alignment horizontal="center" vertical="top" wrapText="1"/>
      <protection hidden="1"/>
    </xf>
    <xf numFmtId="0" fontId="198" fillId="27" borderId="73" xfId="0" applyFont="1" applyFill="1" applyBorder="1" applyAlignment="1" applyProtection="1">
      <alignment horizontal="center" vertical="top" wrapText="1"/>
      <protection hidden="1"/>
    </xf>
    <xf numFmtId="0" fontId="198" fillId="27" borderId="58" xfId="0" applyFont="1" applyFill="1" applyBorder="1" applyAlignment="1" applyProtection="1">
      <alignment horizontal="center" vertical="top" wrapText="1"/>
      <protection hidden="1"/>
    </xf>
    <xf numFmtId="0" fontId="103" fillId="0" borderId="59" xfId="0" applyFont="1" applyBorder="1" applyAlignment="1" applyProtection="1">
      <alignment horizontal="center"/>
      <protection hidden="1"/>
    </xf>
    <xf numFmtId="0" fontId="103" fillId="0" borderId="31" xfId="0" applyFont="1" applyBorder="1" applyAlignment="1" applyProtection="1">
      <alignment horizontal="center"/>
      <protection hidden="1"/>
    </xf>
    <xf numFmtId="0" fontId="103" fillId="0" borderId="10" xfId="0" applyFont="1" applyBorder="1" applyAlignment="1" applyProtection="1">
      <alignment horizontal="center"/>
      <protection hidden="1"/>
    </xf>
    <xf numFmtId="0" fontId="103" fillId="0" borderId="1" xfId="0" applyFont="1" applyBorder="1" applyAlignment="1" applyProtection="1">
      <alignment horizontal="center"/>
      <protection hidden="1"/>
    </xf>
    <xf numFmtId="0" fontId="103" fillId="0" borderId="61" xfId="0" applyFont="1" applyBorder="1" applyAlignment="1" applyProtection="1">
      <alignment horizontal="center"/>
      <protection hidden="1"/>
    </xf>
    <xf numFmtId="0" fontId="103" fillId="0" borderId="30" xfId="0" applyFont="1" applyBorder="1" applyAlignment="1" applyProtection="1">
      <alignment horizontal="center"/>
      <protection hidden="1"/>
    </xf>
    <xf numFmtId="0" fontId="95" fillId="0" borderId="31" xfId="0" applyFont="1" applyBorder="1" applyAlignment="1" applyProtection="1">
      <alignment horizontal="center" vertical="top" wrapText="1"/>
      <protection hidden="1"/>
    </xf>
    <xf numFmtId="0" fontId="95" fillId="0" borderId="45" xfId="0" applyFont="1" applyBorder="1" applyAlignment="1" applyProtection="1">
      <alignment horizontal="center" vertical="top" wrapText="1"/>
      <protection hidden="1"/>
    </xf>
    <xf numFmtId="0" fontId="94" fillId="0" borderId="9" xfId="0" applyFont="1" applyBorder="1" applyAlignment="1" applyProtection="1">
      <alignment horizontal="center" vertical="top" wrapText="1"/>
      <protection hidden="1"/>
    </xf>
    <xf numFmtId="0" fontId="190" fillId="29" borderId="10" xfId="0" applyFont="1" applyFill="1" applyBorder="1" applyAlignment="1" applyProtection="1">
      <alignment horizontal="center" vertical="center" wrapText="1" readingOrder="1"/>
      <protection hidden="1"/>
    </xf>
    <xf numFmtId="0" fontId="190" fillId="29" borderId="1" xfId="0" applyFont="1" applyFill="1" applyBorder="1" applyAlignment="1" applyProtection="1">
      <alignment horizontal="center" vertical="center" wrapText="1" readingOrder="1"/>
      <protection hidden="1"/>
    </xf>
    <xf numFmtId="0" fontId="3" fillId="27" borderId="1" xfId="0" applyFont="1" applyFill="1" applyBorder="1" applyAlignment="1" applyProtection="1">
      <alignment horizontal="center" wrapText="1"/>
      <protection hidden="1"/>
    </xf>
    <xf numFmtId="0" fontId="104" fillId="0" borderId="35" xfId="0" applyFont="1" applyBorder="1" applyAlignment="1" applyProtection="1">
      <alignment horizontal="center" vertical="center" wrapText="1"/>
      <protection hidden="1"/>
    </xf>
    <xf numFmtId="0" fontId="104" fillId="0" borderId="36" xfId="0" applyFont="1" applyBorder="1" applyAlignment="1" applyProtection="1">
      <alignment horizontal="center" vertical="center" wrapText="1"/>
      <protection hidden="1"/>
    </xf>
    <xf numFmtId="0" fontId="104" fillId="0" borderId="34" xfId="0" applyFont="1" applyBorder="1" applyAlignment="1" applyProtection="1">
      <alignment horizontal="center" vertical="center" wrapText="1"/>
      <protection hidden="1"/>
    </xf>
    <xf numFmtId="0" fontId="104" fillId="0" borderId="0" xfId="0" applyFont="1" applyAlignment="1" applyProtection="1">
      <alignment horizontal="center" vertical="center" wrapText="1"/>
      <protection hidden="1"/>
    </xf>
    <xf numFmtId="0" fontId="104" fillId="0" borderId="38" xfId="0" applyFont="1" applyBorder="1" applyAlignment="1" applyProtection="1">
      <alignment horizontal="center" vertical="center" wrapText="1"/>
      <protection hidden="1"/>
    </xf>
    <xf numFmtId="0" fontId="104" fillId="0" borderId="39" xfId="0" applyFont="1" applyBorder="1" applyAlignment="1" applyProtection="1">
      <alignment horizontal="center" vertical="center" wrapText="1"/>
      <protection hidden="1"/>
    </xf>
    <xf numFmtId="0" fontId="190" fillId="27" borderId="34" xfId="0" applyFont="1" applyFill="1" applyBorder="1" applyAlignment="1" applyProtection="1">
      <alignment horizontal="center" vertical="center" wrapText="1" readingOrder="1"/>
      <protection hidden="1"/>
    </xf>
    <xf numFmtId="0" fontId="190" fillId="27" borderId="0" xfId="0" applyFont="1" applyFill="1" applyAlignment="1" applyProtection="1">
      <alignment horizontal="center" vertical="center" wrapText="1" readingOrder="1"/>
      <protection hidden="1"/>
    </xf>
    <xf numFmtId="0" fontId="190" fillId="27" borderId="29" xfId="0" applyFont="1" applyFill="1" applyBorder="1" applyAlignment="1" applyProtection="1">
      <alignment horizontal="center" vertical="center" wrapText="1" readingOrder="1"/>
      <protection hidden="1"/>
    </xf>
    <xf numFmtId="0" fontId="99" fillId="30" borderId="35" xfId="0" applyFont="1" applyFill="1" applyBorder="1" applyAlignment="1" applyProtection="1">
      <alignment horizontal="center" vertical="center" wrapText="1"/>
      <protection hidden="1"/>
    </xf>
    <xf numFmtId="0" fontId="99" fillId="30" borderId="36" xfId="0" applyFont="1" applyFill="1" applyBorder="1" applyAlignment="1" applyProtection="1">
      <alignment horizontal="center" vertical="center" wrapText="1"/>
      <protection hidden="1"/>
    </xf>
    <xf numFmtId="0" fontId="99" fillId="30" borderId="77" xfId="0" applyFont="1" applyFill="1" applyBorder="1" applyAlignment="1" applyProtection="1">
      <alignment horizontal="center" vertical="center" wrapText="1"/>
      <protection hidden="1"/>
    </xf>
    <xf numFmtId="0" fontId="99" fillId="30" borderId="34" xfId="0" applyFont="1" applyFill="1" applyBorder="1" applyAlignment="1" applyProtection="1">
      <alignment horizontal="center" vertical="center" wrapText="1"/>
      <protection hidden="1"/>
    </xf>
    <xf numFmtId="0" fontId="99" fillId="30" borderId="0" xfId="0" applyFont="1" applyFill="1" applyAlignment="1" applyProtection="1">
      <alignment horizontal="center" vertical="center" wrapText="1"/>
      <protection hidden="1"/>
    </xf>
    <xf numFmtId="0" fontId="99" fillId="30" borderId="4" xfId="0" applyFont="1" applyFill="1" applyBorder="1" applyAlignment="1" applyProtection="1">
      <alignment horizontal="center" vertical="center" wrapText="1"/>
      <protection hidden="1"/>
    </xf>
    <xf numFmtId="0" fontId="99" fillId="30" borderId="38" xfId="0" applyFont="1" applyFill="1" applyBorder="1" applyAlignment="1" applyProtection="1">
      <alignment horizontal="center" vertical="center" wrapText="1"/>
      <protection hidden="1"/>
    </xf>
    <xf numFmtId="0" fontId="99" fillId="30" borderId="39" xfId="0" applyFont="1" applyFill="1" applyBorder="1" applyAlignment="1" applyProtection="1">
      <alignment horizontal="center" vertical="center" wrapText="1"/>
      <protection hidden="1"/>
    </xf>
    <xf numFmtId="0" fontId="99" fillId="30" borderId="72" xfId="0" applyFont="1" applyFill="1" applyBorder="1" applyAlignment="1" applyProtection="1">
      <alignment horizontal="center" vertical="center" wrapText="1"/>
      <protection hidden="1"/>
    </xf>
    <xf numFmtId="0" fontId="196" fillId="27" borderId="35" xfId="0" applyFont="1" applyFill="1" applyBorder="1" applyAlignment="1" applyProtection="1">
      <alignment horizontal="center" vertical="center" wrapText="1"/>
      <protection hidden="1"/>
    </xf>
    <xf numFmtId="0" fontId="196" fillId="27" borderId="36" xfId="0" applyFont="1" applyFill="1" applyBorder="1" applyAlignment="1" applyProtection="1">
      <alignment horizontal="center" vertical="center" wrapText="1"/>
      <protection hidden="1"/>
    </xf>
    <xf numFmtId="0" fontId="196" fillId="27" borderId="37" xfId="0" applyFont="1" applyFill="1" applyBorder="1" applyAlignment="1" applyProtection="1">
      <alignment horizontal="center" vertical="center" wrapText="1"/>
      <protection hidden="1"/>
    </xf>
    <xf numFmtId="0" fontId="196" fillId="27" borderId="34" xfId="0" applyFont="1" applyFill="1" applyBorder="1" applyAlignment="1" applyProtection="1">
      <alignment horizontal="center" vertical="center" wrapText="1"/>
      <protection hidden="1"/>
    </xf>
    <xf numFmtId="0" fontId="196" fillId="27" borderId="0" xfId="0" applyFont="1" applyFill="1" applyAlignment="1" applyProtection="1">
      <alignment horizontal="center" vertical="center" wrapText="1"/>
      <protection hidden="1"/>
    </xf>
    <xf numFmtId="0" fontId="196" fillId="27" borderId="29" xfId="0" applyFont="1" applyFill="1" applyBorder="1" applyAlignment="1" applyProtection="1">
      <alignment horizontal="center" vertical="center" wrapText="1"/>
      <protection hidden="1"/>
    </xf>
    <xf numFmtId="0" fontId="196" fillId="27" borderId="38" xfId="0" applyFont="1" applyFill="1" applyBorder="1" applyAlignment="1" applyProtection="1">
      <alignment horizontal="center" vertical="center" wrapText="1"/>
      <protection hidden="1"/>
    </xf>
    <xf numFmtId="0" fontId="196" fillId="27" borderId="39" xfId="0" applyFont="1" applyFill="1" applyBorder="1" applyAlignment="1" applyProtection="1">
      <alignment horizontal="center" vertical="center" wrapText="1"/>
      <protection hidden="1"/>
    </xf>
    <xf numFmtId="0" fontId="196" fillId="27" borderId="40" xfId="0" applyFont="1" applyFill="1" applyBorder="1" applyAlignment="1" applyProtection="1">
      <alignment horizontal="center" vertical="center" wrapText="1"/>
      <protection hidden="1"/>
    </xf>
    <xf numFmtId="0" fontId="103" fillId="0" borderId="35" xfId="0" applyFont="1" applyBorder="1" applyAlignment="1" applyProtection="1">
      <alignment horizontal="center"/>
      <protection hidden="1"/>
    </xf>
    <xf numFmtId="0" fontId="103" fillId="0" borderId="36" xfId="0" applyFont="1" applyBorder="1" applyAlignment="1" applyProtection="1">
      <alignment horizontal="center"/>
      <protection hidden="1"/>
    </xf>
    <xf numFmtId="0" fontId="103" fillId="0" borderId="37" xfId="0" applyFont="1" applyBorder="1" applyAlignment="1" applyProtection="1">
      <alignment horizontal="center"/>
      <protection hidden="1"/>
    </xf>
    <xf numFmtId="0" fontId="103" fillId="0" borderId="34" xfId="0" applyFont="1" applyBorder="1" applyAlignment="1" applyProtection="1">
      <alignment horizontal="center"/>
      <protection hidden="1"/>
    </xf>
    <xf numFmtId="0" fontId="103" fillId="0" borderId="0" xfId="0" applyFont="1" applyAlignment="1" applyProtection="1">
      <alignment horizontal="center"/>
      <protection hidden="1"/>
    </xf>
    <xf numFmtId="0" fontId="103" fillId="0" borderId="29" xfId="0" applyFont="1" applyBorder="1" applyAlignment="1" applyProtection="1">
      <alignment horizontal="center"/>
      <protection hidden="1"/>
    </xf>
    <xf numFmtId="0" fontId="103" fillId="0" borderId="38" xfId="0" applyFont="1" applyBorder="1" applyAlignment="1" applyProtection="1">
      <alignment horizontal="center"/>
      <protection hidden="1"/>
    </xf>
    <xf numFmtId="0" fontId="103" fillId="0" borderId="39" xfId="0" applyFont="1" applyBorder="1" applyAlignment="1" applyProtection="1">
      <alignment horizontal="center"/>
      <protection hidden="1"/>
    </xf>
    <xf numFmtId="0" fontId="103" fillId="0" borderId="40" xfId="0" applyFont="1" applyBorder="1" applyAlignment="1" applyProtection="1">
      <alignment horizontal="center"/>
      <protection hidden="1"/>
    </xf>
    <xf numFmtId="0" fontId="3" fillId="52" borderId="0" xfId="0" applyFont="1" applyFill="1" applyAlignment="1" applyProtection="1">
      <alignment horizontal="center" wrapText="1"/>
      <protection hidden="1"/>
    </xf>
    <xf numFmtId="0" fontId="3" fillId="52" borderId="4" xfId="0" applyFont="1" applyFill="1" applyBorder="1" applyAlignment="1" applyProtection="1">
      <alignment horizontal="center" wrapText="1"/>
      <protection hidden="1"/>
    </xf>
    <xf numFmtId="0" fontId="200" fillId="56" borderId="89" xfId="0" applyFont="1" applyFill="1" applyBorder="1" applyAlignment="1" applyProtection="1">
      <alignment horizontal="center" vertical="center" wrapText="1" readingOrder="1"/>
      <protection hidden="1"/>
    </xf>
    <xf numFmtId="0" fontId="200" fillId="56" borderId="81" xfId="0" applyFont="1" applyFill="1" applyBorder="1" applyAlignment="1" applyProtection="1">
      <alignment horizontal="center" vertical="center" wrapText="1" readingOrder="1"/>
      <protection hidden="1"/>
    </xf>
    <xf numFmtId="0" fontId="200" fillId="56" borderId="90" xfId="0" applyFont="1" applyFill="1" applyBorder="1" applyAlignment="1" applyProtection="1">
      <alignment horizontal="center" vertical="center" wrapText="1" readingOrder="1"/>
      <protection hidden="1"/>
    </xf>
    <xf numFmtId="0" fontId="145" fillId="23" borderId="1" xfId="0" applyFont="1" applyFill="1" applyBorder="1" applyAlignment="1" applyProtection="1">
      <alignment horizontal="center" vertical="center" wrapText="1" readingOrder="1"/>
      <protection hidden="1"/>
    </xf>
    <xf numFmtId="0" fontId="200" fillId="61" borderId="77" xfId="0" applyFont="1" applyFill="1" applyBorder="1" applyAlignment="1" applyProtection="1">
      <alignment horizontal="center" vertical="center" wrapText="1" readingOrder="1"/>
      <protection hidden="1"/>
    </xf>
    <xf numFmtId="0" fontId="200" fillId="61" borderId="4" xfId="0" applyFont="1" applyFill="1" applyBorder="1" applyAlignment="1" applyProtection="1">
      <alignment horizontal="center" vertical="center" wrapText="1" readingOrder="1"/>
      <protection hidden="1"/>
    </xf>
    <xf numFmtId="0" fontId="80" fillId="0" borderId="0" xfId="0" applyFont="1" applyAlignment="1" applyProtection="1">
      <alignment horizontal="center" wrapText="1"/>
      <protection hidden="1"/>
    </xf>
    <xf numFmtId="0" fontId="207" fillId="25" borderId="0" xfId="0" applyFont="1" applyFill="1" applyAlignment="1" applyProtection="1">
      <alignment horizontal="center" vertical="center" wrapText="1" readingOrder="1"/>
      <protection hidden="1"/>
    </xf>
    <xf numFmtId="2" fontId="44" fillId="25" borderId="62" xfId="0" applyNumberFormat="1" applyFont="1" applyFill="1" applyBorder="1" applyAlignment="1" applyProtection="1">
      <alignment horizontal="center" wrapText="1"/>
      <protection hidden="1"/>
    </xf>
    <xf numFmtId="2" fontId="44" fillId="25" borderId="18" xfId="0" applyNumberFormat="1" applyFont="1" applyFill="1" applyBorder="1" applyAlignment="1" applyProtection="1">
      <alignment horizontal="center" wrapText="1"/>
      <protection hidden="1"/>
    </xf>
    <xf numFmtId="2" fontId="44" fillId="25" borderId="28" xfId="0" applyNumberFormat="1" applyFont="1" applyFill="1" applyBorder="1" applyAlignment="1" applyProtection="1">
      <alignment horizontal="center" wrapText="1"/>
      <protection hidden="1"/>
    </xf>
    <xf numFmtId="0" fontId="143" fillId="0" borderId="4" xfId="0" applyFont="1" applyBorder="1" applyAlignment="1" applyProtection="1">
      <alignment horizontal="center"/>
      <protection hidden="1"/>
    </xf>
    <xf numFmtId="0" fontId="205" fillId="61" borderId="4" xfId="0" applyFont="1" applyFill="1" applyBorder="1" applyAlignment="1" applyProtection="1">
      <alignment horizontal="center" vertical="center" wrapText="1" readingOrder="1"/>
      <protection hidden="1"/>
    </xf>
    <xf numFmtId="0" fontId="197" fillId="0" borderId="27" xfId="0" applyFont="1" applyBorder="1" applyAlignment="1" applyProtection="1">
      <alignment horizontal="center" vertical="center" wrapText="1"/>
      <protection hidden="1"/>
    </xf>
    <xf numFmtId="0" fontId="197" fillId="0" borderId="10" xfId="0" applyFont="1" applyBorder="1" applyAlignment="1" applyProtection="1">
      <alignment horizontal="center" vertical="center" wrapText="1"/>
      <protection hidden="1"/>
    </xf>
    <xf numFmtId="0" fontId="94" fillId="27" borderId="65" xfId="0" applyFont="1" applyFill="1" applyBorder="1" applyAlignment="1" applyProtection="1">
      <alignment horizontal="center" vertical="top" wrapText="1"/>
      <protection hidden="1"/>
    </xf>
    <xf numFmtId="0" fontId="94" fillId="27" borderId="31" xfId="0" applyFont="1" applyFill="1" applyBorder="1" applyAlignment="1" applyProtection="1">
      <alignment horizontal="center" vertical="top" wrapText="1"/>
      <protection hidden="1"/>
    </xf>
    <xf numFmtId="0" fontId="94" fillId="27" borderId="45" xfId="0" applyFont="1" applyFill="1" applyBorder="1" applyAlignment="1" applyProtection="1">
      <alignment horizontal="center" vertical="top" wrapText="1"/>
      <protection hidden="1"/>
    </xf>
    <xf numFmtId="0" fontId="94" fillId="27" borderId="7" xfId="0" applyFont="1" applyFill="1" applyBorder="1" applyAlignment="1" applyProtection="1">
      <alignment horizontal="center" vertical="top" wrapText="1"/>
      <protection hidden="1"/>
    </xf>
    <xf numFmtId="0" fontId="196" fillId="0" borderId="27" xfId="0" applyFont="1" applyBorder="1" applyAlignment="1" applyProtection="1">
      <alignment horizontal="center" vertical="center" wrapText="1"/>
      <protection hidden="1"/>
    </xf>
    <xf numFmtId="0" fontId="196" fillId="0" borderId="10" xfId="0" applyFont="1" applyBorder="1" applyAlignment="1" applyProtection="1">
      <alignment horizontal="center" vertical="center" wrapText="1"/>
      <protection hidden="1"/>
    </xf>
    <xf numFmtId="0" fontId="196" fillId="0" borderId="61" xfId="0" applyFont="1" applyBorder="1" applyAlignment="1" applyProtection="1">
      <alignment horizontal="center" vertical="center" wrapText="1"/>
      <protection hidden="1"/>
    </xf>
    <xf numFmtId="0" fontId="94" fillId="27" borderId="26" xfId="0" applyFont="1" applyFill="1" applyBorder="1" applyAlignment="1" applyProtection="1">
      <alignment horizontal="center" vertical="top" wrapText="1"/>
      <protection hidden="1"/>
    </xf>
    <xf numFmtId="0" fontId="156" fillId="0" borderId="34" xfId="0" applyFont="1" applyBorder="1" applyAlignment="1" applyProtection="1">
      <alignment horizontal="center" vertical="center" wrapText="1" readingOrder="1"/>
      <protection hidden="1"/>
    </xf>
    <xf numFmtId="0" fontId="156" fillId="0" borderId="0" xfId="0" applyFont="1" applyAlignment="1" applyProtection="1">
      <alignment horizontal="center" vertical="center" wrapText="1" readingOrder="1"/>
      <protection hidden="1"/>
    </xf>
    <xf numFmtId="0" fontId="156" fillId="0" borderId="29" xfId="0" applyFont="1" applyBorder="1" applyAlignment="1" applyProtection="1">
      <alignment horizontal="center" vertical="center" wrapText="1" readingOrder="1"/>
      <protection hidden="1"/>
    </xf>
    <xf numFmtId="0" fontId="196" fillId="0" borderId="0" xfId="0" applyFont="1" applyAlignment="1" applyProtection="1">
      <alignment horizontal="center" vertical="center" wrapText="1"/>
      <protection hidden="1"/>
    </xf>
    <xf numFmtId="0" fontId="196" fillId="0" borderId="29" xfId="0" applyFont="1" applyBorder="1" applyAlignment="1" applyProtection="1">
      <alignment horizontal="center" vertical="center" wrapText="1"/>
      <protection hidden="1"/>
    </xf>
    <xf numFmtId="0" fontId="196" fillId="0" borderId="39" xfId="0" applyFont="1" applyBorder="1" applyAlignment="1" applyProtection="1">
      <alignment horizontal="center" vertical="center" wrapText="1"/>
      <protection hidden="1"/>
    </xf>
    <xf numFmtId="0" fontId="196" fillId="0" borderId="40" xfId="0" applyFont="1" applyBorder="1" applyAlignment="1" applyProtection="1">
      <alignment horizontal="center" vertical="center" wrapText="1"/>
      <protection hidden="1"/>
    </xf>
    <xf numFmtId="0" fontId="95" fillId="0" borderId="0" xfId="0" applyFont="1" applyAlignment="1" applyProtection="1">
      <alignment horizontal="center" vertical="top" wrapText="1"/>
      <protection hidden="1"/>
    </xf>
    <xf numFmtId="0" fontId="157" fillId="62" borderId="77" xfId="0" applyFont="1" applyFill="1" applyBorder="1" applyAlignment="1" applyProtection="1">
      <alignment horizontal="center" vertical="center" wrapText="1" readingOrder="1"/>
      <protection hidden="1"/>
    </xf>
    <xf numFmtId="0" fontId="157" fillId="62" borderId="4" xfId="0" applyFont="1" applyFill="1" applyBorder="1" applyAlignment="1" applyProtection="1">
      <alignment horizontal="center" vertical="center" wrapText="1" readingOrder="1"/>
      <protection hidden="1"/>
    </xf>
    <xf numFmtId="0" fontId="156" fillId="62" borderId="62" xfId="0" applyFont="1" applyFill="1" applyBorder="1" applyAlignment="1" applyProtection="1">
      <alignment horizontal="center" vertical="center" wrapText="1" readingOrder="1"/>
      <protection hidden="1"/>
    </xf>
    <xf numFmtId="0" fontId="156" fillId="62" borderId="18" xfId="0" applyFont="1" applyFill="1" applyBorder="1" applyAlignment="1" applyProtection="1">
      <alignment horizontal="center" vertical="center" wrapText="1" readingOrder="1"/>
      <protection hidden="1"/>
    </xf>
    <xf numFmtId="0" fontId="156" fillId="62" borderId="28" xfId="0" applyFont="1" applyFill="1" applyBorder="1" applyAlignment="1" applyProtection="1">
      <alignment horizontal="center" vertical="center" wrapText="1" readingOrder="1"/>
      <protection hidden="1"/>
    </xf>
    <xf numFmtId="0" fontId="156" fillId="63" borderId="3" xfId="0" applyFont="1" applyFill="1" applyBorder="1" applyAlignment="1" applyProtection="1">
      <alignment horizontal="center" vertical="center" wrapText="1" readingOrder="1"/>
      <protection hidden="1"/>
    </xf>
    <xf numFmtId="0" fontId="156" fillId="63" borderId="11" xfId="0" applyFont="1" applyFill="1" applyBorder="1" applyAlignment="1" applyProtection="1">
      <alignment horizontal="center" vertical="center" wrapText="1" readingOrder="1"/>
      <protection hidden="1"/>
    </xf>
    <xf numFmtId="0" fontId="157" fillId="31" borderId="29" xfId="0" applyFont="1" applyFill="1" applyBorder="1" applyAlignment="1" applyProtection="1">
      <alignment horizontal="center" vertical="center" wrapText="1" readingOrder="1"/>
      <protection hidden="1"/>
    </xf>
    <xf numFmtId="0" fontId="157" fillId="56" borderId="89" xfId="0" applyFont="1" applyFill="1" applyBorder="1" applyAlignment="1" applyProtection="1">
      <alignment horizontal="center" vertical="center" wrapText="1" readingOrder="1"/>
      <protection hidden="1"/>
    </xf>
    <xf numFmtId="0" fontId="157" fillId="56" borderId="81" xfId="0" applyFont="1" applyFill="1" applyBorder="1" applyAlignment="1" applyProtection="1">
      <alignment horizontal="center" vertical="center" wrapText="1" readingOrder="1"/>
      <protection hidden="1"/>
    </xf>
    <xf numFmtId="0" fontId="157" fillId="56" borderId="90" xfId="0" applyFont="1" applyFill="1" applyBorder="1" applyAlignment="1" applyProtection="1">
      <alignment horizontal="center" vertical="center" wrapText="1" readingOrder="1"/>
      <protection hidden="1"/>
    </xf>
    <xf numFmtId="0" fontId="156" fillId="56" borderId="24" xfId="0" applyFont="1" applyFill="1" applyBorder="1" applyAlignment="1" applyProtection="1">
      <alignment horizontal="center" vertical="center" wrapText="1" readingOrder="1"/>
      <protection hidden="1"/>
    </xf>
    <xf numFmtId="0" fontId="156" fillId="56" borderId="25" xfId="0" applyFont="1" applyFill="1" applyBorder="1" applyAlignment="1" applyProtection="1">
      <alignment horizontal="center" vertical="center" wrapText="1" readingOrder="1"/>
      <protection hidden="1"/>
    </xf>
    <xf numFmtId="0" fontId="156" fillId="56" borderId="26" xfId="0" applyFont="1" applyFill="1" applyBorder="1" applyAlignment="1" applyProtection="1">
      <alignment horizontal="center" vertical="center" wrapText="1" readingOrder="1"/>
      <protection hidden="1"/>
    </xf>
    <xf numFmtId="0" fontId="157" fillId="61" borderId="77" xfId="0" applyFont="1" applyFill="1" applyBorder="1" applyAlignment="1" applyProtection="1">
      <alignment horizontal="center" vertical="center" wrapText="1" readingOrder="1"/>
      <protection hidden="1"/>
    </xf>
    <xf numFmtId="0" fontId="157" fillId="61" borderId="4" xfId="0" applyFont="1" applyFill="1" applyBorder="1" applyAlignment="1" applyProtection="1">
      <alignment horizontal="center" vertical="center" wrapText="1" readingOrder="1"/>
      <protection hidden="1"/>
    </xf>
    <xf numFmtId="0" fontId="134" fillId="30" borderId="5" xfId="0" applyFont="1" applyFill="1" applyBorder="1" applyAlignment="1" applyProtection="1">
      <alignment horizontal="center" vertical="center" wrapText="1"/>
      <protection hidden="1"/>
    </xf>
    <xf numFmtId="0" fontId="134" fillId="30" borderId="0" xfId="0" applyFont="1" applyFill="1" applyAlignment="1" applyProtection="1">
      <alignment horizontal="center" vertical="center" wrapText="1"/>
      <protection hidden="1"/>
    </xf>
    <xf numFmtId="0" fontId="134" fillId="30" borderId="4" xfId="0" applyFont="1" applyFill="1" applyBorder="1" applyAlignment="1" applyProtection="1">
      <alignment horizontal="center" vertical="center" wrapText="1"/>
      <protection hidden="1"/>
    </xf>
    <xf numFmtId="0" fontId="200" fillId="31" borderId="78" xfId="0" applyFont="1" applyFill="1" applyBorder="1" applyAlignment="1" applyProtection="1">
      <alignment horizontal="center" vertical="center" wrapText="1" readingOrder="1"/>
      <protection hidden="1"/>
    </xf>
    <xf numFmtId="0" fontId="200" fillId="31" borderId="37" xfId="0" applyFont="1" applyFill="1" applyBorder="1" applyAlignment="1" applyProtection="1">
      <alignment horizontal="center" vertical="center" wrapText="1" readingOrder="1"/>
      <protection hidden="1"/>
    </xf>
    <xf numFmtId="0" fontId="200" fillId="31" borderId="29" xfId="0" applyFont="1" applyFill="1" applyBorder="1" applyAlignment="1" applyProtection="1">
      <alignment horizontal="center" vertical="center" wrapText="1" readingOrder="1"/>
      <protection hidden="1"/>
    </xf>
    <xf numFmtId="0" fontId="200" fillId="63" borderId="4" xfId="0" applyFont="1" applyFill="1" applyBorder="1" applyAlignment="1" applyProtection="1">
      <alignment horizontal="center" vertical="center" wrapText="1" readingOrder="1"/>
      <protection hidden="1"/>
    </xf>
    <xf numFmtId="0" fontId="200" fillId="31" borderId="5" xfId="0" applyFont="1" applyFill="1" applyBorder="1" applyAlignment="1" applyProtection="1">
      <alignment horizontal="center" vertical="center" wrapText="1" readingOrder="1"/>
      <protection hidden="1"/>
    </xf>
    <xf numFmtId="0" fontId="200" fillId="31" borderId="0" xfId="0" applyFont="1" applyFill="1" applyAlignment="1" applyProtection="1">
      <alignment horizontal="center" vertical="center" wrapText="1" readingOrder="1"/>
      <protection hidden="1"/>
    </xf>
    <xf numFmtId="0" fontId="205" fillId="56" borderId="89" xfId="0" applyFont="1" applyFill="1" applyBorder="1" applyAlignment="1" applyProtection="1">
      <alignment horizontal="center" vertical="center" wrapText="1" readingOrder="1"/>
      <protection hidden="1"/>
    </xf>
    <xf numFmtId="0" fontId="205" fillId="56" borderId="81" xfId="0" applyFont="1" applyFill="1" applyBorder="1" applyAlignment="1" applyProtection="1">
      <alignment horizontal="center" vertical="center" wrapText="1" readingOrder="1"/>
      <protection hidden="1"/>
    </xf>
    <xf numFmtId="0" fontId="205" fillId="56" borderId="90" xfId="0" applyFont="1" applyFill="1" applyBorder="1" applyAlignment="1" applyProtection="1">
      <alignment horizontal="center" vertical="center" wrapText="1" readingOrder="1"/>
      <protection hidden="1"/>
    </xf>
    <xf numFmtId="0" fontId="205" fillId="62" borderId="77" xfId="0" applyFont="1" applyFill="1" applyBorder="1" applyAlignment="1" applyProtection="1">
      <alignment horizontal="center" vertical="center" wrapText="1" readingOrder="1"/>
      <protection hidden="1"/>
    </xf>
    <xf numFmtId="0" fontId="205" fillId="62" borderId="4" xfId="0" applyFont="1" applyFill="1" applyBorder="1" applyAlignment="1" applyProtection="1">
      <alignment horizontal="center" vertical="center" wrapText="1" readingOrder="1"/>
      <protection hidden="1"/>
    </xf>
    <xf numFmtId="0" fontId="205" fillId="31" borderId="29" xfId="0" applyFont="1" applyFill="1" applyBorder="1" applyAlignment="1" applyProtection="1">
      <alignment horizontal="center" vertical="center" wrapText="1" readingOrder="1"/>
      <protection hidden="1"/>
    </xf>
    <xf numFmtId="0" fontId="205" fillId="63" borderId="4" xfId="0" applyFont="1" applyFill="1" applyBorder="1" applyAlignment="1" applyProtection="1">
      <alignment horizontal="center" vertical="center" wrapText="1" readingOrder="1"/>
      <protection hidden="1"/>
    </xf>
    <xf numFmtId="0" fontId="205" fillId="31" borderId="5" xfId="0" applyFont="1" applyFill="1" applyBorder="1" applyAlignment="1" applyProtection="1">
      <alignment horizontal="center" vertical="center" wrapText="1" readingOrder="1"/>
      <protection hidden="1"/>
    </xf>
    <xf numFmtId="0" fontId="205" fillId="31" borderId="0" xfId="0" applyFont="1" applyFill="1" applyAlignment="1" applyProtection="1">
      <alignment horizontal="center" vertical="center" wrapText="1" readingOrder="1"/>
      <protection hidden="1"/>
    </xf>
    <xf numFmtId="0" fontId="200" fillId="62" borderId="77" xfId="0" applyFont="1" applyFill="1" applyBorder="1" applyAlignment="1" applyProtection="1">
      <alignment horizontal="center" vertical="center" wrapText="1" readingOrder="1"/>
      <protection hidden="1"/>
    </xf>
    <xf numFmtId="0" fontId="200" fillId="62" borderId="4" xfId="0" applyFont="1" applyFill="1" applyBorder="1" applyAlignment="1" applyProtection="1">
      <alignment horizontal="center" vertical="center" wrapText="1" readingOrder="1"/>
      <protection hidden="1"/>
    </xf>
    <xf numFmtId="0" fontId="203" fillId="26" borderId="86" xfId="0" applyFont="1" applyFill="1" applyBorder="1" applyAlignment="1" applyProtection="1">
      <alignment horizontal="center" vertical="center" wrapText="1" readingOrder="1"/>
      <protection hidden="1"/>
    </xf>
    <xf numFmtId="0" fontId="203" fillId="26" borderId="39" xfId="0" applyFont="1" applyFill="1" applyBorder="1" applyAlignment="1" applyProtection="1">
      <alignment horizontal="center" vertical="center" wrapText="1" readingOrder="1"/>
      <protection hidden="1"/>
    </xf>
    <xf numFmtId="0" fontId="203" fillId="26" borderId="40" xfId="0" applyFont="1" applyFill="1" applyBorder="1" applyAlignment="1" applyProtection="1">
      <alignment horizontal="center" vertical="center" wrapText="1" readingOrder="1"/>
      <protection hidden="1"/>
    </xf>
    <xf numFmtId="0" fontId="203" fillId="29" borderId="71" xfId="0" applyFont="1" applyFill="1" applyBorder="1" applyAlignment="1" applyProtection="1">
      <alignment horizontal="center" vertical="center" wrapText="1" readingOrder="1"/>
      <protection hidden="1"/>
    </xf>
    <xf numFmtId="0" fontId="203" fillId="29" borderId="73" xfId="0" applyFont="1" applyFill="1" applyBorder="1" applyAlignment="1" applyProtection="1">
      <alignment horizontal="center" vertical="center" wrapText="1" readingOrder="1"/>
      <protection hidden="1"/>
    </xf>
    <xf numFmtId="0" fontId="203" fillId="29" borderId="58" xfId="0" applyFont="1" applyFill="1" applyBorder="1" applyAlignment="1" applyProtection="1">
      <alignment horizontal="center" vertical="center" wrapText="1" readingOrder="1"/>
      <protection hidden="1"/>
    </xf>
    <xf numFmtId="0" fontId="105" fillId="0" borderId="10" xfId="0" applyFont="1" applyBorder="1" applyAlignment="1" applyProtection="1">
      <alignment horizontal="center" vertical="center" wrapText="1"/>
      <protection hidden="1"/>
    </xf>
    <xf numFmtId="0" fontId="105" fillId="0" borderId="1" xfId="0" applyFont="1" applyBorder="1" applyAlignment="1" applyProtection="1">
      <alignment horizontal="center" vertical="center" wrapText="1"/>
      <protection hidden="1"/>
    </xf>
    <xf numFmtId="0" fontId="53" fillId="0" borderId="7" xfId="0" applyFont="1" applyBorder="1" applyAlignment="1" applyProtection="1">
      <alignment horizontal="center" vertical="top" wrapText="1"/>
      <protection hidden="1"/>
    </xf>
    <xf numFmtId="0" fontId="53" fillId="0" borderId="7" xfId="0" applyFont="1" applyBorder="1" applyAlignment="1" applyProtection="1">
      <alignment horizontal="center" wrapText="1"/>
      <protection hidden="1"/>
    </xf>
    <xf numFmtId="0" fontId="200" fillId="30" borderId="89" xfId="0" applyFont="1" applyFill="1" applyBorder="1" applyAlignment="1" applyProtection="1">
      <alignment horizontal="center" vertical="center" wrapText="1" readingOrder="1"/>
      <protection hidden="1"/>
    </xf>
    <xf numFmtId="0" fontId="200" fillId="30" borderId="81" xfId="0" applyFont="1" applyFill="1" applyBorder="1" applyAlignment="1" applyProtection="1">
      <alignment horizontal="center" vertical="center" wrapText="1" readingOrder="1"/>
      <protection hidden="1"/>
    </xf>
    <xf numFmtId="0" fontId="32" fillId="0" borderId="4" xfId="0" applyFont="1" applyBorder="1" applyAlignment="1" applyProtection="1">
      <alignment horizontal="center" wrapText="1"/>
      <protection hidden="1"/>
    </xf>
    <xf numFmtId="0" fontId="104" fillId="27" borderId="10" xfId="0" applyFont="1" applyFill="1" applyBorder="1" applyAlignment="1" applyProtection="1">
      <alignment horizontal="center" vertical="center" wrapText="1"/>
      <protection hidden="1"/>
    </xf>
    <xf numFmtId="0" fontId="104" fillId="27" borderId="1" xfId="0" applyFont="1" applyFill="1" applyBorder="1" applyAlignment="1" applyProtection="1">
      <alignment horizontal="center" vertical="center" wrapText="1"/>
      <protection hidden="1"/>
    </xf>
    <xf numFmtId="0" fontId="229" fillId="0" borderId="87" xfId="0" applyFont="1" applyBorder="1" applyAlignment="1" applyProtection="1">
      <alignment horizontal="center" vertical="top" wrapText="1"/>
      <protection hidden="1"/>
    </xf>
    <xf numFmtId="0" fontId="231" fillId="0" borderId="24" xfId="0" applyFont="1" applyBorder="1" applyAlignment="1" applyProtection="1">
      <alignment horizontal="center"/>
      <protection hidden="1"/>
    </xf>
    <xf numFmtId="0" fontId="231" fillId="0" borderId="25" xfId="0" applyFont="1" applyBorder="1" applyAlignment="1" applyProtection="1">
      <alignment horizontal="center"/>
      <protection hidden="1"/>
    </xf>
    <xf numFmtId="0" fontId="244" fillId="41" borderId="62" xfId="0" applyFont="1" applyFill="1" applyBorder="1" applyAlignment="1" applyProtection="1">
      <alignment horizontal="center" wrapText="1" readingOrder="1"/>
      <protection hidden="1"/>
    </xf>
    <xf numFmtId="0" fontId="244" fillId="41" borderId="28" xfId="0" applyFont="1" applyFill="1" applyBorder="1" applyAlignment="1" applyProtection="1">
      <alignment horizontal="center" wrapText="1" readingOrder="1"/>
      <protection hidden="1"/>
    </xf>
    <xf numFmtId="0" fontId="44" fillId="0" borderId="62" xfId="0" applyFont="1" applyBorder="1" applyAlignment="1" applyProtection="1">
      <alignment horizontal="center"/>
      <protection hidden="1"/>
    </xf>
    <xf numFmtId="0" fontId="44" fillId="0" borderId="18" xfId="0" applyFont="1" applyBorder="1" applyAlignment="1" applyProtection="1">
      <alignment horizontal="center"/>
      <protection hidden="1"/>
    </xf>
    <xf numFmtId="0" fontId="44" fillId="0" borderId="28" xfId="0" applyFont="1" applyBorder="1" applyAlignment="1" applyProtection="1">
      <alignment horizontal="center"/>
      <protection hidden="1"/>
    </xf>
    <xf numFmtId="0" fontId="244" fillId="29" borderId="10" xfId="0" applyFont="1" applyFill="1" applyBorder="1" applyAlignment="1" applyProtection="1">
      <alignment horizontal="center" vertical="center" wrapText="1" readingOrder="1"/>
      <protection hidden="1"/>
    </xf>
    <xf numFmtId="0" fontId="244" fillId="29" borderId="1" xfId="0" applyFont="1" applyFill="1" applyBorder="1" applyAlignment="1" applyProtection="1">
      <alignment horizontal="center" vertical="center" wrapText="1" readingOrder="1"/>
      <protection hidden="1"/>
    </xf>
    <xf numFmtId="0" fontId="50" fillId="0" borderId="1" xfId="0" applyFont="1" applyBorder="1" applyAlignment="1" applyProtection="1">
      <alignment horizontal="center"/>
      <protection hidden="1"/>
    </xf>
    <xf numFmtId="0" fontId="243" fillId="27" borderId="1" xfId="0" applyFont="1" applyFill="1" applyBorder="1" applyAlignment="1" applyProtection="1">
      <alignment horizontal="center" vertical="center" wrapText="1" readingOrder="1"/>
      <protection hidden="1"/>
    </xf>
    <xf numFmtId="0" fontId="243" fillId="27" borderId="40" xfId="0" applyFont="1" applyFill="1" applyBorder="1" applyAlignment="1" applyProtection="1">
      <alignment horizontal="center" vertical="center" wrapText="1" readingOrder="1"/>
      <protection hidden="1"/>
    </xf>
    <xf numFmtId="0" fontId="82" fillId="0" borderId="59" xfId="0" applyFont="1" applyBorder="1" applyAlignment="1" applyProtection="1">
      <alignment horizontal="center"/>
      <protection hidden="1"/>
    </xf>
    <xf numFmtId="0" fontId="82" fillId="0" borderId="31" xfId="0" applyFont="1" applyBorder="1" applyAlignment="1" applyProtection="1">
      <alignment horizontal="center"/>
      <protection hidden="1"/>
    </xf>
    <xf numFmtId="0" fontId="82" fillId="0" borderId="10" xfId="0" applyFont="1" applyBorder="1" applyAlignment="1" applyProtection="1">
      <alignment horizontal="center"/>
      <protection hidden="1"/>
    </xf>
    <xf numFmtId="0" fontId="82" fillId="0" borderId="1" xfId="0" applyFont="1" applyBorder="1" applyAlignment="1" applyProtection="1">
      <alignment horizontal="center"/>
      <protection hidden="1"/>
    </xf>
    <xf numFmtId="0" fontId="82" fillId="0" borderId="61" xfId="0" applyFont="1" applyBorder="1" applyAlignment="1" applyProtection="1">
      <alignment horizontal="center"/>
      <protection hidden="1"/>
    </xf>
    <xf numFmtId="0" fontId="82" fillId="0" borderId="30" xfId="0" applyFont="1" applyBorder="1" applyAlignment="1" applyProtection="1">
      <alignment horizontal="center"/>
      <protection hidden="1"/>
    </xf>
    <xf numFmtId="0" fontId="82" fillId="27" borderId="10" xfId="0" applyFont="1" applyFill="1" applyBorder="1" applyAlignment="1" applyProtection="1">
      <alignment horizontal="center" vertical="center" wrapText="1"/>
      <protection hidden="1"/>
    </xf>
    <xf numFmtId="0" fontId="82" fillId="27" borderId="1" xfId="0" applyFont="1" applyFill="1" applyBorder="1" applyAlignment="1" applyProtection="1">
      <alignment horizontal="center" vertical="center" wrapText="1"/>
      <protection hidden="1"/>
    </xf>
    <xf numFmtId="0" fontId="82" fillId="27" borderId="62" xfId="0" applyFont="1" applyFill="1" applyBorder="1" applyAlignment="1" applyProtection="1">
      <alignment horizontal="center" vertical="center" wrapText="1"/>
      <protection hidden="1"/>
    </xf>
    <xf numFmtId="0" fontId="235" fillId="26" borderId="86" xfId="0" applyFont="1" applyFill="1" applyBorder="1" applyAlignment="1" applyProtection="1">
      <alignment horizontal="center" vertical="center" wrapText="1" readingOrder="1"/>
      <protection hidden="1"/>
    </xf>
    <xf numFmtId="0" fontId="235" fillId="26" borderId="39" xfId="0" applyFont="1" applyFill="1" applyBorder="1" applyAlignment="1" applyProtection="1">
      <alignment horizontal="center" vertical="center" wrapText="1" readingOrder="1"/>
      <protection hidden="1"/>
    </xf>
    <xf numFmtId="0" fontId="235" fillId="26" borderId="40" xfId="0" applyFont="1" applyFill="1" applyBorder="1" applyAlignment="1" applyProtection="1">
      <alignment horizontal="center" vertical="center" wrapText="1" readingOrder="1"/>
      <protection hidden="1"/>
    </xf>
    <xf numFmtId="0" fontId="235" fillId="29" borderId="71" xfId="0" applyFont="1" applyFill="1" applyBorder="1" applyAlignment="1" applyProtection="1">
      <alignment horizontal="center" vertical="center" wrapText="1" readingOrder="1"/>
      <protection hidden="1"/>
    </xf>
    <xf numFmtId="0" fontId="235" fillId="29" borderId="73" xfId="0" applyFont="1" applyFill="1" applyBorder="1" applyAlignment="1" applyProtection="1">
      <alignment horizontal="center" vertical="center" wrapText="1" readingOrder="1"/>
      <protection hidden="1"/>
    </xf>
    <xf numFmtId="0" fontId="235" fillId="29" borderId="58" xfId="0" applyFont="1" applyFill="1" applyBorder="1" applyAlignment="1" applyProtection="1">
      <alignment horizontal="center" vertical="center" wrapText="1" readingOrder="1"/>
      <protection hidden="1"/>
    </xf>
    <xf numFmtId="0" fontId="157" fillId="67" borderId="1" xfId="0" applyFont="1" applyFill="1" applyBorder="1" applyAlignment="1" applyProtection="1">
      <alignment horizontal="center" vertical="center" wrapText="1" readingOrder="1"/>
      <protection hidden="1"/>
    </xf>
    <xf numFmtId="0" fontId="0" fillId="0" borderId="95" xfId="0" applyBorder="1" applyAlignment="1">
      <alignment horizontal="left" vertical="top"/>
    </xf>
    <xf numFmtId="0" fontId="216" fillId="43" borderId="96" xfId="0" applyFont="1" applyFill="1" applyBorder="1" applyAlignment="1">
      <alignment horizontal="center" vertical="top"/>
    </xf>
    <xf numFmtId="0" fontId="180" fillId="43" borderId="94" xfId="0" applyFont="1" applyFill="1" applyBorder="1" applyAlignment="1">
      <alignment horizontal="center" vertical="top" wrapText="1"/>
    </xf>
    <xf numFmtId="0" fontId="180" fillId="43" borderId="97" xfId="0" applyFont="1" applyFill="1" applyBorder="1" applyAlignment="1">
      <alignment horizontal="left" vertical="top" wrapText="1"/>
    </xf>
    <xf numFmtId="0" fontId="180" fillId="43" borderId="98" xfId="0" applyFont="1" applyFill="1" applyBorder="1" applyAlignment="1">
      <alignment horizontal="left" vertical="top" wrapText="1"/>
    </xf>
    <xf numFmtId="0" fontId="216" fillId="43" borderId="99" xfId="0" applyFont="1" applyFill="1" applyBorder="1" applyAlignment="1">
      <alignment horizontal="right" vertical="top"/>
    </xf>
    <xf numFmtId="0" fontId="147" fillId="43" borderId="94" xfId="0" applyFont="1" applyFill="1" applyBorder="1" applyAlignment="1">
      <alignment horizontal="left" vertical="top" wrapText="1"/>
    </xf>
    <xf numFmtId="0" fontId="180" fillId="43" borderId="94" xfId="0" applyFont="1" applyFill="1" applyBorder="1" applyAlignment="1">
      <alignment horizontal="left" vertical="top" wrapText="1"/>
    </xf>
    <xf numFmtId="0" fontId="3" fillId="0" borderId="0" xfId="0" applyFont="1" applyProtection="1">
      <protection hidden="1"/>
    </xf>
    <xf numFmtId="0" fontId="0" fillId="4" borderId="89" xfId="0" applyFill="1" applyBorder="1" applyAlignment="1" applyProtection="1">
      <alignment horizontal="center" vertical="center"/>
      <protection hidden="1"/>
    </xf>
    <xf numFmtId="0" fontId="0" fillId="0" borderId="27" xfId="0" applyBorder="1" applyAlignment="1" applyProtection="1">
      <alignment horizontal="center" vertical="center"/>
      <protection hidden="1"/>
    </xf>
    <xf numFmtId="0" fontId="1" fillId="4" borderId="31" xfId="0" applyFont="1" applyFill="1" applyBorder="1" applyAlignment="1" applyProtection="1">
      <alignment horizontal="center"/>
      <protection hidden="1"/>
    </xf>
    <xf numFmtId="0" fontId="1" fillId="4" borderId="45" xfId="0" applyFont="1" applyFill="1" applyBorder="1" applyAlignment="1" applyProtection="1">
      <alignment horizontal="center"/>
      <protection hidden="1"/>
    </xf>
    <xf numFmtId="0" fontId="0" fillId="4" borderId="33" xfId="0" applyFill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1" fillId="4" borderId="1" xfId="0" applyFont="1" applyFill="1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0" fillId="0" borderId="63" xfId="0" applyBorder="1" applyAlignment="1" applyProtection="1">
      <alignment horizontal="center"/>
      <protection hidden="1"/>
    </xf>
    <xf numFmtId="0" fontId="0" fillId="0" borderId="73" xfId="0" applyBorder="1" applyAlignment="1" applyProtection="1">
      <alignment horizontal="center"/>
      <protection hidden="1"/>
    </xf>
    <xf numFmtId="0" fontId="0" fillId="0" borderId="58" xfId="0" applyBorder="1" applyAlignment="1" applyProtection="1">
      <alignment horizontal="center"/>
      <protection hidden="1"/>
    </xf>
    <xf numFmtId="0" fontId="0" fillId="0" borderId="24" xfId="0" applyBorder="1" applyAlignment="1" applyProtection="1">
      <alignment horizontal="center"/>
      <protection hidden="1"/>
    </xf>
    <xf numFmtId="0" fontId="0" fillId="0" borderId="25" xfId="0" applyBorder="1" applyAlignment="1" applyProtection="1">
      <alignment horizontal="center"/>
      <protection hidden="1"/>
    </xf>
    <xf numFmtId="0" fontId="0" fillId="0" borderId="26" xfId="0" applyBorder="1" applyAlignment="1" applyProtection="1">
      <alignment horizontal="center"/>
      <protection hidden="1"/>
    </xf>
    <xf numFmtId="0" fontId="1" fillId="4" borderId="1" xfId="0" applyFont="1" applyFill="1" applyBorder="1" applyAlignment="1" applyProtection="1">
      <alignment horizontal="center" vertical="center" wrapText="1"/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46" fillId="0" borderId="12" xfId="0" applyFont="1" applyBorder="1" applyAlignment="1" applyProtection="1">
      <alignment horizontal="center" vertical="center" wrapText="1"/>
      <protection hidden="1"/>
    </xf>
    <xf numFmtId="0" fontId="46" fillId="0" borderId="16" xfId="0" applyFont="1" applyBorder="1" applyAlignment="1" applyProtection="1">
      <alignment horizontal="center" vertical="center" wrapText="1"/>
      <protection hidden="1"/>
    </xf>
    <xf numFmtId="0" fontId="60" fillId="9" borderId="31" xfId="0" applyFont="1" applyFill="1" applyBorder="1" applyAlignment="1" applyProtection="1">
      <alignment horizontal="center"/>
      <protection hidden="1"/>
    </xf>
    <xf numFmtId="0" fontId="60" fillId="9" borderId="45" xfId="0" applyFont="1" applyFill="1" applyBorder="1" applyAlignment="1" applyProtection="1">
      <alignment horizontal="center"/>
      <protection hidden="1"/>
    </xf>
    <xf numFmtId="0" fontId="60" fillId="9" borderId="1" xfId="0" applyFont="1" applyFill="1" applyBorder="1" applyAlignment="1" applyProtection="1">
      <alignment horizontal="center"/>
      <protection hidden="1"/>
    </xf>
    <xf numFmtId="0" fontId="60" fillId="9" borderId="9" xfId="0" applyFont="1" applyFill="1" applyBorder="1" applyAlignment="1" applyProtection="1">
      <alignment horizontal="center"/>
      <protection hidden="1"/>
    </xf>
    <xf numFmtId="0" fontId="0" fillId="11" borderId="38" xfId="0" applyFill="1" applyBorder="1" applyAlignment="1" applyProtection="1">
      <alignment horizontal="center"/>
      <protection hidden="1"/>
    </xf>
    <xf numFmtId="0" fontId="0" fillId="11" borderId="39" xfId="0" applyFill="1" applyBorder="1" applyAlignment="1" applyProtection="1">
      <alignment horizontal="center"/>
      <protection hidden="1"/>
    </xf>
    <xf numFmtId="0" fontId="60" fillId="0" borderId="0" xfId="0" applyFont="1" applyAlignment="1" applyProtection="1">
      <alignment horizontal="center"/>
      <protection hidden="1"/>
    </xf>
    <xf numFmtId="0" fontId="46" fillId="6" borderId="12" xfId="0" applyFont="1" applyFill="1" applyBorder="1" applyAlignment="1" applyProtection="1">
      <alignment horizontal="center" vertical="center" wrapText="1"/>
      <protection hidden="1"/>
    </xf>
    <xf numFmtId="0" fontId="46" fillId="6" borderId="16" xfId="0" applyFont="1" applyFill="1" applyBorder="1" applyAlignment="1" applyProtection="1">
      <alignment horizontal="center" vertical="center" wrapText="1"/>
      <protection hidden="1"/>
    </xf>
    <xf numFmtId="0" fontId="46" fillId="9" borderId="0" xfId="0" applyFont="1" applyFill="1" applyAlignment="1" applyProtection="1">
      <alignment horizontal="center" vertical="center" wrapText="1"/>
      <protection hidden="1"/>
    </xf>
    <xf numFmtId="0" fontId="46" fillId="10" borderId="12" xfId="0" applyFont="1" applyFill="1" applyBorder="1" applyAlignment="1" applyProtection="1">
      <alignment horizontal="center" vertical="center" wrapText="1"/>
      <protection hidden="1"/>
    </xf>
    <xf numFmtId="0" fontId="46" fillId="10" borderId="16" xfId="0" applyFont="1" applyFill="1" applyBorder="1" applyAlignment="1" applyProtection="1">
      <alignment horizontal="center" vertical="center" wrapText="1"/>
      <protection hidden="1"/>
    </xf>
    <xf numFmtId="0" fontId="60" fillId="6" borderId="1" xfId="0" applyFont="1" applyFill="1" applyBorder="1" applyAlignment="1" applyProtection="1">
      <alignment horizontal="center"/>
      <protection hidden="1"/>
    </xf>
    <xf numFmtId="0" fontId="60" fillId="6" borderId="9" xfId="0" applyFont="1" applyFill="1" applyBorder="1" applyAlignment="1" applyProtection="1">
      <alignment horizontal="center"/>
      <protection hidden="1"/>
    </xf>
    <xf numFmtId="0" fontId="3" fillId="11" borderId="63" xfId="0" applyFont="1" applyFill="1" applyBorder="1" applyAlignment="1" applyProtection="1">
      <alignment horizontal="center"/>
      <protection hidden="1"/>
    </xf>
    <xf numFmtId="0" fontId="3" fillId="11" borderId="73" xfId="0" applyFont="1" applyFill="1" applyBorder="1" applyAlignment="1" applyProtection="1">
      <alignment horizontal="center"/>
      <protection hidden="1"/>
    </xf>
    <xf numFmtId="0" fontId="3" fillId="11" borderId="88" xfId="0" applyFont="1" applyFill="1" applyBorder="1" applyAlignment="1" applyProtection="1">
      <alignment horizontal="center"/>
      <protection hidden="1"/>
    </xf>
    <xf numFmtId="0" fontId="60" fillId="0" borderId="34" xfId="0" applyFont="1" applyBorder="1" applyAlignment="1" applyProtection="1">
      <alignment horizontal="center"/>
      <protection hidden="1"/>
    </xf>
    <xf numFmtId="0" fontId="73" fillId="0" borderId="35" xfId="0" applyFont="1" applyBorder="1" applyAlignment="1" applyProtection="1">
      <alignment horizontal="center"/>
      <protection hidden="1"/>
    </xf>
    <xf numFmtId="0" fontId="73" fillId="0" borderId="36" xfId="0" applyFont="1" applyBorder="1" applyAlignment="1" applyProtection="1">
      <alignment horizontal="center"/>
      <protection hidden="1"/>
    </xf>
    <xf numFmtId="0" fontId="73" fillId="0" borderId="37" xfId="0" applyFont="1" applyBorder="1" applyAlignment="1" applyProtection="1">
      <alignment horizontal="center"/>
      <protection hidden="1"/>
    </xf>
    <xf numFmtId="0" fontId="60" fillId="10" borderId="1" xfId="0" applyFont="1" applyFill="1" applyBorder="1" applyAlignment="1" applyProtection="1">
      <alignment horizontal="center"/>
      <protection hidden="1"/>
    </xf>
    <xf numFmtId="0" fontId="60" fillId="10" borderId="9" xfId="0" applyFont="1" applyFill="1" applyBorder="1" applyAlignment="1" applyProtection="1">
      <alignment horizontal="center"/>
      <protection hidden="1"/>
    </xf>
    <xf numFmtId="0" fontId="3" fillId="9" borderId="1" xfId="0" applyFont="1" applyFill="1" applyBorder="1" applyAlignment="1" applyProtection="1">
      <alignment horizontal="center"/>
      <protection hidden="1"/>
    </xf>
    <xf numFmtId="0" fontId="60" fillId="10" borderId="33" xfId="0" applyFont="1" applyFill="1" applyBorder="1" applyAlignment="1" applyProtection="1">
      <alignment horizontal="center" wrapText="1"/>
      <protection hidden="1"/>
    </xf>
    <xf numFmtId="0" fontId="60" fillId="10" borderId="7" xfId="0" applyFont="1" applyFill="1" applyBorder="1" applyAlignment="1" applyProtection="1">
      <alignment horizontal="center" wrapText="1"/>
      <protection hidden="1"/>
    </xf>
    <xf numFmtId="0" fontId="0" fillId="9" borderId="34" xfId="0" applyFill="1" applyBorder="1" applyAlignment="1" applyProtection="1">
      <alignment horizontal="center"/>
      <protection hidden="1"/>
    </xf>
    <xf numFmtId="0" fontId="0" fillId="27" borderId="0" xfId="0" applyFill="1" applyAlignment="1" applyProtection="1">
      <alignment horizontal="center"/>
      <protection hidden="1"/>
    </xf>
    <xf numFmtId="0" fontId="70" fillId="12" borderId="5" xfId="0" applyFont="1" applyFill="1" applyBorder="1" applyAlignment="1">
      <alignment horizontal="center" vertical="top" wrapText="1"/>
    </xf>
    <xf numFmtId="0" fontId="70" fillId="12" borderId="24" xfId="0" applyFont="1" applyFill="1" applyBorder="1" applyAlignment="1">
      <alignment horizontal="center" vertical="top" wrapText="1"/>
    </xf>
    <xf numFmtId="0" fontId="66" fillId="12" borderId="0" xfId="0" applyFont="1" applyFill="1" applyAlignment="1">
      <alignment horizontal="center" vertical="top" wrapText="1"/>
    </xf>
    <xf numFmtId="0" fontId="66" fillId="12" borderId="25" xfId="0" applyFont="1" applyFill="1" applyBorder="1" applyAlignment="1">
      <alignment horizontal="center" vertical="top" wrapText="1"/>
    </xf>
    <xf numFmtId="0" fontId="69" fillId="12" borderId="17" xfId="0" applyFont="1" applyFill="1" applyBorder="1" applyAlignment="1">
      <alignment horizontal="center" vertical="top" wrapText="1"/>
    </xf>
    <xf numFmtId="0" fontId="69" fillId="12" borderId="28" xfId="0" applyFont="1" applyFill="1" applyBorder="1" applyAlignment="1">
      <alignment horizontal="center" vertical="top" wrapText="1"/>
    </xf>
    <xf numFmtId="0" fontId="46" fillId="0" borderId="79" xfId="0" applyFont="1" applyBorder="1" applyAlignment="1" applyProtection="1">
      <alignment horizontal="center" vertical="center" wrapText="1"/>
      <protection hidden="1"/>
    </xf>
    <xf numFmtId="0" fontId="46" fillId="0" borderId="75" xfId="0" applyFont="1" applyBorder="1" applyAlignment="1" applyProtection="1">
      <alignment horizontal="center" vertical="center" wrapText="1"/>
      <protection hidden="1"/>
    </xf>
    <xf numFmtId="0" fontId="219" fillId="0" borderId="63" xfId="0" applyFont="1" applyBorder="1" applyAlignment="1" applyProtection="1">
      <alignment horizontal="center" vertical="top" wrapText="1"/>
      <protection hidden="1"/>
    </xf>
    <xf numFmtId="0" fontId="219" fillId="0" borderId="73" xfId="0" applyFont="1" applyBorder="1" applyAlignment="1" applyProtection="1">
      <alignment horizontal="center" vertical="top" wrapText="1"/>
      <protection hidden="1"/>
    </xf>
    <xf numFmtId="0" fontId="219" fillId="0" borderId="58" xfId="0" applyFont="1" applyBorder="1" applyAlignment="1" applyProtection="1">
      <alignment horizontal="center" vertical="top" wrapText="1"/>
      <protection hidden="1"/>
    </xf>
    <xf numFmtId="0" fontId="218" fillId="31" borderId="89" xfId="0" applyFont="1" applyFill="1" applyBorder="1" applyAlignment="1" applyProtection="1">
      <alignment horizontal="center" vertical="center"/>
      <protection hidden="1"/>
    </xf>
    <xf numFmtId="0" fontId="218" fillId="31" borderId="81" xfId="0" applyFont="1" applyFill="1" applyBorder="1" applyAlignment="1" applyProtection="1">
      <alignment horizontal="center" vertical="center"/>
      <protection hidden="1"/>
    </xf>
    <xf numFmtId="0" fontId="218" fillId="31" borderId="90" xfId="0" applyFont="1" applyFill="1" applyBorder="1" applyAlignment="1" applyProtection="1">
      <alignment horizontal="center" vertical="center"/>
      <protection hidden="1"/>
    </xf>
    <xf numFmtId="0" fontId="218" fillId="31" borderId="93" xfId="0" applyFont="1" applyFill="1" applyBorder="1" applyAlignment="1" applyProtection="1">
      <alignment horizontal="center" vertical="center"/>
      <protection hidden="1"/>
    </xf>
    <xf numFmtId="0" fontId="218" fillId="31" borderId="60" xfId="0" applyFont="1" applyFill="1" applyBorder="1" applyAlignment="1" applyProtection="1">
      <alignment horizontal="center" vertical="center"/>
      <protection hidden="1"/>
    </xf>
    <xf numFmtId="0" fontId="218" fillId="31" borderId="41" xfId="0" applyFont="1" applyFill="1" applyBorder="1" applyAlignment="1" applyProtection="1">
      <alignment horizontal="center" vertical="center"/>
      <protection hidden="1"/>
    </xf>
    <xf numFmtId="0" fontId="218" fillId="38" borderId="33" xfId="0" applyFont="1" applyFill="1" applyBorder="1" applyAlignment="1" applyProtection="1">
      <alignment horizontal="center" vertical="center" textRotation="90"/>
      <protection hidden="1"/>
    </xf>
    <xf numFmtId="0" fontId="218" fillId="38" borderId="60" xfId="0" applyFont="1" applyFill="1" applyBorder="1" applyAlignment="1" applyProtection="1">
      <alignment horizontal="center" vertical="center" textRotation="90"/>
      <protection hidden="1"/>
    </xf>
    <xf numFmtId="0" fontId="218" fillId="38" borderId="7" xfId="0" applyFont="1" applyFill="1" applyBorder="1" applyAlignment="1" applyProtection="1">
      <alignment horizontal="center" vertical="center" textRotation="90"/>
      <protection hidden="1"/>
    </xf>
    <xf numFmtId="0" fontId="218" fillId="34" borderId="33" xfId="0" applyFont="1" applyFill="1" applyBorder="1" applyAlignment="1" applyProtection="1">
      <alignment horizontal="center" vertical="center" textRotation="90"/>
      <protection hidden="1"/>
    </xf>
    <xf numFmtId="0" fontId="218" fillId="34" borderId="60" xfId="0" applyFont="1" applyFill="1" applyBorder="1" applyAlignment="1" applyProtection="1">
      <alignment horizontal="center" vertical="center" textRotation="90"/>
      <protection hidden="1"/>
    </xf>
    <xf numFmtId="0" fontId="218" fillId="34" borderId="7" xfId="0" applyFont="1" applyFill="1" applyBorder="1" applyAlignment="1" applyProtection="1">
      <alignment horizontal="center" vertical="center" textRotation="90"/>
      <protection hidden="1"/>
    </xf>
    <xf numFmtId="0" fontId="155" fillId="0" borderId="4" xfId="0" applyFont="1" applyBorder="1" applyAlignment="1" applyProtection="1">
      <alignment horizontal="center"/>
      <protection hidden="1"/>
    </xf>
    <xf numFmtId="0" fontId="218" fillId="38" borderId="74" xfId="0" applyFont="1" applyFill="1" applyBorder="1" applyAlignment="1" applyProtection="1">
      <alignment horizontal="center" vertical="center" textRotation="90" wrapText="1"/>
      <protection hidden="1"/>
    </xf>
    <xf numFmtId="0" fontId="218" fillId="38" borderId="92" xfId="0" applyFont="1" applyFill="1" applyBorder="1" applyAlignment="1" applyProtection="1">
      <alignment horizontal="center" vertical="center" textRotation="90" wrapText="1"/>
      <protection hidden="1"/>
    </xf>
    <xf numFmtId="0" fontId="218" fillId="38" borderId="87" xfId="0" applyFont="1" applyFill="1" applyBorder="1" applyAlignment="1" applyProtection="1">
      <alignment horizontal="center" vertical="center" textRotation="90" wrapText="1"/>
      <protection hidden="1"/>
    </xf>
    <xf numFmtId="0" fontId="218" fillId="33" borderId="89" xfId="0" applyFont="1" applyFill="1" applyBorder="1" applyAlignment="1" applyProtection="1">
      <alignment horizontal="center" vertical="center" wrapText="1"/>
      <protection hidden="1"/>
    </xf>
    <xf numFmtId="0" fontId="218" fillId="33" borderId="81" xfId="0" applyFont="1" applyFill="1" applyBorder="1" applyAlignment="1" applyProtection="1">
      <alignment horizontal="center" vertical="center" wrapText="1"/>
      <protection hidden="1"/>
    </xf>
    <xf numFmtId="0" fontId="218" fillId="33" borderId="90" xfId="0" applyFont="1" applyFill="1" applyBorder="1" applyAlignment="1" applyProtection="1">
      <alignment horizontal="center" vertical="center" wrapText="1"/>
      <protection hidden="1"/>
    </xf>
    <xf numFmtId="0" fontId="218" fillId="33" borderId="78" xfId="0" applyFont="1" applyFill="1" applyBorder="1" applyAlignment="1" applyProtection="1">
      <alignment horizontal="center" vertical="center" wrapText="1"/>
      <protection hidden="1"/>
    </xf>
    <xf numFmtId="0" fontId="218" fillId="33" borderId="5" xfId="0" applyFont="1" applyFill="1" applyBorder="1" applyAlignment="1" applyProtection="1">
      <alignment horizontal="center" vertical="center" wrapText="1"/>
      <protection hidden="1"/>
    </xf>
    <xf numFmtId="0" fontId="218" fillId="33" borderId="86" xfId="0" applyFont="1" applyFill="1" applyBorder="1" applyAlignment="1" applyProtection="1">
      <alignment horizontal="center" vertical="center" wrapText="1"/>
      <protection hidden="1"/>
    </xf>
    <xf numFmtId="0" fontId="218" fillId="34" borderId="89" xfId="0" applyFont="1" applyFill="1" applyBorder="1" applyAlignment="1" applyProtection="1">
      <alignment horizontal="center" vertical="center" wrapText="1"/>
      <protection hidden="1"/>
    </xf>
    <xf numFmtId="0" fontId="218" fillId="34" borderId="81" xfId="0" applyFont="1" applyFill="1" applyBorder="1" applyAlignment="1" applyProtection="1">
      <alignment horizontal="center" vertical="center" wrapText="1"/>
      <protection hidden="1"/>
    </xf>
    <xf numFmtId="0" fontId="218" fillId="34" borderId="90" xfId="0" applyFont="1" applyFill="1" applyBorder="1" applyAlignment="1" applyProtection="1">
      <alignment horizontal="center" vertical="center" wrapText="1"/>
      <protection hidden="1"/>
    </xf>
    <xf numFmtId="0" fontId="218" fillId="34" borderId="78" xfId="0" applyFont="1" applyFill="1" applyBorder="1" applyAlignment="1" applyProtection="1">
      <alignment horizontal="center" vertical="center" wrapText="1"/>
      <protection hidden="1"/>
    </xf>
    <xf numFmtId="0" fontId="218" fillId="34" borderId="5" xfId="0" applyFont="1" applyFill="1" applyBorder="1" applyAlignment="1" applyProtection="1">
      <alignment horizontal="center" vertical="center" wrapText="1"/>
      <protection hidden="1"/>
    </xf>
    <xf numFmtId="0" fontId="218" fillId="34" borderId="24" xfId="0" applyFont="1" applyFill="1" applyBorder="1" applyAlignment="1" applyProtection="1">
      <alignment horizontal="center" vertical="center" wrapText="1"/>
      <protection hidden="1"/>
    </xf>
    <xf numFmtId="0" fontId="218" fillId="38" borderId="77" xfId="0" applyFont="1" applyFill="1" applyBorder="1" applyAlignment="1" applyProtection="1">
      <alignment horizontal="center" vertical="center" textRotation="90"/>
      <protection hidden="1"/>
    </xf>
    <xf numFmtId="0" fontId="218" fillId="38" borderId="4" xfId="0" applyFont="1" applyFill="1" applyBorder="1" applyAlignment="1" applyProtection="1">
      <alignment horizontal="center" vertical="center" textRotation="90"/>
      <protection hidden="1"/>
    </xf>
    <xf numFmtId="0" fontId="218" fillId="34" borderId="86" xfId="0" applyFont="1" applyFill="1" applyBorder="1" applyAlignment="1" applyProtection="1">
      <alignment horizontal="center" vertical="center" wrapText="1"/>
      <protection hidden="1"/>
    </xf>
    <xf numFmtId="0" fontId="218" fillId="36" borderId="89" xfId="0" applyFont="1" applyFill="1" applyBorder="1" applyAlignment="1" applyProtection="1">
      <alignment horizontal="center" vertical="center" wrapText="1"/>
      <protection hidden="1"/>
    </xf>
    <xf numFmtId="0" fontId="218" fillId="36" borderId="81" xfId="0" applyFont="1" applyFill="1" applyBorder="1" applyAlignment="1" applyProtection="1">
      <alignment horizontal="center" vertical="center" wrapText="1"/>
      <protection hidden="1"/>
    </xf>
    <xf numFmtId="0" fontId="218" fillId="36" borderId="90" xfId="0" applyFont="1" applyFill="1" applyBorder="1" applyAlignment="1" applyProtection="1">
      <alignment horizontal="center" vertical="center" wrapText="1"/>
      <protection hidden="1"/>
    </xf>
    <xf numFmtId="0" fontId="218" fillId="34" borderId="74" xfId="0" applyFont="1" applyFill="1" applyBorder="1" applyAlignment="1" applyProtection="1">
      <alignment horizontal="center" vertical="center" textRotation="90" wrapText="1"/>
      <protection hidden="1"/>
    </xf>
    <xf numFmtId="0" fontId="218" fillId="34" borderId="92" xfId="0" applyFont="1" applyFill="1" applyBorder="1" applyAlignment="1" applyProtection="1">
      <alignment horizontal="center" vertical="center" textRotation="90" wrapText="1"/>
      <protection hidden="1"/>
    </xf>
    <xf numFmtId="0" fontId="218" fillId="34" borderId="87" xfId="0" applyFont="1" applyFill="1" applyBorder="1" applyAlignment="1" applyProtection="1">
      <alignment horizontal="center" vertical="center" textRotation="90" wrapText="1"/>
      <protection hidden="1"/>
    </xf>
    <xf numFmtId="0" fontId="218" fillId="36" borderId="78" xfId="0" applyFont="1" applyFill="1" applyBorder="1" applyAlignment="1" applyProtection="1">
      <alignment horizontal="center" vertical="center" wrapText="1"/>
      <protection hidden="1"/>
    </xf>
    <xf numFmtId="0" fontId="218" fillId="36" borderId="5" xfId="0" applyFont="1" applyFill="1" applyBorder="1" applyAlignment="1" applyProtection="1">
      <alignment horizontal="center" vertical="center" wrapText="1"/>
      <protection hidden="1"/>
    </xf>
    <xf numFmtId="0" fontId="218" fillId="36" borderId="86" xfId="0" applyFont="1" applyFill="1" applyBorder="1" applyAlignment="1" applyProtection="1">
      <alignment horizontal="center" vertical="center" wrapText="1"/>
      <protection hidden="1"/>
    </xf>
    <xf numFmtId="0" fontId="219" fillId="0" borderId="69" xfId="0" applyFont="1" applyBorder="1" applyAlignment="1" applyProtection="1">
      <alignment horizontal="center" vertical="top" wrapText="1"/>
      <protection hidden="1"/>
    </xf>
    <xf numFmtId="0" fontId="219" fillId="0" borderId="46" xfId="0" applyFont="1" applyBorder="1" applyAlignment="1" applyProtection="1">
      <alignment horizontal="center" vertical="top" wrapText="1"/>
      <protection hidden="1"/>
    </xf>
    <xf numFmtId="0" fontId="219" fillId="0" borderId="71" xfId="0" applyFont="1" applyBorder="1" applyAlignment="1" applyProtection="1">
      <alignment horizontal="center" vertical="top" wrapText="1"/>
      <protection hidden="1"/>
    </xf>
    <xf numFmtId="0" fontId="219" fillId="0" borderId="64" xfId="0" applyFont="1" applyBorder="1" applyAlignment="1" applyProtection="1">
      <alignment horizontal="center" vertical="top" wrapText="1"/>
      <protection hidden="1"/>
    </xf>
    <xf numFmtId="0" fontId="218" fillId="38" borderId="1" xfId="0" applyFont="1" applyFill="1" applyBorder="1" applyAlignment="1" applyProtection="1">
      <alignment horizontal="center" vertical="center" textRotation="90"/>
      <protection hidden="1"/>
    </xf>
    <xf numFmtId="0" fontId="218" fillId="34" borderId="1" xfId="0" applyFont="1" applyFill="1" applyBorder="1" applyAlignment="1" applyProtection="1">
      <alignment horizontal="center" vertical="center" textRotation="90"/>
      <protection hidden="1"/>
    </xf>
    <xf numFmtId="0" fontId="160" fillId="0" borderId="44" xfId="0" applyFont="1" applyBorder="1" applyAlignment="1" applyProtection="1">
      <alignment horizontal="center"/>
      <protection hidden="1"/>
    </xf>
    <xf numFmtId="0" fontId="160" fillId="0" borderId="76" xfId="0" applyFont="1" applyBorder="1" applyAlignment="1" applyProtection="1">
      <alignment horizontal="center"/>
      <protection hidden="1"/>
    </xf>
    <xf numFmtId="0" fontId="160" fillId="0" borderId="43" xfId="0" applyFont="1" applyBorder="1" applyAlignment="1" applyProtection="1">
      <alignment horizontal="center"/>
      <protection hidden="1"/>
    </xf>
    <xf numFmtId="0" fontId="160" fillId="0" borderId="84" xfId="0" applyFont="1" applyBorder="1" applyAlignment="1" applyProtection="1">
      <alignment horizontal="center"/>
      <protection hidden="1"/>
    </xf>
    <xf numFmtId="0" fontId="155" fillId="0" borderId="29" xfId="0" applyFont="1" applyBorder="1" applyAlignment="1" applyProtection="1">
      <alignment horizontal="center"/>
      <protection hidden="1"/>
    </xf>
    <xf numFmtId="0" fontId="159" fillId="0" borderId="1" xfId="0" applyFont="1" applyBorder="1" applyAlignment="1" applyProtection="1">
      <alignment horizontal="center"/>
      <protection hidden="1"/>
    </xf>
    <xf numFmtId="0" fontId="162" fillId="0" borderId="1" xfId="0" applyFont="1" applyBorder="1" applyAlignment="1" applyProtection="1">
      <alignment horizontal="center"/>
      <protection hidden="1"/>
    </xf>
    <xf numFmtId="0" fontId="188" fillId="0" borderId="1" xfId="0" applyFont="1" applyBorder="1" applyAlignment="1" applyProtection="1">
      <alignment horizontal="center" vertical="center" textRotation="90"/>
      <protection hidden="1"/>
    </xf>
    <xf numFmtId="0" fontId="188" fillId="34" borderId="1" xfId="0" applyFont="1" applyFill="1" applyBorder="1" applyAlignment="1" applyProtection="1">
      <alignment horizontal="center" vertical="center" textRotation="90"/>
      <protection hidden="1"/>
    </xf>
    <xf numFmtId="0" fontId="60" fillId="0" borderId="39" xfId="0" applyFont="1" applyBorder="1" applyAlignment="1" applyProtection="1">
      <alignment horizontal="center"/>
      <protection hidden="1"/>
    </xf>
    <xf numFmtId="0" fontId="114" fillId="0" borderId="63" xfId="0" applyFont="1" applyBorder="1" applyAlignment="1" applyProtection="1">
      <alignment horizontal="center" vertical="top" wrapText="1"/>
      <protection hidden="1"/>
    </xf>
    <xf numFmtId="0" fontId="115" fillId="0" borderId="73" xfId="0" applyFont="1" applyBorder="1" applyAlignment="1" applyProtection="1">
      <alignment horizontal="center" vertical="top" wrapText="1"/>
      <protection hidden="1"/>
    </xf>
    <xf numFmtId="0" fontId="115" fillId="0" borderId="58" xfId="0" applyFont="1" applyBorder="1" applyAlignment="1" applyProtection="1">
      <alignment horizontal="center" vertical="top" wrapText="1"/>
      <protection hidden="1"/>
    </xf>
    <xf numFmtId="0" fontId="220" fillId="30" borderId="35" xfId="0" applyFont="1" applyFill="1" applyBorder="1" applyAlignment="1" applyProtection="1">
      <alignment horizontal="center"/>
      <protection hidden="1"/>
    </xf>
    <xf numFmtId="0" fontId="220" fillId="30" borderId="36" xfId="0" applyFont="1" applyFill="1" applyBorder="1" applyAlignment="1" applyProtection="1">
      <alignment horizontal="center"/>
      <protection hidden="1"/>
    </xf>
    <xf numFmtId="0" fontId="220" fillId="30" borderId="37" xfId="0" applyFont="1" applyFill="1" applyBorder="1" applyAlignment="1" applyProtection="1">
      <alignment horizontal="center"/>
      <protection hidden="1"/>
    </xf>
    <xf numFmtId="0" fontId="3" fillId="0" borderId="79" xfId="0" applyFont="1" applyBorder="1" applyAlignment="1" applyProtection="1">
      <alignment horizontal="center" vertical="center"/>
      <protection hidden="1"/>
    </xf>
    <xf numFmtId="0" fontId="3" fillId="0" borderId="70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60" fillId="9" borderId="7" xfId="0" applyFont="1" applyFill="1" applyBorder="1" applyAlignment="1" applyProtection="1">
      <alignment horizontal="center"/>
      <protection hidden="1"/>
    </xf>
    <xf numFmtId="0" fontId="60" fillId="9" borderId="87" xfId="0" applyFont="1" applyFill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horizontal="center" vertical="center" wrapText="1"/>
      <protection hidden="1"/>
    </xf>
    <xf numFmtId="0" fontId="3" fillId="0" borderId="34" xfId="0" applyFont="1" applyBorder="1" applyAlignment="1" applyProtection="1">
      <alignment horizontal="center" vertical="center" wrapText="1"/>
      <protection hidden="1"/>
    </xf>
    <xf numFmtId="0" fontId="3" fillId="0" borderId="38" xfId="0" applyFont="1" applyBorder="1" applyAlignment="1" applyProtection="1">
      <alignment horizontal="center" vertical="center" wrapText="1"/>
      <protection hidden="1"/>
    </xf>
    <xf numFmtId="0" fontId="60" fillId="0" borderId="73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horizontal="center" vertical="center"/>
      <protection hidden="1"/>
    </xf>
    <xf numFmtId="0" fontId="3" fillId="0" borderId="36" xfId="0" applyFont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39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73" xfId="0" applyFont="1" applyBorder="1" applyAlignment="1" applyProtection="1">
      <alignment horizontal="center"/>
      <protection hidden="1"/>
    </xf>
    <xf numFmtId="0" fontId="271" fillId="28" borderId="14" xfId="0" applyFont="1" applyFill="1" applyBorder="1" applyAlignment="1" applyProtection="1">
      <alignment horizontal="center" vertical="center" wrapText="1" readingOrder="1"/>
      <protection hidden="1"/>
    </xf>
    <xf numFmtId="0" fontId="271" fillId="60" borderId="24" xfId="0" applyFont="1" applyFill="1" applyBorder="1" applyAlignment="1" applyProtection="1">
      <alignment horizontal="center" vertical="center" wrapText="1" readingOrder="1"/>
      <protection hidden="1"/>
    </xf>
    <xf numFmtId="0" fontId="271" fillId="60" borderId="66" xfId="0" applyFont="1" applyFill="1" applyBorder="1" applyAlignment="1" applyProtection="1">
      <alignment horizontal="center" vertical="center" wrapText="1" readingOrder="1"/>
      <protection hidden="1"/>
    </xf>
    <xf numFmtId="0" fontId="271" fillId="24" borderId="68" xfId="0" applyFont="1" applyFill="1" applyBorder="1" applyAlignment="1" applyProtection="1">
      <alignment horizontal="center" vertical="center" wrapText="1" readingOrder="1"/>
      <protection hidden="1"/>
    </xf>
    <xf numFmtId="0" fontId="271" fillId="67" borderId="3" xfId="0" applyFont="1" applyFill="1" applyBorder="1" applyAlignment="1" applyProtection="1">
      <alignment horizontal="center" vertical="center" wrapText="1" readingOrder="1"/>
      <protection hidden="1"/>
    </xf>
    <xf numFmtId="0" fontId="271" fillId="24" borderId="2" xfId="0" applyFont="1" applyFill="1" applyBorder="1" applyAlignment="1" applyProtection="1">
      <alignment horizontal="center" vertical="center" wrapText="1" readingOrder="1"/>
      <protection hidden="1"/>
    </xf>
    <xf numFmtId="0" fontId="226" fillId="27" borderId="0" xfId="0" applyFont="1" applyFill="1" applyBorder="1" applyAlignment="1" applyProtection="1">
      <alignment vertical="center" wrapText="1" readingOrder="1"/>
      <protection hidden="1"/>
    </xf>
    <xf numFmtId="1" fontId="226" fillId="27" borderId="0" xfId="0" applyNumberFormat="1" applyFont="1" applyFill="1" applyBorder="1" applyAlignment="1" applyProtection="1">
      <alignment vertical="center" wrapText="1" readingOrder="1"/>
      <protection hidden="1"/>
    </xf>
    <xf numFmtId="0" fontId="271" fillId="67" borderId="18" xfId="0" applyFont="1" applyFill="1" applyBorder="1" applyAlignment="1" applyProtection="1">
      <alignment horizontal="center" vertical="center" wrapText="1" readingOrder="1"/>
      <protection hidden="1"/>
    </xf>
    <xf numFmtId="0" fontId="231" fillId="0" borderId="1" xfId="0" applyFont="1" applyBorder="1" applyAlignment="1" applyProtection="1">
      <alignment horizontal="center" wrapText="1"/>
      <protection hidden="1"/>
    </xf>
    <xf numFmtId="0" fontId="347" fillId="28" borderId="14" xfId="0" applyFont="1" applyFill="1" applyBorder="1" applyAlignment="1" applyProtection="1">
      <alignment horizontal="center" vertical="center" wrapText="1" readingOrder="1"/>
      <protection hidden="1"/>
    </xf>
    <xf numFmtId="0" fontId="347" fillId="67" borderId="18" xfId="0" applyFont="1" applyFill="1" applyBorder="1" applyAlignment="1" applyProtection="1">
      <alignment horizontal="center" vertical="center" wrapText="1" readingOrder="1"/>
      <protection hidden="1"/>
    </xf>
    <xf numFmtId="0" fontId="231" fillId="27" borderId="1" xfId="0" applyFont="1" applyFill="1" applyBorder="1" applyAlignment="1" applyProtection="1">
      <alignment horizontal="center" wrapText="1"/>
      <protection hidden="1"/>
    </xf>
  </cellXfs>
  <cellStyles count="15">
    <cellStyle name="Hipervínculo" xfId="1" builtinId="8"/>
    <cellStyle name="Hipervínculo 2" xfId="2" xr:uid="{00000000-0005-0000-0000-000001000000}"/>
    <cellStyle name="Hipervínculo 3" xfId="3" xr:uid="{00000000-0005-0000-0000-000002000000}"/>
    <cellStyle name="Millares" xfId="4" builtinId="3"/>
    <cellStyle name="Millares 2" xfId="5" xr:uid="{00000000-0005-0000-0000-000004000000}"/>
    <cellStyle name="Moneda" xfId="6" builtinId="4"/>
    <cellStyle name="Moneda 2" xfId="7" xr:uid="{00000000-0005-0000-0000-000006000000}"/>
    <cellStyle name="Moneda 3" xfId="8" xr:uid="{00000000-0005-0000-0000-000007000000}"/>
    <cellStyle name="Normal" xfId="0" builtinId="0"/>
    <cellStyle name="Normal 13" xfId="9" xr:uid="{00000000-0005-0000-0000-000009000000}"/>
    <cellStyle name="Normal 2" xfId="10" xr:uid="{00000000-0005-0000-0000-00000A000000}"/>
    <cellStyle name="Normal 3" xfId="11" xr:uid="{00000000-0005-0000-0000-00000B000000}"/>
    <cellStyle name="Porcentaje" xfId="12" builtinId="5"/>
    <cellStyle name="Porcentaje 2" xfId="13" xr:uid="{00000000-0005-0000-0000-00000D000000}"/>
    <cellStyle name="Porcentaje 3" xfId="14" xr:uid="{00000000-0005-0000-0000-00000E000000}"/>
  </cellStyles>
  <dxfs count="0"/>
  <tableStyles count="1" defaultTableStyle="TableStyleMedium9" defaultPivotStyle="PivotStyleLight16">
    <tableStyle name="Invisible" pivot="0" table="0" count="0" xr9:uid="{7B696B34-A0FA-4557-B6E4-3481F641E619}"/>
  </tableStyles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3.xml"/><Relationship Id="rId48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7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0.jpeg"/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8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8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8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688794</xdr:colOff>
      <xdr:row>426</xdr:row>
      <xdr:rowOff>0</xdr:rowOff>
    </xdr:from>
    <xdr:to>
      <xdr:col>3</xdr:col>
      <xdr:colOff>957788</xdr:colOff>
      <xdr:row>426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 txBox="1">
          <a:spLocks noChangeArrowheads="1"/>
        </xdr:cNvSpPr>
      </xdr:nvSpPr>
      <xdr:spPr bwMode="auto">
        <a:xfrm>
          <a:off x="1381125" y="17430750"/>
          <a:ext cx="24003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3</xdr:col>
      <xdr:colOff>797651</xdr:colOff>
      <xdr:row>426</xdr:row>
      <xdr:rowOff>0</xdr:rowOff>
    </xdr:from>
    <xdr:to>
      <xdr:col>7</xdr:col>
      <xdr:colOff>1063034</xdr:colOff>
      <xdr:row>426</xdr:row>
      <xdr:rowOff>0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SpPr txBox="1">
          <a:spLocks noChangeArrowheads="1"/>
        </xdr:cNvSpPr>
      </xdr:nvSpPr>
      <xdr:spPr bwMode="auto">
        <a:xfrm>
          <a:off x="3676650" y="17430750"/>
          <a:ext cx="6067425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245433</xdr:colOff>
      <xdr:row>0</xdr:row>
      <xdr:rowOff>725968</xdr:rowOff>
    </xdr:from>
    <xdr:to>
      <xdr:col>2</xdr:col>
      <xdr:colOff>1845929</xdr:colOff>
      <xdr:row>0</xdr:row>
      <xdr:rowOff>2620304</xdr:rowOff>
    </xdr:to>
    <xdr:pic>
      <xdr:nvPicPr>
        <xdr:cNvPr id="3" name="Imagen 2" descr="Descripción: FACE CÓRDOBA PERFIL">
          <a:extLst>
            <a:ext uri="{FF2B5EF4-FFF2-40B4-BE49-F238E27FC236}">
              <a16:creationId xmlns:a16="http://schemas.microsoft.com/office/drawing/2014/main" id="{FAABE07B-B80B-0526-4824-95307ED1E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4968" y="725968"/>
          <a:ext cx="3106775" cy="18943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799952</xdr:colOff>
      <xdr:row>0</xdr:row>
      <xdr:rowOff>723605</xdr:rowOff>
    </xdr:from>
    <xdr:to>
      <xdr:col>9</xdr:col>
      <xdr:colOff>387791</xdr:colOff>
      <xdr:row>0</xdr:row>
      <xdr:rowOff>2200348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B845485-53DB-FB51-149F-0FFEC62F7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16929" y="723605"/>
          <a:ext cx="4091909" cy="14767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199776</xdr:colOff>
      <xdr:row>0</xdr:row>
      <xdr:rowOff>478079</xdr:rowOff>
    </xdr:from>
    <xdr:to>
      <xdr:col>2</xdr:col>
      <xdr:colOff>73489</xdr:colOff>
      <xdr:row>0</xdr:row>
      <xdr:rowOff>1523617</xdr:rowOff>
    </xdr:to>
    <xdr:pic>
      <xdr:nvPicPr>
        <xdr:cNvPr id="2" name="Imagen 1" descr="Descripción: FACE CÓRDOBA PERFIL">
          <a:extLst>
            <a:ext uri="{FF2B5EF4-FFF2-40B4-BE49-F238E27FC236}">
              <a16:creationId xmlns:a16="http://schemas.microsoft.com/office/drawing/2014/main" id="{371C0596-BE96-4DE0-917F-32FDD6D3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98" y="478079"/>
          <a:ext cx="1714500" cy="10455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18</xdr:col>
      <xdr:colOff>250381</xdr:colOff>
      <xdr:row>0</xdr:row>
      <xdr:rowOff>412750</xdr:rowOff>
    </xdr:from>
    <xdr:to>
      <xdr:col>20</xdr:col>
      <xdr:colOff>456008</xdr:colOff>
      <xdr:row>0</xdr:row>
      <xdr:rowOff>1226317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C190AEA-88C0-4BCC-9A5E-8E333B47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8881" y="412750"/>
          <a:ext cx="2237627" cy="813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</xdr:colOff>
      <xdr:row>1</xdr:row>
      <xdr:rowOff>184149</xdr:rowOff>
    </xdr:from>
    <xdr:to>
      <xdr:col>3</xdr:col>
      <xdr:colOff>254000</xdr:colOff>
      <xdr:row>7</xdr:row>
      <xdr:rowOff>117354</xdr:rowOff>
    </xdr:to>
    <xdr:pic>
      <xdr:nvPicPr>
        <xdr:cNvPr id="9" name="Imagen 8" descr="Descripción: FACE CÓRDOBA PERFIL">
          <a:extLst>
            <a:ext uri="{FF2B5EF4-FFF2-40B4-BE49-F238E27FC236}">
              <a16:creationId xmlns:a16="http://schemas.microsoft.com/office/drawing/2014/main" id="{830907B2-A8A5-4219-B2DE-9FB095766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536574"/>
          <a:ext cx="1733550" cy="10571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3616325</xdr:colOff>
      <xdr:row>2</xdr:row>
      <xdr:rowOff>155575</xdr:rowOff>
    </xdr:from>
    <xdr:to>
      <xdr:col>8</xdr:col>
      <xdr:colOff>394379</xdr:colOff>
      <xdr:row>7</xdr:row>
      <xdr:rowOff>83277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B0C8AB8-DABE-4721-85C9-416E6F73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7650" y="695325"/>
          <a:ext cx="2378754" cy="864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763512</xdr:colOff>
      <xdr:row>0</xdr:row>
      <xdr:rowOff>614686</xdr:rowOff>
    </xdr:from>
    <xdr:to>
      <xdr:col>3</xdr:col>
      <xdr:colOff>3870287</xdr:colOff>
      <xdr:row>1</xdr:row>
      <xdr:rowOff>158751</xdr:rowOff>
    </xdr:to>
    <xdr:pic>
      <xdr:nvPicPr>
        <xdr:cNvPr id="4" name="Imagen 3" descr="Descripción: FACE CÓRDOBA PERFIL">
          <a:extLst>
            <a:ext uri="{FF2B5EF4-FFF2-40B4-BE49-F238E27FC236}">
              <a16:creationId xmlns:a16="http://schemas.microsoft.com/office/drawing/2014/main" id="{4181A0D7-4CCE-4EAB-896D-E49DDB27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6994" y="614686"/>
          <a:ext cx="3106775" cy="1970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10366693</xdr:colOff>
      <xdr:row>0</xdr:row>
      <xdr:rowOff>669018</xdr:rowOff>
    </xdr:from>
    <xdr:to>
      <xdr:col>5</xdr:col>
      <xdr:colOff>556637</xdr:colOff>
      <xdr:row>0</xdr:row>
      <xdr:rowOff>2225136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DE6CD3F-48BB-4884-9997-1C4012F3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0175" y="669018"/>
          <a:ext cx="4103248" cy="1556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434976</xdr:colOff>
      <xdr:row>0</xdr:row>
      <xdr:rowOff>381000</xdr:rowOff>
    </xdr:from>
    <xdr:to>
      <xdr:col>3</xdr:col>
      <xdr:colOff>1003301</xdr:colOff>
      <xdr:row>0</xdr:row>
      <xdr:rowOff>1563515</xdr:rowOff>
    </xdr:to>
    <xdr:pic>
      <xdr:nvPicPr>
        <xdr:cNvPr id="3" name="Imagen 2" descr="Descripción: FACE CÓRDOBA PERFIL">
          <a:extLst>
            <a:ext uri="{FF2B5EF4-FFF2-40B4-BE49-F238E27FC236}">
              <a16:creationId xmlns:a16="http://schemas.microsoft.com/office/drawing/2014/main" id="{240A6824-2590-4B62-96E4-79D4B8DB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976" y="381000"/>
          <a:ext cx="1860550" cy="1182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675081</xdr:colOff>
      <xdr:row>0</xdr:row>
      <xdr:rowOff>438507</xdr:rowOff>
    </xdr:from>
    <xdr:to>
      <xdr:col>11</xdr:col>
      <xdr:colOff>625308</xdr:colOff>
      <xdr:row>0</xdr:row>
      <xdr:rowOff>1370417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38077B-9E30-4802-98E9-94DE0CC0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5556" y="438507"/>
          <a:ext cx="2458477" cy="9319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22225</xdr:colOff>
      <xdr:row>1</xdr:row>
      <xdr:rowOff>184149</xdr:rowOff>
    </xdr:from>
    <xdr:to>
      <xdr:col>2</xdr:col>
      <xdr:colOff>254000</xdr:colOff>
      <xdr:row>7</xdr:row>
      <xdr:rowOff>117354</xdr:rowOff>
    </xdr:to>
    <xdr:pic>
      <xdr:nvPicPr>
        <xdr:cNvPr id="2" name="Imagen 1" descr="Descripción: FACE CÓRDOBA PERFIL">
          <a:extLst>
            <a:ext uri="{FF2B5EF4-FFF2-40B4-BE49-F238E27FC236}">
              <a16:creationId xmlns:a16="http://schemas.microsoft.com/office/drawing/2014/main" id="{F9ACF6AC-B09E-495F-96A4-66963F524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536574"/>
          <a:ext cx="1733550" cy="10571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50800</xdr:colOff>
      <xdr:row>1</xdr:row>
      <xdr:rowOff>114300</xdr:rowOff>
    </xdr:from>
    <xdr:to>
      <xdr:col>8</xdr:col>
      <xdr:colOff>445179</xdr:colOff>
      <xdr:row>6</xdr:row>
      <xdr:rowOff>42002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4864DE-4169-4CFB-83C6-8638B62E4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4375" y="466725"/>
          <a:ext cx="1397679" cy="753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688794</xdr:colOff>
      <xdr:row>690</xdr:row>
      <xdr:rowOff>0</xdr:rowOff>
    </xdr:from>
    <xdr:to>
      <xdr:col>3</xdr:col>
      <xdr:colOff>957788</xdr:colOff>
      <xdr:row>690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E2C0E2C4-D0C8-412C-B865-C7E6BDCA0810}"/>
            </a:ext>
          </a:extLst>
        </xdr:cNvPr>
        <xdr:cNvSpPr txBox="1">
          <a:spLocks noChangeArrowheads="1"/>
        </xdr:cNvSpPr>
      </xdr:nvSpPr>
      <xdr:spPr bwMode="auto">
        <a:xfrm>
          <a:off x="3489144" y="162623500"/>
          <a:ext cx="4002794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3</xdr:col>
      <xdr:colOff>797651</xdr:colOff>
      <xdr:row>690</xdr:row>
      <xdr:rowOff>0</xdr:rowOff>
    </xdr:from>
    <xdr:to>
      <xdr:col>7</xdr:col>
      <xdr:colOff>1063034</xdr:colOff>
      <xdr:row>690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B0A0CD58-532F-4917-A5D7-AA1835156131}"/>
            </a:ext>
          </a:extLst>
        </xdr:cNvPr>
        <xdr:cNvSpPr txBox="1">
          <a:spLocks noChangeArrowheads="1"/>
        </xdr:cNvSpPr>
      </xdr:nvSpPr>
      <xdr:spPr bwMode="auto">
        <a:xfrm>
          <a:off x="7331801" y="162623500"/>
          <a:ext cx="16140383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2170112</xdr:colOff>
      <xdr:row>0</xdr:row>
      <xdr:rowOff>536499</xdr:rowOff>
    </xdr:from>
    <xdr:to>
      <xdr:col>10</xdr:col>
      <xdr:colOff>187098</xdr:colOff>
      <xdr:row>0</xdr:row>
      <xdr:rowOff>2149399</xdr:rowOff>
    </xdr:to>
    <xdr:pic>
      <xdr:nvPicPr>
        <xdr:cNvPr id="4" name="Picture 52" descr="LOGO PIN FECESCOR">
          <a:extLst>
            <a:ext uri="{FF2B5EF4-FFF2-40B4-BE49-F238E27FC236}">
              <a16:creationId xmlns:a16="http://schemas.microsoft.com/office/drawing/2014/main" id="{946D0C14-D01D-4978-B7EB-5BCC97C0E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01762" y="536499"/>
          <a:ext cx="2563586" cy="161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125715</xdr:colOff>
      <xdr:row>0</xdr:row>
      <xdr:rowOff>810761</xdr:rowOff>
    </xdr:from>
    <xdr:to>
      <xdr:col>2</xdr:col>
      <xdr:colOff>940329</xdr:colOff>
      <xdr:row>0</xdr:row>
      <xdr:rowOff>2281297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95A61339-2ED7-4F10-97FA-56828491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34" y="810761"/>
          <a:ext cx="2319799" cy="1470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688794</xdr:colOff>
      <xdr:row>688</xdr:row>
      <xdr:rowOff>0</xdr:rowOff>
    </xdr:from>
    <xdr:to>
      <xdr:col>3</xdr:col>
      <xdr:colOff>957788</xdr:colOff>
      <xdr:row>688</xdr:row>
      <xdr:rowOff>0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7D896A27-4879-40A6-85FA-D60355E01DBA}"/>
            </a:ext>
          </a:extLst>
        </xdr:cNvPr>
        <xdr:cNvSpPr txBox="1">
          <a:spLocks noChangeArrowheads="1"/>
        </xdr:cNvSpPr>
      </xdr:nvSpPr>
      <xdr:spPr bwMode="auto">
        <a:xfrm>
          <a:off x="3489144" y="254184150"/>
          <a:ext cx="4002794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3</xdr:col>
      <xdr:colOff>797651</xdr:colOff>
      <xdr:row>688</xdr:row>
      <xdr:rowOff>0</xdr:rowOff>
    </xdr:from>
    <xdr:to>
      <xdr:col>7</xdr:col>
      <xdr:colOff>1063034</xdr:colOff>
      <xdr:row>688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DB80436F-A125-4CC0-A307-69D3FEBFFE1F}"/>
            </a:ext>
          </a:extLst>
        </xdr:cNvPr>
        <xdr:cNvSpPr txBox="1">
          <a:spLocks noChangeArrowheads="1"/>
        </xdr:cNvSpPr>
      </xdr:nvSpPr>
      <xdr:spPr bwMode="auto">
        <a:xfrm>
          <a:off x="7331801" y="254184150"/>
          <a:ext cx="16140383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2170112</xdr:colOff>
      <xdr:row>0</xdr:row>
      <xdr:rowOff>536499</xdr:rowOff>
    </xdr:from>
    <xdr:to>
      <xdr:col>10</xdr:col>
      <xdr:colOff>187098</xdr:colOff>
      <xdr:row>0</xdr:row>
      <xdr:rowOff>2149399</xdr:rowOff>
    </xdr:to>
    <xdr:pic>
      <xdr:nvPicPr>
        <xdr:cNvPr id="8" name="Picture 52" descr="LOGO PIN FECESCOR">
          <a:extLst>
            <a:ext uri="{FF2B5EF4-FFF2-40B4-BE49-F238E27FC236}">
              <a16:creationId xmlns:a16="http://schemas.microsoft.com/office/drawing/2014/main" id="{30B3299F-AD7E-4492-ABB2-15A480B5A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01762" y="536499"/>
          <a:ext cx="2563586" cy="161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125715</xdr:colOff>
      <xdr:row>0</xdr:row>
      <xdr:rowOff>810760</xdr:rowOff>
    </xdr:from>
    <xdr:to>
      <xdr:col>2</xdr:col>
      <xdr:colOff>711729</xdr:colOff>
      <xdr:row>0</xdr:row>
      <xdr:rowOff>1979160</xdr:rowOff>
    </xdr:to>
    <xdr:pic>
      <xdr:nvPicPr>
        <xdr:cNvPr id="9" name="Imagen 5">
          <a:extLst>
            <a:ext uri="{FF2B5EF4-FFF2-40B4-BE49-F238E27FC236}">
              <a16:creationId xmlns:a16="http://schemas.microsoft.com/office/drawing/2014/main" id="{3BC6AEAF-D37A-4730-9337-25782C1D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115" y="810760"/>
          <a:ext cx="2090964" cy="116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1722782</xdr:colOff>
      <xdr:row>0</xdr:row>
      <xdr:rowOff>414130</xdr:rowOff>
    </xdr:from>
    <xdr:to>
      <xdr:col>15</xdr:col>
      <xdr:colOff>2020957</xdr:colOff>
      <xdr:row>0</xdr:row>
      <xdr:rowOff>1640232</xdr:rowOff>
    </xdr:to>
    <xdr:pic>
      <xdr:nvPicPr>
        <xdr:cNvPr id="5" name="Picture 52" descr="LOGO PIN FECESCOR">
          <a:extLst>
            <a:ext uri="{FF2B5EF4-FFF2-40B4-BE49-F238E27FC236}">
              <a16:creationId xmlns:a16="http://schemas.microsoft.com/office/drawing/2014/main" id="{2C325F21-19B4-4559-8D22-7D9A42B3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61782" y="414130"/>
          <a:ext cx="3009625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1622778</xdr:colOff>
      <xdr:row>0</xdr:row>
      <xdr:rowOff>1152409</xdr:rowOff>
    </xdr:from>
    <xdr:to>
      <xdr:col>2</xdr:col>
      <xdr:colOff>472701</xdr:colOff>
      <xdr:row>1</xdr:row>
      <xdr:rowOff>893706</xdr:rowOff>
    </xdr:to>
    <xdr:pic>
      <xdr:nvPicPr>
        <xdr:cNvPr id="4" name="Imagen 3" descr="Descripción: FACE CÓRDOBA PERFIL">
          <a:extLst>
            <a:ext uri="{FF2B5EF4-FFF2-40B4-BE49-F238E27FC236}">
              <a16:creationId xmlns:a16="http://schemas.microsoft.com/office/drawing/2014/main" id="{C5EBA02D-297A-4D50-99EA-17778B851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778" y="1152409"/>
          <a:ext cx="3083256" cy="16227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510639</xdr:colOff>
      <xdr:row>0</xdr:row>
      <xdr:rowOff>1365143</xdr:rowOff>
    </xdr:from>
    <xdr:to>
      <xdr:col>7</xdr:col>
      <xdr:colOff>1949232</xdr:colOff>
      <xdr:row>1</xdr:row>
      <xdr:rowOff>564444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4405D7B-398C-4A96-9D3E-34EE71F80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7120" y="1365143"/>
          <a:ext cx="4096186" cy="10807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951739</xdr:colOff>
      <xdr:row>0</xdr:row>
      <xdr:rowOff>941130</xdr:rowOff>
    </xdr:from>
    <xdr:to>
      <xdr:col>10</xdr:col>
      <xdr:colOff>3202287</xdr:colOff>
      <xdr:row>1</xdr:row>
      <xdr:rowOff>336175</xdr:rowOff>
    </xdr:to>
    <xdr:pic>
      <xdr:nvPicPr>
        <xdr:cNvPr id="2" name="Picture 52" descr="LOGO PIN FECESCOR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5121" y="941130"/>
          <a:ext cx="2250548" cy="12813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236330</xdr:colOff>
      <xdr:row>0</xdr:row>
      <xdr:rowOff>504134</xdr:rowOff>
    </xdr:from>
    <xdr:to>
      <xdr:col>3</xdr:col>
      <xdr:colOff>11147</xdr:colOff>
      <xdr:row>0</xdr:row>
      <xdr:rowOff>507498</xdr:rowOff>
    </xdr:to>
    <xdr:pic>
      <xdr:nvPicPr>
        <xdr:cNvPr id="10" name="Imagen 5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6750" y="504134"/>
          <a:ext cx="2297540" cy="88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488398</xdr:colOff>
      <xdr:row>0</xdr:row>
      <xdr:rowOff>248479</xdr:rowOff>
    </xdr:from>
    <xdr:to>
      <xdr:col>23</xdr:col>
      <xdr:colOff>405573</xdr:colOff>
      <xdr:row>0</xdr:row>
      <xdr:rowOff>1474581</xdr:rowOff>
    </xdr:to>
    <xdr:pic>
      <xdr:nvPicPr>
        <xdr:cNvPr id="11" name="Picture 52" descr="LOGO PIN FECESCOR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0780" y="248479"/>
          <a:ext cx="0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205945</xdr:colOff>
      <xdr:row>0</xdr:row>
      <xdr:rowOff>660018</xdr:rowOff>
    </xdr:from>
    <xdr:to>
      <xdr:col>27</xdr:col>
      <xdr:colOff>1673422</xdr:colOff>
      <xdr:row>0</xdr:row>
      <xdr:rowOff>1511515</xdr:rowOff>
    </xdr:to>
    <xdr:pic>
      <xdr:nvPicPr>
        <xdr:cNvPr id="13" name="Picture 52" descr="LOGO PIN FECESCOR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91452" y="660018"/>
          <a:ext cx="1467477" cy="851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22</xdr:col>
      <xdr:colOff>488398</xdr:colOff>
      <xdr:row>0</xdr:row>
      <xdr:rowOff>248479</xdr:rowOff>
    </xdr:from>
    <xdr:to>
      <xdr:col>23</xdr:col>
      <xdr:colOff>405573</xdr:colOff>
      <xdr:row>0</xdr:row>
      <xdr:rowOff>1474581</xdr:rowOff>
    </xdr:to>
    <xdr:pic>
      <xdr:nvPicPr>
        <xdr:cNvPr id="5" name="Picture 52" descr="LOGO PIN FECESCOR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74725" y="248479"/>
          <a:ext cx="0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1722782</xdr:colOff>
      <xdr:row>0</xdr:row>
      <xdr:rowOff>414130</xdr:rowOff>
    </xdr:from>
    <xdr:to>
      <xdr:col>26</xdr:col>
      <xdr:colOff>2020957</xdr:colOff>
      <xdr:row>0</xdr:row>
      <xdr:rowOff>1640232</xdr:rowOff>
    </xdr:to>
    <xdr:pic>
      <xdr:nvPicPr>
        <xdr:cNvPr id="7" name="Picture 52" descr="LOGO PIN FECESCOR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7507" y="414130"/>
          <a:ext cx="2107925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245718</xdr:colOff>
      <xdr:row>0</xdr:row>
      <xdr:rowOff>591614</xdr:rowOff>
    </xdr:from>
    <xdr:to>
      <xdr:col>7</xdr:col>
      <xdr:colOff>2399197</xdr:colOff>
      <xdr:row>0</xdr:row>
      <xdr:rowOff>1817716</xdr:rowOff>
    </xdr:to>
    <xdr:pic>
      <xdr:nvPicPr>
        <xdr:cNvPr id="3" name="Picture 52" descr="LOGO PIN FECESCOR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789" y="591614"/>
          <a:ext cx="2153479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281688</xdr:colOff>
      <xdr:row>0</xdr:row>
      <xdr:rowOff>912348</xdr:rowOff>
    </xdr:from>
    <xdr:to>
      <xdr:col>3</xdr:col>
      <xdr:colOff>268668</xdr:colOff>
      <xdr:row>0</xdr:row>
      <xdr:rowOff>1801348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474" y="912348"/>
          <a:ext cx="2254837" cy="88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1722782</xdr:colOff>
      <xdr:row>0</xdr:row>
      <xdr:rowOff>414130</xdr:rowOff>
    </xdr:from>
    <xdr:to>
      <xdr:col>15</xdr:col>
      <xdr:colOff>2020957</xdr:colOff>
      <xdr:row>0</xdr:row>
      <xdr:rowOff>1640232</xdr:rowOff>
    </xdr:to>
    <xdr:pic>
      <xdr:nvPicPr>
        <xdr:cNvPr id="9" name="Picture 52" descr="LOGO PIN FECESCOR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88582" y="414130"/>
          <a:ext cx="2888975" cy="1226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260350</xdr:colOff>
      <xdr:row>0</xdr:row>
      <xdr:rowOff>355600</xdr:rowOff>
    </xdr:from>
    <xdr:to>
      <xdr:col>6</xdr:col>
      <xdr:colOff>1943100</xdr:colOff>
      <xdr:row>0</xdr:row>
      <xdr:rowOff>1828800</xdr:rowOff>
    </xdr:to>
    <xdr:pic>
      <xdr:nvPicPr>
        <xdr:cNvPr id="97600" name="Picture 52" descr="LOGO PIN FECESCOR">
          <a:extLst>
            <a:ext uri="{FF2B5EF4-FFF2-40B4-BE49-F238E27FC236}">
              <a16:creationId xmlns:a16="http://schemas.microsoft.com/office/drawing/2014/main" id="{00000000-0008-0000-0500-000040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355600"/>
          <a:ext cx="0" cy="147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2311400</xdr:colOff>
      <xdr:row>0</xdr:row>
      <xdr:rowOff>457200</xdr:rowOff>
    </xdr:from>
    <xdr:to>
      <xdr:col>17</xdr:col>
      <xdr:colOff>2603500</xdr:colOff>
      <xdr:row>0</xdr:row>
      <xdr:rowOff>2540000</xdr:rowOff>
    </xdr:to>
    <xdr:pic>
      <xdr:nvPicPr>
        <xdr:cNvPr id="97601" name="Picture 52" descr="LOGO PIN FECESCOR">
          <a:extLst>
            <a:ext uri="{FF2B5EF4-FFF2-40B4-BE49-F238E27FC236}">
              <a16:creationId xmlns:a16="http://schemas.microsoft.com/office/drawing/2014/main" id="{00000000-0008-0000-0500-000041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457200"/>
          <a:ext cx="169545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1314450</xdr:colOff>
      <xdr:row>0</xdr:row>
      <xdr:rowOff>895350</xdr:rowOff>
    </xdr:from>
    <xdr:to>
      <xdr:col>16</xdr:col>
      <xdr:colOff>1308100</xdr:colOff>
      <xdr:row>0</xdr:row>
      <xdr:rowOff>1891030</xdr:rowOff>
    </xdr:to>
    <xdr:pic>
      <xdr:nvPicPr>
        <xdr:cNvPr id="97602" name="Imagen 5">
          <a:extLst>
            <a:ext uri="{FF2B5EF4-FFF2-40B4-BE49-F238E27FC236}">
              <a16:creationId xmlns:a16="http://schemas.microsoft.com/office/drawing/2014/main" id="{00000000-0008-0000-0500-000042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895350"/>
          <a:ext cx="1689100" cy="996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1657350</xdr:colOff>
      <xdr:row>0</xdr:row>
      <xdr:rowOff>641350</xdr:rowOff>
    </xdr:from>
    <xdr:to>
      <xdr:col>10</xdr:col>
      <xdr:colOff>1365250</xdr:colOff>
      <xdr:row>0</xdr:row>
      <xdr:rowOff>2514600</xdr:rowOff>
    </xdr:to>
    <xdr:pic>
      <xdr:nvPicPr>
        <xdr:cNvPr id="97603" name="Picture 52" descr="LOGO PIN FECESCOR">
          <a:extLst>
            <a:ext uri="{FF2B5EF4-FFF2-40B4-BE49-F238E27FC236}">
              <a16:creationId xmlns:a16="http://schemas.microsoft.com/office/drawing/2014/main" id="{00000000-0008-0000-0500-000043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641350"/>
          <a:ext cx="0" cy="125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1244600</xdr:colOff>
      <xdr:row>0</xdr:row>
      <xdr:rowOff>723900</xdr:rowOff>
    </xdr:from>
    <xdr:to>
      <xdr:col>3</xdr:col>
      <xdr:colOff>2762250</xdr:colOff>
      <xdr:row>0</xdr:row>
      <xdr:rowOff>1555750</xdr:rowOff>
    </xdr:to>
    <xdr:pic>
      <xdr:nvPicPr>
        <xdr:cNvPr id="97604" name="Imagen 5">
          <a:extLst>
            <a:ext uri="{FF2B5EF4-FFF2-40B4-BE49-F238E27FC236}">
              <a16:creationId xmlns:a16="http://schemas.microsoft.com/office/drawing/2014/main" id="{00000000-0008-0000-0500-0000447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8600" y="723900"/>
          <a:ext cx="1517650" cy="831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213314</xdr:colOff>
      <xdr:row>0</xdr:row>
      <xdr:rowOff>579782</xdr:rowOff>
    </xdr:from>
    <xdr:to>
      <xdr:col>15</xdr:col>
      <xdr:colOff>587236</xdr:colOff>
      <xdr:row>1</xdr:row>
      <xdr:rowOff>4417</xdr:rowOff>
    </xdr:to>
    <xdr:pic>
      <xdr:nvPicPr>
        <xdr:cNvPr id="2" name="Picture 52" descr="LOGO PIN FECESCOR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02039" y="579782"/>
          <a:ext cx="2269397" cy="13201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24039</xdr:colOff>
      <xdr:row>37</xdr:row>
      <xdr:rowOff>116931</xdr:rowOff>
    </xdr:from>
    <xdr:to>
      <xdr:col>4</xdr:col>
      <xdr:colOff>438019</xdr:colOff>
      <xdr:row>41</xdr:row>
      <xdr:rowOff>132203</xdr:rowOff>
    </xdr:to>
    <xdr:sp macro="" textlink="">
      <xdr:nvSpPr>
        <xdr:cNvPr id="10241" name="Text Box 1">
          <a:extLst>
            <a:ext uri="{FF2B5EF4-FFF2-40B4-BE49-F238E27FC236}">
              <a16:creationId xmlns:a16="http://schemas.microsoft.com/office/drawing/2014/main" id="{00000000-0008-0000-1200-000001280000}"/>
            </a:ext>
          </a:extLst>
        </xdr:cNvPr>
        <xdr:cNvSpPr txBox="1">
          <a:spLocks noChangeArrowheads="1"/>
        </xdr:cNvSpPr>
      </xdr:nvSpPr>
      <xdr:spPr bwMode="auto">
        <a:xfrm>
          <a:off x="771525" y="3667125"/>
          <a:ext cx="3314700" cy="657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5</xdr:col>
      <xdr:colOff>127454</xdr:colOff>
      <xdr:row>37</xdr:row>
      <xdr:rowOff>20864</xdr:rowOff>
    </xdr:from>
    <xdr:to>
      <xdr:col>7</xdr:col>
      <xdr:colOff>1137882</xdr:colOff>
      <xdr:row>41</xdr:row>
      <xdr:rowOff>1224</xdr:rowOff>
    </xdr:to>
    <xdr:sp macro="" textlink="">
      <xdr:nvSpPr>
        <xdr:cNvPr id="10242" name="Text Box 2">
          <a:extLst>
            <a:ext uri="{FF2B5EF4-FFF2-40B4-BE49-F238E27FC236}">
              <a16:creationId xmlns:a16="http://schemas.microsoft.com/office/drawing/2014/main" id="{00000000-0008-0000-1200-000002280000}"/>
            </a:ext>
          </a:extLst>
        </xdr:cNvPr>
        <xdr:cNvSpPr txBox="1">
          <a:spLocks noChangeArrowheads="1"/>
        </xdr:cNvSpPr>
      </xdr:nvSpPr>
      <xdr:spPr bwMode="auto">
        <a:xfrm>
          <a:off x="5095875" y="3609975"/>
          <a:ext cx="3324225" cy="6381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24039</xdr:colOff>
      <xdr:row>29</xdr:row>
      <xdr:rowOff>116931</xdr:rowOff>
    </xdr:from>
    <xdr:to>
      <xdr:col>4</xdr:col>
      <xdr:colOff>425191</xdr:colOff>
      <xdr:row>33</xdr:row>
      <xdr:rowOff>132203</xdr:rowOff>
    </xdr:to>
    <xdr:sp macro="" textlink="">
      <xdr:nvSpPr>
        <xdr:cNvPr id="5131" name="Text Box 11">
          <a:extLst>
            <a:ext uri="{FF2B5EF4-FFF2-40B4-BE49-F238E27FC236}">
              <a16:creationId xmlns:a16="http://schemas.microsoft.com/office/drawing/2014/main" id="{00000000-0008-0000-1300-00000B140000}"/>
            </a:ext>
          </a:extLst>
        </xdr:cNvPr>
        <xdr:cNvSpPr txBox="1">
          <a:spLocks noChangeArrowheads="1"/>
        </xdr:cNvSpPr>
      </xdr:nvSpPr>
      <xdr:spPr bwMode="auto">
        <a:xfrm>
          <a:off x="771525" y="4800600"/>
          <a:ext cx="3409950" cy="657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5</xdr:col>
      <xdr:colOff>108404</xdr:colOff>
      <xdr:row>29</xdr:row>
      <xdr:rowOff>20411</xdr:rowOff>
    </xdr:from>
    <xdr:to>
      <xdr:col>8</xdr:col>
      <xdr:colOff>2006</xdr:colOff>
      <xdr:row>33</xdr:row>
      <xdr:rowOff>1325</xdr:rowOff>
    </xdr:to>
    <xdr:sp macro="" textlink="">
      <xdr:nvSpPr>
        <xdr:cNvPr id="5132" name="Text Box 12">
          <a:extLst>
            <a:ext uri="{FF2B5EF4-FFF2-40B4-BE49-F238E27FC236}">
              <a16:creationId xmlns:a16="http://schemas.microsoft.com/office/drawing/2014/main" id="{00000000-0008-0000-1300-00000C140000}"/>
            </a:ext>
          </a:extLst>
        </xdr:cNvPr>
        <xdr:cNvSpPr txBox="1">
          <a:spLocks noChangeArrowheads="1"/>
        </xdr:cNvSpPr>
      </xdr:nvSpPr>
      <xdr:spPr bwMode="auto">
        <a:xfrm>
          <a:off x="5133975" y="4743450"/>
          <a:ext cx="2857500" cy="6381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35</xdr:row>
      <xdr:rowOff>0</xdr:rowOff>
    </xdr:from>
    <xdr:to>
      <xdr:col>2</xdr:col>
      <xdr:colOff>0</xdr:colOff>
      <xdr:row>35</xdr:row>
      <xdr:rowOff>0</xdr:rowOff>
    </xdr:to>
    <xdr:sp macro="" textlink="">
      <xdr:nvSpPr>
        <xdr:cNvPr id="4097" name="Text Box 1">
          <a:extLst>
            <a:ext uri="{FF2B5EF4-FFF2-40B4-BE49-F238E27FC236}">
              <a16:creationId xmlns:a16="http://schemas.microsoft.com/office/drawing/2014/main" id="{00000000-0008-0000-1400-000001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en la banda de PICO</a:t>
          </a:r>
        </a:p>
      </xdr:txBody>
    </xdr:sp>
    <xdr:clientData/>
  </xdr:twoCellAnchor>
  <xdr:twoCellAnchor>
    <xdr:from>
      <xdr:col>2</xdr:col>
      <xdr:colOff>454</xdr:colOff>
      <xdr:row>35</xdr:row>
      <xdr:rowOff>0</xdr:rowOff>
    </xdr:from>
    <xdr:to>
      <xdr:col>2</xdr:col>
      <xdr:colOff>454</xdr:colOff>
      <xdr:row>35</xdr:row>
      <xdr:rowOff>0</xdr:rowOff>
    </xdr:to>
    <xdr:sp macro="" textlink="">
      <xdr:nvSpPr>
        <xdr:cNvPr id="4098" name="Text Box 2">
          <a:extLst>
            <a:ext uri="{FF2B5EF4-FFF2-40B4-BE49-F238E27FC236}">
              <a16:creationId xmlns:a16="http://schemas.microsoft.com/office/drawing/2014/main" id="{00000000-0008-0000-1400-000002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total</a:t>
          </a:r>
        </a:p>
      </xdr:txBody>
    </xdr:sp>
    <xdr:clientData/>
  </xdr:twoCellAnchor>
  <xdr:twoCellAnchor>
    <xdr:from>
      <xdr:col>1</xdr:col>
      <xdr:colOff>4248150</xdr:colOff>
      <xdr:row>35</xdr:row>
      <xdr:rowOff>0</xdr:rowOff>
    </xdr:from>
    <xdr:to>
      <xdr:col>1</xdr:col>
      <xdr:colOff>1504950</xdr:colOff>
      <xdr:row>35</xdr:row>
      <xdr:rowOff>0</xdr:rowOff>
    </xdr:to>
    <xdr:sp macro="" textlink="">
      <xdr:nvSpPr>
        <xdr:cNvPr id="99074" name="Line 3">
          <a:extLst>
            <a:ext uri="{FF2B5EF4-FFF2-40B4-BE49-F238E27FC236}">
              <a16:creationId xmlns:a16="http://schemas.microsoft.com/office/drawing/2014/main" id="{00000000-0008-0000-1400-000002830100}"/>
            </a:ext>
          </a:extLst>
        </xdr:cNvPr>
        <xdr:cNvSpPr>
          <a:spLocks noChangeShapeType="1"/>
        </xdr:cNvSpPr>
      </xdr:nvSpPr>
      <xdr:spPr bwMode="auto">
        <a:xfrm flipV="1">
          <a:off x="4521200" y="6019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1361</xdr:colOff>
      <xdr:row>35</xdr:row>
      <xdr:rowOff>0</xdr:rowOff>
    </xdr:from>
    <xdr:to>
      <xdr:col>2</xdr:col>
      <xdr:colOff>1361</xdr:colOff>
      <xdr:row>35</xdr:row>
      <xdr:rowOff>0</xdr:rowOff>
    </xdr:to>
    <xdr:sp macro="" textlink="">
      <xdr:nvSpPr>
        <xdr:cNvPr id="4100" name="Text Box 4">
          <a:extLst>
            <a:ext uri="{FF2B5EF4-FFF2-40B4-BE49-F238E27FC236}">
              <a16:creationId xmlns:a16="http://schemas.microsoft.com/office/drawing/2014/main" id="{00000000-0008-0000-1400-000004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en la banda de VALLE</a:t>
          </a:r>
        </a:p>
      </xdr:txBody>
    </xdr:sp>
    <xdr:clientData/>
  </xdr:twoCellAnchor>
  <xdr:twoCellAnchor>
    <xdr:from>
      <xdr:col>2</xdr:col>
      <xdr:colOff>1814</xdr:colOff>
      <xdr:row>35</xdr:row>
      <xdr:rowOff>0</xdr:rowOff>
    </xdr:from>
    <xdr:to>
      <xdr:col>2</xdr:col>
      <xdr:colOff>1814</xdr:colOff>
      <xdr:row>35</xdr:row>
      <xdr:rowOff>0</xdr:rowOff>
    </xdr:to>
    <xdr:sp macro="" textlink="">
      <xdr:nvSpPr>
        <xdr:cNvPr id="4101" name="Text Box 5">
          <a:extLst>
            <a:ext uri="{FF2B5EF4-FFF2-40B4-BE49-F238E27FC236}">
              <a16:creationId xmlns:a16="http://schemas.microsoft.com/office/drawing/2014/main" id="{00000000-0008-0000-1400-000005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total</a:t>
          </a:r>
        </a:p>
      </xdr:txBody>
    </xdr:sp>
    <xdr:clientData/>
  </xdr:twoCellAnchor>
  <xdr:twoCellAnchor>
    <xdr:from>
      <xdr:col>1</xdr:col>
      <xdr:colOff>4457700</xdr:colOff>
      <xdr:row>35</xdr:row>
      <xdr:rowOff>0</xdr:rowOff>
    </xdr:from>
    <xdr:to>
      <xdr:col>1</xdr:col>
      <xdr:colOff>1504950</xdr:colOff>
      <xdr:row>35</xdr:row>
      <xdr:rowOff>0</xdr:rowOff>
    </xdr:to>
    <xdr:sp macro="" textlink="">
      <xdr:nvSpPr>
        <xdr:cNvPr id="99077" name="Line 6">
          <a:extLst>
            <a:ext uri="{FF2B5EF4-FFF2-40B4-BE49-F238E27FC236}">
              <a16:creationId xmlns:a16="http://schemas.microsoft.com/office/drawing/2014/main" id="{00000000-0008-0000-1400-000005830100}"/>
            </a:ext>
          </a:extLst>
        </xdr:cNvPr>
        <xdr:cNvSpPr>
          <a:spLocks noChangeShapeType="1"/>
        </xdr:cNvSpPr>
      </xdr:nvSpPr>
      <xdr:spPr bwMode="auto">
        <a:xfrm flipV="1">
          <a:off x="4521200" y="6019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1361</xdr:colOff>
      <xdr:row>35</xdr:row>
      <xdr:rowOff>0</xdr:rowOff>
    </xdr:from>
    <xdr:to>
      <xdr:col>2</xdr:col>
      <xdr:colOff>1361</xdr:colOff>
      <xdr:row>35</xdr:row>
      <xdr:rowOff>0</xdr:rowOff>
    </xdr:to>
    <xdr:sp macro="" textlink="">
      <xdr:nvSpPr>
        <xdr:cNvPr id="4103" name="Text Box 7">
          <a:extLst>
            <a:ext uri="{FF2B5EF4-FFF2-40B4-BE49-F238E27FC236}">
              <a16:creationId xmlns:a16="http://schemas.microsoft.com/office/drawing/2014/main" id="{00000000-0008-0000-1400-000007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en la banda de RESTO</a:t>
          </a:r>
        </a:p>
      </xdr:txBody>
    </xdr:sp>
    <xdr:clientData/>
  </xdr:twoCellAnchor>
  <xdr:twoCellAnchor>
    <xdr:from>
      <xdr:col>2</xdr:col>
      <xdr:colOff>454</xdr:colOff>
      <xdr:row>35</xdr:row>
      <xdr:rowOff>0</xdr:rowOff>
    </xdr:from>
    <xdr:to>
      <xdr:col>2</xdr:col>
      <xdr:colOff>454</xdr:colOff>
      <xdr:row>35</xdr:row>
      <xdr:rowOff>0</xdr:rowOff>
    </xdr:to>
    <xdr:sp macro="" textlink="">
      <xdr:nvSpPr>
        <xdr:cNvPr id="4104" name="Text Box 8">
          <a:extLst>
            <a:ext uri="{FF2B5EF4-FFF2-40B4-BE49-F238E27FC236}">
              <a16:creationId xmlns:a16="http://schemas.microsoft.com/office/drawing/2014/main" id="{00000000-0008-0000-1400-000008100000}"/>
            </a:ext>
          </a:extLst>
        </xdr:cNvPr>
        <xdr:cNvSpPr txBox="1">
          <a:spLocks noChangeArrowheads="1"/>
        </xdr:cNvSpPr>
      </xdr:nvSpPr>
      <xdr:spPr bwMode="auto">
        <a:xfrm>
          <a:off x="4324350" y="6124575"/>
          <a:ext cx="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AR" sz="800" b="0" i="0" strike="noStrike">
              <a:solidFill>
                <a:srgbClr val="000000"/>
              </a:solidFill>
              <a:latin typeface="Arial"/>
              <a:cs typeface="Arial"/>
            </a:rPr>
            <a:t>Remanente de la energía comprada total</a:t>
          </a:r>
        </a:p>
      </xdr:txBody>
    </xdr:sp>
    <xdr:clientData/>
  </xdr:twoCellAnchor>
  <xdr:twoCellAnchor>
    <xdr:from>
      <xdr:col>1</xdr:col>
      <xdr:colOff>4457700</xdr:colOff>
      <xdr:row>35</xdr:row>
      <xdr:rowOff>0</xdr:rowOff>
    </xdr:from>
    <xdr:to>
      <xdr:col>1</xdr:col>
      <xdr:colOff>1504950</xdr:colOff>
      <xdr:row>35</xdr:row>
      <xdr:rowOff>0</xdr:rowOff>
    </xdr:to>
    <xdr:sp macro="" textlink="">
      <xdr:nvSpPr>
        <xdr:cNvPr id="99080" name="Line 9">
          <a:extLst>
            <a:ext uri="{FF2B5EF4-FFF2-40B4-BE49-F238E27FC236}">
              <a16:creationId xmlns:a16="http://schemas.microsoft.com/office/drawing/2014/main" id="{00000000-0008-0000-1400-000008830100}"/>
            </a:ext>
          </a:extLst>
        </xdr:cNvPr>
        <xdr:cNvSpPr>
          <a:spLocks noChangeShapeType="1"/>
        </xdr:cNvSpPr>
      </xdr:nvSpPr>
      <xdr:spPr bwMode="auto">
        <a:xfrm flipV="1">
          <a:off x="4521200" y="6019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2203450</xdr:colOff>
      <xdr:row>35</xdr:row>
      <xdr:rowOff>6350</xdr:rowOff>
    </xdr:from>
    <xdr:to>
      <xdr:col>2</xdr:col>
      <xdr:colOff>0</xdr:colOff>
      <xdr:row>35</xdr:row>
      <xdr:rowOff>95250</xdr:rowOff>
    </xdr:to>
    <xdr:sp macro="" textlink="">
      <xdr:nvSpPr>
        <xdr:cNvPr id="99081" name="Rectangle 10">
          <a:extLst>
            <a:ext uri="{FF2B5EF4-FFF2-40B4-BE49-F238E27FC236}">
              <a16:creationId xmlns:a16="http://schemas.microsoft.com/office/drawing/2014/main" id="{00000000-0008-0000-1400-000009830100}"/>
            </a:ext>
          </a:extLst>
        </xdr:cNvPr>
        <xdr:cNvSpPr>
          <a:spLocks noChangeArrowheads="1"/>
        </xdr:cNvSpPr>
      </xdr:nvSpPr>
      <xdr:spPr bwMode="auto">
        <a:xfrm flipV="1">
          <a:off x="4521200" y="6026150"/>
          <a:ext cx="0" cy="889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1142274</xdr:colOff>
      <xdr:row>24</xdr:row>
      <xdr:rowOff>151493</xdr:rowOff>
    </xdr:from>
    <xdr:to>
      <xdr:col>1</xdr:col>
      <xdr:colOff>1476762</xdr:colOff>
      <xdr:row>29</xdr:row>
      <xdr:rowOff>2810</xdr:rowOff>
    </xdr:to>
    <xdr:sp macro="" textlink="">
      <xdr:nvSpPr>
        <xdr:cNvPr id="4112" name="Text Box 16">
          <a:extLst>
            <a:ext uri="{FF2B5EF4-FFF2-40B4-BE49-F238E27FC236}">
              <a16:creationId xmlns:a16="http://schemas.microsoft.com/office/drawing/2014/main" id="{00000000-0008-0000-1400-000010100000}"/>
            </a:ext>
          </a:extLst>
        </xdr:cNvPr>
        <xdr:cNvSpPr txBox="1">
          <a:spLocks noChangeArrowheads="1"/>
        </xdr:cNvSpPr>
      </xdr:nvSpPr>
      <xdr:spPr bwMode="auto">
        <a:xfrm>
          <a:off x="723900" y="4486275"/>
          <a:ext cx="3552825" cy="6572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Presidente</a:t>
          </a:r>
        </a:p>
      </xdr:txBody>
    </xdr:sp>
    <xdr:clientData/>
  </xdr:twoCellAnchor>
  <xdr:twoCellAnchor>
    <xdr:from>
      <xdr:col>2</xdr:col>
      <xdr:colOff>2119993</xdr:colOff>
      <xdr:row>25</xdr:row>
      <xdr:rowOff>20864</xdr:rowOff>
    </xdr:from>
    <xdr:to>
      <xdr:col>3</xdr:col>
      <xdr:colOff>2494826</xdr:colOff>
      <xdr:row>29</xdr:row>
      <xdr:rowOff>1224</xdr:rowOff>
    </xdr:to>
    <xdr:sp macro="" textlink="">
      <xdr:nvSpPr>
        <xdr:cNvPr id="4113" name="Text Box 17">
          <a:extLst>
            <a:ext uri="{FF2B5EF4-FFF2-40B4-BE49-F238E27FC236}">
              <a16:creationId xmlns:a16="http://schemas.microsoft.com/office/drawing/2014/main" id="{00000000-0008-0000-1400-000011100000}"/>
            </a:ext>
          </a:extLst>
        </xdr:cNvPr>
        <xdr:cNvSpPr txBox="1">
          <a:spLocks noChangeArrowheads="1"/>
        </xdr:cNvSpPr>
      </xdr:nvSpPr>
      <xdr:spPr bwMode="auto">
        <a:xfrm>
          <a:off x="5676900" y="4524375"/>
          <a:ext cx="3324225" cy="6381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.......................................................................</a:t>
          </a: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Secretario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AR" sz="1000" b="0" i="0" strike="noStrike">
              <a:solidFill>
                <a:srgbClr val="000000"/>
              </a:solidFill>
              <a:latin typeface="Arial"/>
              <a:cs typeface="Arial"/>
            </a:rPr>
            <a:t>…</a:t>
          </a:r>
        </a:p>
        <a:p>
          <a:pPr algn="ctr" rtl="0">
            <a:defRPr sz="1000"/>
          </a:pPr>
          <a:endParaRPr lang="es-AR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2511425</xdr:colOff>
      <xdr:row>0</xdr:row>
      <xdr:rowOff>676275</xdr:rowOff>
    </xdr:from>
    <xdr:to>
      <xdr:col>3</xdr:col>
      <xdr:colOff>968375</xdr:colOff>
      <xdr:row>0</xdr:row>
      <xdr:rowOff>1724025</xdr:rowOff>
    </xdr:to>
    <xdr:pic>
      <xdr:nvPicPr>
        <xdr:cNvPr id="101825" name="Picture 52" descr="LOGO PIN FECESCOR">
          <a:extLst>
            <a:ext uri="{FF2B5EF4-FFF2-40B4-BE49-F238E27FC236}">
              <a16:creationId xmlns:a16="http://schemas.microsoft.com/office/drawing/2014/main" id="{00000000-0008-0000-1C00-0000C18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3425" y="676275"/>
          <a:ext cx="1495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666750</xdr:colOff>
      <xdr:row>0</xdr:row>
      <xdr:rowOff>942976</xdr:rowOff>
    </xdr:from>
    <xdr:to>
      <xdr:col>2</xdr:col>
      <xdr:colOff>2129253</xdr:colOff>
      <xdr:row>0</xdr:row>
      <xdr:rowOff>1533526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0" y="942976"/>
          <a:ext cx="1462503" cy="590550"/>
        </a:xfrm>
        <a:prstGeom prst="rect">
          <a:avLst/>
        </a:prstGeom>
      </xdr:spPr>
    </xdr:pic>
    <xdr:clientData/>
  </xdr:twoCellAnchor>
  <xdr:twoCellAnchor>
    <xdr:from>
      <xdr:col>9</xdr:col>
      <xdr:colOff>796925</xdr:colOff>
      <xdr:row>0</xdr:row>
      <xdr:rowOff>695325</xdr:rowOff>
    </xdr:from>
    <xdr:to>
      <xdr:col>10</xdr:col>
      <xdr:colOff>387350</xdr:colOff>
      <xdr:row>0</xdr:row>
      <xdr:rowOff>1743075</xdr:rowOff>
    </xdr:to>
    <xdr:pic>
      <xdr:nvPicPr>
        <xdr:cNvPr id="23" name="Picture 52" descr="LOGO PIN FECESCOR">
          <a:extLst>
            <a:ext uri="{FF2B5EF4-FFF2-40B4-BE49-F238E27FC236}">
              <a16:creationId xmlns:a16="http://schemas.microsoft.com/office/drawing/2014/main" id="{00000000-0008-0000-1C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12900" y="695325"/>
          <a:ext cx="1495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647700</xdr:colOff>
      <xdr:row>0</xdr:row>
      <xdr:rowOff>962026</xdr:rowOff>
    </xdr:from>
    <xdr:to>
      <xdr:col>9</xdr:col>
      <xdr:colOff>30680</xdr:colOff>
      <xdr:row>0</xdr:row>
      <xdr:rowOff>1552576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1C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468225" y="962026"/>
          <a:ext cx="1462503" cy="590550"/>
        </a:xfrm>
        <a:prstGeom prst="rect">
          <a:avLst/>
        </a:prstGeom>
      </xdr:spPr>
    </xdr:pic>
    <xdr:clientData/>
  </xdr:twoCellAnchor>
  <xdr:twoCellAnchor>
    <xdr:from>
      <xdr:col>2</xdr:col>
      <xdr:colOff>2511425</xdr:colOff>
      <xdr:row>0</xdr:row>
      <xdr:rowOff>676275</xdr:rowOff>
    </xdr:from>
    <xdr:to>
      <xdr:col>3</xdr:col>
      <xdr:colOff>968375</xdr:colOff>
      <xdr:row>0</xdr:row>
      <xdr:rowOff>1724025</xdr:rowOff>
    </xdr:to>
    <xdr:pic>
      <xdr:nvPicPr>
        <xdr:cNvPr id="6" name="Picture 52" descr="LOGO PIN FECESCOR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3425" y="676275"/>
          <a:ext cx="14954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666750</xdr:colOff>
      <xdr:row>0</xdr:row>
      <xdr:rowOff>942976</xdr:rowOff>
    </xdr:from>
    <xdr:to>
      <xdr:col>2</xdr:col>
      <xdr:colOff>2129253</xdr:colOff>
      <xdr:row>0</xdr:row>
      <xdr:rowOff>1533526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1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0" y="942976"/>
          <a:ext cx="1462503" cy="590550"/>
        </a:xfrm>
        <a:prstGeom prst="rect">
          <a:avLst/>
        </a:prstGeom>
      </xdr:spPr>
    </xdr:pic>
    <xdr:clientData/>
  </xdr:twoCellAnchor>
  <xdr:twoCellAnchor>
    <xdr:from>
      <xdr:col>9</xdr:col>
      <xdr:colOff>796925</xdr:colOff>
      <xdr:row>0</xdr:row>
      <xdr:rowOff>695325</xdr:rowOff>
    </xdr:from>
    <xdr:to>
      <xdr:col>10</xdr:col>
      <xdr:colOff>387350</xdr:colOff>
      <xdr:row>0</xdr:row>
      <xdr:rowOff>1743075</xdr:rowOff>
    </xdr:to>
    <xdr:pic>
      <xdr:nvPicPr>
        <xdr:cNvPr id="8" name="Picture 52" descr="LOGO PIN FECESCOR">
          <a:extLst>
            <a:ext uri="{FF2B5EF4-FFF2-40B4-BE49-F238E27FC236}">
              <a16:creationId xmlns:a16="http://schemas.microsoft.com/office/drawing/2014/main" id="{00000000-0008-0000-1C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0325" y="695325"/>
          <a:ext cx="16668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647700</xdr:colOff>
      <xdr:row>0</xdr:row>
      <xdr:rowOff>962026</xdr:rowOff>
    </xdr:from>
    <xdr:to>
      <xdr:col>9</xdr:col>
      <xdr:colOff>30680</xdr:colOff>
      <xdr:row>0</xdr:row>
      <xdr:rowOff>1552576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344650" y="962026"/>
          <a:ext cx="1459430" cy="59055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196850</xdr:colOff>
      <xdr:row>0</xdr:row>
      <xdr:rowOff>1104900</xdr:rowOff>
    </xdr:from>
    <xdr:to>
      <xdr:col>5</xdr:col>
      <xdr:colOff>1758950</xdr:colOff>
      <xdr:row>0</xdr:row>
      <xdr:rowOff>2476500</xdr:rowOff>
    </xdr:to>
    <xdr:pic>
      <xdr:nvPicPr>
        <xdr:cNvPr id="99584" name="Picture 52" descr="LOGO PIN FECESCOR">
          <a:extLst>
            <a:ext uri="{FF2B5EF4-FFF2-40B4-BE49-F238E27FC236}">
              <a16:creationId xmlns:a16="http://schemas.microsoft.com/office/drawing/2014/main" id="{00000000-0008-0000-1D00-000000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1700" y="1104900"/>
          <a:ext cx="15621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196850</xdr:colOff>
      <xdr:row>0</xdr:row>
      <xdr:rowOff>1289050</xdr:rowOff>
    </xdr:from>
    <xdr:to>
      <xdr:col>2</xdr:col>
      <xdr:colOff>1543050</xdr:colOff>
      <xdr:row>0</xdr:row>
      <xdr:rowOff>2749550</xdr:rowOff>
    </xdr:to>
    <xdr:pic>
      <xdr:nvPicPr>
        <xdr:cNvPr id="99585" name="Picture 51">
          <a:extLst>
            <a:ext uri="{FF2B5EF4-FFF2-40B4-BE49-F238E27FC236}">
              <a16:creationId xmlns:a16="http://schemas.microsoft.com/office/drawing/2014/main" id="{00000000-0008-0000-1D00-000001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950" y="1289050"/>
          <a:ext cx="1346200" cy="48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196850</xdr:colOff>
      <xdr:row>0</xdr:row>
      <xdr:rowOff>1104900</xdr:rowOff>
    </xdr:from>
    <xdr:to>
      <xdr:col>5</xdr:col>
      <xdr:colOff>1758950</xdr:colOff>
      <xdr:row>0</xdr:row>
      <xdr:rowOff>2476500</xdr:rowOff>
    </xdr:to>
    <xdr:pic>
      <xdr:nvPicPr>
        <xdr:cNvPr id="99586" name="Picture 52" descr="LOGO PIN FECESCOR">
          <a:extLst>
            <a:ext uri="{FF2B5EF4-FFF2-40B4-BE49-F238E27FC236}">
              <a16:creationId xmlns:a16="http://schemas.microsoft.com/office/drawing/2014/main" id="{00000000-0008-0000-1D00-000002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1700" y="1104900"/>
          <a:ext cx="15621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196850</xdr:colOff>
      <xdr:row>0</xdr:row>
      <xdr:rowOff>1289050</xdr:rowOff>
    </xdr:from>
    <xdr:to>
      <xdr:col>2</xdr:col>
      <xdr:colOff>1543050</xdr:colOff>
      <xdr:row>0</xdr:row>
      <xdr:rowOff>2749550</xdr:rowOff>
    </xdr:to>
    <xdr:pic>
      <xdr:nvPicPr>
        <xdr:cNvPr id="99587" name="Picture 51">
          <a:extLst>
            <a:ext uri="{FF2B5EF4-FFF2-40B4-BE49-F238E27FC236}">
              <a16:creationId xmlns:a16="http://schemas.microsoft.com/office/drawing/2014/main" id="{00000000-0008-0000-1D00-000003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950" y="1289050"/>
          <a:ext cx="1346200" cy="48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196850</xdr:colOff>
      <xdr:row>0</xdr:row>
      <xdr:rowOff>1104900</xdr:rowOff>
    </xdr:from>
    <xdr:to>
      <xdr:col>5</xdr:col>
      <xdr:colOff>1758950</xdr:colOff>
      <xdr:row>0</xdr:row>
      <xdr:rowOff>2476500</xdr:rowOff>
    </xdr:to>
    <xdr:pic>
      <xdr:nvPicPr>
        <xdr:cNvPr id="100608" name="Picture 52" descr="LOGO PIN FECESCOR">
          <a:extLst>
            <a:ext uri="{FF2B5EF4-FFF2-40B4-BE49-F238E27FC236}">
              <a16:creationId xmlns:a16="http://schemas.microsoft.com/office/drawing/2014/main" id="{00000000-0008-0000-1F00-000000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1700" y="1104900"/>
          <a:ext cx="15621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196850</xdr:colOff>
      <xdr:row>0</xdr:row>
      <xdr:rowOff>1289050</xdr:rowOff>
    </xdr:from>
    <xdr:to>
      <xdr:col>2</xdr:col>
      <xdr:colOff>1543050</xdr:colOff>
      <xdr:row>0</xdr:row>
      <xdr:rowOff>2749550</xdr:rowOff>
    </xdr:to>
    <xdr:pic>
      <xdr:nvPicPr>
        <xdr:cNvPr id="100609" name="Picture 51">
          <a:extLst>
            <a:ext uri="{FF2B5EF4-FFF2-40B4-BE49-F238E27FC236}">
              <a16:creationId xmlns:a16="http://schemas.microsoft.com/office/drawing/2014/main" id="{00000000-0008-0000-1F00-000001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950" y="1289050"/>
          <a:ext cx="1346200" cy="48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196850</xdr:colOff>
      <xdr:row>0</xdr:row>
      <xdr:rowOff>1104900</xdr:rowOff>
    </xdr:from>
    <xdr:to>
      <xdr:col>5</xdr:col>
      <xdr:colOff>1758950</xdr:colOff>
      <xdr:row>0</xdr:row>
      <xdr:rowOff>2476500</xdr:rowOff>
    </xdr:to>
    <xdr:pic>
      <xdr:nvPicPr>
        <xdr:cNvPr id="100610" name="Picture 52" descr="LOGO PIN FECESCOR">
          <a:extLst>
            <a:ext uri="{FF2B5EF4-FFF2-40B4-BE49-F238E27FC236}">
              <a16:creationId xmlns:a16="http://schemas.microsoft.com/office/drawing/2014/main" id="{00000000-0008-0000-1F00-00000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1700" y="1104900"/>
          <a:ext cx="15621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196850</xdr:colOff>
      <xdr:row>0</xdr:row>
      <xdr:rowOff>1289050</xdr:rowOff>
    </xdr:from>
    <xdr:to>
      <xdr:col>2</xdr:col>
      <xdr:colOff>1543050</xdr:colOff>
      <xdr:row>0</xdr:row>
      <xdr:rowOff>2749550</xdr:rowOff>
    </xdr:to>
    <xdr:pic>
      <xdr:nvPicPr>
        <xdr:cNvPr id="100611" name="Picture 51">
          <a:extLst>
            <a:ext uri="{FF2B5EF4-FFF2-40B4-BE49-F238E27FC236}">
              <a16:creationId xmlns:a16="http://schemas.microsoft.com/office/drawing/2014/main" id="{00000000-0008-0000-1F00-000003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950" y="1289050"/>
          <a:ext cx="1346200" cy="48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368300</xdr:colOff>
      <xdr:row>0</xdr:row>
      <xdr:rowOff>1250950</xdr:rowOff>
    </xdr:from>
    <xdr:to>
      <xdr:col>1</xdr:col>
      <xdr:colOff>590550</xdr:colOff>
      <xdr:row>0</xdr:row>
      <xdr:rowOff>2590800</xdr:rowOff>
    </xdr:to>
    <xdr:pic>
      <xdr:nvPicPr>
        <xdr:cNvPr id="53039" name="Picture 51">
          <a:extLst>
            <a:ext uri="{FF2B5EF4-FFF2-40B4-BE49-F238E27FC236}">
              <a16:creationId xmlns:a16="http://schemas.microsoft.com/office/drawing/2014/main" id="{00000000-0008-0000-2000-00002FC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00" y="1250950"/>
          <a:ext cx="10223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2552700</xdr:colOff>
      <xdr:row>0</xdr:row>
      <xdr:rowOff>1085850</xdr:rowOff>
    </xdr:from>
    <xdr:to>
      <xdr:col>8</xdr:col>
      <xdr:colOff>1143000</xdr:colOff>
      <xdr:row>0</xdr:row>
      <xdr:rowOff>2794000</xdr:rowOff>
    </xdr:to>
    <xdr:pic>
      <xdr:nvPicPr>
        <xdr:cNvPr id="53040" name="Picture 52" descr="LOGO PIN FECESCOR">
          <a:extLst>
            <a:ext uri="{FF2B5EF4-FFF2-40B4-BE49-F238E27FC236}">
              <a16:creationId xmlns:a16="http://schemas.microsoft.com/office/drawing/2014/main" id="{00000000-0008-0000-2000-000030C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1085850"/>
          <a:ext cx="800100" cy="80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OSVALDO%202022\DDJJ%2093-2004%20OSVALDO\CLEMIC\842\2023\DICIEMBRE%202023\V8-DDJJ-%20DIC%202023-COOP%20CLEMIC.xlsx" TargetMode="External"/><Relationship Id="rId1" Type="http://schemas.openxmlformats.org/officeDocument/2006/relationships/externalLinkPath" Target="/OSVALDO%202022/DDJJ%2093-2004%20OSVALDO/CLEMIC/842/2023/DICIEMBRE%202023/V8-DDJJ-%20DIC%202023-COOP%20CLEMIC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Osvaldo%20VAIO\Desktop\FACE-FECESCOR-2012\FEBRERO%202017\FINAL%20SECCION%20II\FINALLL\REFINALLL\A%20ENVIAR%20CIRCULAR%20ULTIMOOOO\REFINAL%20P%20870\(FACE-FECESCOR)-DDJJ-RES%20SE%2020-2017-FEB%202017-V34--SPRO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OSVALDO\DDJJ93-2004-OSVALDO\para\870\2016\FEBRERO\PLANILLA%20CALCULO%20NOTA%20870%20-FEB%202016%20-MT-PARA%20MODELO-FINALLLL%20A%20TRABAJA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EF"/>
      <sheetName val="HOJA DE ENTRADA DE DATOS"/>
      <sheetName val="DATOS DE ENTRADA"/>
      <sheetName val="Compra -HOJA1"/>
      <sheetName val="GUDI  -HOJA2"/>
      <sheetName val="EPEC SECCION  I"/>
      <sheetName val="SECCION I-II"/>
      <sheetName val="DDJJ EPEC S-I"/>
      <sheetName val="DDJJ EPEC SI"/>
      <sheetName val="DDJJ SI SII"/>
      <sheetName val="MEM"/>
      <sheetName val="DDJJ EPEC S-II"/>
      <sheetName val="DTO 641"/>
      <sheetName val="UR1"/>
      <sheetName val="UR2"/>
      <sheetName val="NR10"/>
      <sheetName val="GUc"/>
      <sheetName val="GUd"/>
      <sheetName val="U30"/>
      <sheetName val="CAMMESA-SECCION I"/>
      <sheetName val="CAMMESA-SECCION II RESUMEN"/>
      <sheetName val="CAMMESA-SECCION III"/>
      <sheetName val="SECCION II RESIDENCIAL"/>
      <sheetName val="SECCION II NR1"/>
      <sheetName val="SECCION II NR2"/>
      <sheetName val="SECCION II AP"/>
      <sheetName val="SECCIONII U30"/>
      <sheetName val="SECCION II GUd"/>
      <sheetName val="SECCION III GUc"/>
      <sheetName val="PARA 870"/>
      <sheetName val="P870"/>
      <sheetName val="Hoja1"/>
      <sheetName val="DIF"/>
      <sheetName val="VALIDAR"/>
      <sheetName val="Informe de compatibilidad"/>
    </sheetNames>
    <sheetDataSet>
      <sheetData sheetId="0"/>
      <sheetData sheetId="1"/>
      <sheetData sheetId="2">
        <row r="2">
          <cell r="F2">
            <v>45261</v>
          </cell>
        </row>
        <row r="11">
          <cell r="C11" t="str">
            <v>COOP CLEMIC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EF"/>
      <sheetName val="Compra -HOJA1"/>
      <sheetName val="GUDI  -HOJA2"/>
      <sheetName val="EPEC SECCION  I"/>
      <sheetName val=" SECCION I-II"/>
      <sheetName val="UR1"/>
      <sheetName val="UR2"/>
      <sheetName val="NR10"/>
      <sheetName val="GUc"/>
      <sheetName val="GUd"/>
      <sheetName val="U30"/>
      <sheetName val="CAMMESA-SECCION I"/>
      <sheetName val="CAMMESA-SECCION II RESUMEN"/>
      <sheetName val="CAMMESA-SECCION III"/>
      <sheetName val="SECCION II RESIDENCIAL"/>
      <sheetName val="SECCION II NR1"/>
      <sheetName val="SECCION II NR2"/>
      <sheetName val="SECCION II AP"/>
      <sheetName val="SECCIONII U30"/>
      <sheetName val="SECCION II GUd"/>
      <sheetName val="SECCION III GUc"/>
      <sheetName val="PARA 870"/>
      <sheetName val="VALIDAR"/>
      <sheetName val="Informe de compatibilidad"/>
    </sheetNames>
    <sheetDataSet>
      <sheetData sheetId="0"/>
      <sheetData sheetId="1">
        <row r="114">
          <cell r="O114">
            <v>0</v>
          </cell>
          <cell r="P114">
            <v>0</v>
          </cell>
          <cell r="Q114">
            <v>0</v>
          </cell>
        </row>
      </sheetData>
      <sheetData sheetId="2"/>
      <sheetData sheetId="3"/>
      <sheetData sheetId="4">
        <row r="15">
          <cell r="P15">
            <v>0</v>
          </cell>
          <cell r="Q15">
            <v>0</v>
          </cell>
          <cell r="R15">
            <v>0</v>
          </cell>
        </row>
        <row r="16">
          <cell r="P16">
            <v>0</v>
          </cell>
          <cell r="Q16">
            <v>0</v>
          </cell>
          <cell r="R16">
            <v>0</v>
          </cell>
        </row>
        <row r="17">
          <cell r="P17">
            <v>0</v>
          </cell>
          <cell r="Q17">
            <v>0</v>
          </cell>
          <cell r="R17">
            <v>0</v>
          </cell>
        </row>
        <row r="18">
          <cell r="P18">
            <v>0</v>
          </cell>
          <cell r="Q18">
            <v>0</v>
          </cell>
          <cell r="R18">
            <v>0</v>
          </cell>
        </row>
        <row r="19">
          <cell r="P19">
            <v>0</v>
          </cell>
          <cell r="Q19">
            <v>0</v>
          </cell>
          <cell r="R19">
            <v>0</v>
          </cell>
        </row>
        <row r="26">
          <cell r="P26">
            <v>0</v>
          </cell>
          <cell r="Q26">
            <v>0</v>
          </cell>
          <cell r="R26">
            <v>0</v>
          </cell>
        </row>
        <row r="27">
          <cell r="P27">
            <v>0</v>
          </cell>
          <cell r="Q27">
            <v>0</v>
          </cell>
          <cell r="R27">
            <v>0</v>
          </cell>
        </row>
        <row r="28">
          <cell r="P28">
            <v>0</v>
          </cell>
          <cell r="Q28">
            <v>0</v>
          </cell>
          <cell r="R28">
            <v>0</v>
          </cell>
        </row>
        <row r="29">
          <cell r="P29">
            <v>0</v>
          </cell>
          <cell r="Q29">
            <v>0</v>
          </cell>
          <cell r="R29">
            <v>0</v>
          </cell>
        </row>
        <row r="30">
          <cell r="P30">
            <v>0</v>
          </cell>
          <cell r="Q30">
            <v>0</v>
          </cell>
          <cell r="R30">
            <v>0</v>
          </cell>
        </row>
        <row r="31">
          <cell r="P31">
            <v>0</v>
          </cell>
          <cell r="Q31">
            <v>0</v>
          </cell>
          <cell r="R31">
            <v>0</v>
          </cell>
        </row>
        <row r="32">
          <cell r="P32">
            <v>0</v>
          </cell>
          <cell r="Q32">
            <v>0</v>
          </cell>
          <cell r="R32">
            <v>0</v>
          </cell>
        </row>
        <row r="38">
          <cell r="P38">
            <v>0</v>
          </cell>
          <cell r="Q38">
            <v>0</v>
          </cell>
          <cell r="R38">
            <v>0</v>
          </cell>
        </row>
        <row r="39">
          <cell r="P39">
            <v>0</v>
          </cell>
          <cell r="Q39">
            <v>0</v>
          </cell>
          <cell r="R39">
            <v>0</v>
          </cell>
        </row>
        <row r="40">
          <cell r="P40">
            <v>0</v>
          </cell>
          <cell r="Q40">
            <v>0</v>
          </cell>
          <cell r="R40">
            <v>0</v>
          </cell>
        </row>
        <row r="41">
          <cell r="P41">
            <v>0</v>
          </cell>
          <cell r="Q41">
            <v>0</v>
          </cell>
          <cell r="R41">
            <v>0</v>
          </cell>
        </row>
        <row r="42">
          <cell r="P42">
            <v>0</v>
          </cell>
          <cell r="Q42">
            <v>0</v>
          </cell>
          <cell r="R42">
            <v>0</v>
          </cell>
        </row>
        <row r="43">
          <cell r="P43">
            <v>0</v>
          </cell>
          <cell r="Q43">
            <v>0</v>
          </cell>
          <cell r="R43">
            <v>0</v>
          </cell>
        </row>
        <row r="44">
          <cell r="P44">
            <v>0</v>
          </cell>
          <cell r="Q44">
            <v>0</v>
          </cell>
          <cell r="R44">
            <v>0</v>
          </cell>
        </row>
        <row r="45">
          <cell r="P45">
            <v>0</v>
          </cell>
          <cell r="Q45">
            <v>0</v>
          </cell>
          <cell r="R45">
            <v>0</v>
          </cell>
        </row>
        <row r="46">
          <cell r="P46">
            <v>0</v>
          </cell>
          <cell r="Q46">
            <v>0</v>
          </cell>
          <cell r="R46">
            <v>0</v>
          </cell>
        </row>
        <row r="47">
          <cell r="P47">
            <v>0</v>
          </cell>
          <cell r="Q47">
            <v>0</v>
          </cell>
          <cell r="R47">
            <v>0</v>
          </cell>
        </row>
        <row r="53">
          <cell r="P53">
            <v>0</v>
          </cell>
          <cell r="Q53">
            <v>0</v>
          </cell>
          <cell r="R53">
            <v>0</v>
          </cell>
        </row>
        <row r="54">
          <cell r="P54">
            <v>0</v>
          </cell>
          <cell r="Q54">
            <v>0</v>
          </cell>
          <cell r="R54">
            <v>0</v>
          </cell>
        </row>
        <row r="55">
          <cell r="P55">
            <v>0</v>
          </cell>
          <cell r="Q55">
            <v>0</v>
          </cell>
          <cell r="R55">
            <v>0</v>
          </cell>
        </row>
        <row r="56">
          <cell r="P56">
            <v>0</v>
          </cell>
          <cell r="Q56">
            <v>0</v>
          </cell>
          <cell r="R56">
            <v>0</v>
          </cell>
        </row>
        <row r="57">
          <cell r="P57">
            <v>0</v>
          </cell>
          <cell r="Q57">
            <v>0</v>
          </cell>
          <cell r="R57">
            <v>0</v>
          </cell>
        </row>
        <row r="58">
          <cell r="P58">
            <v>0</v>
          </cell>
          <cell r="Q58">
            <v>0</v>
          </cell>
          <cell r="R58">
            <v>0</v>
          </cell>
        </row>
        <row r="59">
          <cell r="P59">
            <v>0</v>
          </cell>
          <cell r="Q59">
            <v>0</v>
          </cell>
          <cell r="R59">
            <v>0</v>
          </cell>
        </row>
        <row r="60">
          <cell r="P60">
            <v>0</v>
          </cell>
          <cell r="Q60">
            <v>0</v>
          </cell>
          <cell r="R60">
            <v>0</v>
          </cell>
        </row>
        <row r="61">
          <cell r="P61">
            <v>0</v>
          </cell>
          <cell r="Q61">
            <v>0</v>
          </cell>
          <cell r="R61">
            <v>0</v>
          </cell>
        </row>
        <row r="62">
          <cell r="P62">
            <v>0</v>
          </cell>
          <cell r="Q62">
            <v>0</v>
          </cell>
          <cell r="R62">
            <v>0</v>
          </cell>
        </row>
        <row r="63">
          <cell r="P63">
            <v>0</v>
          </cell>
          <cell r="Q63">
            <v>0</v>
          </cell>
          <cell r="R63">
            <v>0</v>
          </cell>
        </row>
        <row r="69">
          <cell r="P69">
            <v>0</v>
          </cell>
          <cell r="Q69">
            <v>0</v>
          </cell>
          <cell r="R69">
            <v>0</v>
          </cell>
        </row>
        <row r="70">
          <cell r="P70">
            <v>0</v>
          </cell>
          <cell r="Q70">
            <v>0</v>
          </cell>
          <cell r="R70">
            <v>0</v>
          </cell>
        </row>
        <row r="71">
          <cell r="P71">
            <v>0</v>
          </cell>
          <cell r="Q71">
            <v>0</v>
          </cell>
          <cell r="R71">
            <v>0</v>
          </cell>
        </row>
        <row r="72">
          <cell r="P72">
            <v>0</v>
          </cell>
          <cell r="Q72">
            <v>0</v>
          </cell>
          <cell r="R72">
            <v>0</v>
          </cell>
        </row>
        <row r="73">
          <cell r="P73">
            <v>0</v>
          </cell>
          <cell r="Q73">
            <v>0</v>
          </cell>
          <cell r="R73">
            <v>0</v>
          </cell>
        </row>
        <row r="74">
          <cell r="P74">
            <v>0</v>
          </cell>
          <cell r="Q74">
            <v>0</v>
          </cell>
          <cell r="R74">
            <v>0</v>
          </cell>
        </row>
        <row r="75">
          <cell r="P75">
            <v>0</v>
          </cell>
          <cell r="Q75">
            <v>0</v>
          </cell>
          <cell r="R75">
            <v>0</v>
          </cell>
        </row>
        <row r="76">
          <cell r="P76">
            <v>0</v>
          </cell>
          <cell r="Q76">
            <v>0</v>
          </cell>
          <cell r="R76">
            <v>0</v>
          </cell>
        </row>
        <row r="77">
          <cell r="P77">
            <v>0</v>
          </cell>
          <cell r="Q77">
            <v>0</v>
          </cell>
          <cell r="R77">
            <v>0</v>
          </cell>
        </row>
        <row r="78">
          <cell r="P78">
            <v>0</v>
          </cell>
          <cell r="Q78">
            <v>0</v>
          </cell>
          <cell r="R78">
            <v>0</v>
          </cell>
        </row>
        <row r="79">
          <cell r="P79">
            <v>0</v>
          </cell>
          <cell r="Q79">
            <v>0</v>
          </cell>
          <cell r="R79">
            <v>0</v>
          </cell>
        </row>
        <row r="106">
          <cell r="F106">
            <v>0</v>
          </cell>
          <cell r="G106">
            <v>0</v>
          </cell>
          <cell r="H106">
            <v>0</v>
          </cell>
        </row>
        <row r="114">
          <cell r="F114">
            <v>0</v>
          </cell>
          <cell r="G114">
            <v>0</v>
          </cell>
          <cell r="H114">
            <v>0</v>
          </cell>
        </row>
        <row r="122">
          <cell r="F122">
            <v>0</v>
          </cell>
          <cell r="G122">
            <v>0</v>
          </cell>
          <cell r="H122">
            <v>0</v>
          </cell>
        </row>
        <row r="136">
          <cell r="F136">
            <v>0</v>
          </cell>
          <cell r="G136">
            <v>0</v>
          </cell>
          <cell r="H136">
            <v>0</v>
          </cell>
        </row>
        <row r="145">
          <cell r="F145">
            <v>0</v>
          </cell>
          <cell r="G145">
            <v>0</v>
          </cell>
          <cell r="H145">
            <v>0</v>
          </cell>
        </row>
        <row r="154">
          <cell r="F154">
            <v>0</v>
          </cell>
          <cell r="G154">
            <v>0</v>
          </cell>
          <cell r="H154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20">
          <cell r="E20">
            <v>0</v>
          </cell>
        </row>
        <row r="21">
          <cell r="E21">
            <v>0</v>
          </cell>
        </row>
        <row r="22">
          <cell r="E22">
            <v>0</v>
          </cell>
        </row>
      </sheetData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COMPRA"/>
      <sheetName val="DATOS DE FACTURACION"/>
      <sheetName val="DDJJ 870  2016"/>
      <sheetName val="Comentarios"/>
      <sheetName val="Listado Coop"/>
      <sheetName val="ACLARACIONES"/>
      <sheetName val="FEB 16"/>
      <sheetName val="Hoja1"/>
      <sheetName val="EPEC"/>
    </sheetNames>
    <sheetDataSet>
      <sheetData sheetId="0"/>
      <sheetData sheetId="1"/>
      <sheetData sheetId="2"/>
      <sheetData sheetId="3"/>
      <sheetData sheetId="4"/>
      <sheetData sheetId="5"/>
      <sheetData sheetId="6">
        <row r="232">
          <cell r="S232">
            <v>169113.03903277693</v>
          </cell>
          <cell r="T232">
            <v>16158.441639680739</v>
          </cell>
          <cell r="U232">
            <v>14676.961772624243</v>
          </cell>
          <cell r="V232">
            <v>0</v>
          </cell>
          <cell r="W232">
            <v>0</v>
          </cell>
          <cell r="X232">
            <v>0</v>
          </cell>
        </row>
        <row r="233"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</row>
        <row r="234">
          <cell r="S234">
            <v>57406.896675541568</v>
          </cell>
          <cell r="T234">
            <v>2961.0177670429425</v>
          </cell>
          <cell r="U234">
            <v>1313.4454463434172</v>
          </cell>
          <cell r="V234">
            <v>0</v>
          </cell>
          <cell r="W234">
            <v>0</v>
          </cell>
          <cell r="X234">
            <v>0</v>
          </cell>
        </row>
        <row r="235"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</row>
        <row r="236">
          <cell r="S236">
            <v>67413.791700043934</v>
          </cell>
          <cell r="T236">
            <v>4159.3520188338916</v>
          </cell>
          <cell r="U236">
            <v>1263.7263539247756</v>
          </cell>
          <cell r="V236">
            <v>0</v>
          </cell>
          <cell r="W236">
            <v>0</v>
          </cell>
          <cell r="X236">
            <v>0</v>
          </cell>
        </row>
        <row r="237"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</row>
        <row r="238">
          <cell r="S238">
            <v>9878.8479251500321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</row>
        <row r="239"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</row>
        <row r="240">
          <cell r="S240">
            <v>25200.166358876148</v>
          </cell>
        </row>
        <row r="241">
          <cell r="S241">
            <v>0</v>
          </cell>
        </row>
        <row r="242">
          <cell r="S242">
            <v>84310.339930180038</v>
          </cell>
        </row>
        <row r="243">
          <cell r="S243">
            <v>0</v>
          </cell>
        </row>
        <row r="244">
          <cell r="S244">
            <v>36216.365303163999</v>
          </cell>
        </row>
        <row r="245">
          <cell r="S245">
            <v>0</v>
          </cell>
        </row>
        <row r="246">
          <cell r="S246">
            <v>164210.14912315249</v>
          </cell>
        </row>
        <row r="247">
          <cell r="S247">
            <v>0</v>
          </cell>
        </row>
        <row r="248">
          <cell r="S248">
            <v>0</v>
          </cell>
        </row>
        <row r="249"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8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3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4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6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17.x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8.xml"/><Relationship Id="rId2" Type="http://schemas.openxmlformats.org/officeDocument/2006/relationships/vmlDrawing" Target="../drawings/vmlDrawing18.vml"/><Relationship Id="rId1" Type="http://schemas.openxmlformats.org/officeDocument/2006/relationships/drawing" Target="../drawings/drawing16.xm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9.xml"/><Relationship Id="rId2" Type="http://schemas.openxmlformats.org/officeDocument/2006/relationships/vmlDrawing" Target="../drawings/vmlDrawing19.vml"/><Relationship Id="rId1" Type="http://schemas.openxmlformats.org/officeDocument/2006/relationships/drawing" Target="../drawings/drawing1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5"/>
  <dimension ref="C4:T63"/>
  <sheetViews>
    <sheetView topLeftCell="B15" workbookViewId="0">
      <selection activeCell="C23" sqref="C23"/>
    </sheetView>
  </sheetViews>
  <sheetFormatPr baseColWidth="10" defaultColWidth="11.42578125" defaultRowHeight="12.75" x14ac:dyDescent="0.2"/>
  <cols>
    <col min="4" max="4" width="43.42578125" customWidth="1"/>
    <col min="10" max="10" width="17.42578125" customWidth="1"/>
    <col min="11" max="12" width="16.42578125" bestFit="1" customWidth="1"/>
    <col min="18" max="20" width="16.85546875" bestFit="1" customWidth="1"/>
  </cols>
  <sheetData>
    <row r="4" spans="3:20" x14ac:dyDescent="0.2">
      <c r="E4" s="3608" t="s">
        <v>0</v>
      </c>
      <c r="F4" s="3612"/>
      <c r="G4" s="3612"/>
      <c r="H4" s="3612"/>
      <c r="I4" s="214"/>
      <c r="J4" s="3608" t="s">
        <v>1</v>
      </c>
      <c r="K4" s="3608"/>
      <c r="L4" s="3608"/>
      <c r="M4" s="3608" t="s">
        <v>2</v>
      </c>
      <c r="N4" s="3608"/>
      <c r="O4" s="3608"/>
      <c r="P4" s="214"/>
      <c r="R4" s="3610" t="s">
        <v>3</v>
      </c>
      <c r="S4" s="3611"/>
      <c r="T4" s="3611"/>
    </row>
    <row r="5" spans="3:20" ht="13.5" thickBot="1" x14ac:dyDescent="0.25">
      <c r="E5" s="1" t="s">
        <v>4</v>
      </c>
      <c r="F5" s="207" t="s">
        <v>5</v>
      </c>
      <c r="G5" s="207" t="s">
        <v>6</v>
      </c>
      <c r="H5" s="207" t="s">
        <v>7</v>
      </c>
      <c r="I5" s="11"/>
      <c r="J5" s="84" t="s">
        <v>5</v>
      </c>
      <c r="K5" s="84" t="s">
        <v>6</v>
      </c>
      <c r="L5" s="84" t="s">
        <v>7</v>
      </c>
      <c r="M5" s="84" t="s">
        <v>5</v>
      </c>
      <c r="N5" s="84" t="s">
        <v>6</v>
      </c>
      <c r="O5" s="84" t="s">
        <v>7</v>
      </c>
      <c r="P5" s="11"/>
      <c r="R5" s="104" t="s">
        <v>5</v>
      </c>
      <c r="S5" s="104" t="s">
        <v>6</v>
      </c>
      <c r="T5" s="104" t="s">
        <v>7</v>
      </c>
    </row>
    <row r="6" spans="3:20" ht="13.5" thickBot="1" x14ac:dyDescent="0.25">
      <c r="D6" s="1441" t="s">
        <v>8</v>
      </c>
      <c r="E6" s="209">
        <f>SUM(F6:H6)</f>
        <v>0</v>
      </c>
      <c r="F6" s="212">
        <f>'Compra -HOJA1'!G10</f>
        <v>0</v>
      </c>
      <c r="G6" s="212">
        <f>'Compra -HOJA1'!H10</f>
        <v>0</v>
      </c>
      <c r="H6" s="212">
        <f>'Compra -HOJA1'!I10</f>
        <v>0</v>
      </c>
      <c r="I6" s="72"/>
      <c r="J6" s="72"/>
      <c r="K6" s="72"/>
      <c r="L6" s="72"/>
      <c r="M6" s="72"/>
      <c r="N6" s="72"/>
      <c r="O6" s="72"/>
      <c r="P6" s="72"/>
      <c r="R6" s="2622">
        <f>IF(E6=0,0,F6/$E6)</f>
        <v>0</v>
      </c>
      <c r="S6" s="2622">
        <f>IF(F6=0,0,G6/$E6)</f>
        <v>0</v>
      </c>
      <c r="T6" s="2622">
        <f>IF(G6=0,0,H6/$E6)</f>
        <v>0</v>
      </c>
    </row>
    <row r="7" spans="3:20" ht="13.5" thickBot="1" x14ac:dyDescent="0.25">
      <c r="D7" s="99"/>
      <c r="E7" s="1"/>
      <c r="R7" s="2623"/>
      <c r="S7" s="2624"/>
      <c r="T7" s="2625"/>
    </row>
    <row r="8" spans="3:20" ht="13.5" thickBot="1" x14ac:dyDescent="0.25">
      <c r="C8" s="3607" t="s">
        <v>9</v>
      </c>
      <c r="D8" s="1441" t="s">
        <v>10</v>
      </c>
      <c r="E8" s="209">
        <f>SUM(F8:H8)</f>
        <v>0</v>
      </c>
      <c r="F8" s="99">
        <f>'Compra -HOJA1'!G14</f>
        <v>0</v>
      </c>
      <c r="G8" s="99">
        <f>'Compra -HOJA1'!H14</f>
        <v>0</v>
      </c>
      <c r="H8" s="99">
        <f>'Compra -HOJA1'!I14</f>
        <v>0</v>
      </c>
      <c r="R8" s="2622">
        <f>IF(E8=0,0,F8/$E8)</f>
        <v>0</v>
      </c>
      <c r="S8" s="2622">
        <f>IF(F8=0,0,G8/$E8)</f>
        <v>0</v>
      </c>
      <c r="T8" s="2622">
        <f>IF(G8=0,0,H8/$E8)</f>
        <v>0</v>
      </c>
    </row>
    <row r="9" spans="3:20" x14ac:dyDescent="0.2">
      <c r="C9" s="3607"/>
      <c r="D9" s="99"/>
      <c r="E9" s="1"/>
      <c r="R9" s="2623"/>
      <c r="S9" s="2624"/>
      <c r="T9" s="2625"/>
    </row>
    <row r="10" spans="3:20" ht="13.5" thickBot="1" x14ac:dyDescent="0.25">
      <c r="C10" s="3607"/>
      <c r="D10" s="99"/>
      <c r="E10" s="1"/>
      <c r="R10" s="2623"/>
      <c r="S10" s="2624"/>
      <c r="T10" s="2625"/>
    </row>
    <row r="11" spans="3:20" ht="13.7" customHeight="1" thickBot="1" x14ac:dyDescent="0.25">
      <c r="C11" s="3607"/>
      <c r="D11" s="1441" t="s">
        <v>11</v>
      </c>
      <c r="E11" s="3006">
        <f ca="1">SUM(F11:H11)</f>
        <v>0</v>
      </c>
      <c r="F11" s="3075">
        <f ca="1">+'Compra -HOJA1'!O29</f>
        <v>0</v>
      </c>
      <c r="G11" s="3075">
        <f ca="1">+'Compra -HOJA1'!P29</f>
        <v>0</v>
      </c>
      <c r="H11" s="3075">
        <f ca="1">+'Compra -HOJA1'!Q29</f>
        <v>0</v>
      </c>
      <c r="I11" s="72"/>
      <c r="J11" s="101"/>
      <c r="K11" s="101"/>
      <c r="L11" s="101"/>
      <c r="M11" s="101"/>
      <c r="N11" s="101"/>
      <c r="O11" s="101"/>
      <c r="P11" s="72"/>
      <c r="R11" s="2622">
        <f ca="1">IF(E11=0,0,F11/$E11)</f>
        <v>0</v>
      </c>
      <c r="S11" s="2622">
        <f ca="1">IF(F11=0,0,G11/$E11)</f>
        <v>0</v>
      </c>
      <c r="T11" s="2622">
        <f ca="1">IF(G11=0,0,H11/$E11)</f>
        <v>0</v>
      </c>
    </row>
    <row r="12" spans="3:20" ht="13.5" thickBot="1" x14ac:dyDescent="0.25">
      <c r="C12" s="3607"/>
      <c r="D12" s="99"/>
      <c r="E12" s="1"/>
      <c r="R12" s="2623"/>
      <c r="S12" s="2624"/>
      <c r="T12" s="2625"/>
    </row>
    <row r="13" spans="3:20" ht="13.5" thickBot="1" x14ac:dyDescent="0.25">
      <c r="C13" s="3607"/>
      <c r="D13" s="1441" t="s">
        <v>12</v>
      </c>
      <c r="E13" s="209">
        <f>SUM(F13:H13)</f>
        <v>0</v>
      </c>
      <c r="F13" s="3006">
        <f>+'Compra -HOJA1'!O38</f>
        <v>0</v>
      </c>
      <c r="G13" s="3006">
        <f>+'Compra -HOJA1'!P38</f>
        <v>0</v>
      </c>
      <c r="H13" s="3006">
        <f>+'Compra -HOJA1'!Q38</f>
        <v>0</v>
      </c>
      <c r="J13" s="99"/>
      <c r="K13" s="99"/>
      <c r="L13" s="99"/>
      <c r="M13" s="99"/>
      <c r="N13" s="99"/>
      <c r="O13" s="99"/>
      <c r="R13" s="2622">
        <f>IF(E13=0,0,F13/$E13)</f>
        <v>0</v>
      </c>
      <c r="S13" s="2622">
        <f>IF(F13=0,0,G13/$E13)</f>
        <v>0</v>
      </c>
      <c r="T13" s="2622">
        <f>IF(G13=0,0,H13/$E13)</f>
        <v>0</v>
      </c>
    </row>
    <row r="14" spans="3:20" ht="13.5" thickBot="1" x14ac:dyDescent="0.25">
      <c r="C14" s="3607"/>
      <c r="D14" s="1441"/>
      <c r="E14" s="1"/>
      <c r="R14" s="2623"/>
      <c r="S14" s="2624"/>
      <c r="T14" s="2625"/>
    </row>
    <row r="15" spans="3:20" ht="24" thickBot="1" x14ac:dyDescent="0.4">
      <c r="C15" s="3607"/>
      <c r="D15" s="1441" t="s">
        <v>13</v>
      </c>
      <c r="E15" s="209">
        <f>SUM(F15:H15)</f>
        <v>0</v>
      </c>
      <c r="F15" s="213">
        <f>+'Compra -HOJA1'!N67</f>
        <v>0</v>
      </c>
      <c r="G15" s="213">
        <f>+'Compra -HOJA1'!O67</f>
        <v>0</v>
      </c>
      <c r="H15" s="213">
        <f>+'Compra -HOJA1'!P67</f>
        <v>0</v>
      </c>
      <c r="I15" s="100"/>
      <c r="J15" s="3007">
        <v>0.33</v>
      </c>
      <c r="K15" s="3007">
        <v>0.12</v>
      </c>
      <c r="L15" s="3007">
        <v>0.55000000000000004</v>
      </c>
      <c r="M15" s="213"/>
      <c r="N15" s="213"/>
      <c r="O15" s="213"/>
      <c r="P15" s="100"/>
      <c r="R15" s="2622">
        <f>IF(E15=0,0,F15/$E15)</f>
        <v>0</v>
      </c>
      <c r="S15" s="2622">
        <f>IF(F15=0,0,G15/$E15)</f>
        <v>0</v>
      </c>
      <c r="T15" s="2622">
        <f>IF(G15=0,0,H15/$E15)</f>
        <v>0</v>
      </c>
    </row>
    <row r="16" spans="3:20" ht="27.75" customHeight="1" thickBot="1" x14ac:dyDescent="0.25">
      <c r="D16" s="3076" t="s">
        <v>14</v>
      </c>
      <c r="E16" s="3077">
        <f ca="1">SUM(E8:E15)</f>
        <v>0</v>
      </c>
      <c r="F16" s="3077">
        <f t="shared" ref="F16:H16" ca="1" si="0">SUM(F8:F15)</f>
        <v>0</v>
      </c>
      <c r="G16" s="3077">
        <f t="shared" ca="1" si="0"/>
        <v>0</v>
      </c>
      <c r="H16" s="3077">
        <f t="shared" ca="1" si="0"/>
        <v>0</v>
      </c>
      <c r="R16" s="210"/>
      <c r="T16" s="211"/>
    </row>
    <row r="17" spans="4:20" ht="23.25" x14ac:dyDescent="0.35">
      <c r="D17" s="3078" t="s">
        <v>15</v>
      </c>
      <c r="E17" s="3078">
        <f ca="1">+E6-E16</f>
        <v>0</v>
      </c>
      <c r="F17" s="3078">
        <f t="shared" ref="F17:H17" ca="1" si="1">+F6-F16</f>
        <v>0</v>
      </c>
      <c r="G17" s="3078">
        <f t="shared" ca="1" si="1"/>
        <v>0</v>
      </c>
      <c r="H17" s="3078">
        <f t="shared" ca="1" si="1"/>
        <v>0</v>
      </c>
      <c r="R17" s="2626">
        <f ca="1">IF(E17=0,0,F17/$E17)</f>
        <v>0</v>
      </c>
      <c r="S17" s="2626">
        <f ca="1">IF(F17=0,0,G17/$E17)</f>
        <v>0</v>
      </c>
      <c r="T17" s="2626">
        <f ca="1">IF(G17=0,0,H17/$E17)</f>
        <v>0</v>
      </c>
    </row>
    <row r="18" spans="4:20" x14ac:dyDescent="0.2">
      <c r="F18" t="e">
        <f ca="1">+F17/$E17</f>
        <v>#DIV/0!</v>
      </c>
      <c r="G18" t="e">
        <f t="shared" ref="G18:H18" ca="1" si="2">+G17/$E17</f>
        <v>#DIV/0!</v>
      </c>
      <c r="H18" t="e">
        <f t="shared" ca="1" si="2"/>
        <v>#DIV/0!</v>
      </c>
    </row>
    <row r="19" spans="4:20" x14ac:dyDescent="0.2">
      <c r="D19" s="1441"/>
      <c r="F19" s="3074"/>
      <c r="G19" s="3074"/>
      <c r="H19" s="3074"/>
    </row>
    <row r="21" spans="4:20" x14ac:dyDescent="0.2">
      <c r="D21" s="487"/>
    </row>
    <row r="22" spans="4:20" x14ac:dyDescent="0.2">
      <c r="D22" s="487"/>
    </row>
    <row r="23" spans="4:20" x14ac:dyDescent="0.2">
      <c r="D23" s="487"/>
      <c r="J23" s="1939">
        <v>0.24282126842016638</v>
      </c>
      <c r="K23" s="1939">
        <v>0.52270023734589555</v>
      </c>
      <c r="L23" s="1939">
        <v>0.23447849423393807</v>
      </c>
    </row>
    <row r="24" spans="4:20" x14ac:dyDescent="0.2">
      <c r="D24" s="487"/>
      <c r="F24" s="207" t="s">
        <v>5</v>
      </c>
      <c r="G24" s="207" t="s">
        <v>6</v>
      </c>
      <c r="H24" s="207" t="s">
        <v>7</v>
      </c>
    </row>
    <row r="25" spans="4:20" x14ac:dyDescent="0.2">
      <c r="D25" s="3608" t="s">
        <v>16</v>
      </c>
      <c r="E25" s="3608"/>
      <c r="F25" s="3608"/>
      <c r="G25" s="3608"/>
      <c r="H25" s="3608"/>
    </row>
    <row r="26" spans="4:20" x14ac:dyDescent="0.2">
      <c r="D26" s="1441" t="s">
        <v>17</v>
      </c>
      <c r="E26" s="101">
        <f>SUM(F26:H26)</f>
        <v>0</v>
      </c>
      <c r="F26" s="99">
        <f>+'Compra -HOJA1'!G14</f>
        <v>0</v>
      </c>
      <c r="G26" s="99">
        <f>+'Compra -HOJA1'!H14</f>
        <v>0</v>
      </c>
      <c r="H26" s="99">
        <f>+'Compra -HOJA1'!I14</f>
        <v>0</v>
      </c>
      <c r="J26" s="207" t="s">
        <v>5</v>
      </c>
      <c r="K26" s="207" t="s">
        <v>6</v>
      </c>
      <c r="L26" s="207" t="s">
        <v>7</v>
      </c>
    </row>
    <row r="27" spans="4:20" ht="27" x14ac:dyDescent="0.35">
      <c r="D27" s="1441" t="s">
        <v>18</v>
      </c>
      <c r="E27" s="101">
        <f ca="1">SUM(F27:H27)</f>
        <v>0</v>
      </c>
      <c r="F27" s="3080">
        <f ca="1">+'Compra -HOJA1'!O29</f>
        <v>0</v>
      </c>
      <c r="G27" s="3080">
        <f ca="1">+'Compra -HOJA1'!P29</f>
        <v>0</v>
      </c>
      <c r="H27" s="3080">
        <f ca="1">+'Compra -HOJA1'!Q29</f>
        <v>0</v>
      </c>
      <c r="J27" s="2764">
        <f ca="1">R17</f>
        <v>0</v>
      </c>
      <c r="K27" s="2764">
        <f ca="1">S17</f>
        <v>0</v>
      </c>
      <c r="L27" s="2764">
        <f ca="1">T17</f>
        <v>0</v>
      </c>
      <c r="M27" s="3608" t="s">
        <v>2</v>
      </c>
      <c r="N27" s="3608"/>
      <c r="O27" s="3608"/>
    </row>
    <row r="28" spans="4:20" x14ac:dyDescent="0.2">
      <c r="D28" s="1441" t="s">
        <v>19</v>
      </c>
      <c r="E28" s="101">
        <f t="shared" ref="E28:E31" si="3">SUM(F28:H28)</f>
        <v>0</v>
      </c>
      <c r="F28" s="3080">
        <f>+'Compra -HOJA1'!O38</f>
        <v>0</v>
      </c>
      <c r="G28" s="3080">
        <f>+'Compra -HOJA1'!P38</f>
        <v>0</v>
      </c>
      <c r="H28" s="3080">
        <f>+'Compra -HOJA1'!Q38</f>
        <v>0</v>
      </c>
      <c r="J28" s="207" t="s">
        <v>5</v>
      </c>
      <c r="K28" s="207" t="s">
        <v>6</v>
      </c>
      <c r="L28" s="207" t="s">
        <v>7</v>
      </c>
      <c r="M28" s="84" t="s">
        <v>5</v>
      </c>
      <c r="N28" s="84" t="s">
        <v>6</v>
      </c>
      <c r="O28" s="84" t="s">
        <v>7</v>
      </c>
    </row>
    <row r="29" spans="4:20" x14ac:dyDescent="0.2">
      <c r="D29" s="1441"/>
      <c r="E29" s="101"/>
      <c r="F29" s="3080"/>
      <c r="G29" s="3080"/>
      <c r="H29" s="3080"/>
      <c r="J29" s="99">
        <f t="shared" ref="J29:J35" ca="1" si="4">J$27*E29</f>
        <v>0</v>
      </c>
      <c r="K29" s="99">
        <f t="shared" ref="K29:K35" ca="1" si="5">E29*K$27</f>
        <v>0</v>
      </c>
      <c r="L29" s="99">
        <f t="shared" ref="L29:L35" ca="1" si="6">E29*L$27</f>
        <v>0</v>
      </c>
      <c r="M29" s="99" t="e">
        <f ca="1">J29*#REF!</f>
        <v>#REF!</v>
      </c>
      <c r="N29" s="99">
        <f ca="1">K29*G$26</f>
        <v>0</v>
      </c>
      <c r="O29" s="99">
        <f ca="1">L29*H$26</f>
        <v>0</v>
      </c>
    </row>
    <row r="30" spans="4:20" x14ac:dyDescent="0.2">
      <c r="D30" s="1441"/>
      <c r="E30" s="101"/>
      <c r="F30" s="3080"/>
      <c r="G30" s="3080"/>
      <c r="H30" s="3080"/>
      <c r="J30" s="99">
        <f t="shared" ca="1" si="4"/>
        <v>0</v>
      </c>
      <c r="K30" s="99">
        <f t="shared" ca="1" si="5"/>
        <v>0</v>
      </c>
      <c r="L30" s="99">
        <f t="shared" ca="1" si="6"/>
        <v>0</v>
      </c>
      <c r="M30" s="99" t="e">
        <f ca="1">J30*#REF!</f>
        <v>#REF!</v>
      </c>
      <c r="N30" s="99">
        <f t="shared" ref="N30:N35" ca="1" si="7">K30*G$26</f>
        <v>0</v>
      </c>
      <c r="O30" s="99">
        <f t="shared" ref="O30:O35" ca="1" si="8">L30*H$26</f>
        <v>0</v>
      </c>
    </row>
    <row r="31" spans="4:20" x14ac:dyDescent="0.2">
      <c r="D31" s="1441" t="s">
        <v>20</v>
      </c>
      <c r="E31" s="101">
        <f t="shared" si="3"/>
        <v>0</v>
      </c>
      <c r="F31" s="3080">
        <f>+'Compra -HOJA1'!N67</f>
        <v>0</v>
      </c>
      <c r="G31" s="3080">
        <f>+'Compra -HOJA1'!O67</f>
        <v>0</v>
      </c>
      <c r="H31" s="3080">
        <f>+'Compra -HOJA1'!P67</f>
        <v>0</v>
      </c>
      <c r="J31" s="99">
        <f t="shared" ca="1" si="4"/>
        <v>0</v>
      </c>
      <c r="K31" s="99">
        <f t="shared" ca="1" si="5"/>
        <v>0</v>
      </c>
      <c r="L31" s="99">
        <f t="shared" ca="1" si="6"/>
        <v>0</v>
      </c>
      <c r="M31" s="99" t="e">
        <f ca="1">J31*#REF!</f>
        <v>#REF!</v>
      </c>
      <c r="N31" s="99">
        <f t="shared" ca="1" si="7"/>
        <v>0</v>
      </c>
      <c r="O31" s="99">
        <f t="shared" ca="1" si="8"/>
        <v>0</v>
      </c>
    </row>
    <row r="32" spans="4:20" ht="18" x14ac:dyDescent="0.25">
      <c r="D32" s="1441" t="s">
        <v>4</v>
      </c>
      <c r="E32" s="3081">
        <f ca="1">SUM(E26:E31)</f>
        <v>0</v>
      </c>
      <c r="F32" s="3081">
        <f t="shared" ref="F32:H32" ca="1" si="9">SUM(F26:F31)</f>
        <v>0</v>
      </c>
      <c r="G32" s="3081">
        <f t="shared" ca="1" si="9"/>
        <v>0</v>
      </c>
      <c r="H32" s="3081">
        <f t="shared" ca="1" si="9"/>
        <v>0</v>
      </c>
      <c r="J32" s="99">
        <f t="shared" ca="1" si="4"/>
        <v>0</v>
      </c>
      <c r="K32" s="99">
        <f t="shared" ca="1" si="5"/>
        <v>0</v>
      </c>
      <c r="L32" s="99">
        <f t="shared" ca="1" si="6"/>
        <v>0</v>
      </c>
      <c r="M32" s="99" t="e">
        <f ca="1">J32*#REF!</f>
        <v>#REF!</v>
      </c>
      <c r="N32" s="99">
        <f t="shared" ca="1" si="7"/>
        <v>0</v>
      </c>
      <c r="O32" s="99">
        <f t="shared" ca="1" si="8"/>
        <v>0</v>
      </c>
    </row>
    <row r="33" spans="4:16" x14ac:dyDescent="0.2">
      <c r="D33" s="3079"/>
      <c r="E33" s="217"/>
      <c r="J33" s="99">
        <f t="shared" ca="1" si="4"/>
        <v>0</v>
      </c>
      <c r="K33" s="99">
        <f t="shared" ca="1" si="5"/>
        <v>0</v>
      </c>
      <c r="L33" s="99">
        <f t="shared" ca="1" si="6"/>
        <v>0</v>
      </c>
      <c r="M33" s="99" t="e">
        <f ca="1">J33*#REF!</f>
        <v>#REF!</v>
      </c>
      <c r="N33" s="99">
        <f t="shared" ca="1" si="7"/>
        <v>0</v>
      </c>
      <c r="O33" s="99">
        <f t="shared" ca="1" si="8"/>
        <v>0</v>
      </c>
    </row>
    <row r="34" spans="4:16" x14ac:dyDescent="0.2">
      <c r="D34" s="1441"/>
      <c r="E34" s="101"/>
      <c r="J34" s="99">
        <f t="shared" ca="1" si="4"/>
        <v>0</v>
      </c>
      <c r="K34" s="99">
        <f t="shared" ca="1" si="5"/>
        <v>0</v>
      </c>
      <c r="L34" s="99">
        <f t="shared" ca="1" si="6"/>
        <v>0</v>
      </c>
      <c r="M34" s="99" t="e">
        <f ca="1">J34*#REF!</f>
        <v>#REF!</v>
      </c>
      <c r="N34" s="99">
        <f t="shared" ca="1" si="7"/>
        <v>0</v>
      </c>
      <c r="O34" s="99">
        <f t="shared" ca="1" si="8"/>
        <v>0</v>
      </c>
    </row>
    <row r="35" spans="4:16" x14ac:dyDescent="0.2">
      <c r="D35" s="1441"/>
      <c r="E35" s="101"/>
      <c r="J35" s="99">
        <f t="shared" ca="1" si="4"/>
        <v>0</v>
      </c>
      <c r="K35" s="99">
        <f t="shared" ca="1" si="5"/>
        <v>0</v>
      </c>
      <c r="L35" s="99">
        <f t="shared" ca="1" si="6"/>
        <v>0</v>
      </c>
      <c r="M35" s="99" t="e">
        <f ca="1">J35*#REF!</f>
        <v>#REF!</v>
      </c>
      <c r="N35" s="99">
        <f t="shared" ca="1" si="7"/>
        <v>0</v>
      </c>
      <c r="O35" s="99">
        <f t="shared" ca="1" si="8"/>
        <v>0</v>
      </c>
    </row>
    <row r="36" spans="4:16" x14ac:dyDescent="0.2">
      <c r="D36" s="1441"/>
      <c r="E36" s="101"/>
      <c r="J36" s="217"/>
      <c r="K36" s="217"/>
      <c r="L36" s="217"/>
    </row>
    <row r="37" spans="4:16" x14ac:dyDescent="0.2">
      <c r="D37" s="1441"/>
      <c r="E37" s="101"/>
      <c r="J37" s="217"/>
      <c r="K37" s="217"/>
      <c r="L37" s="217"/>
    </row>
    <row r="38" spans="4:16" x14ac:dyDescent="0.2">
      <c r="D38" s="1441"/>
      <c r="E38" s="99"/>
      <c r="F38" s="99"/>
      <c r="G38" s="99"/>
      <c r="H38" s="99"/>
      <c r="J38" s="217">
        <f ca="1">J$27*E38</f>
        <v>0</v>
      </c>
      <c r="K38" s="217">
        <f ca="1">E38*K$27</f>
        <v>0</v>
      </c>
      <c r="L38" s="217">
        <f ca="1">E38*L$27</f>
        <v>0</v>
      </c>
      <c r="M38">
        <f t="shared" ref="M38:O39" ca="1" si="10">J38*$E$50</f>
        <v>0</v>
      </c>
      <c r="N38">
        <f t="shared" ca="1" si="10"/>
        <v>0</v>
      </c>
      <c r="O38">
        <f t="shared" ca="1" si="10"/>
        <v>0</v>
      </c>
    </row>
    <row r="39" spans="4:16" x14ac:dyDescent="0.2">
      <c r="D39" s="1441"/>
      <c r="E39" s="99"/>
      <c r="F39" s="99"/>
      <c r="G39" s="99"/>
      <c r="H39" s="99"/>
      <c r="J39" s="99">
        <f ca="1">J$27*E39</f>
        <v>0</v>
      </c>
      <c r="K39" s="99">
        <f ca="1">E39*K$27</f>
        <v>0</v>
      </c>
      <c r="L39" s="99">
        <f ca="1">E39*L$27</f>
        <v>0</v>
      </c>
      <c r="M39">
        <f t="shared" ca="1" si="10"/>
        <v>0</v>
      </c>
      <c r="N39">
        <f t="shared" ca="1" si="10"/>
        <v>0</v>
      </c>
      <c r="O39">
        <f t="shared" ca="1" si="10"/>
        <v>0</v>
      </c>
    </row>
    <row r="41" spans="4:16" x14ac:dyDescent="0.2">
      <c r="J41">
        <f ca="1">SUM(J29:J40)</f>
        <v>0</v>
      </c>
      <c r="K41">
        <f ca="1">SUM(K29:K40)</f>
        <v>0</v>
      </c>
      <c r="L41">
        <f ca="1">SUM(L29:L40)</f>
        <v>0</v>
      </c>
      <c r="P41">
        <f ca="1">SUM(J41:O41)</f>
        <v>0</v>
      </c>
    </row>
    <row r="43" spans="4:16" x14ac:dyDescent="0.2">
      <c r="D43" s="487"/>
      <c r="E43" s="100"/>
      <c r="F43" s="100"/>
      <c r="G43" s="100"/>
      <c r="H43" s="100"/>
    </row>
    <row r="44" spans="4:16" x14ac:dyDescent="0.2">
      <c r="E44" s="216"/>
    </row>
    <row r="48" spans="4:16" x14ac:dyDescent="0.2">
      <c r="D48" s="3609"/>
      <c r="E48" s="3609"/>
    </row>
    <row r="49" spans="4:8" x14ac:dyDescent="0.2">
      <c r="D49" s="2123"/>
      <c r="E49" s="215"/>
    </row>
    <row r="50" spans="4:8" x14ac:dyDescent="0.2">
      <c r="D50" s="2123"/>
      <c r="E50" s="215"/>
    </row>
    <row r="54" spans="4:8" x14ac:dyDescent="0.2">
      <c r="D54" s="1441"/>
      <c r="E54" s="99"/>
      <c r="F54" s="99"/>
      <c r="G54" s="99"/>
      <c r="H54" s="99"/>
    </row>
    <row r="55" spans="4:8" x14ac:dyDescent="0.2">
      <c r="D55" s="1441"/>
      <c r="E55" s="99"/>
      <c r="F55" s="99"/>
      <c r="G55" s="99"/>
      <c r="H55" s="99"/>
    </row>
    <row r="56" spans="4:8" x14ac:dyDescent="0.2">
      <c r="D56" s="1441"/>
      <c r="E56" s="99"/>
      <c r="F56" s="99"/>
      <c r="G56" s="99"/>
      <c r="H56" s="99"/>
    </row>
    <row r="57" spans="4:8" x14ac:dyDescent="0.2">
      <c r="D57" s="1441"/>
      <c r="E57" s="99"/>
      <c r="F57" s="99"/>
      <c r="G57" s="99"/>
      <c r="H57" s="99"/>
    </row>
    <row r="58" spans="4:8" x14ac:dyDescent="0.2">
      <c r="D58" s="1441"/>
      <c r="E58" s="99"/>
      <c r="F58" s="99"/>
      <c r="G58" s="99"/>
      <c r="H58" s="99"/>
    </row>
    <row r="59" spans="4:8" x14ac:dyDescent="0.2">
      <c r="D59" s="1441"/>
      <c r="E59" s="99"/>
      <c r="F59" s="99"/>
      <c r="G59" s="99"/>
      <c r="H59" s="99"/>
    </row>
    <row r="60" spans="4:8" x14ac:dyDescent="0.2">
      <c r="D60" s="1441"/>
      <c r="E60" s="99"/>
      <c r="F60" s="99"/>
      <c r="G60" s="99"/>
      <c r="H60" s="99"/>
    </row>
    <row r="61" spans="4:8" x14ac:dyDescent="0.2">
      <c r="D61" s="2124"/>
      <c r="E61" s="99"/>
      <c r="F61" s="99"/>
      <c r="G61" s="99"/>
      <c r="H61" s="99"/>
    </row>
    <row r="62" spans="4:8" x14ac:dyDescent="0.2">
      <c r="D62" s="1441"/>
      <c r="E62" s="99"/>
      <c r="F62" s="99"/>
      <c r="G62" s="99"/>
      <c r="H62" s="99"/>
    </row>
    <row r="63" spans="4:8" x14ac:dyDescent="0.2">
      <c r="D63" s="1441"/>
      <c r="E63" s="99"/>
      <c r="F63" s="99"/>
      <c r="G63" s="99"/>
      <c r="H63" s="99"/>
    </row>
  </sheetData>
  <mergeCells count="8">
    <mergeCell ref="C8:C15"/>
    <mergeCell ref="M27:O27"/>
    <mergeCell ref="D48:E48"/>
    <mergeCell ref="R4:T4"/>
    <mergeCell ref="E4:H4"/>
    <mergeCell ref="J4:L4"/>
    <mergeCell ref="M4:O4"/>
    <mergeCell ref="D25:H25"/>
  </mergeCells>
  <phoneticPr fontId="7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4"/>
  <dimension ref="A1:L114"/>
  <sheetViews>
    <sheetView workbookViewId="0">
      <selection activeCell="E3" sqref="E3"/>
    </sheetView>
  </sheetViews>
  <sheetFormatPr baseColWidth="10" defaultColWidth="11.42578125" defaultRowHeight="15" x14ac:dyDescent="0.2"/>
  <cols>
    <col min="3" max="3" width="17.42578125" customWidth="1"/>
    <col min="4" max="4" width="52.42578125" customWidth="1"/>
    <col min="5" max="5" width="19.42578125" customWidth="1"/>
    <col min="6" max="6" width="14.42578125" customWidth="1"/>
    <col min="7" max="7" width="15" customWidth="1"/>
    <col min="8" max="8" width="11.42578125" style="108" customWidth="1"/>
    <col min="9" max="9" width="12.5703125" style="108" bestFit="1" customWidth="1"/>
    <col min="10" max="10" width="11.42578125" customWidth="1"/>
  </cols>
  <sheetData>
    <row r="1" spans="1:10" x14ac:dyDescent="0.2">
      <c r="D1" s="487"/>
    </row>
    <row r="2" spans="1:10" ht="15.75" x14ac:dyDescent="0.25">
      <c r="D2" s="99"/>
      <c r="E2" s="410">
        <v>43556</v>
      </c>
      <c r="F2" s="99" t="s">
        <v>21</v>
      </c>
      <c r="G2" s="411">
        <v>-148500</v>
      </c>
      <c r="H2" s="108" t="str">
        <f ca="1">+'Compra -HOJA1'!I397</f>
        <v>O.K.</v>
      </c>
      <c r="I2" s="486"/>
    </row>
    <row r="3" spans="1:10" ht="18.75" x14ac:dyDescent="0.3">
      <c r="D3" s="412" t="s">
        <v>5</v>
      </c>
      <c r="E3" s="461">
        <v>1040299</v>
      </c>
      <c r="F3" s="99" t="s">
        <v>22</v>
      </c>
      <c r="G3" s="411"/>
      <c r="I3" s="108" t="s">
        <v>23</v>
      </c>
      <c r="J3">
        <v>1.4800000000000001E-2</v>
      </c>
    </row>
    <row r="4" spans="1:10" ht="18.75" x14ac:dyDescent="0.3">
      <c r="D4" s="412" t="s">
        <v>6</v>
      </c>
      <c r="E4" s="462">
        <v>1829345</v>
      </c>
      <c r="F4" s="99"/>
      <c r="G4" s="411"/>
      <c r="I4" s="108" t="s">
        <v>24</v>
      </c>
      <c r="J4">
        <v>6.7799999999999999E-2</v>
      </c>
    </row>
    <row r="5" spans="1:10" ht="18.75" x14ac:dyDescent="0.3">
      <c r="D5" s="412" t="s">
        <v>7</v>
      </c>
      <c r="E5" s="461">
        <v>920117</v>
      </c>
      <c r="F5" s="99"/>
      <c r="G5" s="99">
        <f>SUM(G2:G4)</f>
        <v>-148500</v>
      </c>
    </row>
    <row r="6" spans="1:10" ht="18.75" x14ac:dyDescent="0.3">
      <c r="D6" s="412" t="s">
        <v>4</v>
      </c>
      <c r="E6" s="82">
        <f>SUM(E3:E5)</f>
        <v>3789761</v>
      </c>
      <c r="F6" s="99">
        <f>+E58</f>
        <v>3662489</v>
      </c>
      <c r="G6" s="489" t="e">
        <f>+E6/D6-1</f>
        <v>#VALUE!</v>
      </c>
    </row>
    <row r="7" spans="1:10" x14ac:dyDescent="0.2">
      <c r="D7" s="413"/>
      <c r="E7" s="418">
        <f>+F7/E6</f>
        <v>3.3583120413134229E-2</v>
      </c>
      <c r="F7">
        <f>+E6-F6</f>
        <v>127272</v>
      </c>
    </row>
    <row r="8" spans="1:10" ht="15.75" x14ac:dyDescent="0.25">
      <c r="E8" s="410">
        <f>+E2</f>
        <v>43556</v>
      </c>
      <c r="F8" s="490"/>
      <c r="G8" s="491"/>
    </row>
    <row r="9" spans="1:10" x14ac:dyDescent="0.2">
      <c r="E9" s="99" t="s">
        <v>25</v>
      </c>
      <c r="F9" s="99" t="s">
        <v>26</v>
      </c>
      <c r="G9" s="488" t="s">
        <v>27</v>
      </c>
    </row>
    <row r="10" spans="1:10" x14ac:dyDescent="0.2">
      <c r="G10" s="214"/>
    </row>
    <row r="11" spans="1:10" x14ac:dyDescent="0.2">
      <c r="G11" s="214"/>
    </row>
    <row r="12" spans="1:10" ht="46.35" customHeight="1" x14ac:dyDescent="0.35">
      <c r="A12" s="108"/>
      <c r="B12" s="108"/>
      <c r="C12" s="463" t="s">
        <v>28</v>
      </c>
      <c r="D12" s="409" t="s">
        <v>5</v>
      </c>
      <c r="E12" s="481">
        <f>+E64</f>
        <v>0</v>
      </c>
      <c r="F12" s="481">
        <f>+F64</f>
        <v>0</v>
      </c>
      <c r="G12" s="477">
        <f t="shared" ref="G12:G29" si="0">+E12/E$58</f>
        <v>0</v>
      </c>
      <c r="J12" s="414"/>
    </row>
    <row r="13" spans="1:10" ht="23.25" customHeight="1" x14ac:dyDescent="0.35">
      <c r="A13" s="108"/>
      <c r="B13" s="108"/>
      <c r="C13" s="463"/>
      <c r="D13" s="409" t="s">
        <v>6</v>
      </c>
      <c r="E13" s="481">
        <f t="shared" ref="E13:F26" si="1">+E65</f>
        <v>0</v>
      </c>
      <c r="F13" s="481">
        <f t="shared" si="1"/>
        <v>0</v>
      </c>
      <c r="G13" s="477">
        <f t="shared" si="0"/>
        <v>0</v>
      </c>
      <c r="J13" s="414"/>
    </row>
    <row r="14" spans="1:10" ht="23.25" customHeight="1" x14ac:dyDescent="0.35">
      <c r="A14" s="108"/>
      <c r="B14" s="466" t="s">
        <v>29</v>
      </c>
      <c r="C14" s="463"/>
      <c r="D14" s="409" t="s">
        <v>7</v>
      </c>
      <c r="E14" s="481">
        <f t="shared" si="1"/>
        <v>0</v>
      </c>
      <c r="F14" s="481">
        <f t="shared" si="1"/>
        <v>0</v>
      </c>
      <c r="G14" s="477">
        <f t="shared" si="0"/>
        <v>0</v>
      </c>
      <c r="J14" s="414"/>
    </row>
    <row r="15" spans="1:10" ht="25.5" customHeight="1" thickBot="1" x14ac:dyDescent="0.4">
      <c r="A15" s="108"/>
      <c r="B15" s="108" t="s">
        <v>23</v>
      </c>
      <c r="C15" s="463"/>
      <c r="D15" s="467" t="s">
        <v>30</v>
      </c>
      <c r="E15" s="481">
        <f t="shared" si="1"/>
        <v>0</v>
      </c>
      <c r="F15" s="481">
        <f t="shared" si="1"/>
        <v>0</v>
      </c>
      <c r="G15" s="477">
        <f t="shared" si="0"/>
        <v>0</v>
      </c>
      <c r="J15" s="414"/>
    </row>
    <row r="16" spans="1:10" ht="32.25" customHeight="1" thickBot="1" x14ac:dyDescent="0.4">
      <c r="A16" s="108"/>
      <c r="B16" s="408"/>
      <c r="C16" s="108"/>
      <c r="D16" s="468" t="s">
        <v>31</v>
      </c>
      <c r="E16" s="481">
        <f t="shared" si="1"/>
        <v>269408</v>
      </c>
      <c r="F16" s="481">
        <f t="shared" si="1"/>
        <v>12</v>
      </c>
      <c r="G16" s="477">
        <f t="shared" si="0"/>
        <v>7.3558719220726668E-2</v>
      </c>
      <c r="H16" s="478" t="str">
        <f>+IF(F16=0,"S.D.",IF((E16/F16)&gt;9000,"O.K.","VERIEICAR"))</f>
        <v>O.K.</v>
      </c>
      <c r="J16" s="414"/>
    </row>
    <row r="17" spans="1:10" ht="53.25" customHeight="1" thickBot="1" x14ac:dyDescent="0.4">
      <c r="A17" s="108"/>
      <c r="B17" s="409"/>
      <c r="C17" s="108"/>
      <c r="D17" s="468" t="s">
        <v>32</v>
      </c>
      <c r="E17" s="481">
        <f t="shared" si="1"/>
        <v>0</v>
      </c>
      <c r="F17" s="481">
        <f t="shared" si="1"/>
        <v>0</v>
      </c>
      <c r="G17" s="477">
        <f t="shared" si="0"/>
        <v>0</v>
      </c>
      <c r="H17" s="478" t="str">
        <f>+IF(F17=0,"S.D.",IF((E17/F17)&gt;9000,"O.K.","VERIEICAR"))</f>
        <v>S.D.</v>
      </c>
      <c r="J17" s="414"/>
    </row>
    <row r="18" spans="1:10" ht="53.25" customHeight="1" thickBot="1" x14ac:dyDescent="0.4">
      <c r="A18" s="108"/>
      <c r="B18" s="409"/>
      <c r="C18" s="108"/>
      <c r="D18" s="468" t="s">
        <v>33</v>
      </c>
      <c r="E18" s="481">
        <f t="shared" si="1"/>
        <v>0</v>
      </c>
      <c r="F18" s="481">
        <f t="shared" si="1"/>
        <v>0</v>
      </c>
      <c r="G18" s="477">
        <f t="shared" si="0"/>
        <v>0</v>
      </c>
      <c r="H18" s="478" t="str">
        <f>+IF(F18=0,"S.D.",IF((E18/F18)&gt;9000,"O.K.","VERIEICAR"))</f>
        <v>S.D.</v>
      </c>
      <c r="J18" s="414"/>
    </row>
    <row r="19" spans="1:10" ht="53.25" customHeight="1" thickBot="1" x14ac:dyDescent="0.4">
      <c r="A19" s="108"/>
      <c r="B19" s="409"/>
      <c r="C19" s="108"/>
      <c r="D19" s="468" t="s">
        <v>34</v>
      </c>
      <c r="E19" s="481">
        <f t="shared" si="1"/>
        <v>0</v>
      </c>
      <c r="F19" s="481">
        <f t="shared" si="1"/>
        <v>0</v>
      </c>
      <c r="G19" s="477">
        <f t="shared" si="0"/>
        <v>0</v>
      </c>
      <c r="H19" s="478" t="str">
        <f>+IF(F19=0,"S.D.",IF((E19/F19)&gt;9000,"O.K.","VERIEICAR"))</f>
        <v>S.D.</v>
      </c>
      <c r="J19" s="414"/>
    </row>
    <row r="20" spans="1:10" ht="53.25" customHeight="1" thickBot="1" x14ac:dyDescent="0.4">
      <c r="A20" s="108"/>
      <c r="B20" s="409"/>
      <c r="C20" s="108"/>
      <c r="D20" s="468" t="s">
        <v>35</v>
      </c>
      <c r="E20" s="481">
        <f t="shared" si="1"/>
        <v>0</v>
      </c>
      <c r="F20" s="481">
        <f t="shared" si="1"/>
        <v>0</v>
      </c>
      <c r="G20" s="477">
        <f t="shared" si="0"/>
        <v>0</v>
      </c>
      <c r="H20" s="478" t="str">
        <f>+IF(F20=0,"S.D.",IF((E20/F20)&gt;9000,"O.K.","VERIEICAR"))</f>
        <v>S.D.</v>
      </c>
      <c r="J20" s="414"/>
    </row>
    <row r="21" spans="1:10" ht="53.25" customHeight="1" thickBot="1" x14ac:dyDescent="0.4">
      <c r="A21" s="108"/>
      <c r="B21" s="415"/>
      <c r="C21" s="108"/>
      <c r="D21" s="469" t="s">
        <v>36</v>
      </c>
      <c r="E21" s="481">
        <f t="shared" si="1"/>
        <v>316673</v>
      </c>
      <c r="F21" s="481">
        <f t="shared" si="1"/>
        <v>70</v>
      </c>
      <c r="G21" s="477">
        <f t="shared" si="0"/>
        <v>8.6463877434171138E-2</v>
      </c>
      <c r="H21" s="478" t="str">
        <f>+IF(F21=0,"S.D.",IF(AND((E21/F21)&gt;2999,(E21/F21)&lt;=9000),"O.K.","VERIEICAR"))</f>
        <v>O.K.</v>
      </c>
      <c r="J21" s="414"/>
    </row>
    <row r="22" spans="1:10" ht="53.25" customHeight="1" thickBot="1" x14ac:dyDescent="0.4">
      <c r="A22" s="108"/>
      <c r="B22" s="415"/>
      <c r="C22" s="108"/>
      <c r="D22" s="469" t="s">
        <v>37</v>
      </c>
      <c r="E22" s="481">
        <f t="shared" si="1"/>
        <v>0</v>
      </c>
      <c r="F22" s="481">
        <f t="shared" si="1"/>
        <v>0</v>
      </c>
      <c r="G22" s="477">
        <f t="shared" si="0"/>
        <v>0</v>
      </c>
      <c r="H22" s="478" t="str">
        <f>+IF(F22=0,"S.D.",IF(AND((E22/F22)&gt;2999,(E22/F22)&lt;=9000),"O.K.","VERIEICAR"))</f>
        <v>S.D.</v>
      </c>
      <c r="J22" s="414"/>
    </row>
    <row r="23" spans="1:10" ht="53.25" customHeight="1" thickBot="1" x14ac:dyDescent="0.4">
      <c r="A23" s="108"/>
      <c r="B23" s="415"/>
      <c r="C23" s="108"/>
      <c r="D23" s="469" t="s">
        <v>38</v>
      </c>
      <c r="E23" s="481">
        <f t="shared" si="1"/>
        <v>0</v>
      </c>
      <c r="F23" s="481">
        <f t="shared" si="1"/>
        <v>0</v>
      </c>
      <c r="G23" s="477">
        <f t="shared" si="0"/>
        <v>0</v>
      </c>
      <c r="H23" s="478" t="str">
        <f>+IF(F23=0,"S.D.",IF(AND((E23/F23)&gt;2999,(E23/F23)&lt;=9000),"O.K.","VERIEICAR"))</f>
        <v>S.D.</v>
      </c>
      <c r="J23" s="414"/>
    </row>
    <row r="24" spans="1:10" ht="53.25" customHeight="1" thickBot="1" x14ac:dyDescent="0.4">
      <c r="A24" s="108"/>
      <c r="B24" s="415"/>
      <c r="C24" s="108"/>
      <c r="D24" s="469" t="s">
        <v>39</v>
      </c>
      <c r="E24" s="481">
        <f t="shared" si="1"/>
        <v>0</v>
      </c>
      <c r="F24" s="481">
        <f t="shared" si="1"/>
        <v>0</v>
      </c>
      <c r="G24" s="477">
        <f t="shared" si="0"/>
        <v>0</v>
      </c>
      <c r="H24" s="478" t="str">
        <f>+IF(F24=0,"S.D.",IF(AND((E24/F24)&gt;2999,(E24/F24)&lt;=9000),"O.K.","VERIEICAR"))</f>
        <v>S.D.</v>
      </c>
      <c r="J24" s="414"/>
    </row>
    <row r="25" spans="1:10" ht="53.25" customHeight="1" x14ac:dyDescent="0.35">
      <c r="A25" s="108"/>
      <c r="B25" s="415"/>
      <c r="C25" s="108"/>
      <c r="D25" s="469" t="s">
        <v>35</v>
      </c>
      <c r="E25" s="481">
        <f t="shared" si="1"/>
        <v>0</v>
      </c>
      <c r="F25" s="481">
        <f t="shared" si="1"/>
        <v>0</v>
      </c>
      <c r="G25" s="477">
        <f t="shared" si="0"/>
        <v>0</v>
      </c>
      <c r="H25" s="478" t="str">
        <f>+IF(F25=0,"S.D.",IF(AND((E25/F25)&gt;2999,(E25/F25)&lt;=9000),"O.K.","VERIEICAR"))</f>
        <v>S.D.</v>
      </c>
      <c r="J25" s="414"/>
    </row>
    <row r="26" spans="1:10" ht="53.25" customHeight="1" thickBot="1" x14ac:dyDescent="0.4">
      <c r="A26" s="108"/>
      <c r="B26" s="108"/>
      <c r="C26" s="108"/>
      <c r="D26" s="470" t="s">
        <v>40</v>
      </c>
      <c r="E26" s="481">
        <f>+E78+G3</f>
        <v>400240</v>
      </c>
      <c r="F26" s="481">
        <f t="shared" si="1"/>
        <v>123</v>
      </c>
      <c r="G26" s="477">
        <f t="shared" si="0"/>
        <v>0.10928087429068047</v>
      </c>
      <c r="H26" s="479">
        <f>+IF(C26=0,0,E26/F26)</f>
        <v>0</v>
      </c>
      <c r="J26" s="414"/>
    </row>
    <row r="27" spans="1:10" ht="53.25" customHeight="1" x14ac:dyDescent="0.35">
      <c r="A27" s="3622" t="s">
        <v>41</v>
      </c>
      <c r="B27" s="3616" t="s">
        <v>42</v>
      </c>
      <c r="C27" s="3616"/>
      <c r="D27" s="3616"/>
      <c r="E27" s="481">
        <f>+E79</f>
        <v>171621</v>
      </c>
      <c r="F27" s="481">
        <f>+F79</f>
        <v>3029</v>
      </c>
      <c r="G27" s="477">
        <f t="shared" si="0"/>
        <v>4.6859116846494284E-2</v>
      </c>
      <c r="H27" s="404" t="str">
        <f>+IF(F27=0,"S.D.",IF((E27/F27)&lt;151,"O.K.","VERIFICAR"))</f>
        <v>O.K.</v>
      </c>
      <c r="I27" s="480"/>
      <c r="J27" s="414"/>
    </row>
    <row r="28" spans="1:10" ht="53.25" customHeight="1" x14ac:dyDescent="0.35">
      <c r="A28" s="3623"/>
      <c r="B28" s="472" t="s">
        <v>43</v>
      </c>
      <c r="C28" s="3617" t="s">
        <v>44</v>
      </c>
      <c r="D28" s="3617"/>
      <c r="E28" s="481">
        <f>+E80</f>
        <v>0</v>
      </c>
      <c r="F28" s="481">
        <f>+F80</f>
        <v>0</v>
      </c>
      <c r="G28" s="477">
        <f t="shared" si="0"/>
        <v>0</v>
      </c>
      <c r="H28" s="405" t="str">
        <f>+IF(F28=0,"S.D.",IF((E28/F28)&lt;151,"O.K.","VERIFICAR"))</f>
        <v>S.D.</v>
      </c>
      <c r="I28" s="480"/>
      <c r="J28" s="414"/>
    </row>
    <row r="29" spans="1:10" ht="53.25" customHeight="1" x14ac:dyDescent="0.35">
      <c r="A29" s="3623"/>
      <c r="B29" s="473" t="s">
        <v>45</v>
      </c>
      <c r="C29" s="3624" t="s">
        <v>46</v>
      </c>
      <c r="D29" s="3624"/>
      <c r="E29" s="481">
        <v>35200</v>
      </c>
      <c r="F29" s="481">
        <v>650</v>
      </c>
      <c r="G29" s="477">
        <f t="shared" si="0"/>
        <v>9.6109503673594658E-3</v>
      </c>
      <c r="H29" s="405" t="str">
        <f>+IF(F29=0,"S.D.",IF((E29/F29)&lt;120,"O.K.","VERIFICAR"))</f>
        <v>O.K.</v>
      </c>
      <c r="I29" s="480"/>
      <c r="J29" s="414"/>
    </row>
    <row r="30" spans="1:10" ht="53.25" customHeight="1" x14ac:dyDescent="0.35">
      <c r="A30" s="3623"/>
      <c r="B30" s="473"/>
      <c r="C30" s="3624" t="s">
        <v>47</v>
      </c>
      <c r="D30" s="3624"/>
      <c r="E30" s="481">
        <v>12500</v>
      </c>
      <c r="F30" s="481">
        <v>100</v>
      </c>
      <c r="G30" s="477"/>
      <c r="H30" s="405" t="str">
        <f>+IF(F30=0,"S.D.",IF(AND((E30/F30)&gt;120,(E30/F30)&lt;=150),"O.K.","VERIFICAR"))</f>
        <v>O.K.</v>
      </c>
      <c r="I30" s="480"/>
      <c r="J30" s="414"/>
    </row>
    <row r="31" spans="1:10" ht="53.25" customHeight="1" x14ac:dyDescent="0.35">
      <c r="A31" s="3623"/>
      <c r="B31" s="473"/>
      <c r="C31" s="3631" t="s">
        <v>48</v>
      </c>
      <c r="D31" s="3631"/>
      <c r="E31" s="481">
        <v>94</v>
      </c>
      <c r="F31" s="481">
        <v>2</v>
      </c>
      <c r="G31" s="477"/>
      <c r="H31" s="405" t="str">
        <f>+IF(F31=0,"S.D.",IF((E31/F31)&lt;120,"O.K.","VERIFICAR"))</f>
        <v>O.K.</v>
      </c>
      <c r="I31" s="480"/>
      <c r="J31" s="414"/>
    </row>
    <row r="32" spans="1:10" ht="53.25" customHeight="1" x14ac:dyDescent="0.35">
      <c r="A32" s="3623"/>
      <c r="B32" s="473"/>
      <c r="C32" s="3631" t="s">
        <v>49</v>
      </c>
      <c r="D32" s="3631"/>
      <c r="E32" s="481">
        <v>280</v>
      </c>
      <c r="F32" s="481">
        <v>2</v>
      </c>
      <c r="G32" s="477"/>
      <c r="H32" s="405" t="str">
        <f>+IF(F32=0,"S.D.",IF(AND((E32/F32)&gt;120,(E32/F32)&lt;=150),"O.K.","VERIFICAR"))</f>
        <v>O.K.</v>
      </c>
      <c r="I32" s="480"/>
      <c r="J32" s="414"/>
    </row>
    <row r="33" spans="1:12" ht="53.25" customHeight="1" thickBot="1" x14ac:dyDescent="0.4">
      <c r="A33" s="3623"/>
      <c r="B33" s="472" t="s">
        <v>50</v>
      </c>
      <c r="C33" s="3625" t="s">
        <v>51</v>
      </c>
      <c r="D33" s="3625"/>
      <c r="E33" s="481">
        <f t="shared" ref="E33:F37" si="2">+E85</f>
        <v>0</v>
      </c>
      <c r="F33" s="481">
        <f t="shared" si="2"/>
        <v>0</v>
      </c>
      <c r="G33" s="477">
        <f t="shared" ref="G33:G57" si="3">+E33/E$58</f>
        <v>0</v>
      </c>
      <c r="H33" s="405" t="str">
        <f>+IF(F33=0,"S.D.",IF((E33/F33)&lt;151,"O.K.","VERIFICAR"))</f>
        <v>S.D.</v>
      </c>
      <c r="I33" s="480"/>
      <c r="J33" s="414"/>
      <c r="L33">
        <f>+F34+F35</f>
        <v>2289</v>
      </c>
    </row>
    <row r="34" spans="1:12" ht="53.25" customHeight="1" x14ac:dyDescent="0.35">
      <c r="A34" s="3613" t="s">
        <v>52</v>
      </c>
      <c r="B34" s="3616" t="s">
        <v>42</v>
      </c>
      <c r="C34" s="3616"/>
      <c r="D34" s="3616"/>
      <c r="E34" s="481">
        <f t="shared" si="2"/>
        <v>634333</v>
      </c>
      <c r="F34" s="481">
        <f t="shared" si="2"/>
        <v>2289</v>
      </c>
      <c r="G34" s="477">
        <f t="shared" si="3"/>
        <v>0.17319724373233614</v>
      </c>
      <c r="H34" s="404" t="str">
        <f>+IF(F34=0,"S.D.",IF(AND((E34/F34)&gt;150,(E34/F34)&lt;=500),"O.K.","VERIFICAR"))</f>
        <v>O.K.</v>
      </c>
      <c r="I34" s="480"/>
      <c r="J34" s="414"/>
    </row>
    <row r="35" spans="1:12" ht="53.25" customHeight="1" x14ac:dyDescent="0.35">
      <c r="A35" s="3614"/>
      <c r="B35" s="472" t="s">
        <v>43</v>
      </c>
      <c r="C35" s="3617" t="s">
        <v>44</v>
      </c>
      <c r="D35" s="3617"/>
      <c r="E35" s="481">
        <f t="shared" si="2"/>
        <v>0</v>
      </c>
      <c r="F35" s="481">
        <f t="shared" si="2"/>
        <v>0</v>
      </c>
      <c r="G35" s="477">
        <f t="shared" si="3"/>
        <v>0</v>
      </c>
      <c r="H35" s="405" t="str">
        <f>+IF(F35=0,"S.D.",IF(AND((E35/F35)&gt;150,(E35/F35)&lt;=500),"O.K.","VERIFICAR"))</f>
        <v>S.D.</v>
      </c>
      <c r="I35" s="480"/>
      <c r="J35" s="414"/>
    </row>
    <row r="36" spans="1:12" ht="53.25" customHeight="1" x14ac:dyDescent="0.35">
      <c r="A36" s="3614"/>
      <c r="B36" s="3618" t="s">
        <v>45</v>
      </c>
      <c r="C36" s="3621" t="s">
        <v>53</v>
      </c>
      <c r="D36" s="3621"/>
      <c r="E36" s="481">
        <f t="shared" si="2"/>
        <v>207854</v>
      </c>
      <c r="F36" s="481">
        <f t="shared" si="2"/>
        <v>941</v>
      </c>
      <c r="G36" s="477">
        <f t="shared" si="3"/>
        <v>5.6752115842532223E-2</v>
      </c>
      <c r="H36" s="405" t="str">
        <f>+IF(F36=0,"S.D.",IF(AND((E36/F36)&gt;150,(E36/F36)&lt;=300),"O.K.","VERIFICAR"))</f>
        <v>O.K.</v>
      </c>
      <c r="I36" s="480"/>
      <c r="J36" s="414"/>
    </row>
    <row r="37" spans="1:12" ht="53.25" customHeight="1" x14ac:dyDescent="0.35">
      <c r="A37" s="3614"/>
      <c r="B37" s="3619"/>
      <c r="C37" s="3621" t="s">
        <v>54</v>
      </c>
      <c r="D37" s="3621"/>
      <c r="E37" s="481">
        <f t="shared" si="2"/>
        <v>233182</v>
      </c>
      <c r="F37" s="481">
        <f t="shared" si="2"/>
        <v>603</v>
      </c>
      <c r="G37" s="477">
        <f t="shared" si="3"/>
        <v>6.3667631493227697E-2</v>
      </c>
      <c r="H37" s="405" t="str">
        <f>+IF(F37=0,"S.D.",IF(AND((E37/F37)&gt;300,(E37/F37)&lt;=500),"O.K.","VERIFICAR"))</f>
        <v>O.K.</v>
      </c>
      <c r="I37" s="480"/>
      <c r="J37" s="414"/>
    </row>
    <row r="38" spans="1:12" ht="53.25" customHeight="1" x14ac:dyDescent="0.35">
      <c r="A38" s="3614"/>
      <c r="B38" s="3619"/>
      <c r="C38" s="3631" t="s">
        <v>55</v>
      </c>
      <c r="D38" s="3631"/>
      <c r="E38" s="481">
        <v>1500</v>
      </c>
      <c r="F38" s="481">
        <v>9</v>
      </c>
      <c r="G38" s="477">
        <f t="shared" si="3"/>
        <v>4.0955754406361356E-4</v>
      </c>
      <c r="H38" s="405" t="str">
        <f>+IF(F38=0,"S.D.",IF(AND((E38/F38)&gt;150,(E38/F38)&lt;=300),"O.K.","VERIFICAR"))</f>
        <v>O.K.</v>
      </c>
      <c r="I38" s="480"/>
      <c r="J38" s="414"/>
    </row>
    <row r="39" spans="1:12" ht="53.25" customHeight="1" x14ac:dyDescent="0.35">
      <c r="A39" s="3614"/>
      <c r="B39" s="3620"/>
      <c r="C39" s="3631" t="s">
        <v>56</v>
      </c>
      <c r="D39" s="3631"/>
      <c r="E39" s="481">
        <v>1900</v>
      </c>
      <c r="F39" s="481">
        <v>6</v>
      </c>
      <c r="G39" s="477">
        <f t="shared" si="3"/>
        <v>5.1877288914724381E-4</v>
      </c>
      <c r="H39" s="405" t="str">
        <f>+IF(F39=0,"S.D.",IF(AND((E39/F39)&gt;300,(E39/F39)&lt;=500),"O.K.","VERIFICAR"))</f>
        <v>O.K.</v>
      </c>
      <c r="I39" s="480"/>
      <c r="J39" s="414"/>
    </row>
    <row r="40" spans="1:12" ht="53.25" customHeight="1" thickBot="1" x14ac:dyDescent="0.4">
      <c r="A40" s="3615"/>
      <c r="B40" s="472" t="s">
        <v>50</v>
      </c>
      <c r="C40" s="3637" t="s">
        <v>51</v>
      </c>
      <c r="D40" s="3637"/>
      <c r="E40" s="481">
        <f t="shared" ref="E40:F45" si="4">+E92</f>
        <v>316</v>
      </c>
      <c r="F40" s="481">
        <f t="shared" si="4"/>
        <v>1</v>
      </c>
      <c r="G40" s="477">
        <f t="shared" si="3"/>
        <v>8.6280122616067928E-5</v>
      </c>
      <c r="H40" s="405" t="str">
        <f>+IF(F40=0,"S.D.",IF(AND((E40/F40)&gt;150,(E40/F40)&lt;=500),"O.K.","VERIFICAR"))</f>
        <v>O.K.</v>
      </c>
      <c r="I40" s="480"/>
      <c r="J40" s="414"/>
    </row>
    <row r="41" spans="1:12" ht="53.25" customHeight="1" x14ac:dyDescent="0.35">
      <c r="A41" s="3626" t="s">
        <v>57</v>
      </c>
      <c r="B41" s="3628" t="s">
        <v>42</v>
      </c>
      <c r="C41" s="3629"/>
      <c r="D41" s="3630"/>
      <c r="E41" s="481">
        <f t="shared" si="4"/>
        <v>167121</v>
      </c>
      <c r="F41" s="481">
        <f t="shared" si="4"/>
        <v>284</v>
      </c>
      <c r="G41" s="477">
        <f t="shared" si="3"/>
        <v>4.5630444214303442E-2</v>
      </c>
      <c r="H41" s="404" t="str">
        <f>IF(F41=0,"S.D.",+IF(AND((E41/F41)&gt;500,(E41/F41)&lt;=700),"O.K.","VERIFICAR"))</f>
        <v>O.K.</v>
      </c>
      <c r="I41" s="480"/>
      <c r="J41" s="414"/>
    </row>
    <row r="42" spans="1:12" ht="53.25" customHeight="1" x14ac:dyDescent="0.35">
      <c r="A42" s="3627"/>
      <c r="B42" s="473" t="s">
        <v>43</v>
      </c>
      <c r="C42" s="3617" t="s">
        <v>44</v>
      </c>
      <c r="D42" s="3617"/>
      <c r="E42" s="481">
        <f t="shared" si="4"/>
        <v>0</v>
      </c>
      <c r="F42" s="481">
        <f t="shared" si="4"/>
        <v>0</v>
      </c>
      <c r="G42" s="477">
        <f t="shared" si="3"/>
        <v>0</v>
      </c>
      <c r="H42" s="405" t="str">
        <f>IF(F42=0,"S.D.",+IF(AND((E42/F42)&gt;500,(E42/F42)&lt;=700),"O.K.","VERIFICAR"))</f>
        <v>S.D.</v>
      </c>
      <c r="I42" s="480"/>
      <c r="J42" s="414"/>
    </row>
    <row r="43" spans="1:12" ht="53.25" customHeight="1" x14ac:dyDescent="0.35">
      <c r="A43" s="3627"/>
      <c r="B43" s="3618" t="s">
        <v>58</v>
      </c>
      <c r="C43" s="3621" t="s">
        <v>59</v>
      </c>
      <c r="D43" s="3621"/>
      <c r="E43" s="481">
        <f t="shared" si="4"/>
        <v>113237</v>
      </c>
      <c r="F43" s="481">
        <f t="shared" si="4"/>
        <v>192</v>
      </c>
      <c r="G43" s="477">
        <f t="shared" si="3"/>
        <v>3.0918045078087607E-2</v>
      </c>
      <c r="H43" s="405" t="str">
        <f>IF(F43=0,"S.D.",+IF(AND((E43/F43)&gt;500,(E43/F43)&lt;=700),"O.K.","VERIFICAR"))</f>
        <v>O.K.</v>
      </c>
      <c r="I43" s="480"/>
      <c r="J43" s="414"/>
    </row>
    <row r="44" spans="1:12" ht="53.25" customHeight="1" x14ac:dyDescent="0.35">
      <c r="A44" s="3627"/>
      <c r="B44" s="3620"/>
      <c r="C44" s="3631" t="s">
        <v>60</v>
      </c>
      <c r="D44" s="3631"/>
      <c r="E44" s="481">
        <v>2100</v>
      </c>
      <c r="F44" s="481">
        <v>4</v>
      </c>
      <c r="G44" s="477">
        <f t="shared" si="3"/>
        <v>5.7338056168905905E-4</v>
      </c>
      <c r="H44" s="406" t="str">
        <f>IF(F44=0,"S.D.",+IF(AND((E44/F44)&gt;500,(E44/F44)&lt;=700),"O.K.","VERIFICAR"))</f>
        <v>O.K.</v>
      </c>
      <c r="I44" s="480"/>
      <c r="J44" s="414"/>
    </row>
    <row r="45" spans="1:12" ht="53.25" customHeight="1" thickBot="1" x14ac:dyDescent="0.4">
      <c r="A45" s="3627"/>
      <c r="B45" s="473" t="s">
        <v>61</v>
      </c>
      <c r="C45" s="3637" t="s">
        <v>51</v>
      </c>
      <c r="D45" s="3637"/>
      <c r="E45" s="481">
        <f t="shared" si="4"/>
        <v>534</v>
      </c>
      <c r="F45" s="481">
        <f t="shared" si="4"/>
        <v>1</v>
      </c>
      <c r="G45" s="477">
        <f t="shared" si="3"/>
        <v>1.4580248568664644E-4</v>
      </c>
      <c r="H45" s="406" t="str">
        <f>IF(F45=0,"S.D.",+IF(AND((E45/F45)&gt;500,(E45/F45)&lt;=600),"O.K.","VERIFICAR"))</f>
        <v>O.K.</v>
      </c>
      <c r="I45" s="480"/>
      <c r="J45" s="414"/>
    </row>
    <row r="46" spans="1:12" ht="53.25" customHeight="1" x14ac:dyDescent="0.35">
      <c r="A46" s="3632" t="s">
        <v>62</v>
      </c>
      <c r="B46" s="3616" t="s">
        <v>42</v>
      </c>
      <c r="C46" s="3616"/>
      <c r="D46" s="3616"/>
      <c r="E46" s="481">
        <f t="shared" ref="E46:F56" si="5">+E98</f>
        <v>96533</v>
      </c>
      <c r="F46" s="481">
        <f t="shared" si="5"/>
        <v>108</v>
      </c>
      <c r="G46" s="477">
        <f t="shared" si="3"/>
        <v>2.6357212267395205E-2</v>
      </c>
      <c r="H46" s="404" t="str">
        <f>IF(F46=0,"S.D.",+IF(AND((E46/F46)&gt;700,(E46/F46)&lt;=1400),"O.K.","VERIFICAR"))</f>
        <v>O.K.</v>
      </c>
      <c r="I46" s="480"/>
      <c r="J46" s="414"/>
    </row>
    <row r="47" spans="1:12" ht="53.25" customHeight="1" x14ac:dyDescent="0.35">
      <c r="A47" s="3633"/>
      <c r="B47" s="472" t="s">
        <v>43</v>
      </c>
      <c r="C47" s="3617" t="s">
        <v>63</v>
      </c>
      <c r="D47" s="3617"/>
      <c r="E47" s="481">
        <f t="shared" si="5"/>
        <v>0</v>
      </c>
      <c r="F47" s="481">
        <f t="shared" si="5"/>
        <v>0</v>
      </c>
      <c r="G47" s="477">
        <f t="shared" si="3"/>
        <v>0</v>
      </c>
      <c r="H47" s="405" t="str">
        <f>IF(F47=0,"S.D.",+IF(AND((E47/F47)&gt;700,(E47/F47)&lt;=1400),"O.K.","VERIFICAR"))</f>
        <v>S.D.</v>
      </c>
      <c r="I47" s="480"/>
      <c r="J47" s="414"/>
    </row>
    <row r="48" spans="1:12" ht="53.25" customHeight="1" x14ac:dyDescent="0.35">
      <c r="A48" s="3633"/>
      <c r="B48" s="3634" t="s">
        <v>45</v>
      </c>
      <c r="C48" s="3635" t="s">
        <v>64</v>
      </c>
      <c r="D48" s="3635"/>
      <c r="E48" s="481">
        <f t="shared" si="5"/>
        <v>44763</v>
      </c>
      <c r="F48" s="481">
        <f t="shared" si="5"/>
        <v>50</v>
      </c>
      <c r="G48" s="477">
        <f t="shared" si="3"/>
        <v>1.2222016229946356E-2</v>
      </c>
      <c r="H48" s="405" t="str">
        <f>IF(F48=0,"S.D.",+IF(AND((E48/F48)&gt;700,(E48/F48)&lt;=1400),"O.K.","VERIFICAR"))</f>
        <v>O.K.</v>
      </c>
      <c r="I48" s="480"/>
      <c r="J48" s="414"/>
    </row>
    <row r="49" spans="1:10" ht="53.25" customHeight="1" x14ac:dyDescent="0.35">
      <c r="A49" s="3633"/>
      <c r="B49" s="3634"/>
      <c r="C49" s="3636" t="s">
        <v>65</v>
      </c>
      <c r="D49" s="3636"/>
      <c r="E49" s="481">
        <v>850</v>
      </c>
      <c r="F49" s="481">
        <v>1</v>
      </c>
      <c r="G49" s="477">
        <f t="shared" si="3"/>
        <v>2.3208260830271434E-4</v>
      </c>
      <c r="H49" s="406" t="str">
        <f>IF(F49=0,"S.D.",+IF(AND((E49/F49)&gt;700,(E49/F49)&lt;=1400),"O.K.","VERIFICAR"))</f>
        <v>O.K.</v>
      </c>
      <c r="I49" s="480"/>
      <c r="J49" s="414"/>
    </row>
    <row r="50" spans="1:10" ht="53.25" customHeight="1" x14ac:dyDescent="0.35">
      <c r="A50" s="3633"/>
      <c r="B50" s="474" t="s">
        <v>66</v>
      </c>
      <c r="C50" s="3637" t="s">
        <v>51</v>
      </c>
      <c r="D50" s="3637"/>
      <c r="E50" s="481">
        <v>780</v>
      </c>
      <c r="F50" s="481">
        <v>1</v>
      </c>
      <c r="G50" s="477">
        <f t="shared" si="3"/>
        <v>2.1296992291307905E-4</v>
      </c>
      <c r="H50" s="406" t="str">
        <f>IF(F50=0,"S.D.",+IF(AND((E50/F50)&gt;700,(E50/F50)&lt;=1400),"O.K.","VERIFICAR"))</f>
        <v>O.K.</v>
      </c>
      <c r="I50" s="480"/>
      <c r="J50" s="414"/>
    </row>
    <row r="51" spans="1:10" ht="53.25" customHeight="1" x14ac:dyDescent="0.35">
      <c r="A51" s="3638" t="s">
        <v>67</v>
      </c>
      <c r="B51" s="3628" t="s">
        <v>42</v>
      </c>
      <c r="C51" s="3629"/>
      <c r="D51" s="3630"/>
      <c r="E51" s="481">
        <v>25000</v>
      </c>
      <c r="F51" s="481">
        <v>10</v>
      </c>
      <c r="G51" s="477">
        <f t="shared" si="3"/>
        <v>6.825959067726893E-3</v>
      </c>
      <c r="H51" s="406" t="str">
        <f>IF(F51=0,"S.D.",+IF(AND((E51/F51)&gt;1400,(E51/F51)&lt;=2999),"O.K.","VERIFICAR"))</f>
        <v>O.K.</v>
      </c>
      <c r="I51" s="480"/>
      <c r="J51" s="414"/>
    </row>
    <row r="52" spans="1:10" ht="53.25" customHeight="1" x14ac:dyDescent="0.35">
      <c r="A52" s="3638"/>
      <c r="B52" s="473" t="s">
        <v>43</v>
      </c>
      <c r="C52" s="3617" t="s">
        <v>44</v>
      </c>
      <c r="D52" s="3617"/>
      <c r="E52" s="481">
        <f t="shared" si="5"/>
        <v>0</v>
      </c>
      <c r="F52" s="481">
        <f t="shared" si="5"/>
        <v>0</v>
      </c>
      <c r="G52" s="477">
        <f t="shared" si="3"/>
        <v>0</v>
      </c>
      <c r="H52" s="406" t="str">
        <f>IF(F52=0,"S.D.",+IF(AND((E52/F52)&gt;1400,(E52/F52)&lt;=2999),"O.K.","VERIFICAR"))</f>
        <v>S.D.</v>
      </c>
      <c r="I52" s="480"/>
      <c r="J52" s="414"/>
    </row>
    <row r="53" spans="1:10" ht="53.25" customHeight="1" x14ac:dyDescent="0.35">
      <c r="A53" s="3638"/>
      <c r="B53" s="3634" t="s">
        <v>45</v>
      </c>
      <c r="C53" s="3621" t="s">
        <v>68</v>
      </c>
      <c r="D53" s="3621"/>
      <c r="E53" s="481">
        <f t="shared" si="5"/>
        <v>5194</v>
      </c>
      <c r="F53" s="481">
        <f t="shared" si="5"/>
        <v>3</v>
      </c>
      <c r="G53" s="477">
        <f t="shared" si="3"/>
        <v>1.4181612559109392E-3</v>
      </c>
      <c r="H53" s="406" t="str">
        <f>IF(F53=0,"S.D.",+IF(AND((E53/F53)&gt;1400,(E53/F53)&lt;=2999),"O.K.","VERIFICAR"))</f>
        <v>O.K.</v>
      </c>
      <c r="I53" s="480"/>
      <c r="J53" s="414"/>
    </row>
    <row r="54" spans="1:10" ht="53.25" customHeight="1" x14ac:dyDescent="0.35">
      <c r="A54" s="3638"/>
      <c r="B54" s="3634"/>
      <c r="C54" s="3631" t="s">
        <v>69</v>
      </c>
      <c r="D54" s="3631"/>
      <c r="E54" s="481">
        <v>1408</v>
      </c>
      <c r="F54" s="481">
        <v>1</v>
      </c>
      <c r="G54" s="477">
        <f t="shared" si="3"/>
        <v>3.844380146943786E-4</v>
      </c>
      <c r="H54" s="406" t="str">
        <f>IF(F54=0,"S.D.",+IF(AND((E54/F54)&gt;1400,(E54/F54)&lt;=2999),"O.K.","VERIFICAR"))</f>
        <v>O.K.</v>
      </c>
      <c r="I54" s="480"/>
      <c r="J54" s="414"/>
    </row>
    <row r="55" spans="1:10" ht="53.25" customHeight="1" thickBot="1" x14ac:dyDescent="0.4">
      <c r="A55" s="3638"/>
      <c r="B55" s="472" t="s">
        <v>66</v>
      </c>
      <c r="C55" s="3637" t="s">
        <v>51</v>
      </c>
      <c r="D55" s="3637"/>
      <c r="E55" s="481">
        <v>1650</v>
      </c>
      <c r="F55" s="481">
        <v>1</v>
      </c>
      <c r="G55" s="477">
        <f t="shared" si="3"/>
        <v>4.5051329846997491E-4</v>
      </c>
      <c r="H55" s="406" t="str">
        <f>IF(F55=0,"S.D.",+IF(AND((E55/F55)&gt;1400,(E55/F55)&lt;=2999),"O.K.","VERIFICAR"))</f>
        <v>O.K.</v>
      </c>
      <c r="I55" s="480"/>
      <c r="J55" s="414"/>
    </row>
    <row r="56" spans="1:10" ht="53.25" customHeight="1" thickBot="1" x14ac:dyDescent="0.4">
      <c r="A56" s="475" t="s">
        <v>21</v>
      </c>
      <c r="B56" s="3639" t="s">
        <v>70</v>
      </c>
      <c r="C56" s="3640"/>
      <c r="D56" s="3641"/>
      <c r="E56" s="481">
        <f>+E108+G2</f>
        <v>750627</v>
      </c>
      <c r="F56" s="481">
        <f t="shared" si="5"/>
        <v>1861</v>
      </c>
      <c r="G56" s="477">
        <f t="shared" si="3"/>
        <v>0.20494996708522537</v>
      </c>
      <c r="H56" s="407" t="str">
        <f>IF(F56=0,"S.D.",+IF((E56/F56)&lt;2000,"O.K.","VERIFICAR"))</f>
        <v>O.K.</v>
      </c>
      <c r="I56" s="480"/>
      <c r="J56" s="414"/>
    </row>
    <row r="57" spans="1:10" ht="53.25" customHeight="1" thickBot="1" x14ac:dyDescent="0.4">
      <c r="A57" s="476" t="s">
        <v>71</v>
      </c>
      <c r="B57" s="3642" t="s">
        <v>72</v>
      </c>
      <c r="C57" s="3643"/>
      <c r="D57" s="3644"/>
      <c r="E57" s="481">
        <f>+E109</f>
        <v>167591</v>
      </c>
      <c r="F57" s="481">
        <f>+F109</f>
        <v>69</v>
      </c>
      <c r="G57" s="477">
        <f t="shared" si="3"/>
        <v>4.5758772244776709E-2</v>
      </c>
      <c r="H57" s="407" t="str">
        <f>IF(F57=0,"S.D.",+IF(AND((E57/F57)&gt;1999,(E57/F57)&lt;=2999),"O.K.","VERIFICAR"))</f>
        <v>O.K.</v>
      </c>
      <c r="I57" s="480"/>
      <c r="J57" s="414"/>
    </row>
    <row r="58" spans="1:10" ht="25.5" customHeight="1" x14ac:dyDescent="0.35">
      <c r="E58" s="492">
        <f>SUM(E12:E57)-E15</f>
        <v>3662489</v>
      </c>
      <c r="F58" s="492">
        <f>SUM(F12:F57)</f>
        <v>10423</v>
      </c>
      <c r="G58" s="493"/>
    </row>
    <row r="59" spans="1:10" ht="25.5" customHeight="1" x14ac:dyDescent="0.35">
      <c r="E59" s="492"/>
      <c r="G59" s="493"/>
    </row>
    <row r="60" spans="1:10" ht="25.5" customHeight="1" x14ac:dyDescent="0.2">
      <c r="E60" s="413"/>
    </row>
    <row r="61" spans="1:10" ht="25.5" customHeight="1" x14ac:dyDescent="0.2"/>
    <row r="62" spans="1:10" ht="25.5" customHeight="1" x14ac:dyDescent="0.4">
      <c r="A62" s="417" t="s">
        <v>73</v>
      </c>
      <c r="B62" s="417"/>
      <c r="C62" s="417"/>
      <c r="D62" s="417"/>
    </row>
    <row r="63" spans="1:10" ht="25.5" customHeight="1" x14ac:dyDescent="0.2">
      <c r="E63" s="460"/>
    </row>
    <row r="64" spans="1:10" s="108" customFormat="1" ht="19.5" customHeight="1" x14ac:dyDescent="0.25">
      <c r="C64" s="463" t="s">
        <v>28</v>
      </c>
      <c r="D64" s="409" t="s">
        <v>5</v>
      </c>
      <c r="E64" s="464">
        <v>0</v>
      </c>
      <c r="F64" s="464">
        <v>0</v>
      </c>
      <c r="G64" s="465"/>
    </row>
    <row r="65" spans="1:7" s="108" customFormat="1" ht="19.5" customHeight="1" x14ac:dyDescent="0.25">
      <c r="C65" s="463"/>
      <c r="D65" s="409" t="s">
        <v>6</v>
      </c>
      <c r="E65" s="464">
        <v>0</v>
      </c>
      <c r="F65" s="464">
        <v>0</v>
      </c>
      <c r="G65" s="465"/>
    </row>
    <row r="66" spans="1:7" s="108" customFormat="1" ht="19.5" customHeight="1" x14ac:dyDescent="0.25">
      <c r="B66" s="466" t="s">
        <v>29</v>
      </c>
      <c r="C66" s="463"/>
      <c r="D66" s="409" t="s">
        <v>7</v>
      </c>
      <c r="E66" s="464">
        <v>0</v>
      </c>
      <c r="F66" s="464">
        <v>0</v>
      </c>
      <c r="G66" s="465"/>
    </row>
    <row r="67" spans="1:7" s="108" customFormat="1" ht="19.5" customHeight="1" thickBot="1" x14ac:dyDescent="0.3">
      <c r="B67" s="108" t="s">
        <v>23</v>
      </c>
      <c r="C67" s="463"/>
      <c r="D67" s="467" t="s">
        <v>30</v>
      </c>
      <c r="E67" s="464">
        <v>0</v>
      </c>
      <c r="F67" s="464">
        <v>0</v>
      </c>
      <c r="G67" s="465"/>
    </row>
    <row r="68" spans="1:7" s="108" customFormat="1" ht="31.5" x14ac:dyDescent="0.25">
      <c r="B68" s="408"/>
      <c r="D68" s="468" t="s">
        <v>31</v>
      </c>
      <c r="E68" s="464">
        <v>269408</v>
      </c>
      <c r="F68" s="464">
        <v>12</v>
      </c>
      <c r="G68" s="465"/>
    </row>
    <row r="69" spans="1:7" s="108" customFormat="1" ht="31.5" x14ac:dyDescent="0.25">
      <c r="B69" s="409"/>
      <c r="D69" s="468" t="s">
        <v>32</v>
      </c>
      <c r="E69" s="464">
        <v>0</v>
      </c>
      <c r="F69" s="464">
        <v>0</v>
      </c>
      <c r="G69" s="465"/>
    </row>
    <row r="70" spans="1:7" s="108" customFormat="1" ht="31.5" x14ac:dyDescent="0.25">
      <c r="B70" s="409"/>
      <c r="D70" s="468" t="s">
        <v>33</v>
      </c>
      <c r="E70" s="464">
        <v>0</v>
      </c>
      <c r="F70" s="464">
        <v>0</v>
      </c>
      <c r="G70" s="465"/>
    </row>
    <row r="71" spans="1:7" s="108" customFormat="1" ht="31.5" x14ac:dyDescent="0.25">
      <c r="B71" s="409"/>
      <c r="D71" s="468" t="s">
        <v>34</v>
      </c>
      <c r="E71" s="464">
        <v>0</v>
      </c>
      <c r="F71" s="464">
        <v>0</v>
      </c>
      <c r="G71" s="465"/>
    </row>
    <row r="72" spans="1:7" s="108" customFormat="1" ht="47.25" x14ac:dyDescent="0.25">
      <c r="B72" s="409"/>
      <c r="D72" s="468" t="s">
        <v>35</v>
      </c>
      <c r="E72" s="464">
        <v>0</v>
      </c>
      <c r="F72" s="464">
        <v>0</v>
      </c>
      <c r="G72" s="465"/>
    </row>
    <row r="73" spans="1:7" s="108" customFormat="1" ht="47.25" x14ac:dyDescent="0.25">
      <c r="B73" s="415"/>
      <c r="D73" s="469" t="s">
        <v>36</v>
      </c>
      <c r="E73" s="464">
        <v>316673</v>
      </c>
      <c r="F73" s="464">
        <v>70</v>
      </c>
      <c r="G73" s="465"/>
    </row>
    <row r="74" spans="1:7" s="108" customFormat="1" ht="47.25" x14ac:dyDescent="0.25">
      <c r="B74" s="415"/>
      <c r="D74" s="469" t="s">
        <v>37</v>
      </c>
      <c r="E74" s="464">
        <v>0</v>
      </c>
      <c r="F74" s="464">
        <v>0</v>
      </c>
      <c r="G74" s="465"/>
    </row>
    <row r="75" spans="1:7" s="108" customFormat="1" ht="47.25" x14ac:dyDescent="0.25">
      <c r="B75" s="415"/>
      <c r="D75" s="469" t="s">
        <v>38</v>
      </c>
      <c r="E75" s="464">
        <v>0</v>
      </c>
      <c r="F75" s="464">
        <v>0</v>
      </c>
      <c r="G75" s="465"/>
    </row>
    <row r="76" spans="1:7" s="108" customFormat="1" ht="47.25" x14ac:dyDescent="0.25">
      <c r="B76" s="415"/>
      <c r="D76" s="469" t="s">
        <v>39</v>
      </c>
      <c r="E76" s="464">
        <v>0</v>
      </c>
      <c r="F76" s="464">
        <v>0</v>
      </c>
      <c r="G76" s="465"/>
    </row>
    <row r="77" spans="1:7" s="108" customFormat="1" ht="47.25" x14ac:dyDescent="0.25">
      <c r="B77" s="415"/>
      <c r="D77" s="469" t="s">
        <v>35</v>
      </c>
      <c r="E77" s="464">
        <v>0</v>
      </c>
      <c r="F77" s="464">
        <v>0</v>
      </c>
      <c r="G77" s="465"/>
    </row>
    <row r="78" spans="1:7" s="108" customFormat="1" ht="16.5" thickBot="1" x14ac:dyDescent="0.3">
      <c r="D78" s="470" t="s">
        <v>40</v>
      </c>
      <c r="E78" s="464">
        <v>400240</v>
      </c>
      <c r="F78" s="464">
        <v>123</v>
      </c>
      <c r="G78" s="465"/>
    </row>
    <row r="79" spans="1:7" s="108" customFormat="1" ht="21.75" customHeight="1" thickBot="1" x14ac:dyDescent="0.3">
      <c r="A79" s="3622" t="s">
        <v>41</v>
      </c>
      <c r="B79" s="3616" t="s">
        <v>42</v>
      </c>
      <c r="C79" s="3616"/>
      <c r="D79" s="3616"/>
      <c r="E79" s="471">
        <v>171621</v>
      </c>
      <c r="F79" s="471">
        <v>3029</v>
      </c>
      <c r="G79" s="465"/>
    </row>
    <row r="80" spans="1:7" s="108" customFormat="1" ht="25.5" customHeight="1" thickBot="1" x14ac:dyDescent="0.3">
      <c r="A80" s="3623"/>
      <c r="B80" s="472" t="s">
        <v>43</v>
      </c>
      <c r="C80" s="3617" t="s">
        <v>44</v>
      </c>
      <c r="D80" s="3617"/>
      <c r="E80" s="471">
        <v>0</v>
      </c>
      <c r="F80" s="471">
        <v>0</v>
      </c>
      <c r="G80" s="465"/>
    </row>
    <row r="81" spans="1:7" s="108" customFormat="1" ht="21.75" customHeight="1" thickBot="1" x14ac:dyDescent="0.3">
      <c r="A81" s="3623"/>
      <c r="B81" s="473" t="s">
        <v>45</v>
      </c>
      <c r="C81" s="3624" t="s">
        <v>46</v>
      </c>
      <c r="D81" s="3624"/>
      <c r="E81" s="471">
        <v>91027</v>
      </c>
      <c r="F81" s="471">
        <v>964</v>
      </c>
      <c r="G81" s="465"/>
    </row>
    <row r="82" spans="1:7" s="108" customFormat="1" ht="21.75" customHeight="1" thickBot="1" x14ac:dyDescent="0.3">
      <c r="A82" s="3623"/>
      <c r="B82" s="473"/>
      <c r="C82" s="3624" t="s">
        <v>47</v>
      </c>
      <c r="D82" s="3624"/>
      <c r="E82" s="471"/>
      <c r="F82" s="471"/>
      <c r="G82" s="465"/>
    </row>
    <row r="83" spans="1:7" s="108" customFormat="1" ht="21.75" customHeight="1" thickBot="1" x14ac:dyDescent="0.3">
      <c r="A83" s="3623"/>
      <c r="B83" s="473"/>
      <c r="C83" s="3631" t="s">
        <v>48</v>
      </c>
      <c r="D83" s="3631"/>
      <c r="E83" s="471"/>
      <c r="F83" s="471"/>
      <c r="G83" s="465"/>
    </row>
    <row r="84" spans="1:7" s="108" customFormat="1" ht="21.75" customHeight="1" thickBot="1" x14ac:dyDescent="0.3">
      <c r="A84" s="3623"/>
      <c r="B84" s="473"/>
      <c r="C84" s="3631" t="s">
        <v>49</v>
      </c>
      <c r="D84" s="3631"/>
      <c r="E84" s="471"/>
      <c r="F84" s="471"/>
      <c r="G84" s="465"/>
    </row>
    <row r="85" spans="1:7" s="108" customFormat="1" ht="51" customHeight="1" thickBot="1" x14ac:dyDescent="0.3">
      <c r="A85" s="3623"/>
      <c r="B85" s="472" t="s">
        <v>50</v>
      </c>
      <c r="C85" s="3625" t="s">
        <v>51</v>
      </c>
      <c r="D85" s="3625"/>
      <c r="E85" s="471">
        <v>0</v>
      </c>
      <c r="F85" s="471">
        <v>0</v>
      </c>
      <c r="G85" s="465"/>
    </row>
    <row r="86" spans="1:7" s="108" customFormat="1" ht="21" customHeight="1" thickBot="1" x14ac:dyDescent="0.3">
      <c r="A86" s="3613" t="s">
        <v>52</v>
      </c>
      <c r="B86" s="3616" t="s">
        <v>42</v>
      </c>
      <c r="C86" s="3616"/>
      <c r="D86" s="3616"/>
      <c r="E86" s="471">
        <v>634333</v>
      </c>
      <c r="F86" s="471">
        <v>2289</v>
      </c>
      <c r="G86" s="465"/>
    </row>
    <row r="87" spans="1:7" s="108" customFormat="1" ht="21.75" customHeight="1" thickBot="1" x14ac:dyDescent="0.3">
      <c r="A87" s="3614"/>
      <c r="B87" s="472" t="s">
        <v>43</v>
      </c>
      <c r="C87" s="3617" t="s">
        <v>44</v>
      </c>
      <c r="D87" s="3617"/>
      <c r="E87" s="471">
        <v>0</v>
      </c>
      <c r="F87" s="471">
        <v>0</v>
      </c>
      <c r="G87" s="465"/>
    </row>
    <row r="88" spans="1:7" s="108" customFormat="1" ht="54.75" customHeight="1" thickBot="1" x14ac:dyDescent="0.3">
      <c r="A88" s="3614"/>
      <c r="B88" s="3618" t="s">
        <v>45</v>
      </c>
      <c r="C88" s="3621" t="s">
        <v>53</v>
      </c>
      <c r="D88" s="3621"/>
      <c r="E88" s="471">
        <v>207854</v>
      </c>
      <c r="F88" s="471">
        <v>941</v>
      </c>
      <c r="G88" s="465"/>
    </row>
    <row r="89" spans="1:7" s="108" customFormat="1" ht="25.5" customHeight="1" thickBot="1" x14ac:dyDescent="0.3">
      <c r="A89" s="3614"/>
      <c r="B89" s="3619"/>
      <c r="C89" s="3621" t="s">
        <v>54</v>
      </c>
      <c r="D89" s="3621"/>
      <c r="E89" s="471">
        <v>233182</v>
      </c>
      <c r="F89" s="471">
        <v>603</v>
      </c>
      <c r="G89" s="465"/>
    </row>
    <row r="90" spans="1:7" s="108" customFormat="1" ht="21.75" customHeight="1" thickBot="1" x14ac:dyDescent="0.3">
      <c r="A90" s="3614"/>
      <c r="B90" s="3619"/>
      <c r="C90" s="3631" t="s">
        <v>55</v>
      </c>
      <c r="D90" s="3631"/>
      <c r="E90" s="471">
        <v>0</v>
      </c>
      <c r="F90" s="471">
        <v>0</v>
      </c>
      <c r="G90" s="465"/>
    </row>
    <row r="91" spans="1:7" s="108" customFormat="1" ht="16.5" customHeight="1" thickBot="1" x14ac:dyDescent="0.3">
      <c r="A91" s="3614"/>
      <c r="B91" s="3620"/>
      <c r="C91" s="3631" t="s">
        <v>56</v>
      </c>
      <c r="D91" s="3631"/>
      <c r="E91" s="471">
        <v>0</v>
      </c>
      <c r="F91" s="471">
        <v>0</v>
      </c>
      <c r="G91" s="465"/>
    </row>
    <row r="92" spans="1:7" s="108" customFormat="1" ht="21" customHeight="1" thickBot="1" x14ac:dyDescent="0.3">
      <c r="A92" s="3615"/>
      <c r="B92" s="472" t="s">
        <v>50</v>
      </c>
      <c r="C92" s="3637" t="s">
        <v>51</v>
      </c>
      <c r="D92" s="3637"/>
      <c r="E92" s="471">
        <v>316</v>
      </c>
      <c r="F92" s="471">
        <v>1</v>
      </c>
      <c r="G92" s="465"/>
    </row>
    <row r="93" spans="1:7" s="108" customFormat="1" ht="21.75" customHeight="1" thickBot="1" x14ac:dyDescent="0.3">
      <c r="A93" s="3626" t="s">
        <v>57</v>
      </c>
      <c r="B93" s="3628" t="s">
        <v>42</v>
      </c>
      <c r="C93" s="3629"/>
      <c r="D93" s="3630"/>
      <c r="E93" s="471">
        <v>167121</v>
      </c>
      <c r="F93" s="471">
        <v>284</v>
      </c>
      <c r="G93" s="465"/>
    </row>
    <row r="94" spans="1:7" s="108" customFormat="1" ht="54.75" customHeight="1" thickBot="1" x14ac:dyDescent="0.3">
      <c r="A94" s="3627"/>
      <c r="B94" s="473" t="s">
        <v>43</v>
      </c>
      <c r="C94" s="3617" t="s">
        <v>44</v>
      </c>
      <c r="D94" s="3617"/>
      <c r="E94" s="471">
        <v>0</v>
      </c>
      <c r="F94" s="471">
        <v>0</v>
      </c>
      <c r="G94" s="465"/>
    </row>
    <row r="95" spans="1:7" s="108" customFormat="1" ht="25.5" customHeight="1" thickBot="1" x14ac:dyDescent="0.3">
      <c r="A95" s="3627"/>
      <c r="B95" s="3618" t="s">
        <v>58</v>
      </c>
      <c r="C95" s="3621" t="s">
        <v>59</v>
      </c>
      <c r="D95" s="3621"/>
      <c r="E95" s="471">
        <v>113237</v>
      </c>
      <c r="F95" s="471">
        <v>192</v>
      </c>
      <c r="G95" s="465"/>
    </row>
    <row r="96" spans="1:7" s="108" customFormat="1" ht="21.75" customHeight="1" thickBot="1" x14ac:dyDescent="0.3">
      <c r="A96" s="3627"/>
      <c r="B96" s="3620"/>
      <c r="C96" s="3631" t="s">
        <v>60</v>
      </c>
      <c r="D96" s="3631"/>
      <c r="E96" s="471">
        <v>0</v>
      </c>
      <c r="F96" s="471">
        <v>0</v>
      </c>
      <c r="G96" s="465"/>
    </row>
    <row r="97" spans="1:7" s="108" customFormat="1" ht="25.5" customHeight="1" thickBot="1" x14ac:dyDescent="0.3">
      <c r="A97" s="3627"/>
      <c r="B97" s="473" t="s">
        <v>61</v>
      </c>
      <c r="C97" s="3637" t="s">
        <v>51</v>
      </c>
      <c r="D97" s="3637"/>
      <c r="E97" s="471">
        <v>534</v>
      </c>
      <c r="F97" s="471">
        <v>1</v>
      </c>
      <c r="G97" s="465"/>
    </row>
    <row r="98" spans="1:7" s="108" customFormat="1" ht="21" customHeight="1" thickBot="1" x14ac:dyDescent="0.3">
      <c r="A98" s="3632" t="s">
        <v>62</v>
      </c>
      <c r="B98" s="3616" t="s">
        <v>42</v>
      </c>
      <c r="C98" s="3616"/>
      <c r="D98" s="3616"/>
      <c r="E98" s="471">
        <v>96533</v>
      </c>
      <c r="F98" s="471">
        <v>108</v>
      </c>
      <c r="G98" s="465"/>
    </row>
    <row r="99" spans="1:7" s="108" customFormat="1" ht="21.75" customHeight="1" thickBot="1" x14ac:dyDescent="0.3">
      <c r="A99" s="3633"/>
      <c r="B99" s="472" t="s">
        <v>43</v>
      </c>
      <c r="C99" s="3617" t="s">
        <v>63</v>
      </c>
      <c r="D99" s="3617"/>
      <c r="E99" s="471">
        <v>0</v>
      </c>
      <c r="F99" s="471">
        <v>0</v>
      </c>
      <c r="G99" s="465"/>
    </row>
    <row r="100" spans="1:7" s="108" customFormat="1" ht="25.5" customHeight="1" thickBot="1" x14ac:dyDescent="0.3">
      <c r="A100" s="3633"/>
      <c r="B100" s="3634" t="s">
        <v>45</v>
      </c>
      <c r="C100" s="3621" t="s">
        <v>64</v>
      </c>
      <c r="D100" s="3621"/>
      <c r="E100" s="471">
        <v>44763</v>
      </c>
      <c r="F100" s="471">
        <v>50</v>
      </c>
      <c r="G100" s="465"/>
    </row>
    <row r="101" spans="1:7" s="108" customFormat="1" ht="25.5" customHeight="1" thickBot="1" x14ac:dyDescent="0.3">
      <c r="A101" s="3633"/>
      <c r="B101" s="3634"/>
      <c r="C101" s="3631" t="s">
        <v>65</v>
      </c>
      <c r="D101" s="3631"/>
      <c r="E101" s="471">
        <v>0</v>
      </c>
      <c r="F101" s="471">
        <v>0</v>
      </c>
      <c r="G101" s="465"/>
    </row>
    <row r="102" spans="1:7" s="108" customFormat="1" ht="25.5" customHeight="1" thickBot="1" x14ac:dyDescent="0.3">
      <c r="A102" s="3633"/>
      <c r="B102" s="474" t="s">
        <v>66</v>
      </c>
      <c r="C102" s="3637" t="s">
        <v>51</v>
      </c>
      <c r="D102" s="3637"/>
      <c r="E102" s="471">
        <v>0</v>
      </c>
      <c r="F102" s="471">
        <v>0</v>
      </c>
      <c r="G102" s="465"/>
    </row>
    <row r="103" spans="1:7" s="108" customFormat="1" ht="25.5" customHeight="1" thickBot="1" x14ac:dyDescent="0.3">
      <c r="A103" s="3638" t="s">
        <v>67</v>
      </c>
      <c r="B103" s="3628" t="s">
        <v>42</v>
      </c>
      <c r="C103" s="3629"/>
      <c r="D103" s="3630"/>
      <c r="E103" s="471">
        <v>23698</v>
      </c>
      <c r="F103" s="471">
        <v>13</v>
      </c>
      <c r="G103" s="465"/>
    </row>
    <row r="104" spans="1:7" s="108" customFormat="1" ht="26.25" customHeight="1" thickBot="1" x14ac:dyDescent="0.3">
      <c r="A104" s="3638"/>
      <c r="B104" s="473" t="s">
        <v>43</v>
      </c>
      <c r="C104" s="3617" t="s">
        <v>44</v>
      </c>
      <c r="D104" s="3617"/>
      <c r="E104" s="471">
        <v>0</v>
      </c>
      <c r="F104" s="471">
        <v>0</v>
      </c>
      <c r="G104" s="465"/>
    </row>
    <row r="105" spans="1:7" s="108" customFormat="1" ht="25.5" customHeight="1" thickBot="1" x14ac:dyDescent="0.3">
      <c r="A105" s="3638"/>
      <c r="B105" s="3634" t="s">
        <v>45</v>
      </c>
      <c r="C105" s="3621" t="s">
        <v>68</v>
      </c>
      <c r="D105" s="3621"/>
      <c r="E105" s="471">
        <v>5194</v>
      </c>
      <c r="F105" s="471">
        <v>3</v>
      </c>
      <c r="G105" s="465"/>
    </row>
    <row r="106" spans="1:7" s="108" customFormat="1" ht="42.75" customHeight="1" thickBot="1" x14ac:dyDescent="0.3">
      <c r="A106" s="3638"/>
      <c r="B106" s="3634"/>
      <c r="C106" s="3631" t="s">
        <v>69</v>
      </c>
      <c r="D106" s="3631"/>
      <c r="E106" s="471">
        <v>0</v>
      </c>
      <c r="F106" s="471">
        <v>0</v>
      </c>
      <c r="G106" s="465"/>
    </row>
    <row r="107" spans="1:7" s="108" customFormat="1" ht="38.85" customHeight="1" thickBot="1" x14ac:dyDescent="0.3">
      <c r="A107" s="3638"/>
      <c r="B107" s="472" t="s">
        <v>66</v>
      </c>
      <c r="C107" s="3637" t="s">
        <v>51</v>
      </c>
      <c r="D107" s="3637"/>
      <c r="E107" s="471">
        <v>0</v>
      </c>
      <c r="F107" s="471">
        <v>0</v>
      </c>
      <c r="G107" s="465"/>
    </row>
    <row r="108" spans="1:7" s="108" customFormat="1" ht="43.5" customHeight="1" thickBot="1" x14ac:dyDescent="0.3">
      <c r="A108" s="475" t="s">
        <v>21</v>
      </c>
      <c r="B108" s="3639" t="s">
        <v>70</v>
      </c>
      <c r="C108" s="3640"/>
      <c r="D108" s="3641"/>
      <c r="E108" s="471">
        <v>899127</v>
      </c>
      <c r="F108" s="471">
        <v>1861</v>
      </c>
      <c r="G108" s="465"/>
    </row>
    <row r="109" spans="1:7" s="108" customFormat="1" ht="42.6" customHeight="1" thickBot="1" x14ac:dyDescent="0.3">
      <c r="A109" s="476" t="s">
        <v>71</v>
      </c>
      <c r="B109" s="3642" t="s">
        <v>72</v>
      </c>
      <c r="C109" s="3643"/>
      <c r="D109" s="3644"/>
      <c r="E109" s="471">
        <v>167591</v>
      </c>
      <c r="F109" s="471">
        <v>69</v>
      </c>
      <c r="G109" s="465"/>
    </row>
    <row r="110" spans="1:7" ht="25.5" x14ac:dyDescent="0.35">
      <c r="E110" s="402">
        <f>SUM(E64:E109)</f>
        <v>3842452</v>
      </c>
      <c r="F110" s="402">
        <f>SUM(F64:F109)</f>
        <v>10613</v>
      </c>
    </row>
    <row r="114" spans="5:6" x14ac:dyDescent="0.2">
      <c r="E114" s="460">
        <f>+E2</f>
        <v>43556</v>
      </c>
      <c r="F114" s="460" t="str">
        <f>+F2</f>
        <v>NR1</v>
      </c>
    </row>
  </sheetData>
  <mergeCells count="80">
    <mergeCell ref="B56:D56"/>
    <mergeCell ref="B57:D57"/>
    <mergeCell ref="C54:D54"/>
    <mergeCell ref="C55:D55"/>
    <mergeCell ref="C30:D30"/>
    <mergeCell ref="C31:D31"/>
    <mergeCell ref="C32:D32"/>
    <mergeCell ref="C45:D45"/>
    <mergeCell ref="C37:D37"/>
    <mergeCell ref="C38:D38"/>
    <mergeCell ref="C39:D39"/>
    <mergeCell ref="C40:D40"/>
    <mergeCell ref="B108:D108"/>
    <mergeCell ref="B109:D109"/>
    <mergeCell ref="A103:A107"/>
    <mergeCell ref="B103:D103"/>
    <mergeCell ref="C104:D104"/>
    <mergeCell ref="B105:B106"/>
    <mergeCell ref="C105:D105"/>
    <mergeCell ref="C106:D106"/>
    <mergeCell ref="C107:D107"/>
    <mergeCell ref="A98:A102"/>
    <mergeCell ref="B98:D98"/>
    <mergeCell ref="C99:D99"/>
    <mergeCell ref="B100:B101"/>
    <mergeCell ref="C100:D100"/>
    <mergeCell ref="C101:D101"/>
    <mergeCell ref="C102:D102"/>
    <mergeCell ref="A93:A97"/>
    <mergeCell ref="B93:D93"/>
    <mergeCell ref="C94:D94"/>
    <mergeCell ref="B95:B96"/>
    <mergeCell ref="C95:D95"/>
    <mergeCell ref="C96:D96"/>
    <mergeCell ref="C97:D97"/>
    <mergeCell ref="A86:A92"/>
    <mergeCell ref="B86:D86"/>
    <mergeCell ref="C87:D87"/>
    <mergeCell ref="B88:B91"/>
    <mergeCell ref="C88:D88"/>
    <mergeCell ref="C89:D89"/>
    <mergeCell ref="C90:D90"/>
    <mergeCell ref="C91:D91"/>
    <mergeCell ref="C92:D92"/>
    <mergeCell ref="A79:A85"/>
    <mergeCell ref="B79:D79"/>
    <mergeCell ref="C80:D80"/>
    <mergeCell ref="C81:D81"/>
    <mergeCell ref="C85:D85"/>
    <mergeCell ref="C84:D84"/>
    <mergeCell ref="C82:D82"/>
    <mergeCell ref="C83:D83"/>
    <mergeCell ref="A51:A55"/>
    <mergeCell ref="B51:D51"/>
    <mergeCell ref="C52:D52"/>
    <mergeCell ref="B53:B54"/>
    <mergeCell ref="C53:D53"/>
    <mergeCell ref="A46:A50"/>
    <mergeCell ref="B46:D46"/>
    <mergeCell ref="C47:D47"/>
    <mergeCell ref="B48:B49"/>
    <mergeCell ref="C48:D48"/>
    <mergeCell ref="C49:D49"/>
    <mergeCell ref="C50:D50"/>
    <mergeCell ref="A41:A45"/>
    <mergeCell ref="B41:D41"/>
    <mergeCell ref="C42:D42"/>
    <mergeCell ref="B43:B44"/>
    <mergeCell ref="C43:D43"/>
    <mergeCell ref="C44:D44"/>
    <mergeCell ref="A27:A33"/>
    <mergeCell ref="B27:D27"/>
    <mergeCell ref="C28:D28"/>
    <mergeCell ref="C29:D29"/>
    <mergeCell ref="C33:D33"/>
    <mergeCell ref="A34:A40"/>
    <mergeCell ref="B34:D34"/>
    <mergeCell ref="C35:D35"/>
    <mergeCell ref="B36:B39"/>
    <mergeCell ref="C36:D36"/>
  </mergeCells>
  <pageMargins left="0.7" right="0.7" top="0.75" bottom="0.75" header="0.3" footer="0.3"/>
  <pageSetup orientation="portrait" horizontalDpi="4294967292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>
    <tabColor theme="8" tint="0.39997558519241921"/>
  </sheetPr>
  <dimension ref="A1:EX1329"/>
  <sheetViews>
    <sheetView showGridLines="0" tabSelected="1" zoomScale="48" zoomScaleNormal="48" workbookViewId="0">
      <selection activeCell="G24" sqref="G24"/>
    </sheetView>
  </sheetViews>
  <sheetFormatPr baseColWidth="10" defaultColWidth="12.5703125" defaultRowHeight="12.75" x14ac:dyDescent="0.2"/>
  <cols>
    <col min="1" max="1" width="18.5703125" style="9" customWidth="1"/>
    <col min="2" max="2" width="21.5703125" style="9" customWidth="1"/>
    <col min="3" max="3" width="53.42578125" style="9" customWidth="1"/>
    <col min="4" max="4" width="43.5703125" style="9" customWidth="1"/>
    <col min="5" max="5" width="102.28515625" style="9" customWidth="1"/>
    <col min="6" max="6" width="55.42578125" style="12" customWidth="1"/>
    <col min="7" max="7" width="37.85546875" style="9" customWidth="1"/>
    <col min="8" max="8" width="31.85546875" style="9" customWidth="1"/>
    <col min="9" max="18" width="32.28515625" style="9" customWidth="1"/>
    <col min="19" max="19" width="25" style="9" hidden="1" customWidth="1"/>
    <col min="20" max="20" width="23.42578125" style="9" hidden="1" customWidth="1"/>
    <col min="21" max="21" width="20" style="9" hidden="1" customWidth="1"/>
    <col min="22" max="22" width="17.42578125" style="9" hidden="1" customWidth="1"/>
    <col min="23" max="23" width="22" style="9" hidden="1" customWidth="1"/>
    <col min="24" max="24" width="26.42578125" style="9" hidden="1" customWidth="1"/>
    <col min="25" max="25" width="16.5703125" style="9" hidden="1" customWidth="1"/>
    <col min="26" max="26" width="11.42578125" style="9" hidden="1" customWidth="1"/>
    <col min="27" max="27" width="17.5703125" style="9" hidden="1" customWidth="1"/>
    <col min="28" max="28" width="18.42578125" style="9" hidden="1" customWidth="1"/>
    <col min="29" max="29" width="19.42578125" style="9" hidden="1" customWidth="1"/>
    <col min="30" max="54" width="11.42578125" style="9" hidden="1" customWidth="1"/>
    <col min="55" max="55" width="185.42578125" style="9" hidden="1" customWidth="1"/>
    <col min="56" max="67" width="12.5703125" style="9" hidden="1" customWidth="1"/>
    <col min="68" max="68" width="21.5703125" style="9" hidden="1" customWidth="1"/>
    <col min="69" max="152" width="12.5703125" style="9" hidden="1" customWidth="1"/>
    <col min="153" max="153" width="12.5703125" style="16" customWidth="1"/>
    <col min="154" max="196" width="12.5703125" style="9" customWidth="1"/>
    <col min="197" max="16384" width="12.5703125" style="9"/>
  </cols>
  <sheetData>
    <row r="1" spans="1:67" ht="207" customHeight="1" thickBot="1" x14ac:dyDescent="0.25">
      <c r="A1" s="3835" t="s">
        <v>74</v>
      </c>
      <c r="B1" s="3836"/>
      <c r="C1" s="3836"/>
      <c r="D1" s="3836"/>
      <c r="E1" s="3836"/>
      <c r="F1" s="3836"/>
      <c r="G1" s="3836"/>
      <c r="H1" s="3836"/>
      <c r="I1" s="3836"/>
      <c r="J1" s="3836"/>
      <c r="K1" s="3836"/>
      <c r="AA1" s="3832" t="s">
        <v>75</v>
      </c>
      <c r="AB1" s="3833"/>
      <c r="AC1" s="3833"/>
      <c r="AD1" s="3834"/>
    </row>
    <row r="2" spans="1:67" ht="24" customHeight="1" thickBot="1" x14ac:dyDescent="0.45">
      <c r="A2" s="536"/>
      <c r="B2" s="537" t="s">
        <v>76</v>
      </c>
      <c r="C2" s="8"/>
      <c r="D2" s="3847"/>
      <c r="E2" s="3848"/>
      <c r="F2" s="3848"/>
      <c r="G2" s="3848"/>
      <c r="H2" s="3849"/>
      <c r="I2" s="538"/>
      <c r="J2" s="539"/>
      <c r="AA2" s="2123"/>
      <c r="AB2" s="540"/>
      <c r="AC2" s="540"/>
      <c r="AD2" s="540"/>
      <c r="AG2" s="541" t="s">
        <v>23</v>
      </c>
      <c r="AH2" s="541">
        <v>1.4800000000000001E-2</v>
      </c>
      <c r="AI2" s="541">
        <v>4.2799999999999998E-2</v>
      </c>
      <c r="BI2" s="1956" t="s">
        <v>77</v>
      </c>
    </row>
    <row r="3" spans="1:67" ht="27.75" customHeight="1" thickBot="1" x14ac:dyDescent="0.45">
      <c r="A3" s="536"/>
      <c r="B3" s="537" t="s">
        <v>78</v>
      </c>
      <c r="C3" s="8"/>
      <c r="D3" s="3867"/>
      <c r="E3" s="3868"/>
      <c r="F3" s="3868"/>
      <c r="G3" s="3868"/>
      <c r="H3" s="3869"/>
      <c r="AA3" s="2123"/>
      <c r="AB3" s="540"/>
      <c r="AC3" s="540"/>
      <c r="AD3" s="540"/>
      <c r="AG3" s="541" t="s">
        <v>24</v>
      </c>
      <c r="AH3" s="541">
        <v>6.7799999999999999E-2</v>
      </c>
      <c r="AI3" s="541">
        <v>9.7299999999999998E-2</v>
      </c>
      <c r="BI3" s="1956" t="s">
        <v>79</v>
      </c>
      <c r="BL3" s="542" t="s">
        <v>23</v>
      </c>
      <c r="BM3" s="9" t="s">
        <v>23</v>
      </c>
      <c r="BN3" s="9">
        <v>1.4800000000000001E-2</v>
      </c>
      <c r="BO3" s="9">
        <v>4.2799999999999998E-2</v>
      </c>
    </row>
    <row r="4" spans="1:67" ht="26.25" customHeight="1" thickBot="1" x14ac:dyDescent="0.45">
      <c r="A4" s="536"/>
      <c r="B4" s="537" t="s">
        <v>80</v>
      </c>
      <c r="C4" s="543"/>
      <c r="D4" s="543"/>
      <c r="E4" s="543"/>
      <c r="F4" s="3797">
        <v>45536</v>
      </c>
      <c r="G4" s="3798"/>
      <c r="H4" s="3799"/>
      <c r="I4" s="10"/>
      <c r="J4" s="10"/>
      <c r="K4" s="10"/>
      <c r="L4" s="10"/>
      <c r="M4" s="10"/>
      <c r="N4" s="10"/>
      <c r="O4" s="10"/>
      <c r="P4" s="10"/>
      <c r="Q4" s="10"/>
      <c r="Y4" s="544">
        <v>37987</v>
      </c>
      <c r="Z4" s="9">
        <v>31</v>
      </c>
      <c r="AA4" s="2123"/>
      <c r="AB4" s="540"/>
      <c r="AC4" s="540"/>
      <c r="AD4" s="540"/>
      <c r="BI4" s="1956" t="s">
        <v>81</v>
      </c>
      <c r="BL4" s="542" t="s">
        <v>82</v>
      </c>
      <c r="BM4" s="9" t="s">
        <v>24</v>
      </c>
      <c r="BN4" s="9">
        <v>6.7799999999999999E-2</v>
      </c>
      <c r="BO4" s="9">
        <v>9.7299999999999998E-2</v>
      </c>
    </row>
    <row r="5" spans="1:67" ht="18" customHeight="1" x14ac:dyDescent="0.2">
      <c r="A5" s="536"/>
      <c r="B5" s="8"/>
      <c r="C5" s="543"/>
      <c r="D5" s="543"/>
      <c r="E5" s="543"/>
      <c r="F5" s="11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Y5" s="544">
        <v>38018</v>
      </c>
      <c r="Z5" s="9">
        <v>29</v>
      </c>
      <c r="AA5" s="2123"/>
      <c r="AB5" s="540"/>
      <c r="AC5" s="540"/>
      <c r="AD5" s="540"/>
      <c r="BI5" s="1956" t="s">
        <v>83</v>
      </c>
    </row>
    <row r="6" spans="1:67" ht="60" customHeight="1" x14ac:dyDescent="0.4">
      <c r="A6" s="536"/>
      <c r="B6" s="537"/>
      <c r="C6" s="543"/>
      <c r="D6" s="543"/>
      <c r="E6" s="543"/>
      <c r="F6" s="3826" t="s">
        <v>84</v>
      </c>
      <c r="G6" s="3826"/>
      <c r="H6" s="3826"/>
      <c r="I6" s="546" t="s">
        <v>23</v>
      </c>
      <c r="M6" s="10"/>
      <c r="N6" s="10"/>
      <c r="O6" s="10"/>
      <c r="P6" s="10"/>
      <c r="Q6" s="10"/>
      <c r="S6" s="3861" t="s">
        <v>85</v>
      </c>
      <c r="T6" s="3862"/>
      <c r="U6" s="3862"/>
      <c r="V6" s="3862"/>
      <c r="Y6" s="544">
        <v>38047</v>
      </c>
      <c r="Z6" s="9">
        <v>31</v>
      </c>
      <c r="AA6" s="2123"/>
      <c r="AB6" s="540"/>
      <c r="AC6" s="540"/>
      <c r="AD6" s="540"/>
    </row>
    <row r="7" spans="1:67" ht="20.25" customHeight="1" thickBot="1" x14ac:dyDescent="0.25">
      <c r="A7" s="536"/>
      <c r="B7" s="8"/>
      <c r="C7" s="543"/>
      <c r="D7" s="543"/>
      <c r="E7" s="543"/>
      <c r="F7" s="11"/>
      <c r="G7" s="10"/>
      <c r="H7" s="10"/>
      <c r="I7" s="10"/>
      <c r="M7" s="10"/>
      <c r="N7" s="10"/>
      <c r="O7" s="10"/>
      <c r="P7" s="10"/>
      <c r="Q7" s="10"/>
      <c r="S7" s="540" t="s">
        <v>5</v>
      </c>
      <c r="T7" s="540" t="s">
        <v>6</v>
      </c>
      <c r="U7" s="540" t="s">
        <v>7</v>
      </c>
      <c r="V7" s="33"/>
      <c r="Y7" s="544">
        <v>38078</v>
      </c>
      <c r="Z7" s="9">
        <v>30</v>
      </c>
      <c r="AA7" s="2123"/>
      <c r="AB7" s="540"/>
      <c r="AC7" s="540"/>
      <c r="AD7" s="540"/>
    </row>
    <row r="8" spans="1:67" ht="18" customHeight="1" thickBot="1" x14ac:dyDescent="0.35">
      <c r="A8" s="536"/>
      <c r="B8" s="547"/>
      <c r="C8" s="3827" t="s">
        <v>86</v>
      </c>
      <c r="D8" s="3827"/>
      <c r="E8" s="3827"/>
      <c r="F8" s="3823" t="s">
        <v>87</v>
      </c>
      <c r="G8" s="3824"/>
      <c r="H8" s="3824"/>
      <c r="I8" s="3825"/>
      <c r="J8" s="548"/>
      <c r="K8" s="548"/>
      <c r="L8" s="559" t="s">
        <v>5</v>
      </c>
      <c r="M8" s="559" t="s">
        <v>6</v>
      </c>
      <c r="N8" s="559" t="s">
        <v>7</v>
      </c>
      <c r="O8" s="548"/>
      <c r="P8" s="548"/>
      <c r="Q8" s="548"/>
      <c r="Y8" s="544">
        <v>38108</v>
      </c>
      <c r="Z8" s="9">
        <v>31</v>
      </c>
      <c r="AA8" s="2123"/>
      <c r="AB8" s="540"/>
      <c r="AC8" s="540"/>
      <c r="AD8" s="540"/>
    </row>
    <row r="9" spans="1:67" ht="20.25" x14ac:dyDescent="0.3">
      <c r="A9" s="536"/>
      <c r="B9" s="547"/>
      <c r="C9" s="3828"/>
      <c r="D9" s="3828"/>
      <c r="E9" s="3828"/>
      <c r="F9" s="549" t="s">
        <v>4</v>
      </c>
      <c r="G9" s="550" t="s">
        <v>5</v>
      </c>
      <c r="H9" s="550" t="s">
        <v>6</v>
      </c>
      <c r="I9" s="550" t="s">
        <v>7</v>
      </c>
      <c r="J9" s="548"/>
      <c r="K9" s="548"/>
      <c r="L9" s="3702" t="s">
        <v>88</v>
      </c>
      <c r="M9" s="3702"/>
      <c r="N9" s="3702"/>
      <c r="O9" s="548"/>
      <c r="P9" s="548"/>
      <c r="Q9" s="548"/>
      <c r="S9" s="84" t="s">
        <v>89</v>
      </c>
      <c r="T9" s="84" t="s">
        <v>90</v>
      </c>
      <c r="U9" s="84" t="s">
        <v>91</v>
      </c>
      <c r="Y9" s="544">
        <v>38139</v>
      </c>
      <c r="Z9" s="9">
        <v>30</v>
      </c>
      <c r="AA9" s="2123"/>
      <c r="AB9" s="540"/>
      <c r="AC9" s="540"/>
      <c r="AD9" s="540"/>
    </row>
    <row r="10" spans="1:67" ht="36.75" customHeight="1" x14ac:dyDescent="0.4">
      <c r="A10" s="536"/>
      <c r="B10" s="551" t="s">
        <v>77</v>
      </c>
      <c r="C10" s="3842" t="s">
        <v>92</v>
      </c>
      <c r="D10" s="3843"/>
      <c r="E10" s="3844"/>
      <c r="F10" s="552">
        <f>SUM(G10:I10)</f>
        <v>0</v>
      </c>
      <c r="G10" s="1437"/>
      <c r="H10" s="1437"/>
      <c r="I10" s="1437"/>
      <c r="J10" s="553"/>
      <c r="K10" s="553"/>
      <c r="L10" s="3065" t="str">
        <f ca="1">+I397</f>
        <v>O.K.</v>
      </c>
      <c r="M10" s="3065" t="str">
        <f ca="1">+J397</f>
        <v>O.K.</v>
      </c>
      <c r="N10" s="3065" t="str">
        <f ca="1">+K397</f>
        <v>O.K.</v>
      </c>
      <c r="O10" s="3066">
        <f>+F397</f>
        <v>0</v>
      </c>
      <c r="P10" s="553"/>
      <c r="Q10" s="553"/>
      <c r="S10" s="44" t="e">
        <f>(G10/SUM(G10:I10))</f>
        <v>#DIV/0!</v>
      </c>
      <c r="T10" s="44" t="e">
        <f>H10/(SUM(G10:I10))</f>
        <v>#DIV/0!</v>
      </c>
      <c r="U10" s="44" t="e">
        <f>I10/(SUM(G10:I10))</f>
        <v>#DIV/0!</v>
      </c>
      <c r="Y10" s="544">
        <v>38169</v>
      </c>
      <c r="Z10" s="9">
        <v>31</v>
      </c>
      <c r="AA10" s="2123"/>
      <c r="AB10" s="540"/>
      <c r="AC10" s="540"/>
      <c r="AD10" s="540"/>
    </row>
    <row r="11" spans="1:67" ht="24.75" customHeight="1" x14ac:dyDescent="0.3">
      <c r="A11" s="536"/>
      <c r="B11" s="554"/>
      <c r="C11" s="555"/>
      <c r="D11" s="555"/>
      <c r="E11" s="556"/>
      <c r="G11" s="12"/>
      <c r="H11" s="12"/>
      <c r="I11" s="12"/>
      <c r="J11" s="12"/>
      <c r="K11" s="12"/>
      <c r="L11" s="3702" t="s">
        <v>3</v>
      </c>
      <c r="M11" s="3702"/>
      <c r="N11" s="3702"/>
      <c r="O11" s="12"/>
      <c r="P11" s="12"/>
      <c r="Q11" s="12"/>
      <c r="Y11" s="544">
        <v>38200</v>
      </c>
      <c r="Z11" s="9">
        <v>31</v>
      </c>
      <c r="AA11" s="2123"/>
      <c r="AB11" s="540"/>
      <c r="AC11" s="540"/>
      <c r="AD11" s="540"/>
    </row>
    <row r="12" spans="1:67" ht="20.25" customHeight="1" x14ac:dyDescent="0.4">
      <c r="A12" s="536"/>
      <c r="B12" s="557"/>
      <c r="C12" s="3827" t="s">
        <v>93</v>
      </c>
      <c r="D12" s="3827"/>
      <c r="E12" s="3827"/>
      <c r="F12" s="558"/>
      <c r="G12" s="3871" t="s">
        <v>94</v>
      </c>
      <c r="H12" s="3717"/>
      <c r="I12" s="3717"/>
      <c r="J12" s="548"/>
      <c r="K12" s="548"/>
      <c r="L12" s="3082">
        <f ca="1">+COEF!J27</f>
        <v>0</v>
      </c>
      <c r="M12" s="3082">
        <f ca="1">+COEF!K27</f>
        <v>0</v>
      </c>
      <c r="N12" s="3082">
        <f ca="1">+COEF!L27</f>
        <v>0</v>
      </c>
      <c r="O12" s="548"/>
      <c r="P12" s="548"/>
      <c r="Q12" s="548"/>
      <c r="Y12" s="544">
        <v>38231</v>
      </c>
      <c r="Z12" s="9">
        <v>30</v>
      </c>
      <c r="AA12" s="540" t="s">
        <v>5</v>
      </c>
      <c r="AB12" s="540" t="s">
        <v>6</v>
      </c>
      <c r="AC12" s="540" t="s">
        <v>7</v>
      </c>
      <c r="AD12" s="33"/>
    </row>
    <row r="13" spans="1:67" ht="20.25" x14ac:dyDescent="0.2">
      <c r="A13" s="536"/>
      <c r="B13" s="557"/>
      <c r="C13" s="3828"/>
      <c r="D13" s="3828"/>
      <c r="E13" s="3828"/>
      <c r="F13" s="558"/>
      <c r="G13" s="560" t="s">
        <v>5</v>
      </c>
      <c r="H13" s="561" t="s">
        <v>6</v>
      </c>
      <c r="I13" s="561" t="s">
        <v>7</v>
      </c>
      <c r="J13" s="548"/>
      <c r="K13" s="548"/>
      <c r="L13" s="548"/>
      <c r="M13" s="548"/>
      <c r="N13" s="548"/>
      <c r="O13" s="548"/>
      <c r="P13" s="548"/>
      <c r="Q13" s="548"/>
      <c r="Y13" s="544">
        <v>38261</v>
      </c>
      <c r="Z13" s="9">
        <v>31</v>
      </c>
      <c r="AA13" s="562" t="e">
        <f ca="1">(G10-G14-G24-#REF!-#REF!-#REF!-G27-#REF!-#REF!-#REF!-#REF!)</f>
        <v>#REF!</v>
      </c>
      <c r="AB13" s="562" t="e">
        <f ca="1">(H10-H14-H24-#REF!-#REF!-#REF!-H27-#REF!-#REF!-#REF!-#REF!)</f>
        <v>#REF!</v>
      </c>
      <c r="AC13" s="562" t="e">
        <f ca="1">(I10-I14-I24-#REF!-#REF!-#REF!-I27-#REF!-#REF!-#REF!-#REF!)</f>
        <v>#REF!</v>
      </c>
      <c r="AD13" s="10"/>
    </row>
    <row r="14" spans="1:67" ht="36" customHeight="1" x14ac:dyDescent="0.4">
      <c r="A14" s="536"/>
      <c r="B14" s="551" t="s">
        <v>79</v>
      </c>
      <c r="C14" s="3842" t="s">
        <v>95</v>
      </c>
      <c r="D14" s="3843"/>
      <c r="E14" s="3844"/>
      <c r="F14" s="2680">
        <f>SUM(G14:I14)</f>
        <v>0</v>
      </c>
      <c r="G14" s="1437"/>
      <c r="H14" s="1437"/>
      <c r="I14" s="1437"/>
      <c r="J14" s="12"/>
      <c r="K14" s="12"/>
      <c r="L14" s="12"/>
      <c r="M14" s="12"/>
      <c r="N14" s="12"/>
      <c r="O14" s="12"/>
      <c r="P14" s="12"/>
      <c r="Q14" s="12"/>
      <c r="Y14" s="544">
        <v>38292</v>
      </c>
      <c r="Z14" s="9">
        <v>30</v>
      </c>
      <c r="AA14" s="3861" t="s">
        <v>96</v>
      </c>
      <c r="AB14" s="3862"/>
      <c r="AC14" s="3862"/>
      <c r="AD14" s="3862"/>
    </row>
    <row r="15" spans="1:67" ht="15" x14ac:dyDescent="0.2">
      <c r="A15" s="536"/>
      <c r="B15" s="564"/>
      <c r="C15" s="556"/>
      <c r="D15" s="556"/>
      <c r="E15" s="556"/>
      <c r="F15" s="2681"/>
      <c r="G15" s="3870"/>
      <c r="H15" s="3870"/>
      <c r="I15" s="565"/>
      <c r="J15" s="233"/>
      <c r="K15" s="12"/>
      <c r="L15" s="12"/>
      <c r="M15" s="12"/>
      <c r="N15" s="12"/>
      <c r="O15" s="12"/>
      <c r="P15" s="12"/>
      <c r="Q15" s="12"/>
      <c r="Y15" s="544">
        <v>38322</v>
      </c>
      <c r="Z15" s="9">
        <v>31</v>
      </c>
      <c r="AA15" s="540" t="s">
        <v>5</v>
      </c>
      <c r="AB15" s="540" t="s">
        <v>6</v>
      </c>
      <c r="AC15" s="540" t="s">
        <v>7</v>
      </c>
      <c r="AD15" s="33"/>
    </row>
    <row r="16" spans="1:67" ht="15" x14ac:dyDescent="0.2">
      <c r="A16" s="536"/>
      <c r="B16" s="564"/>
      <c r="C16" s="556"/>
      <c r="D16" s="556"/>
      <c r="E16" s="556"/>
      <c r="F16" s="566"/>
      <c r="G16" s="566"/>
      <c r="H16" s="566"/>
      <c r="I16" s="566"/>
      <c r="J16" s="566"/>
      <c r="K16" s="12"/>
      <c r="L16" s="12"/>
      <c r="M16" s="12"/>
      <c r="N16" s="12"/>
      <c r="O16" s="12"/>
      <c r="P16" s="12"/>
      <c r="Q16" s="12"/>
      <c r="Y16" s="544"/>
      <c r="AA16" s="540"/>
      <c r="AB16" s="540"/>
      <c r="AC16" s="540"/>
    </row>
    <row r="17" spans="1:153" s="105" customFormat="1" ht="54" customHeight="1" x14ac:dyDescent="0.4">
      <c r="A17" s="576"/>
      <c r="B17" s="577"/>
      <c r="C17" s="578"/>
      <c r="D17" s="578"/>
      <c r="E17" s="579"/>
      <c r="F17" s="2682"/>
      <c r="G17" s="579"/>
      <c r="H17" s="579"/>
      <c r="I17" s="579"/>
      <c r="J17" s="154"/>
      <c r="K17" s="154"/>
      <c r="L17" s="3845" t="s">
        <v>97</v>
      </c>
      <c r="M17" s="3846"/>
      <c r="N17" s="154"/>
      <c r="O17" s="154"/>
      <c r="P17" s="154"/>
      <c r="Q17" s="154"/>
      <c r="Y17" s="580"/>
      <c r="AA17" s="581"/>
      <c r="AB17" s="581"/>
      <c r="AC17" s="581"/>
      <c r="EW17" s="3601"/>
    </row>
    <row r="18" spans="1:153" s="105" customFormat="1" ht="54" customHeight="1" x14ac:dyDescent="0.4">
      <c r="A18" s="576"/>
      <c r="B18" s="577"/>
      <c r="C18" s="578"/>
      <c r="D18" s="578"/>
      <c r="E18" s="579"/>
      <c r="F18" s="2682"/>
      <c r="G18" s="579"/>
      <c r="H18" s="579"/>
      <c r="I18" s="579"/>
      <c r="J18" s="154"/>
      <c r="K18" s="154"/>
      <c r="L18" s="559" t="s">
        <v>23</v>
      </c>
      <c r="M18" s="582">
        <f>+IF(I$6="MT",AH2,AI2)</f>
        <v>1.4800000000000001E-2</v>
      </c>
      <c r="N18" s="2123"/>
      <c r="O18" s="154"/>
      <c r="P18" s="154"/>
      <c r="Q18" s="3479"/>
      <c r="Y18" s="580"/>
      <c r="AA18" s="581"/>
      <c r="AB18" s="581"/>
      <c r="AC18" s="581"/>
      <c r="EW18" s="3601"/>
    </row>
    <row r="19" spans="1:153" s="105" customFormat="1" ht="54" customHeight="1" thickBot="1" x14ac:dyDescent="0.45">
      <c r="A19" s="576"/>
      <c r="B19" s="577"/>
      <c r="C19" s="578"/>
      <c r="D19" s="578"/>
      <c r="E19" s="579"/>
      <c r="F19" s="2682"/>
      <c r="G19" s="579"/>
      <c r="H19" s="579"/>
      <c r="I19" s="579"/>
      <c r="J19" s="154"/>
      <c r="K19" s="154"/>
      <c r="L19" s="561" t="s">
        <v>24</v>
      </c>
      <c r="M19" s="582">
        <f>+IF(I$6="MT",AH3,AI3)</f>
        <v>6.7799999999999999E-2</v>
      </c>
      <c r="N19" s="3067"/>
      <c r="O19" s="154"/>
      <c r="P19" s="154"/>
      <c r="Q19" s="3480"/>
      <c r="Y19" s="580"/>
      <c r="AA19" s="581"/>
      <c r="AB19" s="581"/>
      <c r="AC19" s="581"/>
      <c r="EW19" s="3601"/>
    </row>
    <row r="20" spans="1:153" ht="36.75" customHeight="1" x14ac:dyDescent="0.2">
      <c r="A20" s="3703" t="s">
        <v>98</v>
      </c>
      <c r="B20" s="3704"/>
      <c r="C20" s="3704"/>
      <c r="D20" s="3704"/>
      <c r="E20" s="3704"/>
      <c r="F20" s="3704"/>
      <c r="G20" s="3704"/>
      <c r="H20" s="3704"/>
      <c r="I20" s="3704"/>
      <c r="J20" s="3704"/>
      <c r="K20" s="3704"/>
      <c r="L20" s="3704"/>
      <c r="M20" s="3704"/>
      <c r="N20" s="3704"/>
      <c r="O20" s="3704"/>
      <c r="P20" s="3704"/>
      <c r="Q20" s="3704"/>
      <c r="R20" s="3705"/>
      <c r="Y20" s="544"/>
      <c r="AA20" s="540"/>
      <c r="AB20" s="540"/>
      <c r="AC20" s="540"/>
    </row>
    <row r="21" spans="1:153" ht="36.75" customHeight="1" thickBot="1" x14ac:dyDescent="0.25">
      <c r="A21" s="3706"/>
      <c r="B21" s="3707"/>
      <c r="C21" s="3707"/>
      <c r="D21" s="3707"/>
      <c r="E21" s="3707"/>
      <c r="F21" s="3707"/>
      <c r="G21" s="3707"/>
      <c r="H21" s="3707"/>
      <c r="I21" s="3707"/>
      <c r="J21" s="3707"/>
      <c r="K21" s="3707"/>
      <c r="L21" s="3707"/>
      <c r="M21" s="3707"/>
      <c r="N21" s="3707"/>
      <c r="O21" s="3707"/>
      <c r="P21" s="3707"/>
      <c r="Q21" s="3707"/>
      <c r="R21" s="3708"/>
      <c r="Y21" s="544"/>
      <c r="AA21" s="540"/>
      <c r="AB21" s="540"/>
      <c r="AC21" s="540"/>
    </row>
    <row r="22" spans="1:153" ht="30.75" customHeight="1" x14ac:dyDescent="0.2">
      <c r="A22" s="614"/>
      <c r="B22" s="564"/>
      <c r="C22" s="3884" t="s">
        <v>99</v>
      </c>
      <c r="D22" s="3885"/>
      <c r="E22" s="3885"/>
      <c r="F22" s="3886"/>
      <c r="G22" s="3866" t="s">
        <v>94</v>
      </c>
      <c r="H22" s="3866"/>
      <c r="I22" s="3866"/>
      <c r="J22" s="3837" t="s">
        <v>100</v>
      </c>
      <c r="K22" s="3866" t="s">
        <v>101</v>
      </c>
      <c r="L22" s="2336" t="s">
        <v>97</v>
      </c>
      <c r="M22" s="3037"/>
      <c r="N22" s="3037"/>
      <c r="O22" s="3068" t="s">
        <v>102</v>
      </c>
      <c r="P22" s="3069"/>
      <c r="Q22" s="2336"/>
      <c r="R22" s="2337"/>
      <c r="S22" s="10"/>
      <c r="T22" s="10"/>
      <c r="U22" s="10"/>
      <c r="V22" s="10"/>
      <c r="W22" s="10"/>
      <c r="X22" s="10"/>
      <c r="Y22" s="10"/>
      <c r="Z22" s="10"/>
      <c r="AA22" s="540"/>
      <c r="AB22" s="540"/>
      <c r="AC22" s="540"/>
    </row>
    <row r="23" spans="1:153" ht="39.6" customHeight="1" thickBot="1" x14ac:dyDescent="0.25">
      <c r="A23" s="614"/>
      <c r="B23" s="564"/>
      <c r="C23" s="3887"/>
      <c r="D23" s="3888"/>
      <c r="E23" s="3888"/>
      <c r="F23" s="3889"/>
      <c r="G23" s="2357" t="s">
        <v>5</v>
      </c>
      <c r="H23" s="2358" t="s">
        <v>6</v>
      </c>
      <c r="I23" s="2358" t="s">
        <v>7</v>
      </c>
      <c r="J23" s="3837"/>
      <c r="K23" s="3883"/>
      <c r="L23" s="2357" t="s">
        <v>5</v>
      </c>
      <c r="M23" s="2358" t="s">
        <v>6</v>
      </c>
      <c r="N23" s="2358" t="s">
        <v>7</v>
      </c>
      <c r="O23" s="2358" t="s">
        <v>5</v>
      </c>
      <c r="P23" s="2358" t="s">
        <v>6</v>
      </c>
      <c r="Q23" s="2358" t="s">
        <v>7</v>
      </c>
      <c r="R23" s="2359" t="s">
        <v>4</v>
      </c>
      <c r="S23" s="10"/>
      <c r="T23" s="10"/>
      <c r="U23" s="10"/>
      <c r="V23" s="10"/>
      <c r="W23" s="10"/>
      <c r="X23" s="10"/>
      <c r="Y23" s="10"/>
      <c r="Z23" s="10"/>
      <c r="AA23" s="540"/>
      <c r="AB23" s="540"/>
      <c r="AC23" s="540"/>
    </row>
    <row r="24" spans="1:153" ht="32.25" customHeight="1" thickBot="1" x14ac:dyDescent="0.3">
      <c r="A24" s="3852" t="s">
        <v>103</v>
      </c>
      <c r="B24" s="618" t="s">
        <v>81</v>
      </c>
      <c r="C24" s="3897" t="s">
        <v>104</v>
      </c>
      <c r="D24" s="3898"/>
      <c r="E24" s="619"/>
      <c r="F24" s="2683">
        <f t="shared" ref="F24" ca="1" si="0">SUM(G24:I24)</f>
        <v>0</v>
      </c>
      <c r="G24" s="2879">
        <f ca="1">+'DDJJ EPEC S-II -GUDI'!H36</f>
        <v>0</v>
      </c>
      <c r="H24" s="2879">
        <f ca="1">+'DDJJ EPEC S-II -GUDI'!I36</f>
        <v>0</v>
      </c>
      <c r="I24" s="2879">
        <f ca="1">+'DDJJ EPEC S-II -GUDI'!J36</f>
        <v>0</v>
      </c>
      <c r="J24" s="2879">
        <f ca="1">+'DDJJ EPEC S-II -GUDI'!K36</f>
        <v>0</v>
      </c>
      <c r="K24" s="2879">
        <f>+'DDJJ EPEC S-II -GUDI'!L36</f>
        <v>0</v>
      </c>
      <c r="L24" s="2879">
        <f ca="1">+'DDJJ EPEC S-II -GUDI'!M36</f>
        <v>0</v>
      </c>
      <c r="M24" s="2879">
        <f ca="1">+'DDJJ EPEC S-II -GUDI'!N36</f>
        <v>0</v>
      </c>
      <c r="N24" s="2879">
        <f ca="1">+'DDJJ EPEC S-II -GUDI'!O36</f>
        <v>0</v>
      </c>
      <c r="O24" s="2879">
        <f ca="1">+'DDJJ EPEC S-II -GUDI'!P36</f>
        <v>0</v>
      </c>
      <c r="P24" s="2879">
        <f ca="1">+'DDJJ EPEC S-II -GUDI'!Q36</f>
        <v>0</v>
      </c>
      <c r="Q24" s="2879">
        <f ca="1">+'DDJJ EPEC S-II -GUDI'!R36</f>
        <v>0</v>
      </c>
      <c r="R24" s="3070">
        <f ca="1">+'DDJJ EPEC S-II -GUDI'!S36</f>
        <v>0</v>
      </c>
      <c r="S24" s="10"/>
      <c r="T24" s="10"/>
      <c r="U24" s="10"/>
      <c r="V24" s="10"/>
      <c r="W24" s="10"/>
      <c r="X24" s="10"/>
      <c r="Y24" s="10"/>
      <c r="Z24" s="10"/>
      <c r="AA24" s="540"/>
      <c r="AB24" s="540"/>
      <c r="AC24" s="540"/>
    </row>
    <row r="25" spans="1:153" ht="33.6" customHeight="1" thickBot="1" x14ac:dyDescent="0.25">
      <c r="A25" s="3853"/>
      <c r="B25" s="628"/>
      <c r="C25" s="629"/>
      <c r="D25" s="630"/>
      <c r="E25" s="631" t="s">
        <v>105</v>
      </c>
      <c r="F25" s="2684">
        <f ca="1">+F24</f>
        <v>0</v>
      </c>
      <c r="G25" s="2684">
        <f t="shared" ref="G25:P25" ca="1" si="1">+G24</f>
        <v>0</v>
      </c>
      <c r="H25" s="2684">
        <f t="shared" ca="1" si="1"/>
        <v>0</v>
      </c>
      <c r="I25" s="2684">
        <f t="shared" ca="1" si="1"/>
        <v>0</v>
      </c>
      <c r="J25" s="2684">
        <f t="shared" ca="1" si="1"/>
        <v>0</v>
      </c>
      <c r="K25" s="2684">
        <f t="shared" si="1"/>
        <v>0</v>
      </c>
      <c r="L25" s="2684">
        <f t="shared" ca="1" si="1"/>
        <v>0</v>
      </c>
      <c r="M25" s="2684">
        <f t="shared" ca="1" si="1"/>
        <v>0</v>
      </c>
      <c r="N25" s="2684">
        <f t="shared" ca="1" si="1"/>
        <v>0</v>
      </c>
      <c r="O25" s="3092">
        <f t="shared" ca="1" si="1"/>
        <v>0</v>
      </c>
      <c r="P25" s="3092">
        <f t="shared" ca="1" si="1"/>
        <v>0</v>
      </c>
      <c r="Q25" s="3092">
        <f ca="1">+Q24</f>
        <v>0</v>
      </c>
      <c r="R25" s="3071">
        <f ca="1">+R24</f>
        <v>0</v>
      </c>
      <c r="S25" s="10"/>
      <c r="T25" s="10"/>
      <c r="U25" s="10"/>
      <c r="V25" s="10"/>
      <c r="W25" s="10"/>
      <c r="X25" s="10"/>
      <c r="Y25" s="10"/>
      <c r="Z25" s="10"/>
      <c r="AA25" s="622"/>
      <c r="AB25" s="622"/>
      <c r="AC25" s="622"/>
      <c r="AD25" s="10"/>
    </row>
    <row r="26" spans="1:153" ht="33.6" customHeight="1" x14ac:dyDescent="0.25">
      <c r="A26" s="3853"/>
      <c r="B26" s="636"/>
      <c r="C26" s="637"/>
      <c r="D26" s="638"/>
      <c r="E26" s="639"/>
      <c r="F26" s="2685"/>
      <c r="G26" s="640"/>
      <c r="H26" s="640"/>
      <c r="I26" s="640"/>
      <c r="J26" s="592"/>
      <c r="K26" s="592"/>
      <c r="L26" s="2340"/>
      <c r="M26" s="2341"/>
      <c r="N26" s="2341"/>
      <c r="O26" s="2341"/>
      <c r="P26" s="2341"/>
      <c r="Q26" s="2341"/>
      <c r="R26" s="2337"/>
      <c r="S26" s="10"/>
      <c r="T26" s="10"/>
      <c r="U26" s="10"/>
      <c r="V26" s="10"/>
      <c r="W26" s="10"/>
      <c r="X26" s="10"/>
      <c r="Y26" s="10"/>
      <c r="Z26" s="10"/>
      <c r="AA26" s="622"/>
      <c r="AB26" s="622"/>
      <c r="AC26" s="622"/>
      <c r="AD26" s="10"/>
    </row>
    <row r="27" spans="1:153" ht="33.6" customHeight="1" thickBot="1" x14ac:dyDescent="0.3">
      <c r="A27" s="3853"/>
      <c r="B27" s="587" t="s">
        <v>106</v>
      </c>
      <c r="C27" s="3840" t="s">
        <v>107</v>
      </c>
      <c r="D27" s="3841"/>
      <c r="E27" s="643"/>
      <c r="F27" s="229">
        <f t="shared" ref="F27" ca="1" si="2">SUM(G27:I27)</f>
        <v>0</v>
      </c>
      <c r="G27" s="2880">
        <f ca="1">+'DDJJ EPEC S-II -GUDI'!H38</f>
        <v>0</v>
      </c>
      <c r="H27" s="2880">
        <f ca="1">+'DDJJ EPEC S-II -GUDI'!I38</f>
        <v>0</v>
      </c>
      <c r="I27" s="2880">
        <f ca="1">+'DDJJ EPEC S-II -GUDI'!J38</f>
        <v>0</v>
      </c>
      <c r="J27" s="2880">
        <f ca="1">+'DDJJ EPEC S-II -GUDI'!K38</f>
        <v>0</v>
      </c>
      <c r="K27" s="2880">
        <f>+'DDJJ EPEC S-II -GUDI'!L38</f>
        <v>0</v>
      </c>
      <c r="L27" s="2880">
        <f ca="1">+'DDJJ EPEC S-II -GUDI'!M38</f>
        <v>0</v>
      </c>
      <c r="M27" s="2880">
        <f ca="1">+'DDJJ EPEC S-II -GUDI'!N38</f>
        <v>0</v>
      </c>
      <c r="N27" s="2880">
        <f ca="1">+'DDJJ EPEC S-II -GUDI'!O38</f>
        <v>0</v>
      </c>
      <c r="O27" s="2880">
        <f ca="1">+'DDJJ EPEC S-II -GUDI'!P38</f>
        <v>0</v>
      </c>
      <c r="P27" s="2880">
        <f ca="1">+'DDJJ EPEC S-II -GUDI'!Q38</f>
        <v>0</v>
      </c>
      <c r="Q27" s="2880">
        <f ca="1">+'DDJJ EPEC S-II -GUDI'!R38</f>
        <v>0</v>
      </c>
      <c r="R27" s="3072">
        <f ca="1">+'DDJJ EPEC S-II -GUDI'!S38</f>
        <v>0</v>
      </c>
      <c r="S27" s="10"/>
      <c r="T27" s="10"/>
      <c r="U27" s="10"/>
      <c r="V27" s="10"/>
      <c r="W27" s="10"/>
      <c r="X27" s="10"/>
      <c r="Y27" s="10"/>
      <c r="Z27" s="10"/>
      <c r="AA27" s="10"/>
      <c r="AB27" s="10"/>
    </row>
    <row r="28" spans="1:153" ht="33.6" customHeight="1" thickBot="1" x14ac:dyDescent="0.25">
      <c r="A28" s="3853"/>
      <c r="B28" s="2679"/>
      <c r="C28" s="641"/>
      <c r="D28" s="642"/>
      <c r="E28" s="639" t="s">
        <v>108</v>
      </c>
      <c r="F28" s="2684">
        <f ca="1">+F27</f>
        <v>0</v>
      </c>
      <c r="G28" s="2684">
        <f t="shared" ref="G28:R28" ca="1" si="3">+G27</f>
        <v>0</v>
      </c>
      <c r="H28" s="2684">
        <f t="shared" ca="1" si="3"/>
        <v>0</v>
      </c>
      <c r="I28" s="2684">
        <f t="shared" ca="1" si="3"/>
        <v>0</v>
      </c>
      <c r="J28" s="2684">
        <f t="shared" ca="1" si="3"/>
        <v>0</v>
      </c>
      <c r="K28" s="2684">
        <f t="shared" si="3"/>
        <v>0</v>
      </c>
      <c r="L28" s="2684">
        <f t="shared" ca="1" si="3"/>
        <v>0</v>
      </c>
      <c r="M28" s="2684">
        <f t="shared" ca="1" si="3"/>
        <v>0</v>
      </c>
      <c r="N28" s="2684">
        <f t="shared" ca="1" si="3"/>
        <v>0</v>
      </c>
      <c r="O28" s="3092">
        <f t="shared" ca="1" si="3"/>
        <v>0</v>
      </c>
      <c r="P28" s="3092">
        <f t="shared" ca="1" si="3"/>
        <v>0</v>
      </c>
      <c r="Q28" s="3092">
        <f t="shared" ca="1" si="3"/>
        <v>0</v>
      </c>
      <c r="R28" s="3073">
        <f t="shared" ca="1" si="3"/>
        <v>0</v>
      </c>
      <c r="S28" s="645"/>
      <c r="T28" s="569"/>
      <c r="U28" s="10"/>
      <c r="V28" s="10"/>
      <c r="W28" s="10"/>
      <c r="X28" s="10"/>
      <c r="Y28" s="10"/>
      <c r="Z28" s="10"/>
      <c r="AA28" s="10"/>
      <c r="AB28" s="10"/>
    </row>
    <row r="29" spans="1:153" ht="42" customHeight="1" thickBot="1" x14ac:dyDescent="0.45">
      <c r="A29" s="3854"/>
      <c r="B29" s="654"/>
      <c r="C29" s="3829" t="s">
        <v>109</v>
      </c>
      <c r="D29" s="3830"/>
      <c r="E29" s="3831"/>
      <c r="F29" s="2062">
        <f ca="1">+F28+F25</f>
        <v>0</v>
      </c>
      <c r="G29" s="2343">
        <f ca="1">+G25+G28</f>
        <v>0</v>
      </c>
      <c r="H29" s="2343">
        <f t="shared" ref="H29:N29" ca="1" si="4">+H25+H28</f>
        <v>0</v>
      </c>
      <c r="I29" s="2343">
        <f t="shared" ca="1" si="4"/>
        <v>0</v>
      </c>
      <c r="J29" s="2343">
        <f t="shared" ca="1" si="4"/>
        <v>0</v>
      </c>
      <c r="K29" s="2343">
        <f t="shared" si="4"/>
        <v>0</v>
      </c>
      <c r="L29" s="2343">
        <f t="shared" ca="1" si="4"/>
        <v>0</v>
      </c>
      <c r="M29" s="2343">
        <f t="shared" ca="1" si="4"/>
        <v>0</v>
      </c>
      <c r="N29" s="2343">
        <f t="shared" ca="1" si="4"/>
        <v>0</v>
      </c>
      <c r="O29" s="3093">
        <f ca="1">+O28+O25</f>
        <v>0</v>
      </c>
      <c r="P29" s="3093">
        <f t="shared" ref="P29:Q29" ca="1" si="5">+P28+P25</f>
        <v>0</v>
      </c>
      <c r="Q29" s="3093">
        <f t="shared" ca="1" si="5"/>
        <v>0</v>
      </c>
      <c r="R29" s="2345">
        <f ca="1">+R28+R25</f>
        <v>0</v>
      </c>
      <c r="S29" s="656"/>
      <c r="T29" s="653"/>
      <c r="U29" s="10"/>
      <c r="V29" s="10"/>
      <c r="W29" s="10"/>
      <c r="X29" s="10"/>
      <c r="Y29" s="10"/>
      <c r="Z29" s="10"/>
      <c r="AA29" s="10"/>
      <c r="AB29" s="10"/>
    </row>
    <row r="30" spans="1:153" s="606" customFormat="1" ht="18" customHeight="1" x14ac:dyDescent="0.3">
      <c r="A30" s="657"/>
      <c r="B30" s="2128"/>
      <c r="C30" s="2129"/>
      <c r="D30" s="2129"/>
      <c r="E30" s="2129"/>
      <c r="F30" s="2686"/>
      <c r="G30" s="658"/>
      <c r="H30" s="658"/>
      <c r="I30" s="658"/>
      <c r="L30" s="658"/>
      <c r="M30" s="658"/>
      <c r="N30" s="658"/>
      <c r="O30" s="659"/>
      <c r="Q30" s="660"/>
      <c r="R30" s="660"/>
      <c r="S30" s="660"/>
      <c r="T30" s="661"/>
      <c r="U30" s="605"/>
      <c r="V30" s="605"/>
      <c r="W30" s="605"/>
      <c r="X30" s="605"/>
      <c r="Y30" s="605"/>
      <c r="Z30" s="605"/>
      <c r="AA30" s="605"/>
      <c r="AB30" s="605"/>
      <c r="EW30" s="3602"/>
    </row>
    <row r="31" spans="1:153" s="606" customFormat="1" ht="18" customHeight="1" thickBot="1" x14ac:dyDescent="0.35">
      <c r="A31" s="657"/>
      <c r="B31" s="2128"/>
      <c r="C31" s="2129"/>
      <c r="D31" s="2129"/>
      <c r="E31" s="2129"/>
      <c r="F31" s="2686"/>
      <c r="G31" s="658"/>
      <c r="H31" s="658"/>
      <c r="I31" s="658"/>
      <c r="L31" s="658"/>
      <c r="M31" s="658"/>
      <c r="N31" s="658"/>
      <c r="O31" s="659"/>
      <c r="Q31" s="660"/>
      <c r="R31" s="660"/>
      <c r="S31" s="660"/>
      <c r="T31" s="661"/>
      <c r="U31" s="605"/>
      <c r="V31" s="605"/>
      <c r="W31" s="605"/>
      <c r="X31" s="605"/>
      <c r="Y31" s="605"/>
      <c r="Z31" s="605"/>
      <c r="AA31" s="605"/>
      <c r="AB31" s="605"/>
      <c r="EW31" s="3602"/>
    </row>
    <row r="32" spans="1:153" ht="18" customHeight="1" x14ac:dyDescent="0.2">
      <c r="A32" s="3855" t="s">
        <v>110</v>
      </c>
      <c r="B32" s="3856"/>
      <c r="C32" s="3856"/>
      <c r="D32" s="3856"/>
      <c r="E32" s="3856"/>
      <c r="F32" s="3856"/>
      <c r="G32" s="3856"/>
      <c r="H32" s="3856"/>
      <c r="I32" s="3856"/>
      <c r="J32" s="3856"/>
      <c r="K32" s="3856"/>
      <c r="L32" s="3856"/>
      <c r="M32" s="3856"/>
      <c r="N32" s="3856"/>
      <c r="O32" s="3856"/>
      <c r="P32" s="3856"/>
      <c r="Q32" s="3856"/>
      <c r="R32" s="3857"/>
      <c r="S32" s="656"/>
      <c r="T32" s="653"/>
      <c r="U32" s="10"/>
      <c r="V32" s="10"/>
      <c r="W32" s="10"/>
      <c r="X32" s="10"/>
      <c r="Y32" s="10"/>
      <c r="Z32" s="10"/>
      <c r="AA32" s="10"/>
      <c r="AB32" s="10"/>
    </row>
    <row r="33" spans="1:153" ht="56.45" customHeight="1" thickBot="1" x14ac:dyDescent="0.25">
      <c r="A33" s="3858"/>
      <c r="B33" s="3859"/>
      <c r="C33" s="3859"/>
      <c r="D33" s="3859"/>
      <c r="E33" s="3859"/>
      <c r="F33" s="3859"/>
      <c r="G33" s="3859"/>
      <c r="H33" s="3859"/>
      <c r="I33" s="3859"/>
      <c r="J33" s="3859"/>
      <c r="K33" s="3859"/>
      <c r="L33" s="3859"/>
      <c r="M33" s="3859"/>
      <c r="N33" s="3859"/>
      <c r="O33" s="3859"/>
      <c r="P33" s="3859"/>
      <c r="Q33" s="3859"/>
      <c r="R33" s="3860"/>
      <c r="S33" s="10"/>
      <c r="T33" s="10"/>
      <c r="U33" s="10"/>
      <c r="V33" s="10"/>
      <c r="W33" s="10"/>
      <c r="X33" s="10"/>
      <c r="Y33" s="10"/>
      <c r="Z33" s="10"/>
      <c r="AA33" s="10"/>
      <c r="AB33" s="10"/>
    </row>
    <row r="34" spans="1:153" ht="23.25" customHeight="1" x14ac:dyDescent="0.2">
      <c r="A34" s="614"/>
      <c r="B34" s="564"/>
      <c r="C34" s="3895" t="s">
        <v>111</v>
      </c>
      <c r="D34" s="3896"/>
      <c r="E34" s="3896"/>
      <c r="F34" s="11"/>
      <c r="G34" s="3866" t="s">
        <v>94</v>
      </c>
      <c r="H34" s="3866"/>
      <c r="I34" s="3866"/>
      <c r="J34" s="3877" t="s">
        <v>100</v>
      </c>
      <c r="K34" s="3866" t="s">
        <v>101</v>
      </c>
      <c r="L34" s="3713" t="s">
        <v>97</v>
      </c>
      <c r="M34" s="3712"/>
      <c r="N34" s="3712"/>
      <c r="O34" s="3714" t="s">
        <v>102</v>
      </c>
      <c r="P34" s="3715"/>
      <c r="Q34" s="3713"/>
      <c r="R34" s="650"/>
      <c r="S34" s="10"/>
      <c r="T34" s="10"/>
      <c r="U34" s="10"/>
      <c r="V34" s="10"/>
      <c r="W34" s="10"/>
      <c r="X34" s="10"/>
      <c r="Y34" s="10"/>
      <c r="Z34" s="10"/>
      <c r="AA34" s="10"/>
      <c r="AB34" s="10"/>
    </row>
    <row r="35" spans="1:153" ht="26.25" customHeight="1" thickBot="1" x14ac:dyDescent="0.25">
      <c r="A35" s="614"/>
      <c r="B35" s="564"/>
      <c r="C35" s="3895"/>
      <c r="D35" s="3896"/>
      <c r="E35" s="3896"/>
      <c r="F35" s="667"/>
      <c r="G35" s="2358" t="s">
        <v>5</v>
      </c>
      <c r="H35" s="2358" t="s">
        <v>6</v>
      </c>
      <c r="I35" s="2358" t="s">
        <v>7</v>
      </c>
      <c r="J35" s="3878"/>
      <c r="K35" s="3882"/>
      <c r="L35" s="2242" t="s">
        <v>5</v>
      </c>
      <c r="M35" s="2243" t="s">
        <v>6</v>
      </c>
      <c r="N35" s="2243" t="s">
        <v>7</v>
      </c>
      <c r="O35" s="2243" t="s">
        <v>5</v>
      </c>
      <c r="P35" s="2243" t="s">
        <v>6</v>
      </c>
      <c r="Q35" s="2243" t="s">
        <v>7</v>
      </c>
      <c r="R35" s="2244" t="s">
        <v>4</v>
      </c>
      <c r="S35" s="10"/>
      <c r="T35" s="10"/>
      <c r="U35" s="10"/>
      <c r="V35" s="10"/>
      <c r="W35" s="10"/>
      <c r="X35" s="10"/>
      <c r="Y35" s="10"/>
      <c r="Z35" s="10"/>
      <c r="AA35" s="10"/>
      <c r="AB35" s="10"/>
    </row>
    <row r="36" spans="1:153" ht="44.85" customHeight="1" x14ac:dyDescent="0.3">
      <c r="A36" s="3872" t="s">
        <v>112</v>
      </c>
      <c r="B36" s="3109" t="s">
        <v>113</v>
      </c>
      <c r="C36" s="3863" t="s">
        <v>28</v>
      </c>
      <c r="D36" s="3850" t="s">
        <v>104</v>
      </c>
      <c r="E36" s="3851"/>
      <c r="F36" s="2687">
        <f t="shared" ref="F36:F37" si="6">SUM(G36:I36)</f>
        <v>0</v>
      </c>
      <c r="G36" s="590"/>
      <c r="H36" s="590"/>
      <c r="I36" s="590"/>
      <c r="J36" s="590"/>
      <c r="K36" s="590"/>
      <c r="L36" s="2997">
        <f>ROUND(G36*$M$18,0)</f>
        <v>0</v>
      </c>
      <c r="M36" s="2997">
        <f>ROUND(H36*$M$18,0)</f>
        <v>0</v>
      </c>
      <c r="N36" s="2997">
        <f>ROUND(I36*$M$18,0)</f>
        <v>0</v>
      </c>
      <c r="O36" s="2204">
        <f>L36+G36</f>
        <v>0</v>
      </c>
      <c r="P36" s="2204">
        <f>M36+H36</f>
        <v>0</v>
      </c>
      <c r="Q36" s="2204">
        <f>N36+I36</f>
        <v>0</v>
      </c>
      <c r="R36" s="2205">
        <f>SUM(O36:Q36)</f>
        <v>0</v>
      </c>
      <c r="W36" s="10"/>
      <c r="X36" s="10"/>
      <c r="Y36" s="10"/>
      <c r="Z36" s="10"/>
      <c r="AA36" s="10"/>
      <c r="AB36" s="10"/>
    </row>
    <row r="37" spans="1:153" ht="44.85" customHeight="1" thickBot="1" x14ac:dyDescent="0.35">
      <c r="A37" s="3873"/>
      <c r="B37" s="3110" t="s">
        <v>114</v>
      </c>
      <c r="C37" s="3864"/>
      <c r="D37" s="3879" t="s">
        <v>107</v>
      </c>
      <c r="E37" s="3880"/>
      <c r="F37" s="3105">
        <f t="shared" si="6"/>
        <v>0</v>
      </c>
      <c r="G37" s="591"/>
      <c r="H37" s="591"/>
      <c r="I37" s="591"/>
      <c r="J37" s="591"/>
      <c r="K37" s="591"/>
      <c r="L37" s="2998">
        <f>ROUND(G37*$M$19,0)</f>
        <v>0</v>
      </c>
      <c r="M37" s="2998">
        <f>ROUND(H37*$M$19,0)</f>
        <v>0</v>
      </c>
      <c r="N37" s="2998">
        <f>ROUND(I37*$M$19,0)</f>
        <v>0</v>
      </c>
      <c r="O37" s="2184">
        <f t="shared" ref="O37" si="7">L37+G37</f>
        <v>0</v>
      </c>
      <c r="P37" s="2184">
        <f t="shared" ref="P37" si="8">M37+H37</f>
        <v>0</v>
      </c>
      <c r="Q37" s="2184">
        <f t="shared" ref="Q37" si="9">N37+I37</f>
        <v>0</v>
      </c>
      <c r="R37" s="2207">
        <f t="shared" ref="R37" si="10">SUM(O37:Q37)</f>
        <v>0</v>
      </c>
      <c r="W37" s="10"/>
      <c r="X37" s="10"/>
      <c r="Y37" s="10"/>
      <c r="Z37" s="10"/>
      <c r="AA37" s="10"/>
      <c r="AB37" s="10"/>
    </row>
    <row r="38" spans="1:153" ht="44.85" customHeight="1" thickBot="1" x14ac:dyDescent="0.45">
      <c r="A38" s="3873"/>
      <c r="B38" s="3115"/>
      <c r="C38" s="3865"/>
      <c r="D38" s="3900" t="s">
        <v>115</v>
      </c>
      <c r="E38" s="3901"/>
      <c r="F38" s="3099">
        <f t="shared" ref="F38:N38" si="11">+SUM(F36:F37)</f>
        <v>0</v>
      </c>
      <c r="G38" s="3102">
        <f t="shared" si="11"/>
        <v>0</v>
      </c>
      <c r="H38" s="3103">
        <f t="shared" si="11"/>
        <v>0</v>
      </c>
      <c r="I38" s="3103">
        <f t="shared" si="11"/>
        <v>0</v>
      </c>
      <c r="J38" s="3103">
        <f t="shared" si="11"/>
        <v>0</v>
      </c>
      <c r="K38" s="3103">
        <f t="shared" si="11"/>
        <v>0</v>
      </c>
      <c r="L38" s="3103">
        <f t="shared" si="11"/>
        <v>0</v>
      </c>
      <c r="M38" s="3103">
        <f t="shared" si="11"/>
        <v>0</v>
      </c>
      <c r="N38" s="3103">
        <f t="shared" si="11"/>
        <v>0</v>
      </c>
      <c r="O38" s="3100">
        <f>SUM(O36:O37)</f>
        <v>0</v>
      </c>
      <c r="P38" s="3100">
        <f t="shared" ref="P38:Q38" si="12">SUM(P36:P37)</f>
        <v>0</v>
      </c>
      <c r="Q38" s="3100">
        <f t="shared" si="12"/>
        <v>0</v>
      </c>
      <c r="R38" s="3104">
        <f>SUM(R36:R37)</f>
        <v>0</v>
      </c>
      <c r="W38" s="10"/>
      <c r="X38" s="10"/>
      <c r="Y38" s="10"/>
      <c r="Z38" s="10"/>
      <c r="AA38" s="10"/>
      <c r="AB38" s="10"/>
    </row>
    <row r="39" spans="1:153" s="105" customFormat="1" ht="44.85" customHeight="1" thickBot="1" x14ac:dyDescent="0.25">
      <c r="A39" s="3874"/>
      <c r="B39" s="680"/>
      <c r="C39" s="680"/>
      <c r="D39" s="681"/>
      <c r="E39" s="681"/>
      <c r="F39" s="682"/>
      <c r="G39" s="682"/>
      <c r="H39" s="682"/>
      <c r="I39" s="682"/>
      <c r="J39" s="682"/>
      <c r="K39" s="682"/>
      <c r="L39" s="3200"/>
      <c r="M39" s="3200"/>
      <c r="N39" s="3200"/>
      <c r="O39" s="683"/>
      <c r="P39" s="683"/>
      <c r="Q39" s="683"/>
      <c r="R39" s="684"/>
      <c r="W39" s="569"/>
      <c r="X39" s="569"/>
      <c r="Y39" s="569"/>
      <c r="Z39" s="569"/>
      <c r="AA39" s="569"/>
      <c r="AB39" s="569"/>
      <c r="EW39" s="3601"/>
    </row>
    <row r="40" spans="1:153" ht="44.85" customHeight="1" x14ac:dyDescent="0.2">
      <c r="A40" s="3873"/>
      <c r="B40" s="3109" t="s">
        <v>116</v>
      </c>
      <c r="C40" s="3863" t="s">
        <v>117</v>
      </c>
      <c r="D40" s="3838" t="s">
        <v>118</v>
      </c>
      <c r="E40" s="3839"/>
      <c r="F40" s="2360"/>
      <c r="G40" s="2996">
        <f>IF(F40=0,0,ROUND($F40*COEF!$J$27,0))</f>
        <v>0</v>
      </c>
      <c r="H40" s="2996">
        <f>IF(F40=0,0,ROUND($F40*COEF!$K$27,0))</f>
        <v>0</v>
      </c>
      <c r="I40" s="2996">
        <f>IF(F40=0,0,ROUND($F40*COEF!$L$27,0))</f>
        <v>0</v>
      </c>
      <c r="J40" s="2999">
        <f>IF(F40=0,0,IF((F40/K40)&lt;9000,"ERROR",(F40/3000)*10))</f>
        <v>0</v>
      </c>
      <c r="K40" s="590"/>
      <c r="L40" s="2996">
        <f>ROUND(G40*$M$19,0)</f>
        <v>0</v>
      </c>
      <c r="M40" s="2996">
        <f>ROUND(H40*$M$19,0)</f>
        <v>0</v>
      </c>
      <c r="N40" s="2996">
        <f>ROUND(I40*$M$19,0)</f>
        <v>0</v>
      </c>
      <c r="O40" s="2208">
        <f>L40+G40</f>
        <v>0</v>
      </c>
      <c r="P40" s="2208">
        <f>M40+H40</f>
        <v>0</v>
      </c>
      <c r="Q40" s="2208">
        <f>N40+I40</f>
        <v>0</v>
      </c>
      <c r="R40" s="3085">
        <f>SUM(O40:Q40)</f>
        <v>0</v>
      </c>
      <c r="W40" s="10"/>
      <c r="X40" s="10"/>
      <c r="Y40" s="10"/>
      <c r="Z40" s="10"/>
      <c r="AA40" s="10"/>
      <c r="AB40" s="10"/>
    </row>
    <row r="41" spans="1:153" ht="44.85" customHeight="1" x14ac:dyDescent="0.2">
      <c r="A41" s="3873"/>
      <c r="B41" s="3110" t="s">
        <v>119</v>
      </c>
      <c r="C41" s="3864"/>
      <c r="D41" s="3891" t="s">
        <v>120</v>
      </c>
      <c r="E41" s="3892"/>
      <c r="F41" s="3083"/>
      <c r="G41" s="3094">
        <f>IF(F41=0,0,ROUND($F41*COEF!$J$27,0))</f>
        <v>0</v>
      </c>
      <c r="H41" s="3094">
        <f>IF(F41=0,0,ROUND($F41*COEF!$K$27,0))</f>
        <v>0</v>
      </c>
      <c r="I41" s="3094">
        <f>IF(F41=0,0,ROUND($F41*COEF!$L$27,0))</f>
        <v>0</v>
      </c>
      <c r="J41" s="2215">
        <f>IF(F41=0,0,IF((F41/K41)&lt;9000,"ERROR",(F41/3000)*10))</f>
        <v>0</v>
      </c>
      <c r="K41" s="591"/>
      <c r="L41" s="3094">
        <f t="shared" ref="L41:L44" si="13">ROUND(G41*$M$19,0)</f>
        <v>0</v>
      </c>
      <c r="M41" s="3094">
        <f t="shared" ref="M41:M44" si="14">ROUND(H41*$M$19,0)</f>
        <v>0</v>
      </c>
      <c r="N41" s="3094">
        <f t="shared" ref="N41:N44" si="15">ROUND(I41*$M$19,0)</f>
        <v>0</v>
      </c>
      <c r="O41" s="2212">
        <f t="shared" ref="O41:O44" si="16">L41+G41</f>
        <v>0</v>
      </c>
      <c r="P41" s="2212">
        <f t="shared" ref="P41:P44" si="17">M41+H41</f>
        <v>0</v>
      </c>
      <c r="Q41" s="2212">
        <f t="shared" ref="Q41:Q44" si="18">N41+I41</f>
        <v>0</v>
      </c>
      <c r="R41" s="2347">
        <f t="shared" ref="R41:R44" si="19">SUM(O41:Q41)</f>
        <v>0</v>
      </c>
      <c r="S41" s="675"/>
      <c r="T41" s="675"/>
      <c r="U41" s="675"/>
      <c r="V41" s="10"/>
      <c r="W41" s="10"/>
      <c r="X41" s="10"/>
      <c r="Y41" s="10"/>
      <c r="Z41" s="10"/>
      <c r="AA41" s="10"/>
      <c r="AB41" s="10"/>
    </row>
    <row r="42" spans="1:153" ht="44.85" customHeight="1" x14ac:dyDescent="0.2">
      <c r="A42" s="3873"/>
      <c r="B42" s="3110" t="s">
        <v>121</v>
      </c>
      <c r="C42" s="3864"/>
      <c r="D42" s="3891" t="s">
        <v>122</v>
      </c>
      <c r="E42" s="3892"/>
      <c r="F42" s="3083"/>
      <c r="G42" s="3094">
        <f>IF(F42=0,0,ROUND($F42*COEF!$J$27,0))</f>
        <v>0</v>
      </c>
      <c r="H42" s="3094">
        <f>IF(F42=0,0,ROUND($F42*COEF!$K$27,0))</f>
        <v>0</v>
      </c>
      <c r="I42" s="3094">
        <f>IF(F42=0,0,ROUND($F42*COEF!$L$27,0))</f>
        <v>0</v>
      </c>
      <c r="J42" s="2215">
        <f>IF(F42=0,0,IF((F42/K42)&lt;9000,"ERROR",(F42/3000)*10))</f>
        <v>0</v>
      </c>
      <c r="K42" s="591"/>
      <c r="L42" s="3094">
        <f t="shared" si="13"/>
        <v>0</v>
      </c>
      <c r="M42" s="3094">
        <f t="shared" si="14"/>
        <v>0</v>
      </c>
      <c r="N42" s="3094">
        <f t="shared" si="15"/>
        <v>0</v>
      </c>
      <c r="O42" s="2212">
        <f t="shared" si="16"/>
        <v>0</v>
      </c>
      <c r="P42" s="2212">
        <f t="shared" si="17"/>
        <v>0</v>
      </c>
      <c r="Q42" s="2212">
        <f t="shared" si="18"/>
        <v>0</v>
      </c>
      <c r="R42" s="2347">
        <f t="shared" si="19"/>
        <v>0</v>
      </c>
      <c r="S42" s="675"/>
      <c r="T42" s="675"/>
      <c r="U42" s="675"/>
      <c r="V42" s="10"/>
      <c r="W42" s="10"/>
      <c r="X42" s="10"/>
      <c r="Y42" s="10"/>
      <c r="Z42" s="10"/>
      <c r="AA42" s="10"/>
      <c r="AB42" s="10"/>
    </row>
    <row r="43" spans="1:153" ht="44.85" customHeight="1" x14ac:dyDescent="0.2">
      <c r="A43" s="3873"/>
      <c r="B43" s="3111" t="s">
        <v>123</v>
      </c>
      <c r="C43" s="3864"/>
      <c r="D43" s="3891" t="s">
        <v>124</v>
      </c>
      <c r="E43" s="3892"/>
      <c r="F43" s="3083"/>
      <c r="G43" s="3094">
        <f>IF(F43=0,0,ROUND($F43*COEF!$J$27,0))</f>
        <v>0</v>
      </c>
      <c r="H43" s="3094">
        <f>IF(F43=0,0,ROUND($F43*COEF!$K$27,0))</f>
        <v>0</v>
      </c>
      <c r="I43" s="3094">
        <f>IF(F43=0,0,ROUND($F43*COEF!$L$27,0))</f>
        <v>0</v>
      </c>
      <c r="J43" s="2215">
        <f>IF(F43=0,0,IF((F43/K43)&lt;9000,"ERROR",(F43/3000)*10))</f>
        <v>0</v>
      </c>
      <c r="K43" s="591"/>
      <c r="L43" s="3094">
        <f t="shared" si="13"/>
        <v>0</v>
      </c>
      <c r="M43" s="3094">
        <f t="shared" si="14"/>
        <v>0</v>
      </c>
      <c r="N43" s="3094">
        <f t="shared" si="15"/>
        <v>0</v>
      </c>
      <c r="O43" s="2212">
        <f t="shared" si="16"/>
        <v>0</v>
      </c>
      <c r="P43" s="2212">
        <f t="shared" si="17"/>
        <v>0</v>
      </c>
      <c r="Q43" s="2212">
        <f t="shared" si="18"/>
        <v>0</v>
      </c>
      <c r="R43" s="2347">
        <f t="shared" si="19"/>
        <v>0</v>
      </c>
      <c r="S43" s="675"/>
      <c r="T43" s="675"/>
      <c r="U43" s="675"/>
      <c r="V43" s="10"/>
      <c r="W43" s="10"/>
      <c r="X43" s="10"/>
      <c r="Y43" s="10"/>
      <c r="Z43" s="10"/>
      <c r="AA43" s="10"/>
      <c r="AB43" s="10"/>
    </row>
    <row r="44" spans="1:153" ht="44.85" customHeight="1" x14ac:dyDescent="0.2">
      <c r="A44" s="3873"/>
      <c r="B44" s="3111" t="s">
        <v>125</v>
      </c>
      <c r="C44" s="3864"/>
      <c r="D44" s="3927" t="s">
        <v>35</v>
      </c>
      <c r="E44" s="3928"/>
      <c r="F44" s="3083"/>
      <c r="G44" s="3094">
        <f>IF(F44=0,0,ROUND($F44*COEF!$J$27,0))</f>
        <v>0</v>
      </c>
      <c r="H44" s="3094">
        <f>IF(F44=0,0,ROUND($F44*COEF!$K$27,0))</f>
        <v>0</v>
      </c>
      <c r="I44" s="3094">
        <f>IF(F44=0,0,ROUND($F44*COEF!$L$27,0))</f>
        <v>0</v>
      </c>
      <c r="J44" s="2215">
        <f>IF(F44=0,0,IF((F44/K44)&lt;9000,"ERROR",(F44/3000)*10))</f>
        <v>0</v>
      </c>
      <c r="K44" s="591"/>
      <c r="L44" s="3094">
        <f t="shared" si="13"/>
        <v>0</v>
      </c>
      <c r="M44" s="3094">
        <f t="shared" si="14"/>
        <v>0</v>
      </c>
      <c r="N44" s="3094">
        <f t="shared" si="15"/>
        <v>0</v>
      </c>
      <c r="O44" s="2212">
        <f t="shared" si="16"/>
        <v>0</v>
      </c>
      <c r="P44" s="2212">
        <f t="shared" si="17"/>
        <v>0</v>
      </c>
      <c r="Q44" s="2212">
        <f t="shared" si="18"/>
        <v>0</v>
      </c>
      <c r="R44" s="2347">
        <f t="shared" si="19"/>
        <v>0</v>
      </c>
      <c r="S44" s="675"/>
      <c r="T44" s="675"/>
      <c r="U44" s="675"/>
      <c r="V44" s="10"/>
      <c r="W44" s="10"/>
      <c r="X44" s="10"/>
      <c r="Y44" s="10"/>
      <c r="Z44" s="10"/>
      <c r="AA44" s="10"/>
      <c r="AB44" s="10"/>
    </row>
    <row r="45" spans="1:153" ht="44.85" customHeight="1" thickBot="1" x14ac:dyDescent="0.45">
      <c r="A45" s="3873"/>
      <c r="B45" s="3110" t="s">
        <v>126</v>
      </c>
      <c r="C45" s="3864"/>
      <c r="D45" s="3881" t="s">
        <v>127</v>
      </c>
      <c r="E45" s="3881"/>
      <c r="F45" s="3099">
        <f>SUM(F40:F44)</f>
        <v>0</v>
      </c>
      <c r="G45" s="3099">
        <f>SUM(G40:G44)</f>
        <v>0</v>
      </c>
      <c r="H45" s="3099">
        <f t="shared" ref="H45:N45" si="20">SUM(H40:H44)</f>
        <v>0</v>
      </c>
      <c r="I45" s="3099">
        <f t="shared" si="20"/>
        <v>0</v>
      </c>
      <c r="J45" s="3099">
        <f t="shared" si="20"/>
        <v>0</v>
      </c>
      <c r="K45" s="3099">
        <f t="shared" si="20"/>
        <v>0</v>
      </c>
      <c r="L45" s="3099">
        <f t="shared" si="20"/>
        <v>0</v>
      </c>
      <c r="M45" s="3099">
        <f t="shared" si="20"/>
        <v>0</v>
      </c>
      <c r="N45" s="3099">
        <f t="shared" si="20"/>
        <v>0</v>
      </c>
      <c r="O45" s="3100">
        <f>SUM(O40:O44)</f>
        <v>0</v>
      </c>
      <c r="P45" s="3100">
        <f t="shared" ref="P45:Q45" si="21">SUM(P40:P44)</f>
        <v>0</v>
      </c>
      <c r="Q45" s="3100">
        <f t="shared" si="21"/>
        <v>0</v>
      </c>
      <c r="R45" s="3101">
        <f>SUM(R40:R44)</f>
        <v>0</v>
      </c>
      <c r="W45" s="10"/>
      <c r="X45" s="10"/>
      <c r="Y45" s="10"/>
      <c r="Z45" s="10"/>
      <c r="AA45" s="10"/>
      <c r="AB45" s="10"/>
    </row>
    <row r="46" spans="1:153" ht="44.85" customHeight="1" thickBot="1" x14ac:dyDescent="0.45">
      <c r="A46" s="3875"/>
      <c r="B46" s="3088"/>
      <c r="C46" s="3890"/>
      <c r="D46" s="3893" t="s">
        <v>128</v>
      </c>
      <c r="E46" s="3894"/>
      <c r="F46" s="3112">
        <f t="shared" ref="F46:R46" si="22">+F45+F38</f>
        <v>0</v>
      </c>
      <c r="G46" s="3112">
        <f t="shared" si="22"/>
        <v>0</v>
      </c>
      <c r="H46" s="3112">
        <f t="shared" si="22"/>
        <v>0</v>
      </c>
      <c r="I46" s="3112">
        <f t="shared" si="22"/>
        <v>0</v>
      </c>
      <c r="J46" s="3112">
        <f t="shared" si="22"/>
        <v>0</v>
      </c>
      <c r="K46" s="3112">
        <f t="shared" si="22"/>
        <v>0</v>
      </c>
      <c r="L46" s="3112">
        <f t="shared" si="22"/>
        <v>0</v>
      </c>
      <c r="M46" s="3112">
        <f t="shared" si="22"/>
        <v>0</v>
      </c>
      <c r="N46" s="3112">
        <f t="shared" si="22"/>
        <v>0</v>
      </c>
      <c r="O46" s="3113">
        <f t="shared" si="22"/>
        <v>0</v>
      </c>
      <c r="P46" s="3113">
        <f t="shared" si="22"/>
        <v>0</v>
      </c>
      <c r="Q46" s="3113">
        <f t="shared" si="22"/>
        <v>0</v>
      </c>
      <c r="R46" s="3114">
        <f t="shared" si="22"/>
        <v>0</v>
      </c>
      <c r="S46" s="699"/>
      <c r="T46" s="3063">
        <f>+SUM(L46:N46)</f>
        <v>0</v>
      </c>
      <c r="U46" s="700"/>
      <c r="V46" s="701"/>
      <c r="W46" s="10"/>
      <c r="X46" s="10"/>
      <c r="Y46" s="10"/>
      <c r="Z46" s="10"/>
      <c r="AA46" s="10"/>
      <c r="AB46" s="10"/>
    </row>
    <row r="47" spans="1:153" s="705" customFormat="1" ht="25.5" customHeight="1" thickBot="1" x14ac:dyDescent="0.25">
      <c r="A47" s="723"/>
      <c r="B47" s="3106"/>
      <c r="C47" s="3107"/>
      <c r="D47" s="569"/>
      <c r="E47" s="569"/>
      <c r="F47" s="154"/>
      <c r="G47" s="732"/>
      <c r="H47" s="732"/>
      <c r="I47" s="732"/>
      <c r="J47" s="732"/>
      <c r="K47" s="732"/>
      <c r="L47" s="3108"/>
      <c r="M47" s="3108"/>
      <c r="N47" s="3108"/>
      <c r="O47" s="645"/>
      <c r="P47" s="645"/>
      <c r="Q47" s="645"/>
      <c r="R47" s="734"/>
      <c r="W47" s="704"/>
      <c r="X47" s="704"/>
      <c r="Y47" s="704"/>
      <c r="Z47" s="704"/>
      <c r="AA47" s="704"/>
      <c r="AB47" s="704"/>
      <c r="EW47" s="3603"/>
    </row>
    <row r="48" spans="1:153" ht="63.75" customHeight="1" x14ac:dyDescent="0.2">
      <c r="A48" s="3902" t="s">
        <v>129</v>
      </c>
      <c r="B48" s="3084" t="s">
        <v>130</v>
      </c>
      <c r="C48" s="3924" t="s">
        <v>131</v>
      </c>
      <c r="D48" s="3899" t="s">
        <v>132</v>
      </c>
      <c r="E48" s="3899"/>
      <c r="F48" s="2360"/>
      <c r="G48" s="2208">
        <f>IF(F48=0,0,ROUND($F48*COEF!$J$27,0))</f>
        <v>0</v>
      </c>
      <c r="H48" s="2208">
        <f>IF(F48=0,0,ROUND($F48*COEF!$K$27,0))</f>
        <v>0</v>
      </c>
      <c r="I48" s="2208">
        <f>IF(F48=0,0,ROUND($F48*COEF!$L$27,0))</f>
        <v>0</v>
      </c>
      <c r="J48" s="2208">
        <f>IF(F48=0,0,IF((F48/K48)&gt;=9000,"ERROR",IF((F48/K48)&lt;=3000,"ERROR",(F48/3000)*10)))</f>
        <v>0</v>
      </c>
      <c r="K48" s="590"/>
      <c r="L48" s="2996">
        <f t="shared" ref="L48" si="23">ROUND(G48*$M$19,0)</f>
        <v>0</v>
      </c>
      <c r="M48" s="2996">
        <f t="shared" ref="M48" si="24">ROUND(H48*$M$19,0)</f>
        <v>0</v>
      </c>
      <c r="N48" s="2996">
        <f t="shared" ref="N48" si="25">ROUND(I48*$M$19,0)</f>
        <v>0</v>
      </c>
      <c r="O48" s="2208">
        <f>L48+G48</f>
        <v>0</v>
      </c>
      <c r="P48" s="2208">
        <f>M48+H48</f>
        <v>0</v>
      </c>
      <c r="Q48" s="2208">
        <f>N48+I48</f>
        <v>0</v>
      </c>
      <c r="R48" s="3085">
        <f>SUM(O48:Q48)</f>
        <v>0</v>
      </c>
      <c r="W48" s="10"/>
      <c r="X48" s="10"/>
      <c r="Y48" s="10"/>
      <c r="Z48" s="10"/>
      <c r="AA48" s="10"/>
      <c r="AB48" s="10"/>
    </row>
    <row r="49" spans="1:154" ht="58.5" customHeight="1" x14ac:dyDescent="0.2">
      <c r="A49" s="3903"/>
      <c r="B49" s="3086" t="s">
        <v>133</v>
      </c>
      <c r="C49" s="3925"/>
      <c r="D49" s="3876" t="s">
        <v>134</v>
      </c>
      <c r="E49" s="3876"/>
      <c r="F49" s="3083"/>
      <c r="G49" s="2212">
        <f>IF(F49=0,0,ROUND($F49*COEF!$J$27,0))</f>
        <v>0</v>
      </c>
      <c r="H49" s="2212">
        <f>IF(F49=0,0,ROUND($F49*COEF!$K$27,0))</f>
        <v>0</v>
      </c>
      <c r="I49" s="2212">
        <f>IF(F49=0,0,ROUND($F49*COEF!$L$27,0))</f>
        <v>0</v>
      </c>
      <c r="J49" s="2212">
        <f>IF(F49=0,0,IF((F49/K49)&gt;=9000,"ERROR",IF((F49/K49)&lt;=3000,"ERROR",(F49/3000)*10)))</f>
        <v>0</v>
      </c>
      <c r="K49" s="591"/>
      <c r="L49" s="3094">
        <f t="shared" ref="L49:L52" si="26">ROUND(G49*$M$19,0)</f>
        <v>0</v>
      </c>
      <c r="M49" s="3094">
        <f t="shared" ref="M49:M52" si="27">ROUND(H49*$M$19,0)</f>
        <v>0</v>
      </c>
      <c r="N49" s="3094">
        <f t="shared" ref="N49:N52" si="28">ROUND(I49*$M$19,0)</f>
        <v>0</v>
      </c>
      <c r="O49" s="2212">
        <f t="shared" ref="O49:O52" si="29">L49+G49</f>
        <v>0</v>
      </c>
      <c r="P49" s="2212">
        <f t="shared" ref="P49:P52" si="30">M49+H49</f>
        <v>0</v>
      </c>
      <c r="Q49" s="2212">
        <f t="shared" ref="Q49:Q52" si="31">N49+I49</f>
        <v>0</v>
      </c>
      <c r="R49" s="2347">
        <f t="shared" ref="R49:R52" si="32">SUM(O49:Q49)</f>
        <v>0</v>
      </c>
      <c r="S49" s="622"/>
      <c r="T49" s="622"/>
      <c r="U49" s="622"/>
      <c r="V49" s="10"/>
      <c r="W49" s="675"/>
      <c r="X49" s="10" t="e">
        <f t="shared" ref="X49" si="33">Y49/W49</f>
        <v>#REF!</v>
      </c>
      <c r="Y49" s="675" t="e">
        <f>#REF!+#REF!+#REF!+#REF!</f>
        <v>#REF!</v>
      </c>
      <c r="Z49" s="10"/>
      <c r="AA49" s="10"/>
      <c r="AB49" s="10"/>
    </row>
    <row r="50" spans="1:154" ht="52.5" customHeight="1" x14ac:dyDescent="0.2">
      <c r="A50" s="3903"/>
      <c r="B50" s="3086" t="s">
        <v>135</v>
      </c>
      <c r="C50" s="3925"/>
      <c r="D50" s="3876" t="s">
        <v>136</v>
      </c>
      <c r="E50" s="3876"/>
      <c r="F50" s="3083"/>
      <c r="G50" s="2212">
        <f>IF(F50=0,0,ROUND($F50*COEF!$J$27,0))</f>
        <v>0</v>
      </c>
      <c r="H50" s="2212">
        <f>IF(F50=0,0,ROUND($F50*COEF!$K$27,0))</f>
        <v>0</v>
      </c>
      <c r="I50" s="2212">
        <f>IF(F50=0,0,ROUND($F50*COEF!$L$27,0))</f>
        <v>0</v>
      </c>
      <c r="J50" s="2212">
        <f>IF(F50=0,0,IF((F50/K50)&gt;=9000,"ERROR",IF((F50/K50)&lt;=3000,"ERROR",(F50/3000)*10)))</f>
        <v>0</v>
      </c>
      <c r="K50" s="591"/>
      <c r="L50" s="3094">
        <f t="shared" si="26"/>
        <v>0</v>
      </c>
      <c r="M50" s="3094">
        <f t="shared" si="27"/>
        <v>0</v>
      </c>
      <c r="N50" s="3094">
        <f t="shared" si="28"/>
        <v>0</v>
      </c>
      <c r="O50" s="2212">
        <f t="shared" si="29"/>
        <v>0</v>
      </c>
      <c r="P50" s="2212">
        <f t="shared" si="30"/>
        <v>0</v>
      </c>
      <c r="Q50" s="2212">
        <f t="shared" si="31"/>
        <v>0</v>
      </c>
      <c r="R50" s="2347">
        <f t="shared" si="32"/>
        <v>0</v>
      </c>
      <c r="S50" s="10"/>
      <c r="T50" s="10"/>
      <c r="V50" s="10"/>
      <c r="W50" s="10"/>
      <c r="X50" s="10"/>
      <c r="Y50" s="10"/>
      <c r="Z50" s="10"/>
      <c r="AA50" s="10"/>
      <c r="AB50" s="10"/>
    </row>
    <row r="51" spans="1:154" ht="51.75" customHeight="1" x14ac:dyDescent="0.2">
      <c r="A51" s="3903"/>
      <c r="B51" s="3086" t="s">
        <v>137</v>
      </c>
      <c r="C51" s="3925"/>
      <c r="D51" s="3876" t="s">
        <v>138</v>
      </c>
      <c r="E51" s="3876"/>
      <c r="F51" s="3083"/>
      <c r="G51" s="2212">
        <f>IF(F51=0,0,ROUND($F51*COEF!$J$27,0))</f>
        <v>0</v>
      </c>
      <c r="H51" s="2212">
        <f>IF(F51=0,0,ROUND($F51*COEF!$K$27,0))</f>
        <v>0</v>
      </c>
      <c r="I51" s="2212">
        <f>IF(F51=0,0,ROUND($F51*COEF!$L$27,0))</f>
        <v>0</v>
      </c>
      <c r="J51" s="2212">
        <f>IF(F51=0,0,IF((F51/K51)&gt;=9000,"ERROR",IF((F51/K51)&lt;=3000,"ERROR",(F51/3000)*10)))</f>
        <v>0</v>
      </c>
      <c r="K51" s="591"/>
      <c r="L51" s="3094">
        <f t="shared" si="26"/>
        <v>0</v>
      </c>
      <c r="M51" s="3094">
        <f t="shared" si="27"/>
        <v>0</v>
      </c>
      <c r="N51" s="3094">
        <f t="shared" si="28"/>
        <v>0</v>
      </c>
      <c r="O51" s="2212">
        <f t="shared" si="29"/>
        <v>0</v>
      </c>
      <c r="P51" s="2212">
        <f t="shared" si="30"/>
        <v>0</v>
      </c>
      <c r="Q51" s="2212">
        <f t="shared" si="31"/>
        <v>0</v>
      </c>
      <c r="R51" s="2347">
        <f t="shared" si="32"/>
        <v>0</v>
      </c>
      <c r="S51" s="10"/>
      <c r="T51" s="10"/>
      <c r="U51" s="10"/>
      <c r="V51" s="10"/>
      <c r="W51" s="10"/>
      <c r="X51" s="10"/>
      <c r="Y51" s="10"/>
      <c r="Z51" s="10"/>
      <c r="AA51" s="10"/>
      <c r="AB51" s="10"/>
    </row>
    <row r="52" spans="1:154" ht="51.75" customHeight="1" x14ac:dyDescent="0.2">
      <c r="A52" s="3903"/>
      <c r="B52" s="3087" t="s">
        <v>139</v>
      </c>
      <c r="C52" s="3925"/>
      <c r="D52" s="3876" t="s">
        <v>140</v>
      </c>
      <c r="E52" s="3876"/>
      <c r="F52" s="3083"/>
      <c r="G52" s="2212">
        <f>IF(F52=0,0,ROUND($F52*COEF!$J$27,0))</f>
        <v>0</v>
      </c>
      <c r="H52" s="2212">
        <f>IF(F52=0,0,ROUND($F52*COEF!$K$27,0))</f>
        <v>0</v>
      </c>
      <c r="I52" s="2212">
        <f>IF(F52=0,0,ROUND($F52*COEF!$L$27,0))</f>
        <v>0</v>
      </c>
      <c r="J52" s="2212">
        <f>ROUND(IF(F52=0,0,IF((F52/K52)&gt;=9000,"ERROR",IF((F52/K52)&lt;=3000,"ERROR",(F52/3000)*10))),0)</f>
        <v>0</v>
      </c>
      <c r="K52" s="591"/>
      <c r="L52" s="3094">
        <f t="shared" si="26"/>
        <v>0</v>
      </c>
      <c r="M52" s="3094">
        <f t="shared" si="27"/>
        <v>0</v>
      </c>
      <c r="N52" s="3094">
        <f t="shared" si="28"/>
        <v>0</v>
      </c>
      <c r="O52" s="2212">
        <f t="shared" si="29"/>
        <v>0</v>
      </c>
      <c r="P52" s="2212">
        <f t="shared" si="30"/>
        <v>0</v>
      </c>
      <c r="Q52" s="2212">
        <f t="shared" si="31"/>
        <v>0</v>
      </c>
      <c r="R52" s="2347">
        <f t="shared" si="32"/>
        <v>0</v>
      </c>
      <c r="S52" s="10"/>
      <c r="T52" s="10"/>
      <c r="U52" s="10"/>
      <c r="V52" s="10"/>
      <c r="W52" s="10"/>
      <c r="X52" s="10"/>
      <c r="Y52" s="10"/>
      <c r="Z52" s="10"/>
      <c r="AA52" s="10"/>
      <c r="AB52" s="10"/>
    </row>
    <row r="53" spans="1:154" ht="37.5" customHeight="1" thickBot="1" x14ac:dyDescent="0.45">
      <c r="A53" s="3904"/>
      <c r="B53" s="3088" t="s">
        <v>141</v>
      </c>
      <c r="C53" s="3926"/>
      <c r="D53" s="3905" t="s">
        <v>142</v>
      </c>
      <c r="E53" s="3905"/>
      <c r="F53" s="3089">
        <f>SUM(F48:F52)</f>
        <v>0</v>
      </c>
      <c r="G53" s="3089">
        <f t="shared" ref="G53:R53" si="34">SUM(G48:G52)</f>
        <v>0</v>
      </c>
      <c r="H53" s="3089">
        <f t="shared" si="34"/>
        <v>0</v>
      </c>
      <c r="I53" s="3089">
        <f t="shared" si="34"/>
        <v>0</v>
      </c>
      <c r="J53" s="3089">
        <f t="shared" si="34"/>
        <v>0</v>
      </c>
      <c r="K53" s="3089">
        <f t="shared" si="34"/>
        <v>0</v>
      </c>
      <c r="L53" s="3089">
        <f t="shared" si="34"/>
        <v>0</v>
      </c>
      <c r="M53" s="3089">
        <f t="shared" si="34"/>
        <v>0</v>
      </c>
      <c r="N53" s="3089">
        <f t="shared" si="34"/>
        <v>0</v>
      </c>
      <c r="O53" s="3201">
        <f t="shared" si="34"/>
        <v>0</v>
      </c>
      <c r="P53" s="3201">
        <f t="shared" si="34"/>
        <v>0</v>
      </c>
      <c r="Q53" s="3201">
        <f t="shared" si="34"/>
        <v>0</v>
      </c>
      <c r="R53" s="3090">
        <f t="shared" si="34"/>
        <v>0</v>
      </c>
      <c r="S53" s="10"/>
      <c r="T53" s="3202">
        <f>+SUM(L53:N53)</f>
        <v>0</v>
      </c>
      <c r="U53" s="10"/>
      <c r="V53" s="10"/>
      <c r="W53" s="10"/>
      <c r="X53" s="10"/>
      <c r="Y53" s="10"/>
      <c r="Z53" s="10"/>
      <c r="AA53" s="10"/>
      <c r="AB53" s="10"/>
    </row>
    <row r="54" spans="1:154" ht="27" customHeight="1" x14ac:dyDescent="0.2">
      <c r="A54" s="3203"/>
      <c r="B54" s="2246"/>
      <c r="C54" s="11"/>
      <c r="D54" s="786"/>
      <c r="E54" s="786"/>
      <c r="F54" s="2247"/>
      <c r="G54" s="2247"/>
      <c r="H54" s="2247"/>
      <c r="I54" s="2247"/>
      <c r="J54" s="2247"/>
      <c r="K54" s="2247"/>
      <c r="L54" s="3204"/>
      <c r="M54" s="3204"/>
      <c r="N54" s="3204"/>
      <c r="O54" s="2247"/>
      <c r="P54" s="2247"/>
      <c r="Q54" s="2247"/>
      <c r="R54" s="2247"/>
      <c r="S54" s="10"/>
      <c r="T54" s="10"/>
      <c r="U54" s="10"/>
      <c r="V54" s="10"/>
      <c r="W54" s="10"/>
      <c r="X54" s="10"/>
      <c r="Y54" s="10"/>
      <c r="Z54" s="10"/>
      <c r="AA54" s="10"/>
      <c r="AB54" s="10"/>
    </row>
    <row r="55" spans="1:154" ht="27" hidden="1" customHeight="1" x14ac:dyDescent="0.2">
      <c r="A55" s="722"/>
      <c r="B55" s="2138"/>
      <c r="C55" s="719"/>
      <c r="D55" s="720"/>
      <c r="E55" s="720"/>
      <c r="F55" s="721"/>
      <c r="G55" s="3988" t="s">
        <v>94</v>
      </c>
      <c r="H55" s="3988"/>
      <c r="I55" s="3989"/>
      <c r="J55" s="3990" t="s">
        <v>143</v>
      </c>
      <c r="K55" s="3992" t="s">
        <v>101</v>
      </c>
      <c r="L55" s="3987" t="s">
        <v>97</v>
      </c>
      <c r="M55" s="3987"/>
      <c r="N55" s="3987"/>
      <c r="O55" s="3941" t="s">
        <v>102</v>
      </c>
      <c r="P55" s="3942"/>
      <c r="Q55" s="3943"/>
      <c r="R55" s="666"/>
      <c r="S55" s="10"/>
      <c r="T55" s="10"/>
      <c r="U55" s="10"/>
      <c r="V55" s="10"/>
      <c r="W55" s="10"/>
      <c r="X55" s="10"/>
      <c r="Y55" s="10"/>
      <c r="Z55" s="10"/>
      <c r="AA55" s="10"/>
      <c r="AB55" s="10"/>
    </row>
    <row r="56" spans="1:154" s="105" customFormat="1" ht="30.75" hidden="1" customHeight="1" x14ac:dyDescent="0.2">
      <c r="A56" s="723"/>
      <c r="B56" s="577"/>
      <c r="C56" s="569"/>
      <c r="D56" s="569"/>
      <c r="E56" s="2139"/>
      <c r="F56" s="530" t="s">
        <v>1</v>
      </c>
      <c r="G56" s="617" t="s">
        <v>5</v>
      </c>
      <c r="H56" s="617" t="s">
        <v>6</v>
      </c>
      <c r="I56" s="668" t="s">
        <v>7</v>
      </c>
      <c r="J56" s="3991"/>
      <c r="K56" s="3993"/>
      <c r="L56" s="3000" t="s">
        <v>5</v>
      </c>
      <c r="M56" s="3000" t="s">
        <v>6</v>
      </c>
      <c r="N56" s="3000" t="s">
        <v>7</v>
      </c>
      <c r="O56" s="104" t="s">
        <v>5</v>
      </c>
      <c r="P56" s="104" t="s">
        <v>6</v>
      </c>
      <c r="Q56" s="104" t="s">
        <v>7</v>
      </c>
      <c r="R56" s="669" t="s">
        <v>4</v>
      </c>
      <c r="S56" s="569"/>
      <c r="T56" s="569"/>
      <c r="U56" s="569"/>
      <c r="V56" s="569"/>
      <c r="W56" s="569"/>
      <c r="X56" s="569"/>
      <c r="Y56" s="569"/>
      <c r="Z56" s="569"/>
      <c r="AA56" s="569"/>
      <c r="AB56" s="569"/>
      <c r="EW56" s="3601"/>
    </row>
    <row r="57" spans="1:154" s="105" customFormat="1" ht="39.950000000000003" hidden="1" customHeight="1" x14ac:dyDescent="0.4">
      <c r="A57" s="3994" t="s">
        <v>144</v>
      </c>
      <c r="B57" s="3995"/>
      <c r="C57" s="4004" t="s">
        <v>145</v>
      </c>
      <c r="D57" s="4004"/>
      <c r="E57" s="2806"/>
      <c r="F57" s="2989">
        <f>F36</f>
        <v>0</v>
      </c>
      <c r="G57" s="3001">
        <f>G36</f>
        <v>0</v>
      </c>
      <c r="H57" s="3001">
        <f>H36</f>
        <v>0</v>
      </c>
      <c r="I57" s="3001">
        <f>I36</f>
        <v>0</v>
      </c>
      <c r="J57" s="2807">
        <f>ROUND(J36,0)</f>
        <v>0</v>
      </c>
      <c r="K57" s="2807">
        <f t="shared" ref="K57:R57" si="35">K36</f>
        <v>0</v>
      </c>
      <c r="L57" s="3001">
        <f t="shared" si="35"/>
        <v>0</v>
      </c>
      <c r="M57" s="3001">
        <f t="shared" si="35"/>
        <v>0</v>
      </c>
      <c r="N57" s="3001">
        <f t="shared" si="35"/>
        <v>0</v>
      </c>
      <c r="O57" s="2808">
        <f t="shared" si="35"/>
        <v>0</v>
      </c>
      <c r="P57" s="2808">
        <f t="shared" si="35"/>
        <v>0</v>
      </c>
      <c r="Q57" s="2808">
        <f t="shared" si="35"/>
        <v>0</v>
      </c>
      <c r="R57" s="727">
        <f t="shared" si="35"/>
        <v>0</v>
      </c>
      <c r="S57" s="728"/>
      <c r="T57" s="728"/>
      <c r="U57" s="728"/>
      <c r="V57" s="569"/>
      <c r="W57" s="569"/>
      <c r="X57" s="569"/>
      <c r="Y57" s="569"/>
      <c r="Z57" s="569"/>
      <c r="AA57" s="569"/>
      <c r="AB57" s="569"/>
      <c r="EW57" s="3601"/>
    </row>
    <row r="58" spans="1:154" s="2812" customFormat="1" ht="38.85" hidden="1" customHeight="1" x14ac:dyDescent="0.4">
      <c r="A58" s="3996"/>
      <c r="B58" s="3997"/>
      <c r="C58" s="4004" t="s">
        <v>146</v>
      </c>
      <c r="D58" s="4004"/>
      <c r="E58" s="2809"/>
      <c r="F58" s="2989">
        <f>F37+F40+F41+F42+F43+F44</f>
        <v>0</v>
      </c>
      <c r="G58" s="3001">
        <f>G37+G40+G41+G42+G43+G44</f>
        <v>0</v>
      </c>
      <c r="H58" s="3001">
        <f>H37+H40+H41+H42+H43+H44</f>
        <v>0</v>
      </c>
      <c r="I58" s="3001">
        <f>I37+I40+I41+I42+I43+I44</f>
        <v>0</v>
      </c>
      <c r="J58" s="2807">
        <f>ROUND(J37+J40+J41+J42+J43+J44,0)</f>
        <v>0</v>
      </c>
      <c r="K58" s="2807">
        <f t="shared" ref="K58:R58" si="36">K37+K40+K41+K42+K43+K44</f>
        <v>0</v>
      </c>
      <c r="L58" s="3001">
        <f t="shared" si="36"/>
        <v>0</v>
      </c>
      <c r="M58" s="3001">
        <f t="shared" si="36"/>
        <v>0</v>
      </c>
      <c r="N58" s="3001">
        <f t="shared" si="36"/>
        <v>0</v>
      </c>
      <c r="O58" s="2808">
        <f t="shared" si="36"/>
        <v>0</v>
      </c>
      <c r="P58" s="2808">
        <f t="shared" si="36"/>
        <v>0</v>
      </c>
      <c r="Q58" s="2808">
        <f t="shared" si="36"/>
        <v>0</v>
      </c>
      <c r="R58" s="2813">
        <f t="shared" si="36"/>
        <v>0</v>
      </c>
      <c r="S58" s="2810"/>
      <c r="T58" s="2811"/>
      <c r="U58" s="2811"/>
      <c r="V58" s="2811"/>
      <c r="W58" s="2811"/>
      <c r="X58" s="2811"/>
      <c r="Y58" s="2811"/>
      <c r="Z58" s="2811"/>
      <c r="AA58" s="2811"/>
      <c r="AB58" s="2811"/>
      <c r="EW58" s="3604"/>
    </row>
    <row r="59" spans="1:154" s="2812" customFormat="1" ht="30.75" hidden="1" customHeight="1" x14ac:dyDescent="0.4">
      <c r="A59" s="3994" t="s">
        <v>147</v>
      </c>
      <c r="B59" s="3995"/>
      <c r="C59" s="4004" t="s">
        <v>146</v>
      </c>
      <c r="D59" s="4004"/>
      <c r="E59" s="2806"/>
      <c r="F59" s="2989">
        <f>F48+F49+F50+F51+F52</f>
        <v>0</v>
      </c>
      <c r="G59" s="3001">
        <f>G48+G49+G50+G51+G52</f>
        <v>0</v>
      </c>
      <c r="H59" s="3001">
        <f>H48+H49+H50+H51+H52</f>
        <v>0</v>
      </c>
      <c r="I59" s="3001">
        <f>I48+I49+I50+I51+I52</f>
        <v>0</v>
      </c>
      <c r="J59" s="2807">
        <f>ROUND(J48+J49+J50+J51+J52,0)</f>
        <v>0</v>
      </c>
      <c r="K59" s="2807">
        <f t="shared" ref="K59:R59" si="37">K48+K49+K50+K51+K52</f>
        <v>0</v>
      </c>
      <c r="L59" s="3001">
        <f t="shared" si="37"/>
        <v>0</v>
      </c>
      <c r="M59" s="3001">
        <f t="shared" si="37"/>
        <v>0</v>
      </c>
      <c r="N59" s="3001">
        <f t="shared" si="37"/>
        <v>0</v>
      </c>
      <c r="O59" s="2808">
        <f t="shared" si="37"/>
        <v>0</v>
      </c>
      <c r="P59" s="2808">
        <f t="shared" si="37"/>
        <v>0</v>
      </c>
      <c r="Q59" s="2808">
        <f t="shared" si="37"/>
        <v>0</v>
      </c>
      <c r="R59" s="2813">
        <f t="shared" si="37"/>
        <v>0</v>
      </c>
      <c r="S59" s="2810"/>
      <c r="T59" s="2811"/>
      <c r="U59" s="2811"/>
      <c r="V59" s="2811"/>
      <c r="W59" s="2811"/>
      <c r="X59" s="2811"/>
      <c r="Y59" s="2811"/>
      <c r="Z59" s="2811"/>
      <c r="AA59" s="2811"/>
      <c r="AB59" s="2811"/>
      <c r="EW59" s="3604"/>
    </row>
    <row r="60" spans="1:154" s="105" customFormat="1" ht="30.75" hidden="1" customHeight="1" x14ac:dyDescent="0.2">
      <c r="A60" s="740"/>
      <c r="B60" s="2138"/>
      <c r="C60" s="569"/>
      <c r="D60" s="569"/>
      <c r="E60" s="2139"/>
      <c r="F60" s="154"/>
      <c r="G60" s="732"/>
      <c r="H60" s="732"/>
      <c r="I60" s="732"/>
      <c r="L60" s="3002"/>
      <c r="M60" s="3002"/>
      <c r="N60" s="3002"/>
      <c r="O60" s="645"/>
      <c r="P60" s="645"/>
      <c r="Q60" s="645"/>
      <c r="R60" s="734"/>
      <c r="S60" s="645"/>
      <c r="T60" s="569"/>
      <c r="U60" s="569"/>
      <c r="V60" s="569"/>
      <c r="W60" s="569"/>
      <c r="X60" s="569"/>
      <c r="Y60" s="569"/>
      <c r="Z60" s="569"/>
      <c r="AA60" s="569"/>
      <c r="AB60" s="569"/>
      <c r="EW60" s="3601"/>
    </row>
    <row r="61" spans="1:154" s="105" customFormat="1" ht="30.75" customHeight="1" thickBot="1" x14ac:dyDescent="0.25">
      <c r="A61" s="740"/>
      <c r="B61" s="2138"/>
      <c r="C61" s="569"/>
      <c r="D61" s="569"/>
      <c r="E61" s="2139"/>
      <c r="F61" s="2925"/>
      <c r="G61" s="732"/>
      <c r="H61" s="732"/>
      <c r="I61" s="732"/>
      <c r="L61" s="3002"/>
      <c r="M61" s="3002"/>
      <c r="N61" s="3002"/>
      <c r="O61" s="645"/>
      <c r="P61" s="645"/>
      <c r="Q61" s="645"/>
      <c r="R61" s="569"/>
      <c r="S61" s="645"/>
      <c r="T61" s="569"/>
      <c r="U61" s="569"/>
      <c r="V61" s="569"/>
      <c r="W61" s="569"/>
      <c r="X61" s="569"/>
      <c r="Y61" s="569"/>
      <c r="Z61" s="569"/>
      <c r="AA61" s="569"/>
      <c r="AB61" s="569"/>
      <c r="EW61" s="3601"/>
    </row>
    <row r="62" spans="1:154" ht="45.75" customHeight="1" thickBot="1" x14ac:dyDescent="0.25">
      <c r="A62" s="4037" t="s">
        <v>148</v>
      </c>
      <c r="B62" s="4038"/>
      <c r="C62" s="4038"/>
      <c r="D62" s="4038"/>
      <c r="E62" s="4039"/>
      <c r="F62" s="3091">
        <f>SUM(F57:F59)</f>
        <v>0</v>
      </c>
      <c r="G62" s="3205">
        <f>SUM(G57:G59)</f>
        <v>0</v>
      </c>
      <c r="H62" s="3205">
        <f t="shared" ref="H62:R62" si="38">SUM(H57:H59)</f>
        <v>0</v>
      </c>
      <c r="I62" s="3205">
        <f t="shared" si="38"/>
        <v>0</v>
      </c>
      <c r="J62" s="3205">
        <f t="shared" si="38"/>
        <v>0</v>
      </c>
      <c r="K62" s="3205">
        <f t="shared" si="38"/>
        <v>0</v>
      </c>
      <c r="L62" s="3205">
        <f t="shared" si="38"/>
        <v>0</v>
      </c>
      <c r="M62" s="3205">
        <f t="shared" si="38"/>
        <v>0</v>
      </c>
      <c r="N62" s="3205">
        <f t="shared" si="38"/>
        <v>0</v>
      </c>
      <c r="O62" s="3011">
        <f t="shared" si="38"/>
        <v>0</v>
      </c>
      <c r="P62" s="3011">
        <f t="shared" si="38"/>
        <v>0</v>
      </c>
      <c r="Q62" s="3206">
        <f t="shared" si="38"/>
        <v>0</v>
      </c>
      <c r="R62" s="3207">
        <f t="shared" si="38"/>
        <v>0</v>
      </c>
      <c r="S62" s="653"/>
      <c r="T62" s="653"/>
      <c r="U62" s="10"/>
      <c r="V62" s="10"/>
      <c r="W62" s="10"/>
      <c r="X62" s="10"/>
      <c r="Y62" s="10"/>
      <c r="Z62" s="10"/>
      <c r="AA62" s="10"/>
      <c r="AB62" s="10"/>
    </row>
    <row r="63" spans="1:154" s="105" customFormat="1" ht="46.5" customHeight="1" thickBot="1" x14ac:dyDescent="0.25">
      <c r="A63" s="753"/>
      <c r="B63" s="736"/>
      <c r="C63" s="2129"/>
      <c r="D63" s="2129"/>
      <c r="E63" s="2129"/>
      <c r="F63" s="2689"/>
      <c r="G63" s="659"/>
      <c r="H63" s="659"/>
      <c r="I63" s="659"/>
      <c r="J63" s="659"/>
      <c r="K63" s="659"/>
      <c r="L63" s="659"/>
      <c r="M63" s="659"/>
      <c r="N63" s="659"/>
      <c r="O63" s="659"/>
      <c r="P63" s="659"/>
      <c r="Q63" s="659"/>
      <c r="R63" s="659"/>
      <c r="S63" s="653"/>
      <c r="T63" s="653"/>
      <c r="U63" s="569"/>
      <c r="V63" s="569"/>
      <c r="W63" s="569"/>
      <c r="X63" s="569"/>
      <c r="Y63" s="569"/>
      <c r="Z63" s="569"/>
      <c r="AA63" s="569"/>
      <c r="AB63" s="569"/>
      <c r="EW63" s="3601"/>
    </row>
    <row r="64" spans="1:154" s="63" customFormat="1" ht="57" customHeight="1" thickBot="1" x14ac:dyDescent="0.25">
      <c r="A64" s="3709" t="s">
        <v>149</v>
      </c>
      <c r="B64" s="3710"/>
      <c r="C64" s="3710"/>
      <c r="D64" s="3710"/>
      <c r="E64" s="3710"/>
      <c r="F64" s="3710"/>
      <c r="G64" s="3710"/>
      <c r="H64" s="3710"/>
      <c r="I64" s="3710"/>
      <c r="J64" s="3710"/>
      <c r="K64" s="3710"/>
      <c r="L64" s="3710"/>
      <c r="M64" s="3710"/>
      <c r="N64" s="3710"/>
      <c r="O64" s="3710"/>
      <c r="P64" s="3710"/>
      <c r="Q64" s="3711"/>
      <c r="R64" s="675"/>
      <c r="S64" s="675"/>
      <c r="T64" s="675"/>
      <c r="U64" s="10"/>
      <c r="V64" s="10"/>
      <c r="W64" s="10"/>
      <c r="X64" s="10"/>
      <c r="Y64" s="10"/>
      <c r="Z64" s="10"/>
      <c r="AA64" s="10"/>
      <c r="AB64" s="10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16"/>
      <c r="EX64" s="9"/>
    </row>
    <row r="65" spans="1:153" ht="30.75" customHeight="1" thickBot="1" x14ac:dyDescent="0.25">
      <c r="A65" s="3718" t="s">
        <v>150</v>
      </c>
      <c r="B65" s="3721" t="s">
        <v>40</v>
      </c>
      <c r="C65" s="3722"/>
      <c r="D65" s="3722"/>
      <c r="E65" s="3723"/>
      <c r="F65" s="3716" t="s">
        <v>151</v>
      </c>
      <c r="G65" s="3716" t="s">
        <v>101</v>
      </c>
      <c r="H65" s="3712" t="s">
        <v>94</v>
      </c>
      <c r="I65" s="3712"/>
      <c r="J65" s="3712"/>
      <c r="K65" s="3713" t="s">
        <v>97</v>
      </c>
      <c r="L65" s="3712"/>
      <c r="M65" s="3712"/>
      <c r="N65" s="3714" t="s">
        <v>102</v>
      </c>
      <c r="O65" s="3715"/>
      <c r="P65" s="3713"/>
      <c r="Q65" s="3208"/>
      <c r="R65" s="675"/>
      <c r="S65" s="675"/>
      <c r="T65" s="675"/>
      <c r="U65" s="10"/>
      <c r="V65" s="10"/>
      <c r="W65" s="10"/>
      <c r="X65" s="10"/>
      <c r="Y65" s="10"/>
      <c r="Z65" s="10"/>
      <c r="AA65" s="10"/>
      <c r="AB65" s="10"/>
    </row>
    <row r="66" spans="1:153" ht="69" customHeight="1" thickBot="1" x14ac:dyDescent="0.25">
      <c r="A66" s="3719"/>
      <c r="B66" s="3721"/>
      <c r="C66" s="3722"/>
      <c r="D66" s="3722"/>
      <c r="E66" s="3723"/>
      <c r="F66" s="3717"/>
      <c r="G66" s="3717"/>
      <c r="H66" s="585" t="s">
        <v>5</v>
      </c>
      <c r="I66" s="585" t="s">
        <v>6</v>
      </c>
      <c r="J66" s="585" t="s">
        <v>7</v>
      </c>
      <c r="K66" s="2242" t="s">
        <v>5</v>
      </c>
      <c r="L66" s="2243" t="s">
        <v>6</v>
      </c>
      <c r="M66" s="2243" t="s">
        <v>7</v>
      </c>
      <c r="N66" s="2243" t="s">
        <v>5</v>
      </c>
      <c r="O66" s="2243" t="s">
        <v>6</v>
      </c>
      <c r="P66" s="2243" t="s">
        <v>7</v>
      </c>
      <c r="Q66" s="3095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</row>
    <row r="67" spans="1:153" ht="63.95" customHeight="1" thickBot="1" x14ac:dyDescent="0.25">
      <c r="A67" s="3720"/>
      <c r="B67" s="3724"/>
      <c r="C67" s="3725"/>
      <c r="D67" s="3725"/>
      <c r="E67" s="3726"/>
      <c r="F67" s="3116"/>
      <c r="G67" s="3117"/>
      <c r="H67" s="3098">
        <f>ROUND(IF(F67=0,0,$F67*COEF!J15),0)</f>
        <v>0</v>
      </c>
      <c r="I67" s="3098">
        <f>ROUND(IF(H67=0,0,$F67*COEF!K15),0)</f>
        <v>0</v>
      </c>
      <c r="J67" s="3098">
        <f>ROUND(IF(I67=0,0,$F67*COEF!L15),0)</f>
        <v>0</v>
      </c>
      <c r="K67" s="3098">
        <f>ROUND(H67*$M$19,0)</f>
        <v>0</v>
      </c>
      <c r="L67" s="3098">
        <f>ROUND(I67*$M$19,0)</f>
        <v>0</v>
      </c>
      <c r="M67" s="3098">
        <f>ROUND(J67*$M$19,0)</f>
        <v>0</v>
      </c>
      <c r="N67" s="3011">
        <f>H67+K67</f>
        <v>0</v>
      </c>
      <c r="O67" s="3011">
        <f>I67+L67</f>
        <v>0</v>
      </c>
      <c r="P67" s="3011">
        <f>J67+M67</f>
        <v>0</v>
      </c>
      <c r="Q67" s="3096">
        <f>SUM(N67:P67)</f>
        <v>0</v>
      </c>
      <c r="R67" s="10"/>
      <c r="S67" s="10"/>
      <c r="T67" s="3062">
        <f>+SUM(K67:M67)</f>
        <v>0</v>
      </c>
      <c r="U67" s="10"/>
      <c r="V67" s="10"/>
      <c r="W67" s="10"/>
      <c r="X67" s="10"/>
      <c r="Y67" s="10"/>
      <c r="Z67" s="10"/>
      <c r="AA67" s="10"/>
      <c r="AB67" s="10"/>
      <c r="AC67" s="10"/>
    </row>
    <row r="68" spans="1:153" ht="53.25" hidden="1" customHeight="1" x14ac:dyDescent="0.35">
      <c r="A68" s="774"/>
      <c r="B68" s="775"/>
      <c r="C68" s="776"/>
      <c r="D68" s="776"/>
      <c r="E68" s="776"/>
      <c r="F68" s="777"/>
      <c r="G68" s="777"/>
      <c r="H68" s="778"/>
      <c r="I68" s="778"/>
      <c r="J68" s="778"/>
      <c r="K68" s="778"/>
      <c r="L68" s="778"/>
      <c r="M68" s="778"/>
      <c r="N68" s="778"/>
      <c r="O68" s="778"/>
      <c r="P68" s="778"/>
      <c r="Q68" s="778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</row>
    <row r="69" spans="1:153" s="105" customFormat="1" ht="30.75" hidden="1" customHeight="1" thickBot="1" x14ac:dyDescent="0.35">
      <c r="A69" s="801"/>
      <c r="B69" s="681"/>
      <c r="C69" s="802"/>
      <c r="D69" s="802"/>
      <c r="E69" s="802"/>
      <c r="F69" s="803"/>
      <c r="H69" s="803"/>
      <c r="I69" s="803"/>
      <c r="J69" s="803"/>
      <c r="K69" s="803"/>
      <c r="L69" s="803"/>
      <c r="M69" s="803"/>
      <c r="N69" s="803"/>
      <c r="O69" s="803"/>
      <c r="P69" s="803"/>
      <c r="Q69" s="803"/>
      <c r="R69" s="569"/>
      <c r="S69" s="569"/>
      <c r="T69" s="569"/>
      <c r="U69" s="569"/>
      <c r="V69" s="569"/>
      <c r="W69" s="569"/>
      <c r="X69" s="569"/>
      <c r="Y69" s="569"/>
      <c r="Z69" s="569"/>
      <c r="AA69" s="569"/>
      <c r="AB69" s="569"/>
      <c r="AC69" s="569"/>
      <c r="EW69" s="3601"/>
    </row>
    <row r="70" spans="1:153" ht="30.75" hidden="1" customHeight="1" thickBot="1" x14ac:dyDescent="0.25">
      <c r="A70" s="657"/>
      <c r="B70" s="657"/>
      <c r="C70" s="2142"/>
      <c r="D70" s="2142"/>
      <c r="F70" s="2142"/>
      <c r="H70" s="4043" t="s">
        <v>1</v>
      </c>
      <c r="I70" s="4044"/>
      <c r="J70" s="4045"/>
      <c r="K70" s="4005" t="s">
        <v>152</v>
      </c>
      <c r="L70" s="4006"/>
      <c r="M70" s="4007"/>
      <c r="N70" s="3936" t="s">
        <v>153</v>
      </c>
      <c r="O70" s="3937"/>
      <c r="P70" s="3937"/>
      <c r="Q70" s="3938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</row>
    <row r="71" spans="1:153" ht="30.75" hidden="1" customHeight="1" x14ac:dyDescent="0.35">
      <c r="A71" s="657"/>
      <c r="B71" s="657"/>
      <c r="C71" s="2142"/>
      <c r="D71" s="2142"/>
      <c r="F71" s="2123" t="s">
        <v>154</v>
      </c>
      <c r="G71" s="804" t="s">
        <v>4</v>
      </c>
      <c r="H71" s="805" t="s">
        <v>5</v>
      </c>
      <c r="I71" s="805" t="s">
        <v>6</v>
      </c>
      <c r="J71" s="805" t="s">
        <v>7</v>
      </c>
      <c r="K71" s="806" t="s">
        <v>5</v>
      </c>
      <c r="L71" s="806" t="s">
        <v>6</v>
      </c>
      <c r="M71" s="806" t="s">
        <v>7</v>
      </c>
      <c r="N71" s="615" t="s">
        <v>5</v>
      </c>
      <c r="O71" s="615" t="s">
        <v>6</v>
      </c>
      <c r="P71" s="615" t="s">
        <v>7</v>
      </c>
      <c r="Q71" s="207" t="s">
        <v>4</v>
      </c>
      <c r="R71" s="2135" t="s">
        <v>152</v>
      </c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</row>
    <row r="72" spans="1:153" ht="30.75" hidden="1" customHeight="1" x14ac:dyDescent="0.4">
      <c r="A72" s="657"/>
      <c r="B72" s="657"/>
      <c r="C72" s="2142"/>
      <c r="D72" s="2142"/>
      <c r="E72" s="807" t="s">
        <v>155</v>
      </c>
      <c r="F72" s="3008">
        <f>F10</f>
        <v>0</v>
      </c>
      <c r="G72" s="3009">
        <f>+F10</f>
        <v>0</v>
      </c>
      <c r="H72" s="2627">
        <f>G10</f>
        <v>0</v>
      </c>
      <c r="I72" s="2627">
        <f>H10</f>
        <v>0</v>
      </c>
      <c r="J72" s="2627">
        <f>I10</f>
        <v>0</v>
      </c>
      <c r="K72" s="2628"/>
      <c r="L72" s="2627"/>
      <c r="M72" s="2627"/>
      <c r="N72" s="2627">
        <f t="shared" ref="N72:N76" si="39">+H72+K72</f>
        <v>0</v>
      </c>
      <c r="O72" s="2627">
        <f t="shared" ref="O72:P76" si="40">+I72+L72</f>
        <v>0</v>
      </c>
      <c r="P72" s="2627">
        <f t="shared" si="40"/>
        <v>0</v>
      </c>
      <c r="Q72" s="2627">
        <f t="shared" ref="Q72:Q76" si="41">SUM(N72:P72)</f>
        <v>0</v>
      </c>
      <c r="R72" s="10">
        <f>+SUM(K72:M72)</f>
        <v>0</v>
      </c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</row>
    <row r="73" spans="1:153" ht="30.75" hidden="1" customHeight="1" x14ac:dyDescent="0.4">
      <c r="A73" s="657"/>
      <c r="B73" s="657"/>
      <c r="C73" s="2142"/>
      <c r="D73" s="2142"/>
      <c r="E73" s="807" t="s">
        <v>156</v>
      </c>
      <c r="F73" s="3010">
        <f>F14</f>
        <v>0</v>
      </c>
      <c r="G73" s="1367">
        <f>+F14</f>
        <v>0</v>
      </c>
      <c r="H73" s="2627">
        <f>G14</f>
        <v>0</v>
      </c>
      <c r="I73" s="2627">
        <f>H14</f>
        <v>0</v>
      </c>
      <c r="J73" s="2627">
        <f>I14</f>
        <v>0</v>
      </c>
      <c r="K73" s="2628"/>
      <c r="L73" s="829"/>
      <c r="M73" s="2629"/>
      <c r="N73" s="2926">
        <f t="shared" si="39"/>
        <v>0</v>
      </c>
      <c r="O73" s="2926">
        <f t="shared" si="40"/>
        <v>0</v>
      </c>
      <c r="P73" s="2926">
        <f t="shared" si="40"/>
        <v>0</v>
      </c>
      <c r="Q73" s="2926">
        <f t="shared" si="41"/>
        <v>0</v>
      </c>
      <c r="R73" s="10">
        <f>+SUM(K73:M73)</f>
        <v>0</v>
      </c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</row>
    <row r="74" spans="1:153" ht="30.75" hidden="1" customHeight="1" x14ac:dyDescent="0.4">
      <c r="A74" s="657"/>
      <c r="B74" s="657"/>
      <c r="C74" s="2142"/>
      <c r="D74" s="2142"/>
      <c r="E74" s="807" t="s">
        <v>18</v>
      </c>
      <c r="F74" s="3010">
        <f ca="1">F29</f>
        <v>0</v>
      </c>
      <c r="G74" s="1367">
        <f ca="1">+F29</f>
        <v>0</v>
      </c>
      <c r="H74" s="2627">
        <f ca="1">G29</f>
        <v>0</v>
      </c>
      <c r="I74" s="2627">
        <f ca="1">H29</f>
        <v>0</v>
      </c>
      <c r="J74" s="2627">
        <f ca="1">I29</f>
        <v>0</v>
      </c>
      <c r="K74" s="2630">
        <f ca="1">L29</f>
        <v>0</v>
      </c>
      <c r="L74" s="2631">
        <f ca="1">M29</f>
        <v>0</v>
      </c>
      <c r="M74" s="2631">
        <f ca="1">N29</f>
        <v>0</v>
      </c>
      <c r="N74" s="2926">
        <f t="shared" ca="1" si="39"/>
        <v>0</v>
      </c>
      <c r="O74" s="2926">
        <f t="shared" ca="1" si="40"/>
        <v>0</v>
      </c>
      <c r="P74" s="2926">
        <f t="shared" ca="1" si="40"/>
        <v>0</v>
      </c>
      <c r="Q74" s="2926">
        <f t="shared" ca="1" si="41"/>
        <v>0</v>
      </c>
      <c r="R74" s="2223">
        <f ca="1">+H74+I74+J74</f>
        <v>0</v>
      </c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</row>
    <row r="75" spans="1:153" ht="30.75" hidden="1" customHeight="1" x14ac:dyDescent="0.4">
      <c r="A75" s="657"/>
      <c r="B75" s="657"/>
      <c r="C75" s="2142"/>
      <c r="D75" s="2142"/>
      <c r="E75" s="807" t="s">
        <v>157</v>
      </c>
      <c r="F75" s="3010">
        <f>F62</f>
        <v>0</v>
      </c>
      <c r="G75" s="1367">
        <f>+F38+F45+F53</f>
        <v>0</v>
      </c>
      <c r="H75" s="2627">
        <f>G62</f>
        <v>0</v>
      </c>
      <c r="I75" s="2627">
        <f>H62</f>
        <v>0</v>
      </c>
      <c r="J75" s="2627">
        <f>I62</f>
        <v>0</v>
      </c>
      <c r="K75" s="2630">
        <f>L62</f>
        <v>0</v>
      </c>
      <c r="L75" s="2631">
        <f>M62</f>
        <v>0</v>
      </c>
      <c r="M75" s="2631">
        <f>N62</f>
        <v>0</v>
      </c>
      <c r="N75" s="2926">
        <f t="shared" si="39"/>
        <v>0</v>
      </c>
      <c r="O75" s="2926">
        <f t="shared" si="40"/>
        <v>0</v>
      </c>
      <c r="P75" s="2926">
        <f t="shared" si="40"/>
        <v>0</v>
      </c>
      <c r="Q75" s="2926">
        <f t="shared" si="41"/>
        <v>0</v>
      </c>
      <c r="R75" s="2223">
        <f t="shared" ref="R75:R76" si="42">+H75+I75+J75</f>
        <v>0</v>
      </c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</row>
    <row r="76" spans="1:153" ht="30.75" hidden="1" customHeight="1" x14ac:dyDescent="0.4">
      <c r="A76" s="657"/>
      <c r="B76" s="657"/>
      <c r="C76" s="2142"/>
      <c r="D76" s="2142"/>
      <c r="E76" s="807" t="s">
        <v>158</v>
      </c>
      <c r="F76" s="3010">
        <f>+F67</f>
        <v>0</v>
      </c>
      <c r="G76" s="1367">
        <f>+F67</f>
        <v>0</v>
      </c>
      <c r="H76" s="2627">
        <f t="shared" ref="H76:M76" si="43">+H67</f>
        <v>0</v>
      </c>
      <c r="I76" s="2627">
        <f t="shared" si="43"/>
        <v>0</v>
      </c>
      <c r="J76" s="2627">
        <f t="shared" si="43"/>
        <v>0</v>
      </c>
      <c r="K76" s="2627">
        <f t="shared" si="43"/>
        <v>0</v>
      </c>
      <c r="L76" s="2627">
        <f t="shared" si="43"/>
        <v>0</v>
      </c>
      <c r="M76" s="2627">
        <f t="shared" si="43"/>
        <v>0</v>
      </c>
      <c r="N76" s="2926">
        <f t="shared" si="39"/>
        <v>0</v>
      </c>
      <c r="O76" s="2926">
        <f t="shared" si="40"/>
        <v>0</v>
      </c>
      <c r="P76" s="2926">
        <f t="shared" si="40"/>
        <v>0</v>
      </c>
      <c r="Q76" s="2926">
        <f t="shared" si="41"/>
        <v>0</v>
      </c>
      <c r="R76" s="2223">
        <f t="shared" si="42"/>
        <v>0</v>
      </c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</row>
    <row r="77" spans="1:153" ht="30.75" hidden="1" customHeight="1" x14ac:dyDescent="0.4">
      <c r="A77" s="657"/>
      <c r="B77" s="657"/>
      <c r="C77" s="2142"/>
      <c r="D77" s="2142"/>
      <c r="E77" s="807"/>
      <c r="F77" s="808"/>
      <c r="G77" s="814"/>
      <c r="H77" s="2627"/>
      <c r="I77" s="2627"/>
      <c r="J77" s="2627"/>
      <c r="K77" s="2632"/>
      <c r="L77" s="2632"/>
      <c r="M77" s="2632"/>
      <c r="N77" s="2927"/>
      <c r="O77" s="2927"/>
      <c r="P77" s="2927"/>
      <c r="Q77" s="2927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</row>
    <row r="78" spans="1:153" ht="30.75" hidden="1" customHeight="1" x14ac:dyDescent="0.4">
      <c r="A78" s="657"/>
      <c r="B78" s="657"/>
      <c r="C78" s="2142"/>
      <c r="D78" s="2142"/>
      <c r="F78" s="826">
        <f ca="1">SUM(H78:J78)</f>
        <v>0</v>
      </c>
      <c r="G78" s="2222">
        <f ca="1">+G72-SUM(G73:G76)</f>
        <v>0</v>
      </c>
      <c r="H78" s="827">
        <f ca="1">+H72-SUM(H73:H77)</f>
        <v>0</v>
      </c>
      <c r="I78" s="827">
        <f ca="1">+I72-SUM(I73:I77)</f>
        <v>0</v>
      </c>
      <c r="J78" s="827">
        <f ca="1">+J72-SUM(J73:J77)</f>
        <v>0</v>
      </c>
      <c r="K78" s="828">
        <f ca="1">SUM(K72:K77)</f>
        <v>0</v>
      </c>
      <c r="L78" s="828">
        <f ca="1">SUM(L72:L76)</f>
        <v>0</v>
      </c>
      <c r="M78" s="828">
        <f ca="1">SUM(M72:M76)</f>
        <v>0</v>
      </c>
      <c r="N78" s="3097">
        <f ca="1">N72-SUM(N73:N77)</f>
        <v>0</v>
      </c>
      <c r="O78" s="3097">
        <f ca="1">O72-SUM(O73:O77)</f>
        <v>0</v>
      </c>
      <c r="P78" s="3097">
        <f ca="1">P72-SUM(P73:P77)</f>
        <v>0</v>
      </c>
      <c r="Q78" s="829">
        <f ca="1">Q72-SUM(Q73:Q77)</f>
        <v>0</v>
      </c>
      <c r="R78" s="2135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</row>
    <row r="79" spans="1:153" ht="31.5" customHeight="1" thickBot="1" x14ac:dyDescent="0.25">
      <c r="A79" s="842"/>
      <c r="B79" s="842"/>
      <c r="C79" s="2142"/>
      <c r="D79" s="2142"/>
      <c r="F79" s="826"/>
      <c r="H79" s="843"/>
      <c r="I79" s="843"/>
      <c r="J79" s="843"/>
      <c r="K79" s="2146"/>
      <c r="L79" s="10"/>
      <c r="M79" s="834"/>
      <c r="N79" s="675"/>
      <c r="O79" s="675"/>
      <c r="P79" s="841"/>
      <c r="Q79" s="675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</row>
    <row r="80" spans="1:153" ht="27.75" customHeight="1" x14ac:dyDescent="0.2">
      <c r="A80" s="3998" t="s">
        <v>159</v>
      </c>
      <c r="B80" s="3999"/>
      <c r="C80" s="3999"/>
      <c r="D80" s="3999"/>
      <c r="E80" s="3999"/>
      <c r="F80" s="3999"/>
      <c r="G80" s="3999"/>
      <c r="H80" s="4000"/>
      <c r="I80" s="4125"/>
      <c r="J80" s="4126"/>
      <c r="K80" s="2146"/>
      <c r="L80" s="10"/>
      <c r="M80" s="834"/>
      <c r="N80" s="675"/>
      <c r="O80" s="675"/>
      <c r="P80" s="841"/>
      <c r="Q80" s="675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</row>
    <row r="81" spans="1:29" ht="30.75" customHeight="1" thickBot="1" x14ac:dyDescent="0.25">
      <c r="A81" s="4001"/>
      <c r="B81" s="4002"/>
      <c r="C81" s="4002"/>
      <c r="D81" s="4002"/>
      <c r="E81" s="4002"/>
      <c r="F81" s="4002"/>
      <c r="G81" s="4002"/>
      <c r="H81" s="4003"/>
      <c r="I81" s="4127"/>
      <c r="J81" s="4128"/>
      <c r="K81" s="2146"/>
      <c r="L81" s="10"/>
      <c r="M81" s="834"/>
      <c r="N81" s="675"/>
      <c r="O81" s="675"/>
      <c r="P81" s="841"/>
      <c r="Q81" s="675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</row>
    <row r="82" spans="1:29" ht="30.75" customHeight="1" x14ac:dyDescent="0.2">
      <c r="A82" s="4051" t="s">
        <v>160</v>
      </c>
      <c r="B82" s="3813"/>
      <c r="C82" s="3813"/>
      <c r="D82" s="3813"/>
      <c r="E82" s="3814"/>
      <c r="F82" s="3939" t="s">
        <v>151</v>
      </c>
      <c r="G82" s="3788" t="s">
        <v>101</v>
      </c>
      <c r="H82" s="3754" t="s">
        <v>161</v>
      </c>
      <c r="I82" s="4046" t="s">
        <v>162</v>
      </c>
      <c r="J82" s="4124" t="s">
        <v>1370</v>
      </c>
      <c r="K82" s="2146"/>
      <c r="L82" s="10"/>
      <c r="M82" s="834"/>
      <c r="N82" s="675"/>
      <c r="O82" s="675"/>
      <c r="P82" s="841"/>
      <c r="Q82" s="675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</row>
    <row r="83" spans="1:29" ht="52.5" customHeight="1" thickBot="1" x14ac:dyDescent="0.25">
      <c r="A83" s="4052"/>
      <c r="B83" s="3815"/>
      <c r="C83" s="3815"/>
      <c r="D83" s="3815"/>
      <c r="E83" s="3816"/>
      <c r="F83" s="3940"/>
      <c r="G83" s="3789"/>
      <c r="H83" s="3755"/>
      <c r="I83" s="4047"/>
      <c r="J83" s="4124"/>
      <c r="K83" s="2146"/>
      <c r="L83" s="10"/>
      <c r="M83" s="834"/>
      <c r="N83" s="675"/>
      <c r="O83" s="675"/>
      <c r="P83" s="841"/>
      <c r="Q83" s="675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</row>
    <row r="84" spans="1:29" ht="69.95" customHeight="1" x14ac:dyDescent="0.35">
      <c r="A84" s="3916" t="s">
        <v>163</v>
      </c>
      <c r="B84" s="3645" t="s">
        <v>41</v>
      </c>
      <c r="C84" s="4048" t="s">
        <v>164</v>
      </c>
      <c r="D84" s="4049"/>
      <c r="E84" s="4050"/>
      <c r="F84" s="3595"/>
      <c r="G84" s="3595"/>
      <c r="H84" s="3455" t="str">
        <f>+IF(G84=0,"S.D.",IF((F84/G84)&lt;151,"O.K.","VERIFICAR"))</f>
        <v>S.D.</v>
      </c>
      <c r="I84" s="3592" t="str">
        <f t="shared" ref="I84:I175" si="44">+IF(AND(F84&gt;0,G84=0),"FALTA CANT USUARIOS",IF(AND(G84&gt;0,F84=0),"FALTAN KWH FACT"," "))</f>
        <v xml:space="preserve"> </v>
      </c>
      <c r="J84" s="3591">
        <f>+IF(G84=0,0,F84/G84)</f>
        <v>0</v>
      </c>
      <c r="K84" s="2146"/>
      <c r="L84" s="10"/>
      <c r="M84" s="834"/>
      <c r="N84" s="675"/>
      <c r="O84" s="675"/>
      <c r="P84" s="841"/>
      <c r="Q84" s="675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</row>
    <row r="85" spans="1:29" ht="69.95" customHeight="1" x14ac:dyDescent="0.35">
      <c r="A85" s="3917"/>
      <c r="B85" s="3646"/>
      <c r="C85" s="3790" t="s">
        <v>165</v>
      </c>
      <c r="D85" s="3790"/>
      <c r="E85" s="3790"/>
      <c r="F85" s="3596"/>
      <c r="G85" s="3596"/>
      <c r="H85" s="3455" t="str">
        <f t="shared" ref="H85:H86" si="45">+IF(G85=0,"S.D.",IF((F85/G85)&lt;151,"O.K.","VERIFICAR"))</f>
        <v>S.D.</v>
      </c>
      <c r="I85" s="3593" t="str">
        <f t="shared" si="44"/>
        <v xml:space="preserve"> </v>
      </c>
      <c r="J85" s="3591">
        <f t="shared" ref="J85:J90" si="46">+IF(G85=0,0,F85/G85)</f>
        <v>0</v>
      </c>
      <c r="K85" s="2146"/>
      <c r="L85" s="10"/>
      <c r="M85" s="834"/>
      <c r="N85" s="675"/>
      <c r="O85" s="675"/>
      <c r="P85" s="841"/>
      <c r="Q85" s="675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</row>
    <row r="86" spans="1:29" ht="69.95" customHeight="1" thickBot="1" x14ac:dyDescent="0.4">
      <c r="A86" s="3917"/>
      <c r="B86" s="3646"/>
      <c r="C86" s="4008" t="s">
        <v>166</v>
      </c>
      <c r="D86" s="4009"/>
      <c r="E86" s="4010"/>
      <c r="F86" s="3596"/>
      <c r="G86" s="3596"/>
      <c r="H86" s="3455" t="str">
        <f t="shared" si="45"/>
        <v>S.D.</v>
      </c>
      <c r="I86" s="3593" t="str">
        <f t="shared" si="44"/>
        <v xml:space="preserve"> </v>
      </c>
      <c r="J86" s="3591">
        <f t="shared" si="46"/>
        <v>0</v>
      </c>
      <c r="K86" s="2146"/>
      <c r="L86" s="10"/>
      <c r="M86" s="834"/>
      <c r="N86" s="675"/>
      <c r="O86" s="675"/>
      <c r="P86" s="841"/>
      <c r="Q86" s="675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</row>
    <row r="87" spans="1:29" ht="69.95" customHeight="1" x14ac:dyDescent="0.35">
      <c r="A87" s="3917"/>
      <c r="B87" s="3646"/>
      <c r="C87" s="3660" t="s">
        <v>1227</v>
      </c>
      <c r="D87" s="4011" t="s">
        <v>46</v>
      </c>
      <c r="E87" s="4012"/>
      <c r="F87" s="3596"/>
      <c r="G87" s="3596"/>
      <c r="H87" s="3455" t="str">
        <f>+IF(G87=0,"S.D.",IF((F87/G87)&lt;=120,"O.K.","VERIFICAR"))</f>
        <v>S.D.</v>
      </c>
      <c r="I87" s="3593" t="str">
        <f t="shared" si="44"/>
        <v xml:space="preserve"> </v>
      </c>
      <c r="J87" s="3591">
        <f t="shared" si="46"/>
        <v>0</v>
      </c>
      <c r="K87" s="2146"/>
      <c r="L87" s="10"/>
      <c r="M87" s="834"/>
      <c r="N87" s="675"/>
      <c r="O87" s="675"/>
      <c r="P87" s="841"/>
      <c r="Q87" s="675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</row>
    <row r="88" spans="1:29" ht="69.95" customHeight="1" x14ac:dyDescent="0.35">
      <c r="A88" s="3917"/>
      <c r="B88" s="3646"/>
      <c r="C88" s="3661"/>
      <c r="D88" s="3921" t="s">
        <v>168</v>
      </c>
      <c r="E88" s="3922"/>
      <c r="F88" s="3596"/>
      <c r="G88" s="3596"/>
      <c r="H88" s="3455" t="str">
        <f>+IF(G88=0,"S.D.",IF(AND((F88/G88)&gt;120,(F88/G88)&lt;=150),"O.K.","VERIFICAR"))</f>
        <v>S.D.</v>
      </c>
      <c r="I88" s="3593" t="str">
        <f t="shared" si="44"/>
        <v xml:space="preserve"> </v>
      </c>
      <c r="J88" s="3591">
        <f t="shared" si="46"/>
        <v>0</v>
      </c>
      <c r="K88" s="2146"/>
      <c r="L88" s="10"/>
      <c r="M88" s="834"/>
      <c r="N88" s="675"/>
      <c r="O88" s="675"/>
      <c r="P88" s="841"/>
      <c r="Q88" s="675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</row>
    <row r="89" spans="1:29" ht="69.95" customHeight="1" x14ac:dyDescent="0.35">
      <c r="A89" s="3917"/>
      <c r="B89" s="3646"/>
      <c r="C89" s="3661"/>
      <c r="D89" s="3693" t="s">
        <v>169</v>
      </c>
      <c r="E89" s="3681"/>
      <c r="F89" s="3596"/>
      <c r="G89" s="3596"/>
      <c r="H89" s="3455" t="str">
        <f>+IF(G89=0,"S.D.",IF((F89/G89)&lt;=120,"O.K.","VERIFICAR"))</f>
        <v>S.D.</v>
      </c>
      <c r="I89" s="3593" t="str">
        <f t="shared" si="44"/>
        <v xml:space="preserve"> </v>
      </c>
      <c r="J89" s="3591">
        <f t="shared" si="46"/>
        <v>0</v>
      </c>
      <c r="K89" s="2146"/>
      <c r="L89" s="10"/>
      <c r="M89" s="834"/>
      <c r="N89" s="675"/>
      <c r="O89" s="675"/>
      <c r="P89" s="841"/>
      <c r="Q89" s="675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</row>
    <row r="90" spans="1:29" ht="69.95" customHeight="1" thickBot="1" x14ac:dyDescent="0.4">
      <c r="A90" s="3917"/>
      <c r="B90" s="3646"/>
      <c r="C90" s="3661"/>
      <c r="D90" s="3684" t="s">
        <v>49</v>
      </c>
      <c r="E90" s="3685"/>
      <c r="F90" s="3596"/>
      <c r="G90" s="3596"/>
      <c r="H90" s="3455" t="str">
        <f>+IF(G90=0,"S.D.",IF(AND((F90/G90)&gt;120,(F90/G90)&lt;=150),"O.K.","VERIFICAR"))</f>
        <v>S.D.</v>
      </c>
      <c r="I90" s="3593" t="str">
        <f t="shared" si="44"/>
        <v xml:space="preserve"> </v>
      </c>
      <c r="J90" s="3591">
        <f t="shared" si="46"/>
        <v>0</v>
      </c>
      <c r="K90" s="2146"/>
      <c r="L90" s="10"/>
      <c r="M90" s="834"/>
      <c r="N90" s="675"/>
      <c r="O90" s="675"/>
      <c r="P90" s="841"/>
      <c r="Q90" s="675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</row>
    <row r="91" spans="1:29" ht="69.95" customHeight="1" x14ac:dyDescent="0.35">
      <c r="A91" s="3917"/>
      <c r="B91" s="3646"/>
      <c r="C91" s="3660" t="s">
        <v>1228</v>
      </c>
      <c r="D91" s="4011" t="s">
        <v>46</v>
      </c>
      <c r="E91" s="4012"/>
      <c r="F91" s="3597"/>
      <c r="G91" s="3597"/>
      <c r="H91" s="3455" t="str">
        <f>+IF(G91=0,"S.D.",IF((F91/G91)&lt;=120,"O.K.","VERIFICAR"))</f>
        <v>S.D.</v>
      </c>
      <c r="I91" s="3593" t="str">
        <f t="shared" si="44"/>
        <v xml:space="preserve"> </v>
      </c>
      <c r="J91" s="841"/>
      <c r="K91" s="2146"/>
      <c r="L91" s="10"/>
      <c r="M91" s="834"/>
      <c r="N91" s="675"/>
      <c r="O91" s="675"/>
      <c r="P91" s="841"/>
      <c r="Q91" s="675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</row>
    <row r="92" spans="1:29" ht="69.95" customHeight="1" x14ac:dyDescent="0.35">
      <c r="A92" s="3917"/>
      <c r="B92" s="3646"/>
      <c r="C92" s="3661"/>
      <c r="D92" s="3921" t="s">
        <v>168</v>
      </c>
      <c r="E92" s="3922"/>
      <c r="F92" s="3597"/>
      <c r="G92" s="3597"/>
      <c r="H92" s="3455" t="str">
        <f>+IF(G92=0,"S.D.",IF(AND((F92/G92)&gt;120,(F92/G92)&lt;=150),"O.K.","VERIFICAR"))</f>
        <v>S.D.</v>
      </c>
      <c r="I92" s="3593" t="str">
        <f t="shared" si="44"/>
        <v xml:space="preserve"> </v>
      </c>
      <c r="J92" s="841"/>
      <c r="K92" s="2146"/>
      <c r="L92" s="10"/>
      <c r="M92" s="834"/>
      <c r="N92" s="675"/>
      <c r="O92" s="675"/>
      <c r="P92" s="841"/>
      <c r="Q92" s="675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</row>
    <row r="93" spans="1:29" ht="69.95" customHeight="1" x14ac:dyDescent="0.35">
      <c r="A93" s="3917"/>
      <c r="B93" s="3646"/>
      <c r="C93" s="3661"/>
      <c r="D93" s="3693" t="s">
        <v>169</v>
      </c>
      <c r="E93" s="3681"/>
      <c r="F93" s="3597"/>
      <c r="G93" s="3597"/>
      <c r="H93" s="3455" t="str">
        <f>+IF(G93=0,"S.D.",IF((F93/G93)&lt;=120,"O.K.","VERIFICAR"))</f>
        <v>S.D.</v>
      </c>
      <c r="I93" s="3593" t="str">
        <f t="shared" si="44"/>
        <v xml:space="preserve"> </v>
      </c>
      <c r="J93" s="841"/>
      <c r="K93" s="2146"/>
      <c r="L93" s="10"/>
      <c r="M93" s="834"/>
      <c r="N93" s="675"/>
      <c r="O93" s="675"/>
      <c r="P93" s="841"/>
      <c r="Q93" s="675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</row>
    <row r="94" spans="1:29" ht="69.95" customHeight="1" thickBot="1" x14ac:dyDescent="0.4">
      <c r="A94" s="3917"/>
      <c r="B94" s="3646"/>
      <c r="C94" s="3662"/>
      <c r="D94" s="3684" t="s">
        <v>49</v>
      </c>
      <c r="E94" s="3685"/>
      <c r="F94" s="3597"/>
      <c r="G94" s="3597"/>
      <c r="H94" s="3455" t="str">
        <f>+IF(G94=0,"S.D.",IF(AND((F94/G94)&gt;120,(F94/G94)&lt;=150),"O.K.","VERIFICAR"))</f>
        <v>S.D.</v>
      </c>
      <c r="I94" s="3593" t="str">
        <f t="shared" si="44"/>
        <v xml:space="preserve"> </v>
      </c>
      <c r="J94" s="841"/>
      <c r="K94" s="2146"/>
      <c r="L94" s="10"/>
      <c r="M94" s="834"/>
      <c r="N94" s="675"/>
      <c r="O94" s="675"/>
      <c r="P94" s="841"/>
      <c r="Q94" s="675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</row>
    <row r="95" spans="1:29" ht="69.95" customHeight="1" x14ac:dyDescent="0.35">
      <c r="A95" s="3917"/>
      <c r="B95" s="3646"/>
      <c r="C95" s="3660" t="s">
        <v>1229</v>
      </c>
      <c r="D95" s="4011" t="s">
        <v>46</v>
      </c>
      <c r="E95" s="4012"/>
      <c r="F95" s="3597"/>
      <c r="G95" s="3597"/>
      <c r="H95" s="3455" t="str">
        <f>+IF(G95=0,"S.D.",IF((F95/G95)&lt;=120,"O.K.","VERIFICAR"))</f>
        <v>S.D.</v>
      </c>
      <c r="I95" s="3593" t="str">
        <f t="shared" si="44"/>
        <v xml:space="preserve"> </v>
      </c>
      <c r="J95" s="841"/>
      <c r="K95" s="2146"/>
      <c r="L95" s="10"/>
      <c r="M95" s="834"/>
      <c r="N95" s="675"/>
      <c r="O95" s="675"/>
      <c r="P95" s="841"/>
      <c r="Q95" s="675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</row>
    <row r="96" spans="1:29" ht="69.95" customHeight="1" x14ac:dyDescent="0.35">
      <c r="A96" s="3917"/>
      <c r="B96" s="3646"/>
      <c r="C96" s="3661"/>
      <c r="D96" s="3921" t="s">
        <v>168</v>
      </c>
      <c r="E96" s="3922"/>
      <c r="F96" s="3597"/>
      <c r="G96" s="3597"/>
      <c r="H96" s="3455" t="str">
        <f>+IF(G96=0,"S.D.",IF(AND((F96/G96)&gt;120,(F96/G96)&lt;=150),"O.K.","VERIFICAR"))</f>
        <v>S.D.</v>
      </c>
      <c r="I96" s="3593" t="str">
        <f t="shared" si="44"/>
        <v xml:space="preserve"> </v>
      </c>
      <c r="J96" s="841"/>
      <c r="K96" s="2146"/>
      <c r="L96" s="10"/>
      <c r="M96" s="834"/>
      <c r="N96" s="675"/>
      <c r="O96" s="675"/>
      <c r="P96" s="841"/>
      <c r="Q96" s="675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</row>
    <row r="97" spans="1:29" ht="69.95" customHeight="1" x14ac:dyDescent="0.35">
      <c r="A97" s="3917"/>
      <c r="B97" s="3646"/>
      <c r="C97" s="3661"/>
      <c r="D97" s="3693" t="s">
        <v>169</v>
      </c>
      <c r="E97" s="3681"/>
      <c r="F97" s="3597"/>
      <c r="G97" s="3597"/>
      <c r="H97" s="3455" t="str">
        <f>+IF(G97=0,"S.D.",IF((F97/G97)&lt;=120,"O.K.","VERIFICAR"))</f>
        <v>S.D.</v>
      </c>
      <c r="I97" s="3593" t="str">
        <f t="shared" si="44"/>
        <v xml:space="preserve"> </v>
      </c>
      <c r="J97" s="841"/>
      <c r="K97" s="2146"/>
      <c r="L97" s="10"/>
      <c r="M97" s="834"/>
      <c r="N97" s="675"/>
      <c r="O97" s="675"/>
      <c r="P97" s="841"/>
      <c r="Q97" s="675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</row>
    <row r="98" spans="1:29" ht="69.95" customHeight="1" thickBot="1" x14ac:dyDescent="0.4">
      <c r="A98" s="3917"/>
      <c r="B98" s="3647"/>
      <c r="C98" s="3662"/>
      <c r="D98" s="3684" t="s">
        <v>49</v>
      </c>
      <c r="E98" s="3685"/>
      <c r="F98" s="3597"/>
      <c r="G98" s="3597"/>
      <c r="H98" s="3455" t="str">
        <f>+IF(G98=0,"S.D.",IF(AND((F98/G98)&gt;120,(F98/G98)&lt;=150),"O.K.","VERIFICAR"))</f>
        <v>S.D.</v>
      </c>
      <c r="I98" s="3593" t="str">
        <f t="shared" si="44"/>
        <v xml:space="preserve"> </v>
      </c>
      <c r="J98" s="841"/>
      <c r="K98" s="2146"/>
      <c r="L98" s="10"/>
      <c r="M98" s="834"/>
      <c r="N98" s="675"/>
      <c r="O98" s="675"/>
      <c r="P98" s="841"/>
      <c r="Q98" s="675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</row>
    <row r="99" spans="1:29" ht="69.95" customHeight="1" x14ac:dyDescent="0.35">
      <c r="A99" s="3917"/>
      <c r="B99" s="4114" t="s">
        <v>52</v>
      </c>
      <c r="C99" s="3736" t="s">
        <v>164</v>
      </c>
      <c r="D99" s="3765"/>
      <c r="E99" s="3766"/>
      <c r="F99" s="3596"/>
      <c r="G99" s="3596"/>
      <c r="H99" s="3455" t="str">
        <f>+IF(G99=0,"S.D.",IF(AND((F99/G99)&gt;150,(F99/G99)&lt;=500),"O.K.","VERIFICAR"))</f>
        <v>S.D.</v>
      </c>
      <c r="I99" s="3593" t="str">
        <f t="shared" si="44"/>
        <v xml:space="preserve"> </v>
      </c>
      <c r="J99" s="3591">
        <f t="shared" ref="J99:J113" si="47">+IF(G99=0,0,F99/G99)</f>
        <v>0</v>
      </c>
      <c r="K99" s="2146"/>
      <c r="L99" s="10"/>
      <c r="M99" s="834"/>
      <c r="N99" s="675"/>
      <c r="O99" s="675"/>
      <c r="P99" s="841"/>
      <c r="Q99" s="675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</row>
    <row r="100" spans="1:29" ht="69.95" customHeight="1" x14ac:dyDescent="0.45">
      <c r="A100" s="3917"/>
      <c r="B100" s="4115"/>
      <c r="C100" s="3791" t="s">
        <v>170</v>
      </c>
      <c r="D100" s="3790"/>
      <c r="E100" s="3790"/>
      <c r="F100" s="3596"/>
      <c r="G100" s="3596"/>
      <c r="H100" s="3600" t="str">
        <f>+IF(G100=0,"S.D.",IF(AND((F100/G100)&gt;150,(F100/G100)&lt;=350),"O.K.","VERIFICAR"))</f>
        <v>S.D.</v>
      </c>
      <c r="I100" s="3593" t="str">
        <f t="shared" si="44"/>
        <v xml:space="preserve"> </v>
      </c>
      <c r="J100" s="3591">
        <f t="shared" si="47"/>
        <v>0</v>
      </c>
      <c r="K100" s="2146"/>
      <c r="L100" s="10"/>
      <c r="M100" s="834"/>
      <c r="N100" s="675"/>
      <c r="O100" s="675"/>
      <c r="P100" s="841"/>
      <c r="Q100" s="675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</row>
    <row r="101" spans="1:29" ht="69.95" customHeight="1" x14ac:dyDescent="0.35">
      <c r="A101" s="3917"/>
      <c r="B101" s="4115"/>
      <c r="C101" s="3931" t="s">
        <v>171</v>
      </c>
      <c r="D101" s="3932"/>
      <c r="E101" s="3932"/>
      <c r="F101" s="3596"/>
      <c r="G101" s="3596"/>
      <c r="H101" s="3455" t="str">
        <f>+IF(G101=0,"S.D.",IF(AND((F101/G101)&gt;350,(F101/G101)&lt;=500),"O.K.","VERIFICAR"))</f>
        <v>S.D.</v>
      </c>
      <c r="I101" s="3593" t="str">
        <f t="shared" si="44"/>
        <v xml:space="preserve"> </v>
      </c>
      <c r="J101" s="3591">
        <f t="shared" si="47"/>
        <v>0</v>
      </c>
      <c r="K101" s="2146"/>
      <c r="L101" s="10"/>
      <c r="M101" s="834"/>
      <c r="N101" s="675"/>
      <c r="O101" s="675"/>
      <c r="P101" s="841"/>
      <c r="Q101" s="675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</row>
    <row r="102" spans="1:29" ht="69.95" hidden="1" customHeight="1" x14ac:dyDescent="0.35">
      <c r="A102" s="3917"/>
      <c r="B102" s="4115"/>
      <c r="C102" s="3665" t="s">
        <v>1317</v>
      </c>
      <c r="D102" s="3666"/>
      <c r="E102" s="3666"/>
      <c r="F102" s="3596"/>
      <c r="G102" s="3596"/>
      <c r="H102" s="3455" t="str">
        <f>+IF(G102=0,"S.D.",IF(AND((F102/G102)&gt;150,(F102/G102)&lt;=500),"O.K.","VERIFICAR"))</f>
        <v>S.D.</v>
      </c>
      <c r="I102" s="3593" t="str">
        <f t="shared" si="44"/>
        <v xml:space="preserve"> </v>
      </c>
      <c r="J102" s="3591">
        <f t="shared" si="47"/>
        <v>0</v>
      </c>
      <c r="K102" s="2146"/>
      <c r="L102" s="10"/>
      <c r="M102" s="834"/>
      <c r="N102" s="675"/>
      <c r="O102" s="675"/>
      <c r="P102" s="841"/>
      <c r="Q102" s="675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</row>
    <row r="103" spans="1:29" ht="69.95" customHeight="1" x14ac:dyDescent="0.35">
      <c r="A103" s="3917"/>
      <c r="B103" s="4115"/>
      <c r="C103" s="3800" t="s">
        <v>172</v>
      </c>
      <c r="D103" s="3800"/>
      <c r="E103" s="3800"/>
      <c r="F103" s="3596"/>
      <c r="G103" s="3596"/>
      <c r="H103" s="3455" t="str">
        <f>+IF(G103=0,"S.D.",IF(AND((F103/G103)&gt;150,(F103/G103)&lt;=250),"O.K.","VERIFICAR"))</f>
        <v>S.D.</v>
      </c>
      <c r="I103" s="3593" t="str">
        <f t="shared" si="44"/>
        <v xml:space="preserve"> </v>
      </c>
      <c r="J103" s="3591">
        <f t="shared" si="47"/>
        <v>0</v>
      </c>
      <c r="K103" s="2146"/>
      <c r="L103" s="10"/>
      <c r="M103" s="834"/>
      <c r="N103" s="675"/>
      <c r="O103" s="675"/>
      <c r="P103" s="841"/>
      <c r="Q103" s="675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</row>
    <row r="104" spans="1:29" ht="69.95" customHeight="1" thickBot="1" x14ac:dyDescent="0.4">
      <c r="A104" s="3917"/>
      <c r="B104" s="4115"/>
      <c r="C104" s="4013" t="s">
        <v>173</v>
      </c>
      <c r="D104" s="4013"/>
      <c r="E104" s="4013"/>
      <c r="F104" s="3596"/>
      <c r="G104" s="3596"/>
      <c r="H104" s="3455" t="str">
        <f>+IF(G104=0,"S.D.",IF(AND((F104/G104)&gt;250,(F104/G104)&lt;=500),"O.K.","VERIFICAR"))</f>
        <v>S.D.</v>
      </c>
      <c r="I104" s="3593" t="str">
        <f t="shared" si="44"/>
        <v xml:space="preserve"> </v>
      </c>
      <c r="J104" s="3591">
        <f t="shared" si="47"/>
        <v>0</v>
      </c>
      <c r="K104" s="2146"/>
      <c r="L104" s="10"/>
      <c r="M104" s="834"/>
      <c r="N104" s="675"/>
      <c r="O104" s="675"/>
      <c r="P104" s="841"/>
      <c r="Q104" s="675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</row>
    <row r="105" spans="1:29" ht="69.95" hidden="1" customHeight="1" thickBot="1" x14ac:dyDescent="0.4">
      <c r="A105" s="3917"/>
      <c r="B105" s="4115"/>
      <c r="C105" s="3667" t="s">
        <v>1316</v>
      </c>
      <c r="D105" s="3667"/>
      <c r="E105" s="3667"/>
      <c r="F105" s="3596"/>
      <c r="G105" s="3596"/>
      <c r="H105" s="3455" t="str">
        <f>+IF(G105=0,"S.D.",IF(AND((F105/G105)&gt;150,(F105/G105)&lt;=500),"O.K.","VERIFICAR"))</f>
        <v>S.D.</v>
      </c>
      <c r="I105" s="3593" t="str">
        <f t="shared" si="44"/>
        <v xml:space="preserve"> </v>
      </c>
      <c r="J105" s="3591">
        <f t="shared" si="47"/>
        <v>0</v>
      </c>
      <c r="K105" s="2146"/>
      <c r="L105" s="10"/>
      <c r="M105" s="834"/>
      <c r="N105" s="675"/>
      <c r="O105" s="675"/>
      <c r="P105" s="841"/>
      <c r="Q105" s="675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</row>
    <row r="106" spans="1:29" ht="69.95" customHeight="1" x14ac:dyDescent="0.35">
      <c r="A106" s="3917"/>
      <c r="B106" s="4115"/>
      <c r="C106" s="3660" t="s">
        <v>1227</v>
      </c>
      <c r="D106" s="3656" t="s">
        <v>174</v>
      </c>
      <c r="E106" s="3657"/>
      <c r="F106" s="3596"/>
      <c r="G106" s="3596"/>
      <c r="H106" s="3455" t="str">
        <f>+IF(G106=0,"S.D.",IF(AND((F106/G106)&gt;150,(F106/G106)&lt;=300),"O.K.","VERIFICAR"))</f>
        <v>S.D.</v>
      </c>
      <c r="I106" s="3593" t="str">
        <f t="shared" si="44"/>
        <v xml:space="preserve"> </v>
      </c>
      <c r="J106" s="3591">
        <f t="shared" si="47"/>
        <v>0</v>
      </c>
      <c r="K106" s="2146"/>
      <c r="L106" s="10"/>
      <c r="M106" s="834"/>
      <c r="N106" s="675"/>
      <c r="O106" s="675"/>
      <c r="P106" s="841"/>
      <c r="Q106" s="675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</row>
    <row r="107" spans="1:29" ht="69.95" customHeight="1" x14ac:dyDescent="0.35">
      <c r="A107" s="3917"/>
      <c r="B107" s="4115"/>
      <c r="C107" s="3661"/>
      <c r="D107" s="3692" t="s">
        <v>1239</v>
      </c>
      <c r="E107" s="3679"/>
      <c r="F107" s="3596"/>
      <c r="G107" s="3596"/>
      <c r="H107" s="3455" t="str">
        <f>+IF(G107=0,"S.D.",IF(AND((F107/G107)&gt;300,(F107/G107)&lt;=350),"O.K.","VERIFICAR"))</f>
        <v>S.D.</v>
      </c>
      <c r="I107" s="3593" t="str">
        <f t="shared" si="44"/>
        <v xml:space="preserve"> </v>
      </c>
      <c r="J107" s="3591">
        <f t="shared" si="47"/>
        <v>0</v>
      </c>
      <c r="K107" s="2146"/>
      <c r="L107" s="10"/>
      <c r="M107" s="834"/>
      <c r="N107" s="675"/>
      <c r="O107" s="675"/>
      <c r="P107" s="841"/>
      <c r="Q107" s="675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</row>
    <row r="108" spans="1:29" ht="69.95" customHeight="1" x14ac:dyDescent="0.35">
      <c r="A108" s="3917"/>
      <c r="B108" s="4115"/>
      <c r="C108" s="3661"/>
      <c r="D108" s="3692" t="s">
        <v>176</v>
      </c>
      <c r="E108" s="3679"/>
      <c r="F108" s="3596"/>
      <c r="G108" s="3596"/>
      <c r="H108" s="3455" t="str">
        <f>+IF(G108=0,"S.D.",IF(AND((F108/G108)&gt;350,(F108/G108)&lt;=500),"O.K.","VERIFICAR"))</f>
        <v>S.D.</v>
      </c>
      <c r="I108" s="3593" t="str">
        <f t="shared" si="44"/>
        <v xml:space="preserve"> </v>
      </c>
      <c r="J108" s="3591">
        <f t="shared" si="47"/>
        <v>0</v>
      </c>
      <c r="K108" s="2146"/>
      <c r="L108" s="10"/>
      <c r="M108" s="834"/>
      <c r="N108" s="675"/>
      <c r="O108" s="675"/>
      <c r="P108" s="841"/>
      <c r="Q108" s="675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</row>
    <row r="109" spans="1:29" ht="69.95" hidden="1" customHeight="1" x14ac:dyDescent="0.35">
      <c r="A109" s="3917"/>
      <c r="B109" s="4115"/>
      <c r="C109" s="3661"/>
      <c r="D109" s="3658" t="s">
        <v>1314</v>
      </c>
      <c r="E109" s="3659"/>
      <c r="F109" s="3596"/>
      <c r="G109" s="3596"/>
      <c r="H109" s="3455" t="str">
        <f>+IF(G109=0,"S.D.",IF(AND((F109/G109)&gt;350,(F109/G109)&lt;=500),"O.K.","VERIFICAR"))</f>
        <v>S.D.</v>
      </c>
      <c r="I109" s="3593" t="str">
        <f t="shared" si="44"/>
        <v xml:space="preserve"> </v>
      </c>
      <c r="J109" s="3591">
        <f t="shared" si="47"/>
        <v>0</v>
      </c>
      <c r="K109" s="2146"/>
      <c r="L109" s="10"/>
      <c r="M109" s="834"/>
      <c r="N109" s="675"/>
      <c r="O109" s="675"/>
      <c r="P109" s="841"/>
      <c r="Q109" s="675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</row>
    <row r="110" spans="1:29" ht="69.95" customHeight="1" x14ac:dyDescent="0.35">
      <c r="A110" s="3917"/>
      <c r="B110" s="4115"/>
      <c r="C110" s="3661"/>
      <c r="D110" s="3693" t="s">
        <v>55</v>
      </c>
      <c r="E110" s="3681"/>
      <c r="F110" s="3596"/>
      <c r="G110" s="3596"/>
      <c r="H110" s="3455" t="str">
        <f>+IF(G110=0,"S.D.",IF(AND((F110/G110)&gt;150,(F110/G110)&lt;=300),"O.K.","VERIFICAR"))</f>
        <v>S.D.</v>
      </c>
      <c r="I110" s="3593" t="str">
        <f t="shared" si="44"/>
        <v xml:space="preserve"> </v>
      </c>
      <c r="J110" s="3591">
        <f t="shared" si="47"/>
        <v>0</v>
      </c>
      <c r="K110" s="2146"/>
      <c r="L110" s="10"/>
      <c r="M110" s="834"/>
      <c r="N110" s="675"/>
      <c r="O110" s="675"/>
      <c r="P110" s="841"/>
      <c r="Q110" s="675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</row>
    <row r="111" spans="1:29" ht="69.95" customHeight="1" x14ac:dyDescent="0.35">
      <c r="A111" s="3917"/>
      <c r="B111" s="4115"/>
      <c r="C111" s="3661"/>
      <c r="D111" s="3923" t="s">
        <v>177</v>
      </c>
      <c r="E111" s="3683"/>
      <c r="F111" s="3596"/>
      <c r="G111" s="3596"/>
      <c r="H111" s="3455" t="str">
        <f>+IF(G111=0,"S.D.",IF(AND((F111/G111)&gt;300,(F111/G111)&lt;=350),"O.K.","VERIFICAR"))</f>
        <v>S.D.</v>
      </c>
      <c r="I111" s="3593" t="str">
        <f t="shared" si="44"/>
        <v xml:space="preserve"> </v>
      </c>
      <c r="J111" s="3591">
        <f t="shared" si="47"/>
        <v>0</v>
      </c>
      <c r="K111" s="4129"/>
      <c r="L111" s="10"/>
      <c r="M111" s="834"/>
      <c r="N111" s="675"/>
      <c r="O111" s="675"/>
      <c r="P111" s="841"/>
      <c r="Q111" s="675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</row>
    <row r="112" spans="1:29" ht="69.95" customHeight="1" thickBot="1" x14ac:dyDescent="0.4">
      <c r="A112" s="3917"/>
      <c r="B112" s="4115"/>
      <c r="C112" s="3661"/>
      <c r="D112" s="3684" t="s">
        <v>178</v>
      </c>
      <c r="E112" s="3685"/>
      <c r="F112" s="3596"/>
      <c r="G112" s="3596"/>
      <c r="H112" s="3455" t="str">
        <f>+IF(G112=0,"S.D.",IF(AND((F112/G112)&gt;350,(F112/G112)&lt;=500),"O.K.","VERIFICAR"))</f>
        <v>S.D.</v>
      </c>
      <c r="I112" s="3593" t="str">
        <f t="shared" si="44"/>
        <v xml:space="preserve"> </v>
      </c>
      <c r="J112" s="3591">
        <f t="shared" si="47"/>
        <v>0</v>
      </c>
      <c r="K112" s="4129"/>
      <c r="L112" s="10"/>
      <c r="M112" s="834"/>
      <c r="N112" s="675"/>
      <c r="O112" s="675"/>
      <c r="P112" s="841"/>
      <c r="Q112" s="675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</row>
    <row r="113" spans="1:29" ht="69.95" hidden="1" customHeight="1" thickBot="1" x14ac:dyDescent="0.4">
      <c r="A113" s="3917"/>
      <c r="B113" s="4115"/>
      <c r="C113" s="3662"/>
      <c r="D113" s="3663" t="s">
        <v>1315</v>
      </c>
      <c r="E113" s="3664"/>
      <c r="F113" s="3596"/>
      <c r="G113" s="3596"/>
      <c r="H113" s="3455" t="str">
        <f>+IF(G113=0,"S.D.",IF(AND((F113/G113)&gt;350,(F113/G113)&lt;=500),"O.K.","VERIFICAR"))</f>
        <v>S.D.</v>
      </c>
      <c r="I113" s="3593" t="str">
        <f t="shared" si="44"/>
        <v xml:space="preserve"> </v>
      </c>
      <c r="J113" s="3591">
        <f t="shared" si="47"/>
        <v>0</v>
      </c>
      <c r="K113" s="2146"/>
      <c r="L113" s="10"/>
      <c r="M113" s="834"/>
      <c r="N113" s="675"/>
      <c r="O113" s="675"/>
      <c r="P113" s="841"/>
      <c r="Q113" s="675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</row>
    <row r="114" spans="1:29" ht="69.95" customHeight="1" x14ac:dyDescent="0.35">
      <c r="A114" s="3917"/>
      <c r="B114" s="4115"/>
      <c r="C114" s="3654" t="s">
        <v>1228</v>
      </c>
      <c r="D114" s="3656" t="s">
        <v>174</v>
      </c>
      <c r="E114" s="3657"/>
      <c r="F114" s="3598"/>
      <c r="G114" s="3598"/>
      <c r="H114" s="3455" t="str">
        <f>+IF(G114=0,"S.D.",IF(AND((F114/G114)&gt;150,(F114/G114)&lt;=300),"O.K.","VERIFICAR"))</f>
        <v>S.D.</v>
      </c>
      <c r="I114" s="3593" t="str">
        <f t="shared" si="44"/>
        <v xml:space="preserve"> </v>
      </c>
      <c r="J114" s="841"/>
      <c r="K114" s="2146"/>
      <c r="L114" s="10"/>
      <c r="M114" s="834"/>
      <c r="N114" s="675"/>
      <c r="O114" s="675"/>
      <c r="P114" s="841"/>
      <c r="Q114" s="675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</row>
    <row r="115" spans="1:29" ht="69.95" customHeight="1" x14ac:dyDescent="0.35">
      <c r="A115" s="3917"/>
      <c r="B115" s="4115"/>
      <c r="C115" s="4117"/>
      <c r="D115" s="3692" t="s">
        <v>175</v>
      </c>
      <c r="E115" s="3679"/>
      <c r="F115" s="3598"/>
      <c r="G115" s="3598"/>
      <c r="H115" s="3455" t="str">
        <f>+IF(G115=0,"S.D.",IF(AND((F115/G115)&gt;300,(F115/G115)&lt;=350),"O.K.","VERIFICAR"))</f>
        <v>S.D.</v>
      </c>
      <c r="I115" s="3593" t="str">
        <f t="shared" si="44"/>
        <v xml:space="preserve"> </v>
      </c>
      <c r="J115" s="841"/>
      <c r="K115" s="2146"/>
      <c r="L115" s="10"/>
      <c r="M115" s="834"/>
      <c r="N115" s="675"/>
      <c r="O115" s="675"/>
      <c r="P115" s="841"/>
      <c r="Q115" s="675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</row>
    <row r="116" spans="1:29" ht="69.95" customHeight="1" x14ac:dyDescent="0.35">
      <c r="A116" s="3917"/>
      <c r="B116" s="4115"/>
      <c r="C116" s="4117"/>
      <c r="D116" s="3692" t="s">
        <v>176</v>
      </c>
      <c r="E116" s="3679"/>
      <c r="F116" s="3598"/>
      <c r="G116" s="3598"/>
      <c r="H116" s="3455" t="str">
        <f>+IF(G116=0,"S.D.",IF(AND((F116/G116)&gt;350,(F116/G116)&lt;=500),"O.K.","VERIFICAR"))</f>
        <v>S.D.</v>
      </c>
      <c r="I116" s="3593" t="str">
        <f t="shared" si="44"/>
        <v xml:space="preserve"> </v>
      </c>
      <c r="J116" s="841"/>
      <c r="K116" s="2146"/>
      <c r="L116" s="10"/>
      <c r="M116" s="834"/>
      <c r="N116" s="675"/>
      <c r="O116" s="675"/>
      <c r="P116" s="841"/>
      <c r="Q116" s="675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</row>
    <row r="117" spans="1:29" ht="69.95" customHeight="1" x14ac:dyDescent="0.35">
      <c r="A117" s="3917"/>
      <c r="B117" s="4115"/>
      <c r="C117" s="4117"/>
      <c r="D117" s="3693" t="s">
        <v>55</v>
      </c>
      <c r="E117" s="3681"/>
      <c r="F117" s="3598"/>
      <c r="G117" s="3598"/>
      <c r="H117" s="3455" t="str">
        <f>+IF(G117=0,"S.D.",IF(AND((F117/G117)&gt;150,(F117/G117)&lt;=300),"O.K.","VERIFICAR"))</f>
        <v>S.D.</v>
      </c>
      <c r="I117" s="3593" t="str">
        <f t="shared" si="44"/>
        <v xml:space="preserve"> </v>
      </c>
      <c r="J117" s="841"/>
      <c r="K117" s="2146"/>
      <c r="L117" s="10"/>
      <c r="M117" s="834"/>
      <c r="N117" s="675"/>
      <c r="O117" s="675"/>
      <c r="P117" s="841"/>
      <c r="Q117" s="675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</row>
    <row r="118" spans="1:29" ht="69.95" customHeight="1" x14ac:dyDescent="0.35">
      <c r="A118" s="3917"/>
      <c r="B118" s="4115"/>
      <c r="C118" s="4117"/>
      <c r="D118" s="3923" t="s">
        <v>177</v>
      </c>
      <c r="E118" s="3683"/>
      <c r="F118" s="3598"/>
      <c r="G118" s="3598"/>
      <c r="H118" s="3455" t="str">
        <f>+IF(G118=0,"S.D.",IF(AND((F118/G118)&gt;300,(F118/G118)&lt;=350),"O.K.","VERIFICAR"))</f>
        <v>S.D.</v>
      </c>
      <c r="I118" s="3593" t="str">
        <f t="shared" si="44"/>
        <v xml:space="preserve"> </v>
      </c>
      <c r="J118" s="841"/>
      <c r="K118" s="2146"/>
      <c r="L118" s="10"/>
      <c r="M118" s="834"/>
      <c r="N118" s="675"/>
      <c r="O118" s="675"/>
      <c r="P118" s="841"/>
      <c r="Q118" s="675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</row>
    <row r="119" spans="1:29" ht="69.95" customHeight="1" thickBot="1" x14ac:dyDescent="0.4">
      <c r="A119" s="3917"/>
      <c r="B119" s="4115"/>
      <c r="C119" s="3655"/>
      <c r="D119" s="3684" t="s">
        <v>178</v>
      </c>
      <c r="E119" s="3685"/>
      <c r="F119" s="3598"/>
      <c r="G119" s="3598"/>
      <c r="H119" s="3455" t="str">
        <f>+IF(G119=0,"S.D.",IF(AND((F119/G119)&gt;350,(F119/G119)&lt;=500),"O.K.","VERIFICAR"))</f>
        <v>S.D.</v>
      </c>
      <c r="I119" s="3593" t="str">
        <f t="shared" si="44"/>
        <v xml:space="preserve"> </v>
      </c>
      <c r="J119" s="841"/>
      <c r="K119" s="2146"/>
      <c r="L119" s="10"/>
      <c r="M119" s="834"/>
      <c r="N119" s="675"/>
      <c r="O119" s="675"/>
      <c r="P119" s="841"/>
      <c r="Q119" s="675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</row>
    <row r="120" spans="1:29" ht="69.95" customHeight="1" x14ac:dyDescent="0.35">
      <c r="A120" s="3917"/>
      <c r="B120" s="4115"/>
      <c r="C120" s="4103" t="s">
        <v>1229</v>
      </c>
      <c r="D120" s="3677" t="s">
        <v>174</v>
      </c>
      <c r="E120" s="3657"/>
      <c r="F120" s="3598"/>
      <c r="G120" s="3598"/>
      <c r="H120" s="3455" t="str">
        <f>+IF(G120=0,"S.D.",IF(AND((F120/G120)&gt;150,(F120/G120)&lt;=300),"O.K.","VERIFICAR"))</f>
        <v>S.D.</v>
      </c>
      <c r="I120" s="3593" t="str">
        <f t="shared" si="44"/>
        <v xml:space="preserve"> </v>
      </c>
      <c r="J120" s="841"/>
      <c r="K120" s="2146"/>
      <c r="L120" s="10"/>
      <c r="M120" s="834"/>
      <c r="N120" s="675"/>
      <c r="O120" s="675"/>
      <c r="P120" s="841"/>
      <c r="Q120" s="675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</row>
    <row r="121" spans="1:29" ht="69.95" customHeight="1" x14ac:dyDescent="0.35">
      <c r="A121" s="3917"/>
      <c r="B121" s="4115"/>
      <c r="C121" s="4104"/>
      <c r="D121" s="3678" t="s">
        <v>175</v>
      </c>
      <c r="E121" s="3679"/>
      <c r="F121" s="3598"/>
      <c r="G121" s="3598"/>
      <c r="H121" s="3455" t="str">
        <f>+IF(G121=0,"S.D.",IF(AND((F121/G121)&gt;300,(F121/G121)&lt;=350),"O.K.","VERIFICAR"))</f>
        <v>S.D.</v>
      </c>
      <c r="I121" s="3593" t="str">
        <f t="shared" si="44"/>
        <v xml:space="preserve"> </v>
      </c>
      <c r="J121" s="841"/>
      <c r="K121" s="2146"/>
      <c r="L121" s="10"/>
      <c r="M121" s="834"/>
      <c r="N121" s="675"/>
      <c r="O121" s="675"/>
      <c r="P121" s="841"/>
      <c r="Q121" s="675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</row>
    <row r="122" spans="1:29" ht="69.95" customHeight="1" x14ac:dyDescent="0.35">
      <c r="A122" s="3917"/>
      <c r="B122" s="4115"/>
      <c r="C122" s="4104"/>
      <c r="D122" s="3678" t="s">
        <v>176</v>
      </c>
      <c r="E122" s="3679"/>
      <c r="F122" s="3598"/>
      <c r="G122" s="3598"/>
      <c r="H122" s="3455" t="str">
        <f>+IF(G122=0,"S.D.",IF(AND((F122/G122)&gt;350,(F122/G122)&lt;=500),"O.K.","VERIFICAR"))</f>
        <v>S.D.</v>
      </c>
      <c r="I122" s="3593" t="str">
        <f t="shared" si="44"/>
        <v xml:space="preserve"> </v>
      </c>
      <c r="J122" s="841"/>
      <c r="K122" s="2146"/>
      <c r="L122" s="10"/>
      <c r="M122" s="834"/>
      <c r="N122" s="675"/>
      <c r="O122" s="675"/>
      <c r="P122" s="841"/>
      <c r="Q122" s="675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</row>
    <row r="123" spans="1:29" ht="69.95" hidden="1" customHeight="1" x14ac:dyDescent="0.35">
      <c r="A123" s="3917"/>
      <c r="B123" s="4115"/>
      <c r="C123" s="4104"/>
      <c r="D123" s="3678" t="s">
        <v>1326</v>
      </c>
      <c r="E123" s="3679"/>
      <c r="F123" s="3598"/>
      <c r="G123" s="3598"/>
      <c r="H123" s="3455"/>
      <c r="I123" s="3593"/>
      <c r="J123" s="841"/>
      <c r="K123" s="2146"/>
      <c r="L123" s="10"/>
      <c r="M123" s="834"/>
      <c r="N123" s="675"/>
      <c r="O123" s="675"/>
      <c r="P123" s="841"/>
      <c r="Q123" s="675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</row>
    <row r="124" spans="1:29" ht="69.95" customHeight="1" x14ac:dyDescent="0.35">
      <c r="A124" s="3917"/>
      <c r="B124" s="4115"/>
      <c r="C124" s="4104"/>
      <c r="D124" s="3680" t="s">
        <v>55</v>
      </c>
      <c r="E124" s="3681"/>
      <c r="F124" s="3598"/>
      <c r="G124" s="3598"/>
      <c r="H124" s="3455" t="str">
        <f>+IF(G124=0,"S.D.",IF(AND((F124/G124)&gt;150,(F124/G124)&lt;=300),"O.K.","VERIFICAR"))</f>
        <v>S.D.</v>
      </c>
      <c r="I124" s="3593" t="str">
        <f t="shared" si="44"/>
        <v xml:space="preserve"> </v>
      </c>
      <c r="J124" s="841"/>
      <c r="K124" s="2146"/>
      <c r="L124" s="10"/>
      <c r="M124" s="834"/>
      <c r="N124" s="675"/>
      <c r="O124" s="675"/>
      <c r="P124" s="841"/>
      <c r="Q124" s="675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</row>
    <row r="125" spans="1:29" ht="69.95" customHeight="1" x14ac:dyDescent="0.35">
      <c r="A125" s="3917"/>
      <c r="B125" s="4115"/>
      <c r="C125" s="4104"/>
      <c r="D125" s="3682" t="s">
        <v>177</v>
      </c>
      <c r="E125" s="3683"/>
      <c r="F125" s="3598"/>
      <c r="G125" s="3598"/>
      <c r="H125" s="3455" t="str">
        <f>+IF(G125=0,"S.D.",IF(AND((F125/G125)&gt;300,(F125/G125)&lt;=350),"O.K.","VERIFICAR"))</f>
        <v>S.D.</v>
      </c>
      <c r="I125" s="3593" t="str">
        <f t="shared" si="44"/>
        <v xml:space="preserve"> </v>
      </c>
      <c r="J125" s="841"/>
      <c r="K125" s="2146"/>
      <c r="L125" s="10"/>
      <c r="M125" s="834"/>
      <c r="N125" s="675"/>
      <c r="O125" s="675"/>
      <c r="P125" s="841"/>
      <c r="Q125" s="675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</row>
    <row r="126" spans="1:29" ht="69.95" customHeight="1" thickBot="1" x14ac:dyDescent="0.4">
      <c r="A126" s="3917"/>
      <c r="B126" s="4115"/>
      <c r="C126" s="4104"/>
      <c r="D126" s="3682" t="s">
        <v>178</v>
      </c>
      <c r="E126" s="3683"/>
      <c r="F126" s="3598"/>
      <c r="G126" s="3598"/>
      <c r="H126" s="3455" t="str">
        <f>+IF(G126=0,"S.D.",IF(AND((F126/G126)&gt;350,(F126/G126)&lt;=500),"O.K.","VERIFICAR"))</f>
        <v>S.D.</v>
      </c>
      <c r="I126" s="3593" t="str">
        <f t="shared" si="44"/>
        <v xml:space="preserve"> </v>
      </c>
      <c r="J126" s="841"/>
      <c r="K126" s="2146"/>
      <c r="L126" s="10"/>
      <c r="M126" s="834"/>
      <c r="N126" s="675"/>
      <c r="O126" s="675"/>
      <c r="P126" s="841"/>
      <c r="Q126" s="675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</row>
    <row r="127" spans="1:29" ht="69.95" hidden="1" customHeight="1" thickBot="1" x14ac:dyDescent="0.4">
      <c r="A127" s="3917"/>
      <c r="B127" s="4116"/>
      <c r="C127" s="4105"/>
      <c r="D127" s="3682" t="s">
        <v>1327</v>
      </c>
      <c r="E127" s="3683"/>
      <c r="F127" s="3598"/>
      <c r="G127" s="3598"/>
      <c r="H127" s="3455"/>
      <c r="I127" s="3593"/>
      <c r="J127" s="841"/>
      <c r="K127" s="2146"/>
      <c r="L127" s="10"/>
      <c r="M127" s="834"/>
      <c r="N127" s="675"/>
      <c r="O127" s="675"/>
      <c r="P127" s="841"/>
      <c r="Q127" s="675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</row>
    <row r="128" spans="1:29" ht="69.95" customHeight="1" x14ac:dyDescent="0.35">
      <c r="A128" s="3917"/>
      <c r="B128" s="4111" t="s">
        <v>57</v>
      </c>
      <c r="C128" s="3765" t="s">
        <v>164</v>
      </c>
      <c r="D128" s="3929"/>
      <c r="E128" s="3930"/>
      <c r="F128" s="3596"/>
      <c r="G128" s="3596"/>
      <c r="H128" s="3455" t="str">
        <f>IF(G128=0,"S.D.",+IF(AND((F128/G128)&gt;500,(F128/G128)&lt;=700),"O.K.","VERIFICAR"))</f>
        <v>S.D.</v>
      </c>
      <c r="I128" s="3593" t="str">
        <f t="shared" si="44"/>
        <v xml:space="preserve"> </v>
      </c>
      <c r="J128" s="3591">
        <f t="shared" ref="J128:J136" si="48">+IF(G128=0,0,F128/G128)</f>
        <v>0</v>
      </c>
      <c r="K128" s="2146"/>
      <c r="L128" s="10"/>
      <c r="M128" s="834"/>
      <c r="N128" s="675"/>
      <c r="O128" s="675"/>
      <c r="P128" s="841"/>
      <c r="Q128" s="675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</row>
    <row r="129" spans="1:29" ht="69.95" customHeight="1" x14ac:dyDescent="0.35">
      <c r="A129" s="3917"/>
      <c r="B129" s="4112"/>
      <c r="C129" s="3792" t="s">
        <v>179</v>
      </c>
      <c r="D129" s="3792"/>
      <c r="E129" s="3793"/>
      <c r="F129" s="3596"/>
      <c r="G129" s="3596"/>
      <c r="H129" s="3455" t="str">
        <f t="shared" ref="H129:H136" si="49">IF(G129=0,"S.D.",+IF(AND((F129/G129)&gt;500,(F129/G129)&lt;=700),"O.K.","VERIFICAR"))</f>
        <v>S.D.</v>
      </c>
      <c r="I129" s="3593" t="str">
        <f t="shared" si="44"/>
        <v xml:space="preserve"> </v>
      </c>
      <c r="J129" s="3591">
        <f t="shared" si="48"/>
        <v>0</v>
      </c>
      <c r="K129" s="2146"/>
      <c r="L129" s="10"/>
      <c r="M129" s="834"/>
      <c r="N129" s="675"/>
      <c r="O129" s="675"/>
      <c r="P129" s="841"/>
      <c r="Q129" s="675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</row>
    <row r="130" spans="1:29" ht="69.95" hidden="1" customHeight="1" x14ac:dyDescent="0.35">
      <c r="A130" s="3917"/>
      <c r="B130" s="4112"/>
      <c r="C130" s="3668" t="s">
        <v>1318</v>
      </c>
      <c r="D130" s="3668"/>
      <c r="E130" s="3669"/>
      <c r="F130" s="3596"/>
      <c r="G130" s="3596"/>
      <c r="H130" s="3455" t="str">
        <f t="shared" si="49"/>
        <v>S.D.</v>
      </c>
      <c r="I130" s="3593" t="str">
        <f t="shared" si="44"/>
        <v xml:space="preserve"> </v>
      </c>
      <c r="J130" s="3591">
        <f t="shared" si="48"/>
        <v>0</v>
      </c>
      <c r="K130" s="2146"/>
      <c r="L130" s="10"/>
      <c r="M130" s="834"/>
      <c r="N130" s="675"/>
      <c r="O130" s="675"/>
      <c r="P130" s="841"/>
      <c r="Q130" s="675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</row>
    <row r="131" spans="1:29" ht="69.95" customHeight="1" x14ac:dyDescent="0.35">
      <c r="A131" s="3917"/>
      <c r="B131" s="4112"/>
      <c r="C131" s="3919" t="s">
        <v>180</v>
      </c>
      <c r="D131" s="3919"/>
      <c r="E131" s="3920"/>
      <c r="F131" s="3596"/>
      <c r="G131" s="3596"/>
      <c r="H131" s="3455" t="str">
        <f t="shared" si="49"/>
        <v>S.D.</v>
      </c>
      <c r="I131" s="3593" t="str">
        <f t="shared" si="44"/>
        <v xml:space="preserve"> </v>
      </c>
      <c r="J131" s="3591">
        <f t="shared" si="48"/>
        <v>0</v>
      </c>
      <c r="K131" s="2146"/>
      <c r="L131" s="10"/>
      <c r="M131" s="834"/>
      <c r="N131" s="675"/>
      <c r="O131" s="675"/>
      <c r="P131" s="841"/>
      <c r="Q131" s="675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</row>
    <row r="132" spans="1:29" ht="69.95" hidden="1" customHeight="1" x14ac:dyDescent="0.35">
      <c r="A132" s="3917"/>
      <c r="B132" s="4112"/>
      <c r="C132" s="3670" t="s">
        <v>1319</v>
      </c>
      <c r="D132" s="3670"/>
      <c r="E132" s="3671"/>
      <c r="F132" s="3596"/>
      <c r="G132" s="3596"/>
      <c r="H132" s="3455" t="str">
        <f t="shared" si="49"/>
        <v>S.D.</v>
      </c>
      <c r="I132" s="3593" t="str">
        <f t="shared" si="44"/>
        <v xml:space="preserve"> </v>
      </c>
      <c r="J132" s="3591">
        <f t="shared" si="48"/>
        <v>0</v>
      </c>
      <c r="K132" s="2146"/>
      <c r="L132" s="10"/>
      <c r="M132" s="834"/>
      <c r="N132" s="675"/>
      <c r="O132" s="675"/>
      <c r="P132" s="841"/>
      <c r="Q132" s="675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</row>
    <row r="133" spans="1:29" ht="69.95" customHeight="1" x14ac:dyDescent="0.35">
      <c r="A133" s="3917"/>
      <c r="B133" s="4112"/>
      <c r="C133" s="3661" t="s">
        <v>1227</v>
      </c>
      <c r="D133" s="3961" t="s">
        <v>59</v>
      </c>
      <c r="E133" s="3962"/>
      <c r="F133" s="3596"/>
      <c r="G133" s="3596"/>
      <c r="H133" s="3455" t="str">
        <f t="shared" si="49"/>
        <v>S.D.</v>
      </c>
      <c r="I133" s="3593" t="str">
        <f t="shared" si="44"/>
        <v xml:space="preserve"> </v>
      </c>
      <c r="J133" s="3591">
        <f t="shared" si="48"/>
        <v>0</v>
      </c>
      <c r="K133" s="2146"/>
      <c r="L133" s="10"/>
      <c r="M133" s="834"/>
      <c r="N133" s="675"/>
      <c r="O133" s="675"/>
      <c r="P133" s="841"/>
      <c r="Q133" s="675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</row>
    <row r="134" spans="1:29" ht="69.95" hidden="1" customHeight="1" x14ac:dyDescent="0.35">
      <c r="A134" s="3917"/>
      <c r="B134" s="4112"/>
      <c r="C134" s="3661"/>
      <c r="D134" s="3672" t="s">
        <v>1320</v>
      </c>
      <c r="E134" s="3673"/>
      <c r="F134" s="3596"/>
      <c r="G134" s="3596"/>
      <c r="H134" s="3455" t="str">
        <f t="shared" si="49"/>
        <v>S.D.</v>
      </c>
      <c r="I134" s="3593" t="str">
        <f t="shared" si="44"/>
        <v xml:space="preserve"> </v>
      </c>
      <c r="J134" s="3591">
        <f t="shared" si="48"/>
        <v>0</v>
      </c>
      <c r="K134" s="2146"/>
      <c r="L134" s="10"/>
      <c r="M134" s="834"/>
      <c r="N134" s="675"/>
      <c r="O134" s="675"/>
      <c r="P134" s="841"/>
      <c r="Q134" s="675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</row>
    <row r="135" spans="1:29" ht="69.95" customHeight="1" thickBot="1" x14ac:dyDescent="0.4">
      <c r="A135" s="3917"/>
      <c r="B135" s="4112"/>
      <c r="C135" s="3661"/>
      <c r="D135" s="3684" t="s">
        <v>181</v>
      </c>
      <c r="E135" s="3685"/>
      <c r="F135" s="3596"/>
      <c r="G135" s="3596"/>
      <c r="H135" s="3455" t="str">
        <f t="shared" si="49"/>
        <v>S.D.</v>
      </c>
      <c r="I135" s="3593" t="str">
        <f t="shared" si="44"/>
        <v xml:space="preserve"> </v>
      </c>
      <c r="J135" s="3591">
        <f t="shared" si="48"/>
        <v>0</v>
      </c>
      <c r="K135" s="2146"/>
      <c r="L135" s="10"/>
      <c r="M135" s="834"/>
      <c r="N135" s="675"/>
      <c r="O135" s="675"/>
      <c r="P135" s="841"/>
      <c r="Q135" s="675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</row>
    <row r="136" spans="1:29" ht="69.95" hidden="1" customHeight="1" thickBot="1" x14ac:dyDescent="0.4">
      <c r="A136" s="3917"/>
      <c r="B136" s="4112"/>
      <c r="C136" s="3662"/>
      <c r="D136" s="3663" t="s">
        <v>1321</v>
      </c>
      <c r="E136" s="3664"/>
      <c r="F136" s="3596"/>
      <c r="G136" s="3596"/>
      <c r="H136" s="3455" t="str">
        <f t="shared" si="49"/>
        <v>S.D.</v>
      </c>
      <c r="I136" s="3593" t="str">
        <f t="shared" si="44"/>
        <v xml:space="preserve"> </v>
      </c>
      <c r="J136" s="3591">
        <f t="shared" si="48"/>
        <v>0</v>
      </c>
      <c r="K136" s="2146"/>
      <c r="L136" s="10"/>
      <c r="M136" s="834"/>
      <c r="N136" s="675"/>
      <c r="O136" s="675"/>
      <c r="P136" s="841"/>
      <c r="Q136" s="675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</row>
    <row r="137" spans="1:29" ht="69.95" customHeight="1" x14ac:dyDescent="0.35">
      <c r="A137" s="3917"/>
      <c r="B137" s="4112"/>
      <c r="C137" s="3654" t="s">
        <v>1228</v>
      </c>
      <c r="D137" s="3656" t="s">
        <v>59</v>
      </c>
      <c r="E137" s="3657"/>
      <c r="F137" s="3598"/>
      <c r="G137" s="3598"/>
      <c r="H137" s="3455" t="str">
        <f t="shared" ref="H137:H142" si="50">IF(G137=0,"S.D.",+IF(AND((F137/G137)&gt;500,(F137/G137)&lt;=700),"O.K.","VERIFICAR"))</f>
        <v>S.D.</v>
      </c>
      <c r="I137" s="3593" t="str">
        <f t="shared" si="44"/>
        <v xml:space="preserve"> </v>
      </c>
      <c r="J137" s="841"/>
      <c r="K137" s="2146"/>
      <c r="L137" s="10"/>
      <c r="M137" s="834"/>
      <c r="N137" s="675"/>
      <c r="O137" s="675"/>
      <c r="P137" s="841"/>
      <c r="Q137" s="675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</row>
    <row r="138" spans="1:29" ht="69.95" customHeight="1" thickBot="1" x14ac:dyDescent="0.4">
      <c r="A138" s="3917"/>
      <c r="B138" s="4112"/>
      <c r="C138" s="3655"/>
      <c r="D138" s="3684" t="s">
        <v>181</v>
      </c>
      <c r="E138" s="3685"/>
      <c r="F138" s="3598"/>
      <c r="G138" s="3598"/>
      <c r="H138" s="3455" t="str">
        <f t="shared" si="50"/>
        <v>S.D.</v>
      </c>
      <c r="I138" s="3593" t="str">
        <f t="shared" si="44"/>
        <v xml:space="preserve"> </v>
      </c>
      <c r="J138" s="841"/>
      <c r="K138" s="2146"/>
      <c r="L138" s="10"/>
      <c r="M138" s="834"/>
      <c r="N138" s="675"/>
      <c r="O138" s="675"/>
      <c r="P138" s="841"/>
      <c r="Q138" s="675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</row>
    <row r="139" spans="1:29" ht="69.95" customHeight="1" x14ac:dyDescent="0.35">
      <c r="A139" s="3917"/>
      <c r="B139" s="4112"/>
      <c r="C139" s="4103" t="s">
        <v>1229</v>
      </c>
      <c r="D139" s="3677" t="s">
        <v>59</v>
      </c>
      <c r="E139" s="3657"/>
      <c r="F139" s="3598"/>
      <c r="G139" s="3598"/>
      <c r="H139" s="3455" t="str">
        <f t="shared" si="50"/>
        <v>S.D.</v>
      </c>
      <c r="I139" s="3593" t="str">
        <f t="shared" si="44"/>
        <v xml:space="preserve"> </v>
      </c>
      <c r="J139" s="841"/>
      <c r="K139" s="2146"/>
      <c r="L139" s="10"/>
      <c r="M139" s="834"/>
      <c r="N139" s="675"/>
      <c r="O139" s="675"/>
      <c r="P139" s="841"/>
      <c r="Q139" s="675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</row>
    <row r="140" spans="1:29" ht="69.95" hidden="1" customHeight="1" x14ac:dyDescent="0.35">
      <c r="A140" s="3917"/>
      <c r="B140" s="4112"/>
      <c r="C140" s="4104"/>
      <c r="D140" s="3677" t="s">
        <v>1320</v>
      </c>
      <c r="E140" s="3657"/>
      <c r="F140" s="3598"/>
      <c r="G140" s="3598"/>
      <c r="H140" s="3455" t="str">
        <f t="shared" si="50"/>
        <v>S.D.</v>
      </c>
      <c r="I140" s="3593"/>
      <c r="J140" s="841"/>
      <c r="K140" s="2146"/>
      <c r="L140" s="10"/>
      <c r="M140" s="834"/>
      <c r="N140" s="675"/>
      <c r="O140" s="675"/>
      <c r="P140" s="841"/>
      <c r="Q140" s="675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</row>
    <row r="141" spans="1:29" ht="69.95" customHeight="1" thickBot="1" x14ac:dyDescent="0.4">
      <c r="A141" s="3917"/>
      <c r="B141" s="4112"/>
      <c r="C141" s="4104"/>
      <c r="D141" s="3689" t="s">
        <v>181</v>
      </c>
      <c r="E141" s="3685"/>
      <c r="F141" s="3598"/>
      <c r="G141" s="3598"/>
      <c r="H141" s="3455" t="str">
        <f t="shared" si="50"/>
        <v>S.D.</v>
      </c>
      <c r="I141" s="3593" t="str">
        <f t="shared" si="44"/>
        <v xml:space="preserve"> </v>
      </c>
      <c r="J141" s="841"/>
      <c r="K141" s="2146"/>
      <c r="L141" s="10"/>
      <c r="M141" s="834"/>
      <c r="N141" s="675"/>
      <c r="O141" s="675"/>
      <c r="P141" s="841"/>
      <c r="Q141" s="675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</row>
    <row r="142" spans="1:29" ht="69.95" hidden="1" customHeight="1" thickBot="1" x14ac:dyDescent="0.4">
      <c r="A142" s="3917"/>
      <c r="B142" s="4113"/>
      <c r="C142" s="4105"/>
      <c r="D142" s="3689" t="s">
        <v>1322</v>
      </c>
      <c r="E142" s="3685"/>
      <c r="F142" s="3598"/>
      <c r="G142" s="3598"/>
      <c r="H142" s="3455" t="str">
        <f t="shared" si="50"/>
        <v>S.D.</v>
      </c>
      <c r="I142" s="3593"/>
      <c r="J142" s="841"/>
      <c r="K142" s="2146"/>
      <c r="L142" s="10"/>
      <c r="M142" s="834"/>
      <c r="N142" s="675"/>
      <c r="O142" s="675"/>
      <c r="P142" s="841"/>
      <c r="Q142" s="675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</row>
    <row r="143" spans="1:29" ht="69.95" customHeight="1" x14ac:dyDescent="0.35">
      <c r="A143" s="3917"/>
      <c r="B143" s="4108" t="s">
        <v>62</v>
      </c>
      <c r="C143" s="3736" t="s">
        <v>164</v>
      </c>
      <c r="D143" s="3765"/>
      <c r="E143" s="3766"/>
      <c r="F143" s="3596"/>
      <c r="G143" s="3596"/>
      <c r="H143" s="3455" t="str">
        <f>IF(G143=0,"S.D.",+IF(AND((F143/G143)&gt;700,(F143/G143)&lt;=1400),"O.K.","VERIFICAR"))</f>
        <v>S.D.</v>
      </c>
      <c r="I143" s="3593" t="str">
        <f t="shared" si="44"/>
        <v xml:space="preserve"> </v>
      </c>
      <c r="J143" s="3591">
        <f t="shared" ref="J143:J151" si="51">+IF(G143=0,0,F143/G143)</f>
        <v>0</v>
      </c>
      <c r="K143" s="2146"/>
      <c r="L143" s="10"/>
      <c r="M143" s="834"/>
      <c r="N143" s="675"/>
      <c r="O143" s="675"/>
      <c r="P143" s="841"/>
      <c r="Q143" s="675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</row>
    <row r="144" spans="1:29" ht="69.95" customHeight="1" x14ac:dyDescent="0.35">
      <c r="A144" s="3917"/>
      <c r="B144" s="4109"/>
      <c r="C144" s="3974" t="s">
        <v>165</v>
      </c>
      <c r="D144" s="3974"/>
      <c r="E144" s="3974"/>
      <c r="F144" s="3596"/>
      <c r="G144" s="3596"/>
      <c r="H144" s="3455" t="str">
        <f t="shared" ref="H144:H151" si="52">IF(G144=0,"S.D.",+IF(AND((F144/G144)&gt;700,(F144/G144)&lt;=1400),"O.K.","VERIFICAR"))</f>
        <v>S.D.</v>
      </c>
      <c r="I144" s="3593" t="str">
        <f t="shared" si="44"/>
        <v xml:space="preserve"> </v>
      </c>
      <c r="J144" s="3591">
        <f t="shared" si="51"/>
        <v>0</v>
      </c>
      <c r="K144" s="2146"/>
      <c r="L144" s="10"/>
      <c r="M144" s="834"/>
      <c r="N144" s="675"/>
      <c r="O144" s="675"/>
      <c r="P144" s="841"/>
      <c r="Q144" s="675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</row>
    <row r="145" spans="1:29" ht="69.95" hidden="1" customHeight="1" x14ac:dyDescent="0.35">
      <c r="A145" s="3917"/>
      <c r="B145" s="4109"/>
      <c r="C145" s="3974" t="s">
        <v>1323</v>
      </c>
      <c r="D145" s="3974"/>
      <c r="E145" s="3974"/>
      <c r="F145" s="3596"/>
      <c r="G145" s="3596"/>
      <c r="H145" s="3455" t="str">
        <f t="shared" si="52"/>
        <v>S.D.</v>
      </c>
      <c r="I145" s="3593" t="str">
        <f t="shared" si="44"/>
        <v xml:space="preserve"> </v>
      </c>
      <c r="J145" s="3591">
        <f t="shared" si="51"/>
        <v>0</v>
      </c>
      <c r="K145" s="2146"/>
      <c r="L145" s="10"/>
      <c r="M145" s="834"/>
      <c r="N145" s="675"/>
      <c r="O145" s="675"/>
      <c r="P145" s="841"/>
      <c r="Q145" s="675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</row>
    <row r="146" spans="1:29" ht="69.95" customHeight="1" x14ac:dyDescent="0.35">
      <c r="A146" s="3917"/>
      <c r="B146" s="4109"/>
      <c r="C146" s="3968" t="s">
        <v>182</v>
      </c>
      <c r="D146" s="3919"/>
      <c r="E146" s="3920"/>
      <c r="F146" s="3596"/>
      <c r="G146" s="3596"/>
      <c r="H146" s="3455" t="str">
        <f t="shared" si="52"/>
        <v>S.D.</v>
      </c>
      <c r="I146" s="3593" t="str">
        <f t="shared" si="44"/>
        <v xml:space="preserve"> </v>
      </c>
      <c r="J146" s="3591">
        <f t="shared" si="51"/>
        <v>0</v>
      </c>
      <c r="K146" s="2146"/>
      <c r="L146" s="10"/>
      <c r="M146" s="834"/>
      <c r="N146" s="675"/>
      <c r="O146" s="675"/>
      <c r="P146" s="841"/>
      <c r="Q146" s="675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</row>
    <row r="147" spans="1:29" ht="69.95" hidden="1" customHeight="1" x14ac:dyDescent="0.35">
      <c r="A147" s="3917"/>
      <c r="B147" s="4109"/>
      <c r="C147" s="3969" t="s">
        <v>1319</v>
      </c>
      <c r="D147" s="3670"/>
      <c r="E147" s="3671"/>
      <c r="F147" s="3596"/>
      <c r="G147" s="3596"/>
      <c r="H147" s="3455" t="str">
        <f t="shared" si="52"/>
        <v>S.D.</v>
      </c>
      <c r="I147" s="3593" t="str">
        <f t="shared" si="44"/>
        <v xml:space="preserve"> </v>
      </c>
      <c r="J147" s="3591">
        <f t="shared" si="51"/>
        <v>0</v>
      </c>
      <c r="K147" s="2146"/>
      <c r="L147" s="10"/>
      <c r="M147" s="834"/>
      <c r="N147" s="675"/>
      <c r="O147" s="675"/>
      <c r="P147" s="841"/>
      <c r="Q147" s="675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</row>
    <row r="148" spans="1:29" ht="69.95" customHeight="1" x14ac:dyDescent="0.35">
      <c r="A148" s="3917"/>
      <c r="B148" s="4109"/>
      <c r="C148" s="3691" t="s">
        <v>1227</v>
      </c>
      <c r="D148" s="3692" t="s">
        <v>64</v>
      </c>
      <c r="E148" s="3679"/>
      <c r="F148" s="3596"/>
      <c r="G148" s="3596"/>
      <c r="H148" s="3455" t="str">
        <f t="shared" si="52"/>
        <v>S.D.</v>
      </c>
      <c r="I148" s="3593" t="str">
        <f t="shared" si="44"/>
        <v xml:space="preserve"> </v>
      </c>
      <c r="J148" s="3591">
        <f t="shared" si="51"/>
        <v>0</v>
      </c>
      <c r="K148" s="2146"/>
      <c r="L148" s="10"/>
      <c r="M148" s="834"/>
      <c r="N148" s="675"/>
      <c r="O148" s="675"/>
      <c r="P148" s="841"/>
      <c r="Q148" s="675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</row>
    <row r="149" spans="1:29" ht="69.95" hidden="1" customHeight="1" x14ac:dyDescent="0.35">
      <c r="A149" s="3917"/>
      <c r="B149" s="4109"/>
      <c r="C149" s="3970"/>
      <c r="D149" s="3658" t="s">
        <v>1324</v>
      </c>
      <c r="E149" s="3659"/>
      <c r="F149" s="3596"/>
      <c r="G149" s="3596"/>
      <c r="H149" s="3455" t="str">
        <f t="shared" si="52"/>
        <v>S.D.</v>
      </c>
      <c r="I149" s="3593" t="str">
        <f t="shared" si="44"/>
        <v xml:space="preserve"> </v>
      </c>
      <c r="J149" s="3591">
        <f t="shared" si="51"/>
        <v>0</v>
      </c>
      <c r="K149" s="2146"/>
      <c r="L149" s="10"/>
      <c r="M149" s="834"/>
      <c r="N149" s="675"/>
      <c r="O149" s="675"/>
      <c r="P149" s="841"/>
      <c r="Q149" s="675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</row>
    <row r="150" spans="1:29" ht="69.95" customHeight="1" x14ac:dyDescent="0.35">
      <c r="A150" s="3917"/>
      <c r="B150" s="4109"/>
      <c r="C150" s="3970"/>
      <c r="D150" s="3693" t="s">
        <v>183</v>
      </c>
      <c r="E150" s="3681"/>
      <c r="F150" s="3596"/>
      <c r="G150" s="3596"/>
      <c r="H150" s="3455" t="str">
        <f t="shared" si="52"/>
        <v>S.D.</v>
      </c>
      <c r="I150" s="3593" t="str">
        <f t="shared" si="44"/>
        <v xml:space="preserve"> </v>
      </c>
      <c r="J150" s="3591">
        <f t="shared" si="51"/>
        <v>0</v>
      </c>
      <c r="K150" s="2146"/>
      <c r="L150" s="10"/>
      <c r="M150" s="834"/>
      <c r="N150" s="675"/>
      <c r="O150" s="675"/>
      <c r="P150" s="841"/>
      <c r="Q150" s="675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</row>
    <row r="151" spans="1:29" ht="69.95" hidden="1" customHeight="1" x14ac:dyDescent="0.35">
      <c r="A151" s="3917"/>
      <c r="B151" s="4109"/>
      <c r="C151" s="3971"/>
      <c r="D151" s="3972" t="s">
        <v>1325</v>
      </c>
      <c r="E151" s="3973"/>
      <c r="F151" s="3596"/>
      <c r="G151" s="3596"/>
      <c r="H151" s="3455" t="str">
        <f t="shared" si="52"/>
        <v>S.D.</v>
      </c>
      <c r="I151" s="3593" t="str">
        <f t="shared" si="44"/>
        <v xml:space="preserve"> </v>
      </c>
      <c r="J151" s="3591">
        <f t="shared" si="51"/>
        <v>0</v>
      </c>
      <c r="K151" s="2146"/>
      <c r="L151" s="10"/>
      <c r="M151" s="834"/>
      <c r="N151" s="675"/>
      <c r="O151" s="675"/>
      <c r="P151" s="841"/>
      <c r="Q151" s="675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</row>
    <row r="152" spans="1:29" ht="69.95" customHeight="1" x14ac:dyDescent="0.35">
      <c r="A152" s="3917"/>
      <c r="B152" s="4109"/>
      <c r="C152" s="3690" t="s">
        <v>1228</v>
      </c>
      <c r="D152" s="3692" t="s">
        <v>64</v>
      </c>
      <c r="E152" s="3679"/>
      <c r="F152" s="3598"/>
      <c r="G152" s="3598"/>
      <c r="H152" s="3455" t="str">
        <f>IF(G152=0,"S.D.",+IF(AND((F152/G152)&gt;700,(F152/G152)&lt;=1400),"O.K.","VERIFICAR"))</f>
        <v>S.D.</v>
      </c>
      <c r="I152" s="3593" t="str">
        <f t="shared" si="44"/>
        <v xml:space="preserve"> </v>
      </c>
      <c r="J152" s="841"/>
      <c r="K152" s="2146"/>
      <c r="L152" s="10"/>
      <c r="M152" s="834"/>
      <c r="N152" s="675"/>
      <c r="O152" s="675"/>
      <c r="P152" s="841"/>
      <c r="Q152" s="675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</row>
    <row r="153" spans="1:29" ht="69.95" customHeight="1" thickBot="1" x14ac:dyDescent="0.4">
      <c r="A153" s="3917"/>
      <c r="B153" s="4109"/>
      <c r="C153" s="3691"/>
      <c r="D153" s="3693" t="s">
        <v>183</v>
      </c>
      <c r="E153" s="3681"/>
      <c r="F153" s="3598"/>
      <c r="G153" s="3598"/>
      <c r="H153" s="3455" t="str">
        <f t="shared" ref="H153:H157" si="53">IF(G153=0,"S.D.",+IF(AND((F153/G153)&gt;700,(F153/G153)&lt;=1400),"O.K.","VERIFICAR"))</f>
        <v>S.D.</v>
      </c>
      <c r="I153" s="3593" t="str">
        <f t="shared" si="44"/>
        <v xml:space="preserve"> </v>
      </c>
      <c r="J153" s="841"/>
      <c r="K153" s="2146"/>
      <c r="L153" s="10"/>
      <c r="M153" s="834"/>
      <c r="N153" s="675"/>
      <c r="O153" s="675"/>
      <c r="P153" s="841"/>
      <c r="Q153" s="675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</row>
    <row r="154" spans="1:29" ht="69.95" customHeight="1" x14ac:dyDescent="0.35">
      <c r="A154" s="3917"/>
      <c r="B154" s="4109"/>
      <c r="C154" s="4103" t="s">
        <v>1229</v>
      </c>
      <c r="D154" s="3678" t="s">
        <v>64</v>
      </c>
      <c r="E154" s="3679"/>
      <c r="F154" s="3598"/>
      <c r="G154" s="3598"/>
      <c r="H154" s="3455" t="str">
        <f t="shared" si="53"/>
        <v>S.D.</v>
      </c>
      <c r="I154" s="3593" t="str">
        <f t="shared" si="44"/>
        <v xml:space="preserve"> </v>
      </c>
      <c r="J154" s="841"/>
      <c r="K154" s="2146"/>
      <c r="L154" s="10"/>
      <c r="M154" s="834"/>
      <c r="N154" s="675"/>
      <c r="O154" s="675"/>
      <c r="P154" s="841"/>
      <c r="Q154" s="675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</row>
    <row r="155" spans="1:29" ht="69.95" hidden="1" customHeight="1" x14ac:dyDescent="0.35">
      <c r="A155" s="3917"/>
      <c r="B155" s="4109"/>
      <c r="C155" s="4104"/>
      <c r="D155" s="3678" t="s">
        <v>1324</v>
      </c>
      <c r="E155" s="3679"/>
      <c r="F155" s="3598"/>
      <c r="G155" s="3598"/>
      <c r="H155" s="3455" t="str">
        <f t="shared" si="53"/>
        <v>S.D.</v>
      </c>
      <c r="I155" s="3593"/>
      <c r="J155" s="841"/>
      <c r="K155" s="2146"/>
      <c r="L155" s="10"/>
      <c r="M155" s="834"/>
      <c r="N155" s="675"/>
      <c r="O155" s="675"/>
      <c r="P155" s="841"/>
      <c r="Q155" s="675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</row>
    <row r="156" spans="1:29" ht="69.95" customHeight="1" thickBot="1" x14ac:dyDescent="0.4">
      <c r="A156" s="3917"/>
      <c r="B156" s="4109"/>
      <c r="C156" s="4104"/>
      <c r="D156" s="3680" t="s">
        <v>183</v>
      </c>
      <c r="E156" s="3681"/>
      <c r="F156" s="3598"/>
      <c r="G156" s="3598"/>
      <c r="H156" s="3455" t="str">
        <f t="shared" si="53"/>
        <v>S.D.</v>
      </c>
      <c r="I156" s="3593" t="str">
        <f t="shared" si="44"/>
        <v xml:space="preserve"> </v>
      </c>
      <c r="J156" s="841"/>
      <c r="K156" s="2146"/>
      <c r="L156" s="10"/>
      <c r="M156" s="834"/>
      <c r="N156" s="675"/>
      <c r="O156" s="675"/>
      <c r="P156" s="841"/>
      <c r="Q156" s="675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</row>
    <row r="157" spans="1:29" ht="69.95" hidden="1" customHeight="1" thickBot="1" x14ac:dyDescent="0.4">
      <c r="A157" s="3917"/>
      <c r="B157" s="4110"/>
      <c r="C157" s="4105"/>
      <c r="D157" s="3680" t="s">
        <v>1329</v>
      </c>
      <c r="E157" s="3681"/>
      <c r="F157" s="3598"/>
      <c r="G157" s="3598"/>
      <c r="H157" s="3455" t="str">
        <f t="shared" si="53"/>
        <v>S.D.</v>
      </c>
      <c r="I157" s="3593"/>
      <c r="J157" s="841"/>
      <c r="K157" s="2146"/>
      <c r="L157" s="10"/>
      <c r="M157" s="834"/>
      <c r="N157" s="675"/>
      <c r="O157" s="675"/>
      <c r="P157" s="841"/>
      <c r="Q157" s="675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</row>
    <row r="158" spans="1:29" ht="69.95" customHeight="1" x14ac:dyDescent="0.35">
      <c r="A158" s="3917"/>
      <c r="B158" s="3981" t="s">
        <v>67</v>
      </c>
      <c r="C158" s="3736" t="s">
        <v>164</v>
      </c>
      <c r="D158" s="3737"/>
      <c r="E158" s="3738"/>
      <c r="F158" s="3596"/>
      <c r="G158" s="3596"/>
      <c r="H158" s="3455" t="str">
        <f>IF(G158=0,"S.D.",+IF(AND((F158/G158)&gt;1400,(F158/G158)&lt;=2999),"O.K.","VERIFICAR"))</f>
        <v>S.D.</v>
      </c>
      <c r="I158" s="3593" t="str">
        <f t="shared" si="44"/>
        <v xml:space="preserve"> </v>
      </c>
      <c r="J158" s="3591">
        <f t="shared" ref="J158:J166" si="54">+IF(G158=0,0,F158/G158)</f>
        <v>0</v>
      </c>
      <c r="K158" s="2146"/>
      <c r="L158" s="10"/>
      <c r="M158" s="834"/>
      <c r="N158" s="675"/>
      <c r="O158" s="675"/>
      <c r="P158" s="841"/>
      <c r="Q158" s="675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</row>
    <row r="159" spans="1:29" ht="69.95" customHeight="1" x14ac:dyDescent="0.35">
      <c r="A159" s="3917"/>
      <c r="B159" s="3982"/>
      <c r="C159" s="3790" t="s">
        <v>179</v>
      </c>
      <c r="D159" s="3790"/>
      <c r="E159" s="3790"/>
      <c r="F159" s="3596"/>
      <c r="G159" s="3596"/>
      <c r="H159" s="3455" t="str">
        <f t="shared" ref="H159:H166" si="55">IF(G159=0,"S.D.",+IF(AND((F159/G159)&gt;1400,(F159/G159)&lt;=2999),"O.K.","VERIFICAR"))</f>
        <v>S.D.</v>
      </c>
      <c r="I159" s="3593" t="str">
        <f t="shared" si="44"/>
        <v xml:space="preserve"> </v>
      </c>
      <c r="J159" s="3591">
        <f t="shared" si="54"/>
        <v>0</v>
      </c>
      <c r="K159" s="2146"/>
      <c r="L159" s="10"/>
      <c r="M159" s="834"/>
      <c r="N159" s="675"/>
      <c r="O159" s="675"/>
      <c r="P159" s="841"/>
      <c r="Q159" s="675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</row>
    <row r="160" spans="1:29" ht="69.95" hidden="1" customHeight="1" x14ac:dyDescent="0.35">
      <c r="A160" s="3917"/>
      <c r="B160" s="3982"/>
      <c r="C160" s="3974" t="s">
        <v>1330</v>
      </c>
      <c r="D160" s="3974"/>
      <c r="E160" s="3974"/>
      <c r="F160" s="3596"/>
      <c r="G160" s="3596"/>
      <c r="H160" s="3455" t="str">
        <f t="shared" si="55"/>
        <v>S.D.</v>
      </c>
      <c r="I160" s="3593" t="str">
        <f t="shared" si="44"/>
        <v xml:space="preserve"> </v>
      </c>
      <c r="J160" s="3591">
        <f t="shared" si="54"/>
        <v>0</v>
      </c>
      <c r="K160" s="2146"/>
      <c r="L160" s="10"/>
      <c r="M160" s="834"/>
      <c r="N160" s="675"/>
      <c r="O160" s="675"/>
      <c r="P160" s="841"/>
      <c r="Q160" s="675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</row>
    <row r="161" spans="1:29" ht="69.95" customHeight="1" thickBot="1" x14ac:dyDescent="0.4">
      <c r="A161" s="3917"/>
      <c r="B161" s="3982"/>
      <c r="C161" s="3733" t="s">
        <v>180</v>
      </c>
      <c r="D161" s="3734"/>
      <c r="E161" s="3735"/>
      <c r="F161" s="3596"/>
      <c r="G161" s="3596"/>
      <c r="H161" s="3455" t="str">
        <f t="shared" si="55"/>
        <v>S.D.</v>
      </c>
      <c r="I161" s="3593" t="str">
        <f t="shared" si="44"/>
        <v xml:space="preserve"> </v>
      </c>
      <c r="J161" s="3591">
        <f t="shared" si="54"/>
        <v>0</v>
      </c>
      <c r="K161" s="2146"/>
      <c r="L161" s="10"/>
      <c r="M161" s="834"/>
      <c r="N161" s="675"/>
      <c r="O161" s="675"/>
      <c r="P161" s="841"/>
      <c r="Q161" s="675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</row>
    <row r="162" spans="1:29" ht="69.95" hidden="1" customHeight="1" thickBot="1" x14ac:dyDescent="0.4">
      <c r="A162" s="3917"/>
      <c r="B162" s="3982"/>
      <c r="C162" s="3975" t="s">
        <v>1331</v>
      </c>
      <c r="D162" s="3976"/>
      <c r="E162" s="3977"/>
      <c r="F162" s="3596"/>
      <c r="G162" s="3596"/>
      <c r="H162" s="3455" t="str">
        <f t="shared" si="55"/>
        <v>S.D.</v>
      </c>
      <c r="I162" s="3593" t="str">
        <f t="shared" si="44"/>
        <v xml:space="preserve"> </v>
      </c>
      <c r="J162" s="3591">
        <f t="shared" si="54"/>
        <v>0</v>
      </c>
      <c r="K162" s="2146"/>
      <c r="L162" s="10"/>
      <c r="M162" s="834"/>
      <c r="N162" s="675"/>
      <c r="O162" s="675"/>
      <c r="P162" s="841"/>
      <c r="Q162" s="675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</row>
    <row r="163" spans="1:29" ht="69.95" customHeight="1" x14ac:dyDescent="0.35">
      <c r="A163" s="3917"/>
      <c r="B163" s="3982"/>
      <c r="C163" s="3660" t="s">
        <v>1227</v>
      </c>
      <c r="D163" s="3656" t="s">
        <v>184</v>
      </c>
      <c r="E163" s="3657"/>
      <c r="F163" s="3596"/>
      <c r="G163" s="3596"/>
      <c r="H163" s="3455" t="str">
        <f t="shared" si="55"/>
        <v>S.D.</v>
      </c>
      <c r="I163" s="3593" t="str">
        <f t="shared" si="44"/>
        <v xml:space="preserve"> </v>
      </c>
      <c r="J163" s="3591">
        <f t="shared" si="54"/>
        <v>0</v>
      </c>
      <c r="K163" s="2146"/>
      <c r="L163" s="10"/>
      <c r="M163" s="834"/>
      <c r="N163" s="675"/>
      <c r="O163" s="675"/>
      <c r="P163" s="841"/>
      <c r="Q163" s="675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</row>
    <row r="164" spans="1:29" ht="69.95" hidden="1" customHeight="1" x14ac:dyDescent="0.35">
      <c r="A164" s="3917"/>
      <c r="B164" s="3982"/>
      <c r="C164" s="3661"/>
      <c r="D164" s="3672" t="s">
        <v>1332</v>
      </c>
      <c r="E164" s="3673"/>
      <c r="F164" s="3596"/>
      <c r="G164" s="3596"/>
      <c r="H164" s="3455" t="str">
        <f t="shared" si="55"/>
        <v>S.D.</v>
      </c>
      <c r="I164" s="3593" t="str">
        <f t="shared" si="44"/>
        <v xml:space="preserve"> </v>
      </c>
      <c r="J164" s="3591">
        <f t="shared" si="54"/>
        <v>0</v>
      </c>
      <c r="K164" s="2146"/>
      <c r="L164" s="10"/>
      <c r="M164" s="834"/>
      <c r="N164" s="675"/>
      <c r="O164" s="675"/>
      <c r="P164" s="841"/>
      <c r="Q164" s="675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</row>
    <row r="165" spans="1:29" ht="69.95" customHeight="1" thickBot="1" x14ac:dyDescent="0.4">
      <c r="A165" s="3918"/>
      <c r="B165" s="3982"/>
      <c r="C165" s="3661"/>
      <c r="D165" s="3684" t="s">
        <v>185</v>
      </c>
      <c r="E165" s="3685"/>
      <c r="F165" s="3596"/>
      <c r="G165" s="3596"/>
      <c r="H165" s="3455" t="str">
        <f t="shared" si="55"/>
        <v>S.D.</v>
      </c>
      <c r="I165" s="3593" t="str">
        <f t="shared" si="44"/>
        <v xml:space="preserve"> </v>
      </c>
      <c r="J165" s="3591">
        <f t="shared" si="54"/>
        <v>0</v>
      </c>
      <c r="K165" s="2146"/>
      <c r="L165" s="10"/>
      <c r="M165" s="834"/>
      <c r="N165" s="675"/>
      <c r="O165" s="675"/>
      <c r="P165" s="841"/>
      <c r="Q165" s="675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</row>
    <row r="166" spans="1:29" ht="69.95" hidden="1" customHeight="1" thickBot="1" x14ac:dyDescent="0.4">
      <c r="A166" s="3366"/>
      <c r="B166" s="3982"/>
      <c r="C166" s="3662"/>
      <c r="D166" s="3663" t="s">
        <v>1333</v>
      </c>
      <c r="E166" s="3664"/>
      <c r="F166" s="3596"/>
      <c r="G166" s="3596"/>
      <c r="H166" s="3455" t="str">
        <f t="shared" si="55"/>
        <v>S.D.</v>
      </c>
      <c r="I166" s="3593" t="str">
        <f t="shared" si="44"/>
        <v xml:space="preserve"> </v>
      </c>
      <c r="J166" s="3591">
        <f t="shared" si="54"/>
        <v>0</v>
      </c>
      <c r="K166" s="2146"/>
      <c r="L166" s="10"/>
      <c r="M166" s="834"/>
      <c r="N166" s="675"/>
      <c r="O166" s="675"/>
      <c r="P166" s="841"/>
      <c r="Q166" s="675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</row>
    <row r="167" spans="1:29" ht="69.95" customHeight="1" x14ac:dyDescent="0.35">
      <c r="A167" s="3366"/>
      <c r="B167" s="3982"/>
      <c r="C167" s="3654" t="s">
        <v>1228</v>
      </c>
      <c r="D167" s="3656" t="s">
        <v>184</v>
      </c>
      <c r="E167" s="3657"/>
      <c r="F167" s="3598"/>
      <c r="G167" s="3598"/>
      <c r="H167" s="3455" t="str">
        <f t="shared" ref="H167:H172" si="56">IF(G167=0,"S.D.",+IF(AND((F167/G167)&gt;1400,(F167/G167)&lt;=2999),"O.K.","VERIFICAR"))</f>
        <v>S.D.</v>
      </c>
      <c r="I167" s="3593" t="str">
        <f t="shared" si="44"/>
        <v xml:space="preserve"> </v>
      </c>
      <c r="J167" s="841"/>
      <c r="K167" s="2146"/>
      <c r="L167" s="10"/>
      <c r="M167" s="834"/>
      <c r="N167" s="675"/>
      <c r="O167" s="675"/>
      <c r="P167" s="841"/>
      <c r="Q167" s="675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</row>
    <row r="168" spans="1:29" ht="69.95" customHeight="1" thickBot="1" x14ac:dyDescent="0.4">
      <c r="A168" s="3366"/>
      <c r="B168" s="3982"/>
      <c r="C168" s="3655"/>
      <c r="D168" s="3684" t="s">
        <v>185</v>
      </c>
      <c r="E168" s="3685"/>
      <c r="F168" s="3598"/>
      <c r="G168" s="3598"/>
      <c r="H168" s="3455" t="str">
        <f t="shared" si="56"/>
        <v>S.D.</v>
      </c>
      <c r="I168" s="3593" t="str">
        <f t="shared" si="44"/>
        <v xml:space="preserve"> </v>
      </c>
      <c r="J168" s="841"/>
      <c r="K168" s="2146"/>
      <c r="L168" s="10"/>
      <c r="M168" s="834"/>
      <c r="N168" s="675"/>
      <c r="O168" s="675"/>
      <c r="P168" s="841"/>
      <c r="Q168" s="675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</row>
    <row r="169" spans="1:29" ht="69.95" customHeight="1" x14ac:dyDescent="0.35">
      <c r="A169" s="3366"/>
      <c r="B169" s="3982"/>
      <c r="C169" s="3978" t="s">
        <v>1229</v>
      </c>
      <c r="D169" s="3656" t="s">
        <v>184</v>
      </c>
      <c r="E169" s="3657"/>
      <c r="F169" s="3598"/>
      <c r="G169" s="3598"/>
      <c r="H169" s="3455" t="str">
        <f t="shared" si="56"/>
        <v>S.D.</v>
      </c>
      <c r="I169" s="3593" t="str">
        <f t="shared" si="44"/>
        <v xml:space="preserve"> </v>
      </c>
      <c r="J169" s="841"/>
      <c r="K169" s="2146"/>
      <c r="L169" s="10"/>
      <c r="M169" s="834"/>
      <c r="N169" s="675"/>
      <c r="O169" s="675"/>
      <c r="P169" s="841"/>
      <c r="Q169" s="675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</row>
    <row r="170" spans="1:29" ht="69.95" hidden="1" customHeight="1" x14ac:dyDescent="0.35">
      <c r="A170" s="3366"/>
      <c r="B170" s="3982"/>
      <c r="C170" s="3979"/>
      <c r="D170" s="3656" t="s">
        <v>1334</v>
      </c>
      <c r="E170" s="3657"/>
      <c r="F170" s="3598"/>
      <c r="G170" s="3598"/>
      <c r="H170" s="3455" t="str">
        <f t="shared" si="56"/>
        <v>S.D.</v>
      </c>
      <c r="I170" s="3593"/>
      <c r="J170" s="841"/>
      <c r="K170" s="2146"/>
      <c r="L170" s="10"/>
      <c r="M170" s="834"/>
      <c r="N170" s="675"/>
      <c r="O170" s="675"/>
      <c r="P170" s="841"/>
      <c r="Q170" s="675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</row>
    <row r="171" spans="1:29" ht="69.95" customHeight="1" thickBot="1" x14ac:dyDescent="0.4">
      <c r="A171" s="3366"/>
      <c r="B171" s="3982"/>
      <c r="C171" s="3979"/>
      <c r="D171" s="3684" t="s">
        <v>185</v>
      </c>
      <c r="E171" s="3685"/>
      <c r="F171" s="3598"/>
      <c r="G171" s="3598"/>
      <c r="H171" s="3455" t="str">
        <f t="shared" si="56"/>
        <v>S.D.</v>
      </c>
      <c r="I171" s="3593" t="str">
        <f t="shared" si="44"/>
        <v xml:space="preserve"> </v>
      </c>
      <c r="J171" s="841"/>
      <c r="K171" s="2146"/>
      <c r="L171" s="10"/>
      <c r="M171" s="834"/>
      <c r="N171" s="675"/>
      <c r="O171" s="675"/>
      <c r="P171" s="841"/>
      <c r="Q171" s="675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</row>
    <row r="172" spans="1:29" ht="69.95" hidden="1" customHeight="1" thickBot="1" x14ac:dyDescent="0.4">
      <c r="A172" s="3366"/>
      <c r="B172" s="3983"/>
      <c r="C172" s="3980"/>
      <c r="D172" s="3684" t="s">
        <v>1335</v>
      </c>
      <c r="E172" s="3685"/>
      <c r="F172" s="3598"/>
      <c r="G172" s="3598"/>
      <c r="H172" s="3455" t="str">
        <f t="shared" si="56"/>
        <v>S.D.</v>
      </c>
      <c r="I172" s="3593"/>
      <c r="J172" s="841"/>
      <c r="K172" s="2146"/>
      <c r="L172" s="10"/>
      <c r="M172" s="834"/>
      <c r="N172" s="675"/>
      <c r="O172" s="675"/>
      <c r="P172" s="841"/>
      <c r="Q172" s="675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</row>
    <row r="173" spans="1:29" ht="69.95" customHeight="1" thickBot="1" x14ac:dyDescent="0.4">
      <c r="A173" s="4059" t="s">
        <v>186</v>
      </c>
      <c r="B173" s="3966" t="s">
        <v>21</v>
      </c>
      <c r="C173" s="3914" t="s">
        <v>187</v>
      </c>
      <c r="D173" s="3915"/>
      <c r="E173" s="3915"/>
      <c r="F173" s="3596"/>
      <c r="G173" s="3596"/>
      <c r="H173" s="3455" t="str">
        <f>IF(G173=0,"S.D.",+IF((F173/G173)&lt;=800,"O.K.","VERIFICAR"))</f>
        <v>S.D.</v>
      </c>
      <c r="I173" s="3593" t="str">
        <f t="shared" si="44"/>
        <v xml:space="preserve"> </v>
      </c>
      <c r="J173" s="3591">
        <f t="shared" ref="J173:J175" si="57">+IF(G173=0,0,F173/G173)</f>
        <v>0</v>
      </c>
      <c r="K173" s="2146"/>
      <c r="L173" s="10"/>
      <c r="M173" s="834"/>
      <c r="N173" s="675"/>
      <c r="O173" s="675"/>
      <c r="P173" s="841"/>
      <c r="Q173" s="675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</row>
    <row r="174" spans="1:29" ht="69.95" customHeight="1" thickBot="1" x14ac:dyDescent="0.4">
      <c r="A174" s="4060"/>
      <c r="B174" s="3967"/>
      <c r="C174" s="3914" t="s">
        <v>188</v>
      </c>
      <c r="D174" s="3915"/>
      <c r="E174" s="3915"/>
      <c r="F174" s="3596"/>
      <c r="G174" s="3596"/>
      <c r="H174" s="3455" t="str">
        <f>IF(G174=0,"S.D.",+IF(AND((F174/G174)&gt;800,(F174/G174)&lt;2000),"O.K.","VERIFICAR"))</f>
        <v>S.D.</v>
      </c>
      <c r="I174" s="3593" t="str">
        <f t="shared" si="44"/>
        <v xml:space="preserve"> </v>
      </c>
      <c r="J174" s="3591">
        <f t="shared" si="57"/>
        <v>0</v>
      </c>
      <c r="K174" s="2146"/>
      <c r="L174" s="10"/>
      <c r="M174" s="834"/>
      <c r="N174" s="675"/>
      <c r="O174" s="675"/>
      <c r="P174" s="841"/>
      <c r="Q174" s="675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</row>
    <row r="175" spans="1:29" ht="69.95" customHeight="1" thickBot="1" x14ac:dyDescent="0.4">
      <c r="A175" s="4061"/>
      <c r="B175" s="3327" t="s">
        <v>71</v>
      </c>
      <c r="C175" s="4106" t="s">
        <v>189</v>
      </c>
      <c r="D175" s="4107"/>
      <c r="E175" s="4107"/>
      <c r="F175" s="3596"/>
      <c r="G175" s="3596"/>
      <c r="H175" s="3455" t="str">
        <f>IF(G175=0,"S.D.",+IF(AND((F175/G175)&gt;1999,(F175/G175)&lt;=3000),"O.K.","VERIFICAR"))</f>
        <v>S.D.</v>
      </c>
      <c r="I175" s="3593" t="str">
        <f t="shared" si="44"/>
        <v xml:space="preserve"> </v>
      </c>
      <c r="J175" s="3591">
        <f t="shared" si="57"/>
        <v>0</v>
      </c>
      <c r="K175" s="2146"/>
      <c r="L175" s="10"/>
      <c r="M175" s="834"/>
      <c r="N175" s="675"/>
      <c r="O175" s="675"/>
      <c r="P175" s="841"/>
      <c r="Q175" s="675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</row>
    <row r="176" spans="1:29" ht="57.75" customHeight="1" thickBot="1" x14ac:dyDescent="0.25">
      <c r="A176" s="3950" t="s">
        <v>190</v>
      </c>
      <c r="B176" s="3951"/>
      <c r="C176" s="3951"/>
      <c r="D176" s="3951"/>
      <c r="E176" s="3951"/>
      <c r="F176" s="3599">
        <f>SUM(F84:F175)</f>
        <v>0</v>
      </c>
      <c r="G176" s="3599">
        <f>SUM(G84:G175)</f>
        <v>0</v>
      </c>
      <c r="H176" s="95"/>
      <c r="I176" s="3594"/>
      <c r="J176" s="843"/>
      <c r="K176" s="2146"/>
      <c r="L176" s="10"/>
      <c r="M176" s="834"/>
      <c r="N176" s="675"/>
      <c r="O176" s="675"/>
      <c r="P176" s="841"/>
      <c r="Q176" s="675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</row>
    <row r="177" spans="1:44" ht="30.75" customHeight="1" x14ac:dyDescent="0.35">
      <c r="D177" s="852"/>
      <c r="E177" s="853"/>
      <c r="F177" s="854"/>
      <c r="G177" s="2656"/>
      <c r="H177" s="2656"/>
      <c r="I177" s="843"/>
      <c r="J177" s="843"/>
      <c r="K177" s="2146"/>
      <c r="L177" s="10"/>
      <c r="M177" s="834"/>
      <c r="N177" s="675"/>
      <c r="O177" s="675"/>
      <c r="P177" s="841"/>
      <c r="Q177" s="675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</row>
    <row r="178" spans="1:44" ht="30.75" hidden="1" customHeight="1" thickBot="1" x14ac:dyDescent="0.4">
      <c r="D178" s="852"/>
      <c r="E178" s="853"/>
      <c r="F178" s="854"/>
      <c r="I178" s="843"/>
      <c r="J178" s="843"/>
      <c r="K178" s="2146"/>
      <c r="L178" s="10"/>
      <c r="M178" s="834"/>
      <c r="N178" s="675"/>
      <c r="O178" s="675"/>
      <c r="P178" s="841"/>
      <c r="Q178" s="675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</row>
    <row r="179" spans="1:44" ht="30.75" hidden="1" customHeight="1" x14ac:dyDescent="0.2">
      <c r="A179" s="3813" t="s">
        <v>160</v>
      </c>
      <c r="B179" s="3813"/>
      <c r="C179" s="3813"/>
      <c r="D179" s="3813"/>
      <c r="E179" s="3814"/>
      <c r="F179" s="3717" t="s">
        <v>191</v>
      </c>
      <c r="G179" s="3702" t="s">
        <v>101</v>
      </c>
      <c r="I179" s="4041" t="s">
        <v>192</v>
      </c>
      <c r="J179" s="3934"/>
      <c r="K179" s="3935"/>
      <c r="L179" s="3933" t="s">
        <v>193</v>
      </c>
      <c r="M179" s="3934"/>
      <c r="N179" s="3935"/>
      <c r="O179" s="3763" t="s">
        <v>194</v>
      </c>
      <c r="P179" s="3764"/>
      <c r="Q179" s="3764"/>
      <c r="R179" s="1965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</row>
    <row r="180" spans="1:44" ht="30.75" hidden="1" customHeight="1" thickBot="1" x14ac:dyDescent="0.25">
      <c r="A180" s="3813"/>
      <c r="B180" s="3815"/>
      <c r="C180" s="3815"/>
      <c r="D180" s="3815"/>
      <c r="E180" s="3816"/>
      <c r="F180" s="3717"/>
      <c r="G180" s="3702"/>
      <c r="I180" s="1966" t="s">
        <v>5</v>
      </c>
      <c r="J180" s="585" t="s">
        <v>6</v>
      </c>
      <c r="K180" s="585" t="s">
        <v>7</v>
      </c>
      <c r="L180" s="585" t="s">
        <v>5</v>
      </c>
      <c r="M180" s="585" t="s">
        <v>6</v>
      </c>
      <c r="N180" s="585" t="s">
        <v>7</v>
      </c>
      <c r="O180" s="585" t="s">
        <v>5</v>
      </c>
      <c r="P180" s="585" t="s">
        <v>6</v>
      </c>
      <c r="Q180" s="585" t="s">
        <v>7</v>
      </c>
      <c r="R180" s="1967" t="s">
        <v>4</v>
      </c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</row>
    <row r="181" spans="1:44" ht="52.5" hidden="1" customHeight="1" x14ac:dyDescent="0.2">
      <c r="A181" s="4019" t="s">
        <v>163</v>
      </c>
      <c r="B181" s="3952" t="s">
        <v>41</v>
      </c>
      <c r="C181" s="3906" t="s">
        <v>164</v>
      </c>
      <c r="D181" s="3907"/>
      <c r="E181" s="3908"/>
      <c r="F181" s="2351">
        <f t="shared" ref="F181:G196" si="58">+F84</f>
        <v>0</v>
      </c>
      <c r="G181" s="2351">
        <f t="shared" si="58"/>
        <v>0</v>
      </c>
      <c r="H181" s="12"/>
      <c r="I181" s="1968">
        <f>IF(F181=0,0,ROUND($F181*COEF!$J$27,0))</f>
        <v>0</v>
      </c>
      <c r="J181" s="858">
        <f>IF(F181=0,0,ROUND($F181*COEF!$K$27,0))</f>
        <v>0</v>
      </c>
      <c r="K181" s="858">
        <f>IF(F181=0,0,ROUND($F181*COEF!$L$27,0))</f>
        <v>0</v>
      </c>
      <c r="L181" s="859">
        <f t="shared" ref="L181:L212" ca="1" si="59">+ROUND(I181*I$395,0)</f>
        <v>0</v>
      </c>
      <c r="M181" s="859">
        <f t="shared" ref="M181:M212" ca="1" si="60">+ROUND(J181*J$395,0)</f>
        <v>0</v>
      </c>
      <c r="N181" s="859">
        <f t="shared" ref="N181:N212" ca="1" si="61">+ROUND(K181*K$395,0)</f>
        <v>0</v>
      </c>
      <c r="O181" s="860">
        <f ca="1">I181+L181</f>
        <v>0</v>
      </c>
      <c r="P181" s="860">
        <f ca="1">J181+M181</f>
        <v>0</v>
      </c>
      <c r="Q181" s="860">
        <f ca="1">K181+N181</f>
        <v>0</v>
      </c>
      <c r="R181" s="1969">
        <f ca="1">SUM(O181:Q181)</f>
        <v>0</v>
      </c>
      <c r="S181" s="675">
        <f>SUM(I181:K181)</f>
        <v>0</v>
      </c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R181" s="25">
        <f>SUM(I181:K181)</f>
        <v>0</v>
      </c>
    </row>
    <row r="182" spans="1:44" ht="52.5" hidden="1" customHeight="1" x14ac:dyDescent="0.2">
      <c r="A182" s="4020"/>
      <c r="B182" s="3953"/>
      <c r="C182" s="3913" t="s">
        <v>179</v>
      </c>
      <c r="D182" s="3913"/>
      <c r="E182" s="3913"/>
      <c r="F182" s="2351">
        <f t="shared" si="58"/>
        <v>0</v>
      </c>
      <c r="G182" s="2351">
        <f t="shared" si="58"/>
        <v>0</v>
      </c>
      <c r="H182" s="12"/>
      <c r="I182" s="1968">
        <f>IF(F182=0,0,ROUND($F182*COEF!$J$27,0))</f>
        <v>0</v>
      </c>
      <c r="J182" s="858">
        <f>IF(F182=0,0,ROUND($F182*COEF!$K$27,0))</f>
        <v>0</v>
      </c>
      <c r="K182" s="858">
        <f>IF(F182=0,0,ROUND($F182*COEF!$L$27,0))</f>
        <v>0</v>
      </c>
      <c r="L182" s="859">
        <f t="shared" ca="1" si="59"/>
        <v>0</v>
      </c>
      <c r="M182" s="859">
        <f t="shared" ca="1" si="60"/>
        <v>0</v>
      </c>
      <c r="N182" s="859">
        <f t="shared" ca="1" si="61"/>
        <v>0</v>
      </c>
      <c r="O182" s="860">
        <f t="shared" ref="O182:O284" ca="1" si="62">I182+L182</f>
        <v>0</v>
      </c>
      <c r="P182" s="860">
        <f t="shared" ref="P182:P284" ca="1" si="63">J182+M182</f>
        <v>0</v>
      </c>
      <c r="Q182" s="860">
        <f t="shared" ref="Q182:Q284" ca="1" si="64">K182+N182</f>
        <v>0</v>
      </c>
      <c r="R182" s="1969">
        <f t="shared" ref="R182:R284" ca="1" si="65">SUM(O182:Q182)</f>
        <v>0</v>
      </c>
      <c r="S182" s="675">
        <f t="shared" ref="S182:S284" si="66">SUM(I182:K182)</f>
        <v>0</v>
      </c>
      <c r="T182" s="10"/>
      <c r="U182" s="10"/>
      <c r="V182" s="10"/>
      <c r="W182" s="10"/>
      <c r="X182" s="10"/>
      <c r="Y182" s="10"/>
      <c r="Z182" s="10"/>
      <c r="AA182" s="10"/>
      <c r="AB182" s="10"/>
      <c r="AC182" s="10"/>
    </row>
    <row r="183" spans="1:44" ht="52.5" hidden="1" customHeight="1" x14ac:dyDescent="0.2">
      <c r="A183" s="4020"/>
      <c r="B183" s="3953"/>
      <c r="C183" s="3912" t="s">
        <v>195</v>
      </c>
      <c r="D183" s="3912"/>
      <c r="E183" s="3912"/>
      <c r="F183" s="2351">
        <f t="shared" si="58"/>
        <v>0</v>
      </c>
      <c r="G183" s="2351">
        <f t="shared" si="58"/>
        <v>0</v>
      </c>
      <c r="H183" s="12"/>
      <c r="I183" s="1968">
        <f>IF(F183=0,0,ROUND($F183*COEF!$J$27,0))</f>
        <v>0</v>
      </c>
      <c r="J183" s="858">
        <f>IF(F183=0,0,ROUND($F183*COEF!$K$27,0))</f>
        <v>0</v>
      </c>
      <c r="K183" s="858">
        <f>IF(F183=0,0,ROUND($F183*COEF!$L$27,0))</f>
        <v>0</v>
      </c>
      <c r="L183" s="859">
        <f t="shared" ca="1" si="59"/>
        <v>0</v>
      </c>
      <c r="M183" s="859">
        <f t="shared" ca="1" si="60"/>
        <v>0</v>
      </c>
      <c r="N183" s="859">
        <f t="shared" ca="1" si="61"/>
        <v>0</v>
      </c>
      <c r="O183" s="860">
        <f t="shared" ca="1" si="62"/>
        <v>0</v>
      </c>
      <c r="P183" s="860">
        <f t="shared" ca="1" si="63"/>
        <v>0</v>
      </c>
      <c r="Q183" s="860">
        <f t="shared" ca="1" si="64"/>
        <v>0</v>
      </c>
      <c r="R183" s="1969">
        <f t="shared" ca="1" si="65"/>
        <v>0</v>
      </c>
      <c r="S183" s="675">
        <f t="shared" si="66"/>
        <v>0</v>
      </c>
      <c r="T183" s="10"/>
      <c r="U183" s="10"/>
      <c r="V183" s="10"/>
      <c r="W183" s="10"/>
      <c r="X183" s="10"/>
      <c r="Y183" s="10"/>
      <c r="Z183" s="10"/>
      <c r="AA183" s="10"/>
      <c r="AB183" s="10"/>
      <c r="AC183" s="10"/>
    </row>
    <row r="184" spans="1:44" ht="52.5" hidden="1" customHeight="1" x14ac:dyDescent="0.2">
      <c r="A184" s="4020"/>
      <c r="B184" s="3953"/>
      <c r="C184" s="3652" t="s">
        <v>1224</v>
      </c>
      <c r="D184" s="3910" t="s">
        <v>46</v>
      </c>
      <c r="E184" s="3911"/>
      <c r="F184" s="2351">
        <f t="shared" si="58"/>
        <v>0</v>
      </c>
      <c r="G184" s="2351">
        <f t="shared" si="58"/>
        <v>0</v>
      </c>
      <c r="H184" s="12"/>
      <c r="I184" s="1968">
        <f>IF(F184=0,0,ROUND($F184*COEF!$J$27,0))</f>
        <v>0</v>
      </c>
      <c r="J184" s="858">
        <f>IF(F184=0,0,ROUND($F184*COEF!$K$27,0))</f>
        <v>0</v>
      </c>
      <c r="K184" s="858">
        <f>IF(F184=0,0,ROUND($F184*COEF!$L$27,0))</f>
        <v>0</v>
      </c>
      <c r="L184" s="859">
        <f t="shared" ca="1" si="59"/>
        <v>0</v>
      </c>
      <c r="M184" s="859">
        <f t="shared" ca="1" si="60"/>
        <v>0</v>
      </c>
      <c r="N184" s="859">
        <f t="shared" ca="1" si="61"/>
        <v>0</v>
      </c>
      <c r="O184" s="860">
        <f t="shared" ca="1" si="62"/>
        <v>0</v>
      </c>
      <c r="P184" s="860">
        <f t="shared" ca="1" si="63"/>
        <v>0</v>
      </c>
      <c r="Q184" s="860">
        <f t="shared" ca="1" si="64"/>
        <v>0</v>
      </c>
      <c r="R184" s="1969">
        <f t="shared" ca="1" si="65"/>
        <v>0</v>
      </c>
      <c r="S184" s="675">
        <f t="shared" si="66"/>
        <v>0</v>
      </c>
      <c r="T184" s="10"/>
      <c r="U184" s="10"/>
      <c r="V184" s="10"/>
      <c r="W184" s="10"/>
      <c r="X184" s="10"/>
      <c r="Y184" s="10"/>
      <c r="Z184" s="10"/>
      <c r="AA184" s="10"/>
      <c r="AB184" s="10"/>
      <c r="AC184" s="10"/>
    </row>
    <row r="185" spans="1:44" ht="52.5" hidden="1" customHeight="1" x14ac:dyDescent="0.2">
      <c r="A185" s="4020"/>
      <c r="B185" s="3953"/>
      <c r="C185" s="3909"/>
      <c r="D185" s="3910" t="s">
        <v>47</v>
      </c>
      <c r="E185" s="3911"/>
      <c r="F185" s="2351">
        <f t="shared" si="58"/>
        <v>0</v>
      </c>
      <c r="G185" s="2351">
        <f t="shared" si="58"/>
        <v>0</v>
      </c>
      <c r="H185" s="12"/>
      <c r="I185" s="1968">
        <f>IF(F185=0,0,ROUND($F185*COEF!$J$27,0))</f>
        <v>0</v>
      </c>
      <c r="J185" s="858">
        <f>IF(F185=0,0,ROUND($F185*COEF!$K$27,0))</f>
        <v>0</v>
      </c>
      <c r="K185" s="858">
        <f>IF(F185=0,0,ROUND($F185*COEF!$L$27,0))</f>
        <v>0</v>
      </c>
      <c r="L185" s="859">
        <f t="shared" ca="1" si="59"/>
        <v>0</v>
      </c>
      <c r="M185" s="859">
        <f t="shared" ca="1" si="60"/>
        <v>0</v>
      </c>
      <c r="N185" s="859">
        <f t="shared" ca="1" si="61"/>
        <v>0</v>
      </c>
      <c r="O185" s="860">
        <f t="shared" ca="1" si="62"/>
        <v>0</v>
      </c>
      <c r="P185" s="860">
        <f t="shared" ca="1" si="63"/>
        <v>0</v>
      </c>
      <c r="Q185" s="860">
        <f t="shared" ca="1" si="64"/>
        <v>0</v>
      </c>
      <c r="R185" s="1969">
        <f t="shared" ca="1" si="65"/>
        <v>0</v>
      </c>
      <c r="S185" s="675">
        <f t="shared" si="66"/>
        <v>0</v>
      </c>
      <c r="T185" s="10"/>
      <c r="U185" s="10"/>
      <c r="V185" s="10"/>
      <c r="W185" s="10"/>
      <c r="X185" s="10"/>
      <c r="Y185" s="10"/>
      <c r="Z185" s="10"/>
      <c r="AA185" s="10"/>
      <c r="AB185" s="10"/>
      <c r="AC185" s="10"/>
    </row>
    <row r="186" spans="1:44" ht="52.5" hidden="1" customHeight="1" x14ac:dyDescent="0.2">
      <c r="A186" s="4020"/>
      <c r="B186" s="3953"/>
      <c r="C186" s="3909"/>
      <c r="D186" s="3650" t="s">
        <v>169</v>
      </c>
      <c r="E186" s="3651"/>
      <c r="F186" s="2351">
        <f t="shared" si="58"/>
        <v>0</v>
      </c>
      <c r="G186" s="2351">
        <f t="shared" si="58"/>
        <v>0</v>
      </c>
      <c r="H186" s="12"/>
      <c r="I186" s="1968">
        <f>IF(F186=0,0,ROUND($F186*COEF!$J$27,0))</f>
        <v>0</v>
      </c>
      <c r="J186" s="858">
        <f>IF(F186=0,0,ROUND($F186*COEF!$K$27,0))</f>
        <v>0</v>
      </c>
      <c r="K186" s="858">
        <f>IF(F186=0,0,ROUND($F186*COEF!$L$27,0))</f>
        <v>0</v>
      </c>
      <c r="L186" s="859">
        <f t="shared" ca="1" si="59"/>
        <v>0</v>
      </c>
      <c r="M186" s="859">
        <f t="shared" ca="1" si="60"/>
        <v>0</v>
      </c>
      <c r="N186" s="859">
        <f t="shared" ca="1" si="61"/>
        <v>0</v>
      </c>
      <c r="O186" s="860">
        <f t="shared" ca="1" si="62"/>
        <v>0</v>
      </c>
      <c r="P186" s="860">
        <f t="shared" ca="1" si="63"/>
        <v>0</v>
      </c>
      <c r="Q186" s="860">
        <f t="shared" ca="1" si="64"/>
        <v>0</v>
      </c>
      <c r="R186" s="1969">
        <f t="shared" ca="1" si="65"/>
        <v>0</v>
      </c>
      <c r="S186" s="675">
        <f t="shared" si="66"/>
        <v>0</v>
      </c>
      <c r="T186" s="10"/>
      <c r="U186" s="10"/>
      <c r="V186" s="10"/>
      <c r="W186" s="10"/>
      <c r="X186" s="10"/>
      <c r="Y186" s="10"/>
      <c r="Z186" s="10"/>
      <c r="AA186" s="10"/>
      <c r="AB186" s="10"/>
      <c r="AC186" s="10"/>
    </row>
    <row r="187" spans="1:44" ht="52.5" hidden="1" customHeight="1" x14ac:dyDescent="0.2">
      <c r="A187" s="4020"/>
      <c r="B187" s="3953"/>
      <c r="C187" s="3653"/>
      <c r="D187" s="3650" t="s">
        <v>49</v>
      </c>
      <c r="E187" s="3651"/>
      <c r="F187" s="2351">
        <f t="shared" si="58"/>
        <v>0</v>
      </c>
      <c r="G187" s="2351">
        <f t="shared" si="58"/>
        <v>0</v>
      </c>
      <c r="H187" s="12"/>
      <c r="I187" s="1968">
        <f>IF(F187=0,0,ROUND($F187*COEF!$J$27,0))</f>
        <v>0</v>
      </c>
      <c r="J187" s="858">
        <f>IF(F187=0,0,ROUND($F187*COEF!$K$27,0))</f>
        <v>0</v>
      </c>
      <c r="K187" s="858">
        <f>IF(F187=0,0,ROUND($F187*COEF!$L$27,0))</f>
        <v>0</v>
      </c>
      <c r="L187" s="859">
        <f t="shared" ca="1" si="59"/>
        <v>0</v>
      </c>
      <c r="M187" s="859">
        <f t="shared" ca="1" si="60"/>
        <v>0</v>
      </c>
      <c r="N187" s="859">
        <f t="shared" ca="1" si="61"/>
        <v>0</v>
      </c>
      <c r="O187" s="860">
        <f t="shared" ca="1" si="62"/>
        <v>0</v>
      </c>
      <c r="P187" s="860">
        <f t="shared" ca="1" si="63"/>
        <v>0</v>
      </c>
      <c r="Q187" s="860">
        <f t="shared" ca="1" si="64"/>
        <v>0</v>
      </c>
      <c r="R187" s="1969">
        <f t="shared" ca="1" si="65"/>
        <v>0</v>
      </c>
      <c r="S187" s="675">
        <f t="shared" si="66"/>
        <v>0</v>
      </c>
      <c r="T187" s="10"/>
      <c r="U187" s="10"/>
      <c r="V187" s="10"/>
      <c r="W187" s="10"/>
      <c r="X187" s="10"/>
      <c r="Y187" s="10"/>
      <c r="Z187" s="10"/>
      <c r="AA187" s="10"/>
      <c r="AB187" s="10"/>
      <c r="AC187" s="10"/>
    </row>
    <row r="188" spans="1:44" ht="52.5" hidden="1" customHeight="1" x14ac:dyDescent="0.2">
      <c r="A188" s="4020"/>
      <c r="B188" s="3367"/>
      <c r="C188" s="3652" t="s">
        <v>1225</v>
      </c>
      <c r="D188" s="3910" t="s">
        <v>46</v>
      </c>
      <c r="E188" s="3911"/>
      <c r="F188" s="2351">
        <f t="shared" si="58"/>
        <v>0</v>
      </c>
      <c r="G188" s="2351">
        <f t="shared" si="58"/>
        <v>0</v>
      </c>
      <c r="H188" s="12"/>
      <c r="I188" s="1968">
        <f>IF(F188=0,0,ROUND($F188*COEF!$J$27,0))</f>
        <v>0</v>
      </c>
      <c r="J188" s="858">
        <f>IF(F188=0,0,ROUND($F188*COEF!$K$27,0))</f>
        <v>0</v>
      </c>
      <c r="K188" s="858">
        <f>IF(F188=0,0,ROUND($F188*COEF!$L$27,0))</f>
        <v>0</v>
      </c>
      <c r="L188" s="859">
        <f t="shared" ca="1" si="59"/>
        <v>0</v>
      </c>
      <c r="M188" s="859">
        <f t="shared" ca="1" si="60"/>
        <v>0</v>
      </c>
      <c r="N188" s="859">
        <f t="shared" ca="1" si="61"/>
        <v>0</v>
      </c>
      <c r="O188" s="860">
        <f t="shared" ref="O188:O195" ca="1" si="67">I188+L188</f>
        <v>0</v>
      </c>
      <c r="P188" s="860">
        <f t="shared" ref="P188:P195" ca="1" si="68">J188+M188</f>
        <v>0</v>
      </c>
      <c r="Q188" s="860">
        <f t="shared" ref="Q188:Q195" ca="1" si="69">K188+N188</f>
        <v>0</v>
      </c>
      <c r="R188" s="1969">
        <f t="shared" ref="R188:R195" ca="1" si="70">SUM(O188:Q188)</f>
        <v>0</v>
      </c>
      <c r="S188" s="675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</row>
    <row r="189" spans="1:44" ht="52.5" hidden="1" customHeight="1" x14ac:dyDescent="0.2">
      <c r="A189" s="4020"/>
      <c r="B189" s="3367"/>
      <c r="C189" s="3909"/>
      <c r="D189" s="3910" t="s">
        <v>47</v>
      </c>
      <c r="E189" s="3911"/>
      <c r="F189" s="2351">
        <f t="shared" si="58"/>
        <v>0</v>
      </c>
      <c r="G189" s="2351">
        <f t="shared" si="58"/>
        <v>0</v>
      </c>
      <c r="H189" s="12"/>
      <c r="I189" s="1968">
        <f>IF(F189=0,0,ROUND($F189*COEF!$J$27,0))</f>
        <v>0</v>
      </c>
      <c r="J189" s="858">
        <f>IF(F189=0,0,ROUND($F189*COEF!$K$27,0))</f>
        <v>0</v>
      </c>
      <c r="K189" s="858">
        <f>IF(F189=0,0,ROUND($F189*COEF!$L$27,0))</f>
        <v>0</v>
      </c>
      <c r="L189" s="859">
        <f t="shared" ca="1" si="59"/>
        <v>0</v>
      </c>
      <c r="M189" s="859">
        <f t="shared" ca="1" si="60"/>
        <v>0</v>
      </c>
      <c r="N189" s="859">
        <f t="shared" ca="1" si="61"/>
        <v>0</v>
      </c>
      <c r="O189" s="860">
        <f t="shared" ca="1" si="67"/>
        <v>0</v>
      </c>
      <c r="P189" s="860">
        <f t="shared" ca="1" si="68"/>
        <v>0</v>
      </c>
      <c r="Q189" s="860">
        <f t="shared" ca="1" si="69"/>
        <v>0</v>
      </c>
      <c r="R189" s="1969">
        <f t="shared" ca="1" si="70"/>
        <v>0</v>
      </c>
      <c r="S189" s="675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</row>
    <row r="190" spans="1:44" ht="52.5" hidden="1" customHeight="1" x14ac:dyDescent="0.2">
      <c r="A190" s="4020"/>
      <c r="B190" s="3367"/>
      <c r="C190" s="3909"/>
      <c r="D190" s="3650" t="s">
        <v>169</v>
      </c>
      <c r="E190" s="3651"/>
      <c r="F190" s="2351">
        <f t="shared" si="58"/>
        <v>0</v>
      </c>
      <c r="G190" s="2351">
        <f t="shared" si="58"/>
        <v>0</v>
      </c>
      <c r="H190" s="12"/>
      <c r="I190" s="1968">
        <f>IF(F190=0,0,ROUND($F190*COEF!$J$27,0))</f>
        <v>0</v>
      </c>
      <c r="J190" s="858">
        <f>IF(F190=0,0,ROUND($F190*COEF!$K$27,0))</f>
        <v>0</v>
      </c>
      <c r="K190" s="858">
        <f>IF(F190=0,0,ROUND($F190*COEF!$L$27,0))</f>
        <v>0</v>
      </c>
      <c r="L190" s="859">
        <f t="shared" ca="1" si="59"/>
        <v>0</v>
      </c>
      <c r="M190" s="859">
        <f t="shared" ca="1" si="60"/>
        <v>0</v>
      </c>
      <c r="N190" s="859">
        <f t="shared" ca="1" si="61"/>
        <v>0</v>
      </c>
      <c r="O190" s="860">
        <f t="shared" ca="1" si="67"/>
        <v>0</v>
      </c>
      <c r="P190" s="860">
        <f t="shared" ca="1" si="68"/>
        <v>0</v>
      </c>
      <c r="Q190" s="860">
        <f t="shared" ca="1" si="69"/>
        <v>0</v>
      </c>
      <c r="R190" s="1969">
        <f t="shared" ca="1" si="70"/>
        <v>0</v>
      </c>
      <c r="S190" s="675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</row>
    <row r="191" spans="1:44" ht="52.5" hidden="1" customHeight="1" x14ac:dyDescent="0.2">
      <c r="A191" s="4020"/>
      <c r="B191" s="3367"/>
      <c r="C191" s="3653"/>
      <c r="D191" s="3650" t="s">
        <v>49</v>
      </c>
      <c r="E191" s="3651"/>
      <c r="F191" s="2351">
        <f t="shared" si="58"/>
        <v>0</v>
      </c>
      <c r="G191" s="2351">
        <f t="shared" si="58"/>
        <v>0</v>
      </c>
      <c r="H191" s="12"/>
      <c r="I191" s="1968">
        <f>IF(F191=0,0,ROUND($F191*COEF!$J$27,0))</f>
        <v>0</v>
      </c>
      <c r="J191" s="858">
        <f>IF(F191=0,0,ROUND($F191*COEF!$K$27,0))</f>
        <v>0</v>
      </c>
      <c r="K191" s="858">
        <f>IF(F191=0,0,ROUND($F191*COEF!$L$27,0))</f>
        <v>0</v>
      </c>
      <c r="L191" s="859">
        <f t="shared" ca="1" si="59"/>
        <v>0</v>
      </c>
      <c r="M191" s="859">
        <f t="shared" ca="1" si="60"/>
        <v>0</v>
      </c>
      <c r="N191" s="859">
        <f t="shared" ca="1" si="61"/>
        <v>0</v>
      </c>
      <c r="O191" s="860">
        <f t="shared" ca="1" si="67"/>
        <v>0</v>
      </c>
      <c r="P191" s="860">
        <f t="shared" ca="1" si="68"/>
        <v>0</v>
      </c>
      <c r="Q191" s="860">
        <f t="shared" ca="1" si="69"/>
        <v>0</v>
      </c>
      <c r="R191" s="1969">
        <f t="shared" ca="1" si="70"/>
        <v>0</v>
      </c>
      <c r="S191" s="675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</row>
    <row r="192" spans="1:44" ht="52.5" hidden="1" customHeight="1" x14ac:dyDescent="0.2">
      <c r="A192" s="4020"/>
      <c r="B192" s="3367"/>
      <c r="C192" s="3652" t="s">
        <v>1226</v>
      </c>
      <c r="D192" s="3910" t="s">
        <v>46</v>
      </c>
      <c r="E192" s="3911"/>
      <c r="F192" s="2351">
        <f t="shared" si="58"/>
        <v>0</v>
      </c>
      <c r="G192" s="2351">
        <f t="shared" si="58"/>
        <v>0</v>
      </c>
      <c r="H192" s="12"/>
      <c r="I192" s="1968">
        <f>IF(F192=0,0,ROUND($F192*COEF!$J$27,0))</f>
        <v>0</v>
      </c>
      <c r="J192" s="858">
        <f>IF(F192=0,0,ROUND($F192*COEF!$K$27,0))</f>
        <v>0</v>
      </c>
      <c r="K192" s="858">
        <f>IF(F192=0,0,ROUND($F192*COEF!$L$27,0))</f>
        <v>0</v>
      </c>
      <c r="L192" s="859">
        <f t="shared" ca="1" si="59"/>
        <v>0</v>
      </c>
      <c r="M192" s="859">
        <f t="shared" ca="1" si="60"/>
        <v>0</v>
      </c>
      <c r="N192" s="859">
        <f t="shared" ca="1" si="61"/>
        <v>0</v>
      </c>
      <c r="O192" s="860">
        <f t="shared" ca="1" si="67"/>
        <v>0</v>
      </c>
      <c r="P192" s="860">
        <f t="shared" ca="1" si="68"/>
        <v>0</v>
      </c>
      <c r="Q192" s="860">
        <f t="shared" ca="1" si="69"/>
        <v>0</v>
      </c>
      <c r="R192" s="1969">
        <f t="shared" ca="1" si="70"/>
        <v>0</v>
      </c>
      <c r="S192" s="675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</row>
    <row r="193" spans="1:29" ht="52.5" hidden="1" customHeight="1" x14ac:dyDescent="0.2">
      <c r="A193" s="4020"/>
      <c r="B193" s="3367"/>
      <c r="C193" s="3909"/>
      <c r="D193" s="3910" t="s">
        <v>47</v>
      </c>
      <c r="E193" s="3911"/>
      <c r="F193" s="2351">
        <f t="shared" si="58"/>
        <v>0</v>
      </c>
      <c r="G193" s="2351">
        <f t="shared" si="58"/>
        <v>0</v>
      </c>
      <c r="H193" s="12"/>
      <c r="I193" s="1968">
        <f>IF(F193=0,0,ROUND($F193*COEF!$J$27,0))</f>
        <v>0</v>
      </c>
      <c r="J193" s="858">
        <f>IF(F193=0,0,ROUND($F193*COEF!$K$27,0))</f>
        <v>0</v>
      </c>
      <c r="K193" s="858">
        <f>IF(F193=0,0,ROUND($F193*COEF!$L$27,0))</f>
        <v>0</v>
      </c>
      <c r="L193" s="859">
        <f t="shared" ca="1" si="59"/>
        <v>0</v>
      </c>
      <c r="M193" s="859">
        <f t="shared" ca="1" si="60"/>
        <v>0</v>
      </c>
      <c r="N193" s="859">
        <f t="shared" ca="1" si="61"/>
        <v>0</v>
      </c>
      <c r="O193" s="860">
        <f t="shared" ca="1" si="67"/>
        <v>0</v>
      </c>
      <c r="P193" s="860">
        <f t="shared" ca="1" si="68"/>
        <v>0</v>
      </c>
      <c r="Q193" s="860">
        <f t="shared" ca="1" si="69"/>
        <v>0</v>
      </c>
      <c r="R193" s="1969">
        <f t="shared" ca="1" si="70"/>
        <v>0</v>
      </c>
      <c r="S193" s="675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</row>
    <row r="194" spans="1:29" ht="52.5" hidden="1" customHeight="1" x14ac:dyDescent="0.2">
      <c r="A194" s="4020"/>
      <c r="B194" s="3367"/>
      <c r="C194" s="3909"/>
      <c r="D194" s="3650" t="s">
        <v>169</v>
      </c>
      <c r="E194" s="3651"/>
      <c r="F194" s="2351">
        <f t="shared" si="58"/>
        <v>0</v>
      </c>
      <c r="G194" s="2351">
        <f t="shared" si="58"/>
        <v>0</v>
      </c>
      <c r="H194" s="12"/>
      <c r="I194" s="1968">
        <f>IF(F194=0,0,ROUND($F194*COEF!$J$27,0))</f>
        <v>0</v>
      </c>
      <c r="J194" s="858">
        <f>IF(F194=0,0,ROUND($F194*COEF!$K$27,0))</f>
        <v>0</v>
      </c>
      <c r="K194" s="858">
        <f>IF(F194=0,0,ROUND($F194*COEF!$L$27,0))</f>
        <v>0</v>
      </c>
      <c r="L194" s="859">
        <f t="shared" ca="1" si="59"/>
        <v>0</v>
      </c>
      <c r="M194" s="859">
        <f t="shared" ca="1" si="60"/>
        <v>0</v>
      </c>
      <c r="N194" s="859">
        <f t="shared" ca="1" si="61"/>
        <v>0</v>
      </c>
      <c r="O194" s="860">
        <f t="shared" ca="1" si="67"/>
        <v>0</v>
      </c>
      <c r="P194" s="860">
        <f t="shared" ca="1" si="68"/>
        <v>0</v>
      </c>
      <c r="Q194" s="860">
        <f t="shared" ca="1" si="69"/>
        <v>0</v>
      </c>
      <c r="R194" s="1969">
        <f t="shared" ca="1" si="70"/>
        <v>0</v>
      </c>
      <c r="S194" s="675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</row>
    <row r="195" spans="1:29" ht="52.5" hidden="1" customHeight="1" thickBot="1" x14ac:dyDescent="0.25">
      <c r="A195" s="4020"/>
      <c r="B195" s="3367"/>
      <c r="C195" s="3653"/>
      <c r="D195" s="3650" t="s">
        <v>49</v>
      </c>
      <c r="E195" s="3651"/>
      <c r="F195" s="2351">
        <f t="shared" si="58"/>
        <v>0</v>
      </c>
      <c r="G195" s="2351">
        <f t="shared" si="58"/>
        <v>0</v>
      </c>
      <c r="H195" s="12"/>
      <c r="I195" s="1968">
        <f>IF(F195=0,0,ROUND($F195*COEF!$J$27,0))</f>
        <v>0</v>
      </c>
      <c r="J195" s="858">
        <f>IF(F195=0,0,ROUND($F195*COEF!$K$27,0))</f>
        <v>0</v>
      </c>
      <c r="K195" s="858">
        <f>IF(F195=0,0,ROUND($F195*COEF!$L$27,0))</f>
        <v>0</v>
      </c>
      <c r="L195" s="859">
        <f t="shared" ca="1" si="59"/>
        <v>0</v>
      </c>
      <c r="M195" s="859">
        <f t="shared" ca="1" si="60"/>
        <v>0</v>
      </c>
      <c r="N195" s="859">
        <f t="shared" ca="1" si="61"/>
        <v>0</v>
      </c>
      <c r="O195" s="860">
        <f t="shared" ca="1" si="67"/>
        <v>0</v>
      </c>
      <c r="P195" s="860">
        <f t="shared" ca="1" si="68"/>
        <v>0</v>
      </c>
      <c r="Q195" s="860">
        <f t="shared" ca="1" si="69"/>
        <v>0</v>
      </c>
      <c r="R195" s="1969">
        <f t="shared" ca="1" si="70"/>
        <v>0</v>
      </c>
      <c r="S195" s="675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</row>
    <row r="196" spans="1:29" ht="52.5" hidden="1" customHeight="1" x14ac:dyDescent="0.2">
      <c r="A196" s="4020"/>
      <c r="B196" s="4017" t="s">
        <v>52</v>
      </c>
      <c r="C196" s="4022" t="s">
        <v>164</v>
      </c>
      <c r="D196" s="4023"/>
      <c r="E196" s="4024"/>
      <c r="F196" s="2410">
        <f t="shared" si="58"/>
        <v>0</v>
      </c>
      <c r="G196" s="2411">
        <f t="shared" si="58"/>
        <v>0</v>
      </c>
      <c r="H196" s="12"/>
      <c r="I196" s="1968">
        <f>IF(F196=0,0,ROUND($F196*COEF!$J$27,0))</f>
        <v>0</v>
      </c>
      <c r="J196" s="858">
        <f>IF(F196=0,0,ROUND($F196*COEF!$K$27,0))</f>
        <v>0</v>
      </c>
      <c r="K196" s="858">
        <f>IF(F196=0,0,ROUND($F196*COEF!$L$27,0))</f>
        <v>0</v>
      </c>
      <c r="L196" s="859">
        <f t="shared" ca="1" si="59"/>
        <v>0</v>
      </c>
      <c r="M196" s="859">
        <f t="shared" ca="1" si="60"/>
        <v>0</v>
      </c>
      <c r="N196" s="859">
        <f t="shared" ca="1" si="61"/>
        <v>0</v>
      </c>
      <c r="O196" s="860">
        <f t="shared" ca="1" si="62"/>
        <v>0</v>
      </c>
      <c r="P196" s="860">
        <f t="shared" ca="1" si="63"/>
        <v>0</v>
      </c>
      <c r="Q196" s="860">
        <f t="shared" ca="1" si="64"/>
        <v>0</v>
      </c>
      <c r="R196" s="1969">
        <f t="shared" ca="1" si="65"/>
        <v>0</v>
      </c>
      <c r="S196" s="675">
        <f t="shared" si="66"/>
        <v>0</v>
      </c>
      <c r="T196" s="10"/>
      <c r="U196" s="10"/>
      <c r="V196" s="10"/>
      <c r="W196" s="10"/>
      <c r="X196" s="10"/>
      <c r="Y196" s="10"/>
      <c r="Z196" s="10"/>
      <c r="AA196" s="10"/>
      <c r="AB196" s="10"/>
      <c r="AC196" s="10"/>
    </row>
    <row r="197" spans="1:29" ht="52.5" hidden="1" customHeight="1" x14ac:dyDescent="0.2">
      <c r="A197" s="4020"/>
      <c r="B197" s="4018"/>
      <c r="C197" s="3949" t="s">
        <v>196</v>
      </c>
      <c r="D197" s="3913"/>
      <c r="E197" s="3913"/>
      <c r="F197" s="2352">
        <f>+F100+350*G199</f>
        <v>0</v>
      </c>
      <c r="G197" s="2412">
        <f>+G100+G199</f>
        <v>0</v>
      </c>
      <c r="H197" s="12"/>
      <c r="I197" s="1968">
        <f>IF(F197=0,0,ROUND($F197*COEF!$J$27,0))</f>
        <v>0</v>
      </c>
      <c r="J197" s="858">
        <f>IF(F197=0,0,ROUND($F197*COEF!$K$27,0))</f>
        <v>0</v>
      </c>
      <c r="K197" s="858">
        <f>IF(F197=0,0,ROUND($F197*COEF!$L$27,0))</f>
        <v>0</v>
      </c>
      <c r="L197" s="859">
        <f t="shared" ca="1" si="59"/>
        <v>0</v>
      </c>
      <c r="M197" s="859">
        <f t="shared" ca="1" si="60"/>
        <v>0</v>
      </c>
      <c r="N197" s="859">
        <f t="shared" ca="1" si="61"/>
        <v>0</v>
      </c>
      <c r="O197" s="860">
        <f t="shared" ca="1" si="62"/>
        <v>0</v>
      </c>
      <c r="P197" s="860">
        <f t="shared" ca="1" si="63"/>
        <v>0</v>
      </c>
      <c r="Q197" s="860">
        <f t="shared" ca="1" si="64"/>
        <v>0</v>
      </c>
      <c r="R197" s="1969">
        <f t="shared" ca="1" si="65"/>
        <v>0</v>
      </c>
      <c r="S197" s="675">
        <f t="shared" si="66"/>
        <v>0</v>
      </c>
      <c r="T197" s="10"/>
      <c r="U197" s="10"/>
      <c r="V197" s="10"/>
      <c r="W197" s="10"/>
      <c r="X197" s="10"/>
      <c r="Y197" s="10"/>
      <c r="Z197" s="10"/>
      <c r="AA197" s="10"/>
      <c r="AB197" s="10"/>
      <c r="AC197" s="10"/>
    </row>
    <row r="198" spans="1:29" ht="52.5" hidden="1" customHeight="1" x14ac:dyDescent="0.2">
      <c r="A198" s="4020"/>
      <c r="B198" s="4018"/>
      <c r="C198" s="4087" t="s">
        <v>1237</v>
      </c>
      <c r="D198" s="4088"/>
      <c r="E198" s="4088"/>
      <c r="F198" s="2351">
        <f>+F102</f>
        <v>0</v>
      </c>
      <c r="G198" s="2413">
        <f>+G102</f>
        <v>0</v>
      </c>
      <c r="H198" s="12"/>
      <c r="I198" s="1968">
        <f>IF(F198=0,0,ROUND($F198*COEF!$J$27,0))</f>
        <v>0</v>
      </c>
      <c r="J198" s="858">
        <f>IF(F198=0,0,ROUND($F198*COEF!$K$27,0))</f>
        <v>0</v>
      </c>
      <c r="K198" s="858">
        <f>IF(F198=0,0,ROUND($F198*COEF!$L$27,0))</f>
        <v>0</v>
      </c>
      <c r="L198" s="859">
        <f t="shared" ca="1" si="59"/>
        <v>0</v>
      </c>
      <c r="M198" s="859">
        <f t="shared" ca="1" si="60"/>
        <v>0</v>
      </c>
      <c r="N198" s="859">
        <f t="shared" ca="1" si="61"/>
        <v>0</v>
      </c>
      <c r="O198" s="860">
        <f t="shared" ref="O198" ca="1" si="71">I198+L198</f>
        <v>0</v>
      </c>
      <c r="P198" s="860">
        <f t="shared" ref="P198" ca="1" si="72">J198+M198</f>
        <v>0</v>
      </c>
      <c r="Q198" s="860">
        <f t="shared" ref="Q198" ca="1" si="73">K198+N198</f>
        <v>0</v>
      </c>
      <c r="R198" s="1969">
        <f t="shared" ref="R198" ca="1" si="74">SUM(O198:Q198)</f>
        <v>0</v>
      </c>
      <c r="S198" s="675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</row>
    <row r="199" spans="1:29" ht="52.5" hidden="1" customHeight="1" x14ac:dyDescent="0.2">
      <c r="A199" s="4020"/>
      <c r="B199" s="4018"/>
      <c r="C199" s="3807" t="s">
        <v>197</v>
      </c>
      <c r="D199" s="3808"/>
      <c r="E199" s="3809"/>
      <c r="F199" s="2352">
        <f>+F101-(350*G199)</f>
        <v>0</v>
      </c>
      <c r="G199" s="2412">
        <f>+G101</f>
        <v>0</v>
      </c>
      <c r="H199" s="12"/>
      <c r="I199" s="1968">
        <f>IF(F199=0,0,ROUND($F199*COEF!$J$27,0))</f>
        <v>0</v>
      </c>
      <c r="J199" s="858">
        <f>IF(F199=0,0,ROUND($F199*COEF!$K$27,0))</f>
        <v>0</v>
      </c>
      <c r="K199" s="858">
        <f>IF(F199=0,0,ROUND($F199*COEF!$L$27,0))</f>
        <v>0</v>
      </c>
      <c r="L199" s="859">
        <f t="shared" ca="1" si="59"/>
        <v>0</v>
      </c>
      <c r="M199" s="859">
        <f t="shared" ca="1" si="60"/>
        <v>0</v>
      </c>
      <c r="N199" s="859">
        <f t="shared" ca="1" si="61"/>
        <v>0</v>
      </c>
      <c r="O199" s="860">
        <f t="shared" ca="1" si="62"/>
        <v>0</v>
      </c>
      <c r="P199" s="860">
        <f t="shared" ca="1" si="63"/>
        <v>0</v>
      </c>
      <c r="Q199" s="860">
        <f t="shared" ca="1" si="64"/>
        <v>0</v>
      </c>
      <c r="R199" s="1969">
        <f t="shared" ca="1" si="65"/>
        <v>0</v>
      </c>
      <c r="S199" s="675">
        <f t="shared" si="66"/>
        <v>0</v>
      </c>
      <c r="T199" s="10"/>
      <c r="U199" s="10"/>
      <c r="V199" s="10"/>
      <c r="W199" s="10"/>
      <c r="X199" s="10"/>
      <c r="Y199" s="10"/>
      <c r="Z199" s="10"/>
      <c r="AA199" s="10"/>
      <c r="AB199" s="10"/>
      <c r="AC199" s="10"/>
    </row>
    <row r="200" spans="1:29" ht="52.5" hidden="1" customHeight="1" x14ac:dyDescent="0.2">
      <c r="A200" s="4020"/>
      <c r="B200" s="4018"/>
      <c r="C200" s="3946" t="s">
        <v>198</v>
      </c>
      <c r="D200" s="3912"/>
      <c r="E200" s="3947"/>
      <c r="F200" s="2352">
        <f>+F103+250*G202</f>
        <v>0</v>
      </c>
      <c r="G200" s="2412">
        <f>+G103+G202</f>
        <v>0</v>
      </c>
      <c r="H200" s="12"/>
      <c r="I200" s="1968">
        <f>IF(F200=0,0,ROUND($F200*COEF!$J$27,0))</f>
        <v>0</v>
      </c>
      <c r="J200" s="858">
        <f>IF(F200=0,0,ROUND($F200*COEF!$K$27,0))</f>
        <v>0</v>
      </c>
      <c r="K200" s="858">
        <f>IF(F200=0,0,ROUND($F200*COEF!$L$27,0))</f>
        <v>0</v>
      </c>
      <c r="L200" s="859">
        <f t="shared" ca="1" si="59"/>
        <v>0</v>
      </c>
      <c r="M200" s="859">
        <f t="shared" ca="1" si="60"/>
        <v>0</v>
      </c>
      <c r="N200" s="859">
        <f t="shared" ca="1" si="61"/>
        <v>0</v>
      </c>
      <c r="O200" s="860">
        <f t="shared" ca="1" si="62"/>
        <v>0</v>
      </c>
      <c r="P200" s="860">
        <f t="shared" ca="1" si="63"/>
        <v>0</v>
      </c>
      <c r="Q200" s="860">
        <f t="shared" ca="1" si="64"/>
        <v>0</v>
      </c>
      <c r="R200" s="1969">
        <f t="shared" ca="1" si="65"/>
        <v>0</v>
      </c>
      <c r="S200" s="675">
        <f t="shared" si="66"/>
        <v>0</v>
      </c>
      <c r="T200" s="10"/>
      <c r="U200" s="10"/>
      <c r="V200" s="10"/>
      <c r="W200" s="10"/>
      <c r="X200" s="10"/>
      <c r="Y200" s="10"/>
      <c r="Z200" s="10"/>
      <c r="AA200" s="10"/>
      <c r="AB200" s="10"/>
      <c r="AC200" s="10"/>
    </row>
    <row r="201" spans="1:29" ht="52.5" hidden="1" customHeight="1" x14ac:dyDescent="0.2">
      <c r="A201" s="4020"/>
      <c r="B201" s="4018"/>
      <c r="C201" s="4089" t="s">
        <v>1238</v>
      </c>
      <c r="D201" s="4090"/>
      <c r="E201" s="4091"/>
      <c r="F201" s="2351">
        <f>+F105</f>
        <v>0</v>
      </c>
      <c r="G201" s="2351">
        <f>+G105</f>
        <v>0</v>
      </c>
      <c r="H201" s="12"/>
      <c r="I201" s="1968">
        <f>IF(F201=0,0,ROUND($F201*COEF!$J$27,0))</f>
        <v>0</v>
      </c>
      <c r="J201" s="858">
        <f>IF(F201=0,0,ROUND($F201*COEF!$K$27,0))</f>
        <v>0</v>
      </c>
      <c r="K201" s="858">
        <f>IF(F201=0,0,ROUND($F201*COEF!$L$27,0))</f>
        <v>0</v>
      </c>
      <c r="L201" s="859">
        <f t="shared" ca="1" si="59"/>
        <v>0</v>
      </c>
      <c r="M201" s="859">
        <f t="shared" ca="1" si="60"/>
        <v>0</v>
      </c>
      <c r="N201" s="859">
        <f t="shared" ca="1" si="61"/>
        <v>0</v>
      </c>
      <c r="O201" s="860">
        <f t="shared" ref="O201" ca="1" si="75">I201+L201</f>
        <v>0</v>
      </c>
      <c r="P201" s="860">
        <f t="shared" ref="P201" ca="1" si="76">J201+M201</f>
        <v>0</v>
      </c>
      <c r="Q201" s="860">
        <f t="shared" ref="Q201" ca="1" si="77">K201+N201</f>
        <v>0</v>
      </c>
      <c r="R201" s="1969">
        <f t="shared" ref="R201" ca="1" si="78">SUM(O201:Q201)</f>
        <v>0</v>
      </c>
      <c r="S201" s="675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</row>
    <row r="202" spans="1:29" ht="52.5" hidden="1" customHeight="1" x14ac:dyDescent="0.2">
      <c r="A202" s="4020"/>
      <c r="B202" s="4018"/>
      <c r="C202" s="3807" t="s">
        <v>199</v>
      </c>
      <c r="D202" s="3808"/>
      <c r="E202" s="3809"/>
      <c r="F202" s="2352">
        <f>+F104-(250*G202)</f>
        <v>0</v>
      </c>
      <c r="G202" s="2412">
        <f>+G104</f>
        <v>0</v>
      </c>
      <c r="H202" s="12"/>
      <c r="I202" s="1968">
        <f>IF(F202=0,0,ROUND($F202*COEF!$J$27,0))</f>
        <v>0</v>
      </c>
      <c r="J202" s="858">
        <f>IF(F202=0,0,ROUND($F202*COEF!$K$27,0))</f>
        <v>0</v>
      </c>
      <c r="K202" s="858">
        <f>IF(F202=0,0,ROUND($F202*COEF!$L$27,0))</f>
        <v>0</v>
      </c>
      <c r="L202" s="859">
        <f t="shared" ca="1" si="59"/>
        <v>0</v>
      </c>
      <c r="M202" s="859">
        <f t="shared" ca="1" si="60"/>
        <v>0</v>
      </c>
      <c r="N202" s="859">
        <f t="shared" ca="1" si="61"/>
        <v>0</v>
      </c>
      <c r="O202" s="860">
        <f t="shared" ca="1" si="62"/>
        <v>0</v>
      </c>
      <c r="P202" s="860">
        <f t="shared" ca="1" si="63"/>
        <v>0</v>
      </c>
      <c r="Q202" s="860">
        <f t="shared" ca="1" si="64"/>
        <v>0</v>
      </c>
      <c r="R202" s="1969">
        <f t="shared" ca="1" si="65"/>
        <v>0</v>
      </c>
      <c r="S202" s="675">
        <f t="shared" si="66"/>
        <v>0</v>
      </c>
      <c r="T202" s="10"/>
      <c r="U202" s="10"/>
      <c r="V202" s="10"/>
      <c r="W202" s="10"/>
      <c r="X202" s="10"/>
      <c r="Y202" s="10"/>
      <c r="Z202" s="10"/>
      <c r="AA202" s="10"/>
      <c r="AB202" s="10"/>
      <c r="AC202" s="10"/>
    </row>
    <row r="203" spans="1:29" ht="52.5" hidden="1" customHeight="1" x14ac:dyDescent="0.2">
      <c r="A203" s="4020"/>
      <c r="B203" s="4018"/>
      <c r="C203" s="3686" t="s">
        <v>1336</v>
      </c>
      <c r="D203" s="3648" t="s">
        <v>53</v>
      </c>
      <c r="E203" s="3649"/>
      <c r="F203" s="2351">
        <f t="shared" ref="F203:G225" si="79">+F106</f>
        <v>0</v>
      </c>
      <c r="G203" s="2413">
        <f t="shared" si="79"/>
        <v>0</v>
      </c>
      <c r="H203" s="12"/>
      <c r="I203" s="1968">
        <f>IF(F203=0,0,ROUND($F203*COEF!$J$27,0))</f>
        <v>0</v>
      </c>
      <c r="J203" s="858">
        <f>IF(F203=0,0,ROUND($F203*COEF!$K$27,0))</f>
        <v>0</v>
      </c>
      <c r="K203" s="858">
        <f>IF(F203=0,0,ROUND($F203*COEF!$L$27,0))</f>
        <v>0</v>
      </c>
      <c r="L203" s="859">
        <f t="shared" ca="1" si="59"/>
        <v>0</v>
      </c>
      <c r="M203" s="859">
        <f t="shared" ca="1" si="60"/>
        <v>0</v>
      </c>
      <c r="N203" s="859">
        <f t="shared" ca="1" si="61"/>
        <v>0</v>
      </c>
      <c r="O203" s="860">
        <f t="shared" ca="1" si="62"/>
        <v>0</v>
      </c>
      <c r="P203" s="860">
        <f t="shared" ca="1" si="63"/>
        <v>0</v>
      </c>
      <c r="Q203" s="860">
        <f t="shared" ca="1" si="64"/>
        <v>0</v>
      </c>
      <c r="R203" s="1969">
        <f t="shared" ca="1" si="65"/>
        <v>0</v>
      </c>
      <c r="S203" s="675">
        <f t="shared" si="66"/>
        <v>0</v>
      </c>
      <c r="T203" s="10"/>
      <c r="U203" s="10"/>
      <c r="V203" s="10"/>
      <c r="W203" s="10"/>
      <c r="X203" s="10"/>
      <c r="Y203" s="10"/>
      <c r="Z203" s="10"/>
      <c r="AA203" s="10"/>
      <c r="AB203" s="10"/>
      <c r="AC203" s="10"/>
    </row>
    <row r="204" spans="1:29" ht="52.5" hidden="1" customHeight="1" x14ac:dyDescent="0.2">
      <c r="A204" s="4020"/>
      <c r="B204" s="4018"/>
      <c r="C204" s="3687"/>
      <c r="D204" s="3648" t="s">
        <v>200</v>
      </c>
      <c r="E204" s="3649"/>
      <c r="F204" s="2351">
        <f t="shared" si="79"/>
        <v>0</v>
      </c>
      <c r="G204" s="2413">
        <f t="shared" si="79"/>
        <v>0</v>
      </c>
      <c r="H204" s="12"/>
      <c r="I204" s="1968">
        <f>IF(F204=0,0,ROUND($F204*COEF!$J$27,0))</f>
        <v>0</v>
      </c>
      <c r="J204" s="858">
        <f>IF(F204=0,0,ROUND($F204*COEF!$K$27,0))</f>
        <v>0</v>
      </c>
      <c r="K204" s="858">
        <f>IF(F204=0,0,ROUND($F204*COEF!$L$27,0))</f>
        <v>0</v>
      </c>
      <c r="L204" s="859">
        <f t="shared" ca="1" si="59"/>
        <v>0</v>
      </c>
      <c r="M204" s="859">
        <f t="shared" ca="1" si="60"/>
        <v>0</v>
      </c>
      <c r="N204" s="859">
        <f t="shared" ca="1" si="61"/>
        <v>0</v>
      </c>
      <c r="O204" s="860">
        <f t="shared" ca="1" si="62"/>
        <v>0</v>
      </c>
      <c r="P204" s="860">
        <f t="shared" ca="1" si="63"/>
        <v>0</v>
      </c>
      <c r="Q204" s="860">
        <f t="shared" ca="1" si="64"/>
        <v>0</v>
      </c>
      <c r="R204" s="1969">
        <f t="shared" ca="1" si="65"/>
        <v>0</v>
      </c>
      <c r="S204" s="675">
        <f t="shared" si="66"/>
        <v>0</v>
      </c>
      <c r="T204" s="10"/>
      <c r="U204" s="10"/>
      <c r="V204" s="10"/>
      <c r="W204" s="10"/>
      <c r="X204" s="10"/>
      <c r="Y204" s="10"/>
      <c r="Z204" s="10"/>
      <c r="AA204" s="10"/>
      <c r="AB204" s="10"/>
      <c r="AC204" s="10"/>
    </row>
    <row r="205" spans="1:29" ht="52.5" hidden="1" customHeight="1" x14ac:dyDescent="0.2">
      <c r="A205" s="4020"/>
      <c r="B205" s="4018"/>
      <c r="C205" s="3687"/>
      <c r="D205" s="3648" t="s">
        <v>201</v>
      </c>
      <c r="E205" s="3649"/>
      <c r="F205" s="2351">
        <f t="shared" si="79"/>
        <v>0</v>
      </c>
      <c r="G205" s="2413">
        <f t="shared" si="79"/>
        <v>0</v>
      </c>
      <c r="H205" s="12"/>
      <c r="I205" s="1968">
        <f>IF(F205=0,0,ROUND($F205*COEF!$J$27,0))</f>
        <v>0</v>
      </c>
      <c r="J205" s="858">
        <f>IF(F205=0,0,ROUND($F205*COEF!$K$27,0))</f>
        <v>0</v>
      </c>
      <c r="K205" s="858">
        <f>IF(F205=0,0,ROUND($F205*COEF!$L$27,0))</f>
        <v>0</v>
      </c>
      <c r="L205" s="859">
        <f t="shared" ca="1" si="59"/>
        <v>0</v>
      </c>
      <c r="M205" s="859">
        <f t="shared" ca="1" si="60"/>
        <v>0</v>
      </c>
      <c r="N205" s="859">
        <f t="shared" ca="1" si="61"/>
        <v>0</v>
      </c>
      <c r="O205" s="860">
        <f t="shared" ca="1" si="62"/>
        <v>0</v>
      </c>
      <c r="P205" s="860">
        <f t="shared" ca="1" si="63"/>
        <v>0</v>
      </c>
      <c r="Q205" s="860">
        <f t="shared" ca="1" si="64"/>
        <v>0</v>
      </c>
      <c r="R205" s="1969">
        <f t="shared" ca="1" si="65"/>
        <v>0</v>
      </c>
      <c r="S205" s="675">
        <f t="shared" si="66"/>
        <v>0</v>
      </c>
      <c r="T205" s="10"/>
      <c r="U205" s="10"/>
      <c r="V205" s="10"/>
      <c r="W205" s="10"/>
      <c r="X205" s="10"/>
      <c r="Y205" s="10"/>
      <c r="Z205" s="10"/>
      <c r="AA205" s="10"/>
      <c r="AB205" s="10"/>
      <c r="AC205" s="10"/>
    </row>
    <row r="206" spans="1:29" ht="52.5" hidden="1" customHeight="1" x14ac:dyDescent="0.2">
      <c r="A206" s="4020"/>
      <c r="B206" s="4018"/>
      <c r="C206" s="3687"/>
      <c r="D206" s="4092" t="s">
        <v>1351</v>
      </c>
      <c r="E206" s="4093"/>
      <c r="F206" s="2351">
        <f t="shared" si="79"/>
        <v>0</v>
      </c>
      <c r="G206" s="2351">
        <f t="shared" si="79"/>
        <v>0</v>
      </c>
      <c r="H206" s="12"/>
      <c r="I206" s="1968">
        <f>IF(F206=0,0,ROUND($F206*COEF!$J$27,0))</f>
        <v>0</v>
      </c>
      <c r="J206" s="858">
        <f>IF(F206=0,0,ROUND($F206*COEF!$K$27,0))</f>
        <v>0</v>
      </c>
      <c r="K206" s="858">
        <f>IF(F206=0,0,ROUND($F206*COEF!$L$27,0))</f>
        <v>0</v>
      </c>
      <c r="L206" s="859">
        <f t="shared" ca="1" si="59"/>
        <v>0</v>
      </c>
      <c r="M206" s="859">
        <f t="shared" ca="1" si="60"/>
        <v>0</v>
      </c>
      <c r="N206" s="859">
        <f t="shared" ca="1" si="61"/>
        <v>0</v>
      </c>
      <c r="O206" s="860">
        <f t="shared" ref="O206" ca="1" si="80">I206+L206</f>
        <v>0</v>
      </c>
      <c r="P206" s="860">
        <f t="shared" ref="P206" ca="1" si="81">J206+M206</f>
        <v>0</v>
      </c>
      <c r="Q206" s="860">
        <f t="shared" ref="Q206" ca="1" si="82">K206+N206</f>
        <v>0</v>
      </c>
      <c r="R206" s="1969">
        <f t="shared" ref="R206" ca="1" si="83">SUM(O206:Q206)</f>
        <v>0</v>
      </c>
      <c r="S206" s="675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</row>
    <row r="207" spans="1:29" ht="52.5" hidden="1" customHeight="1" x14ac:dyDescent="0.2">
      <c r="A207" s="4020"/>
      <c r="B207" s="4018"/>
      <c r="C207" s="3687"/>
      <c r="D207" s="3650" t="s">
        <v>55</v>
      </c>
      <c r="E207" s="3651"/>
      <c r="F207" s="2351">
        <f t="shared" si="79"/>
        <v>0</v>
      </c>
      <c r="G207" s="2413">
        <f t="shared" si="79"/>
        <v>0</v>
      </c>
      <c r="H207" s="12"/>
      <c r="I207" s="1968">
        <f>IF(F207=0,0,ROUND($F207*COEF!$J$27,0))</f>
        <v>0</v>
      </c>
      <c r="J207" s="858">
        <f>IF(F207=0,0,ROUND($F207*COEF!$K$27,0))</f>
        <v>0</v>
      </c>
      <c r="K207" s="858">
        <f>IF(F207=0,0,ROUND($F207*COEF!$L$27,0))</f>
        <v>0</v>
      </c>
      <c r="L207" s="859">
        <f t="shared" ca="1" si="59"/>
        <v>0</v>
      </c>
      <c r="M207" s="859">
        <f t="shared" ca="1" si="60"/>
        <v>0</v>
      </c>
      <c r="N207" s="859">
        <f t="shared" ca="1" si="61"/>
        <v>0</v>
      </c>
      <c r="O207" s="860">
        <f t="shared" ca="1" si="62"/>
        <v>0</v>
      </c>
      <c r="P207" s="860">
        <f t="shared" ca="1" si="63"/>
        <v>0</v>
      </c>
      <c r="Q207" s="860">
        <f t="shared" ca="1" si="64"/>
        <v>0</v>
      </c>
      <c r="R207" s="1969">
        <f t="shared" ca="1" si="65"/>
        <v>0</v>
      </c>
      <c r="S207" s="675">
        <f t="shared" si="66"/>
        <v>0</v>
      </c>
      <c r="T207" s="10"/>
      <c r="U207" s="10"/>
      <c r="V207" s="10"/>
      <c r="W207" s="10"/>
      <c r="X207" s="10"/>
      <c r="Y207" s="10"/>
      <c r="Z207" s="10"/>
      <c r="AA207" s="10"/>
      <c r="AB207" s="10"/>
      <c r="AC207" s="10"/>
    </row>
    <row r="208" spans="1:29" ht="52.5" hidden="1" customHeight="1" x14ac:dyDescent="0.2">
      <c r="A208" s="4020"/>
      <c r="B208" s="4018"/>
      <c r="C208" s="3687"/>
      <c r="D208" s="3650" t="s">
        <v>202</v>
      </c>
      <c r="E208" s="3651"/>
      <c r="F208" s="2351">
        <f t="shared" si="79"/>
        <v>0</v>
      </c>
      <c r="G208" s="2413">
        <f t="shared" si="79"/>
        <v>0</v>
      </c>
      <c r="H208" s="12"/>
      <c r="I208" s="1968">
        <f>IF(F208=0,0,ROUND($F208*COEF!$J$27,0))</f>
        <v>0</v>
      </c>
      <c r="J208" s="858">
        <f>IF(F208=0,0,ROUND($F208*COEF!$K$27,0))</f>
        <v>0</v>
      </c>
      <c r="K208" s="858">
        <f>IF(F208=0,0,ROUND($F208*COEF!$L$27,0))</f>
        <v>0</v>
      </c>
      <c r="L208" s="859">
        <f t="shared" ca="1" si="59"/>
        <v>0</v>
      </c>
      <c r="M208" s="859">
        <f t="shared" ca="1" si="60"/>
        <v>0</v>
      </c>
      <c r="N208" s="859">
        <f t="shared" ca="1" si="61"/>
        <v>0</v>
      </c>
      <c r="O208" s="860">
        <f t="shared" ca="1" si="62"/>
        <v>0</v>
      </c>
      <c r="P208" s="860">
        <f t="shared" ca="1" si="63"/>
        <v>0</v>
      </c>
      <c r="Q208" s="860">
        <f t="shared" ca="1" si="64"/>
        <v>0</v>
      </c>
      <c r="R208" s="1969">
        <f t="shared" ca="1" si="65"/>
        <v>0</v>
      </c>
      <c r="S208" s="675">
        <f t="shared" si="66"/>
        <v>0</v>
      </c>
      <c r="T208" s="10"/>
      <c r="U208" s="10"/>
      <c r="V208" s="10"/>
      <c r="W208" s="10"/>
      <c r="X208" s="10"/>
      <c r="Y208" s="10"/>
      <c r="Z208" s="10"/>
      <c r="AA208" s="10"/>
      <c r="AB208" s="10"/>
      <c r="AC208" s="10"/>
    </row>
    <row r="209" spans="1:29" ht="52.5" hidden="1" customHeight="1" x14ac:dyDescent="0.2">
      <c r="A209" s="4020"/>
      <c r="B209" s="2716"/>
      <c r="C209" s="3687"/>
      <c r="D209" s="3650" t="s">
        <v>203</v>
      </c>
      <c r="E209" s="3651"/>
      <c r="F209" s="2351">
        <f t="shared" si="79"/>
        <v>0</v>
      </c>
      <c r="G209" s="2413">
        <f t="shared" si="79"/>
        <v>0</v>
      </c>
      <c r="H209" s="12"/>
      <c r="I209" s="1968">
        <f>IF(F209=0,0,ROUND($F209*COEF!$J$27,0))</f>
        <v>0</v>
      </c>
      <c r="J209" s="858">
        <f>IF(F209=0,0,ROUND($F209*COEF!$K$27,0))</f>
        <v>0</v>
      </c>
      <c r="K209" s="858">
        <f>IF(F209=0,0,ROUND($F209*COEF!$L$27,0))</f>
        <v>0</v>
      </c>
      <c r="L209" s="859">
        <f t="shared" ca="1" si="59"/>
        <v>0</v>
      </c>
      <c r="M209" s="859">
        <f t="shared" ca="1" si="60"/>
        <v>0</v>
      </c>
      <c r="N209" s="859">
        <f t="shared" ca="1" si="61"/>
        <v>0</v>
      </c>
      <c r="O209" s="860">
        <f t="shared" ca="1" si="62"/>
        <v>0</v>
      </c>
      <c r="P209" s="860">
        <f t="shared" ca="1" si="63"/>
        <v>0</v>
      </c>
      <c r="Q209" s="860">
        <f t="shared" ca="1" si="64"/>
        <v>0</v>
      </c>
      <c r="R209" s="1969">
        <f t="shared" ca="1" si="65"/>
        <v>0</v>
      </c>
      <c r="S209" s="675">
        <f t="shared" si="66"/>
        <v>0</v>
      </c>
      <c r="T209" s="10"/>
      <c r="U209" s="10"/>
      <c r="V209" s="10"/>
      <c r="W209" s="10"/>
      <c r="X209" s="10"/>
      <c r="Y209" s="10"/>
      <c r="Z209" s="10"/>
      <c r="AA209" s="10"/>
      <c r="AB209" s="10"/>
      <c r="AC209" s="10"/>
    </row>
    <row r="210" spans="1:29" ht="52.5" hidden="1" customHeight="1" x14ac:dyDescent="0.2">
      <c r="A210" s="4020"/>
      <c r="B210" s="2716"/>
      <c r="C210" s="4096"/>
      <c r="D210" s="4094" t="s">
        <v>1240</v>
      </c>
      <c r="E210" s="4095"/>
      <c r="F210" s="2351">
        <f t="shared" si="79"/>
        <v>0</v>
      </c>
      <c r="G210" s="2413">
        <f t="shared" si="79"/>
        <v>0</v>
      </c>
      <c r="H210" s="12"/>
      <c r="I210" s="1968">
        <f>IF(F210=0,0,ROUND($F210*COEF!$J$27,0))</f>
        <v>0</v>
      </c>
      <c r="J210" s="858">
        <f>IF(F210=0,0,ROUND($F210*COEF!$K$27,0))</f>
        <v>0</v>
      </c>
      <c r="K210" s="858">
        <f>IF(F210=0,0,ROUND($F210*COEF!$L$27,0))</f>
        <v>0</v>
      </c>
      <c r="L210" s="859">
        <f t="shared" ca="1" si="59"/>
        <v>0</v>
      </c>
      <c r="M210" s="859">
        <f t="shared" ca="1" si="60"/>
        <v>0</v>
      </c>
      <c r="N210" s="859">
        <f t="shared" ca="1" si="61"/>
        <v>0</v>
      </c>
      <c r="O210" s="860">
        <f t="shared" ref="O210" ca="1" si="84">I210+L210</f>
        <v>0</v>
      </c>
      <c r="P210" s="860">
        <f t="shared" ref="P210" ca="1" si="85">J210+M210</f>
        <v>0</v>
      </c>
      <c r="Q210" s="860">
        <f t="shared" ref="Q210" ca="1" si="86">K210+N210</f>
        <v>0</v>
      </c>
      <c r="R210" s="1969">
        <f t="shared" ref="R210" ca="1" si="87">SUM(O210:Q210)</f>
        <v>0</v>
      </c>
      <c r="S210" s="675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</row>
    <row r="211" spans="1:29" ht="52.5" hidden="1" customHeight="1" x14ac:dyDescent="0.2">
      <c r="A211" s="4020"/>
      <c r="B211" s="2716"/>
      <c r="C211" s="3686" t="s">
        <v>1337</v>
      </c>
      <c r="D211" s="3648" t="s">
        <v>53</v>
      </c>
      <c r="E211" s="3649"/>
      <c r="F211" s="2351">
        <f t="shared" si="79"/>
        <v>0</v>
      </c>
      <c r="G211" s="2413">
        <f t="shared" si="79"/>
        <v>0</v>
      </c>
      <c r="H211" s="12"/>
      <c r="I211" s="1968">
        <f>IF(F211=0,0,ROUND($F211*COEF!$J$27,0))</f>
        <v>0</v>
      </c>
      <c r="J211" s="858">
        <f>IF(F211=0,0,ROUND($F211*COEF!$K$27,0))</f>
        <v>0</v>
      </c>
      <c r="K211" s="858">
        <f>IF(F211=0,0,ROUND($F211*COEF!$L$27,0))</f>
        <v>0</v>
      </c>
      <c r="L211" s="859">
        <f t="shared" ca="1" si="59"/>
        <v>0</v>
      </c>
      <c r="M211" s="859">
        <f t="shared" ca="1" si="60"/>
        <v>0</v>
      </c>
      <c r="N211" s="859">
        <f t="shared" ca="1" si="61"/>
        <v>0</v>
      </c>
      <c r="O211" s="860">
        <f t="shared" ref="O211:O223" ca="1" si="88">I211+L211</f>
        <v>0</v>
      </c>
      <c r="P211" s="860">
        <f t="shared" ref="P211:P223" ca="1" si="89">J211+M211</f>
        <v>0</v>
      </c>
      <c r="Q211" s="860">
        <f t="shared" ref="Q211:Q223" ca="1" si="90">K211+N211</f>
        <v>0</v>
      </c>
      <c r="R211" s="1969">
        <f t="shared" ref="R211:R223" ca="1" si="91">SUM(O211:Q211)</f>
        <v>0</v>
      </c>
      <c r="S211" s="675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</row>
    <row r="212" spans="1:29" ht="52.5" hidden="1" customHeight="1" x14ac:dyDescent="0.2">
      <c r="A212" s="4020"/>
      <c r="B212" s="2716"/>
      <c r="C212" s="3687"/>
      <c r="D212" s="3648" t="s">
        <v>200</v>
      </c>
      <c r="E212" s="3649"/>
      <c r="F212" s="2351">
        <f t="shared" si="79"/>
        <v>0</v>
      </c>
      <c r="G212" s="2413">
        <f t="shared" si="79"/>
        <v>0</v>
      </c>
      <c r="H212" s="12"/>
      <c r="I212" s="1968">
        <f>IF(F212=0,0,ROUND($F212*COEF!$J$27,0))</f>
        <v>0</v>
      </c>
      <c r="J212" s="858">
        <f>IF(F212=0,0,ROUND($F212*COEF!$K$27,0))</f>
        <v>0</v>
      </c>
      <c r="K212" s="858">
        <f>IF(F212=0,0,ROUND($F212*COEF!$L$27,0))</f>
        <v>0</v>
      </c>
      <c r="L212" s="859">
        <f t="shared" ca="1" si="59"/>
        <v>0</v>
      </c>
      <c r="M212" s="859">
        <f t="shared" ca="1" si="60"/>
        <v>0</v>
      </c>
      <c r="N212" s="859">
        <f t="shared" ca="1" si="61"/>
        <v>0</v>
      </c>
      <c r="O212" s="860">
        <f t="shared" ca="1" si="88"/>
        <v>0</v>
      </c>
      <c r="P212" s="860">
        <f t="shared" ca="1" si="89"/>
        <v>0</v>
      </c>
      <c r="Q212" s="860">
        <f t="shared" ca="1" si="90"/>
        <v>0</v>
      </c>
      <c r="R212" s="1969">
        <f t="shared" ca="1" si="91"/>
        <v>0</v>
      </c>
      <c r="S212" s="675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</row>
    <row r="213" spans="1:29" ht="52.5" hidden="1" customHeight="1" x14ac:dyDescent="0.2">
      <c r="A213" s="4020"/>
      <c r="B213" s="2716"/>
      <c r="C213" s="3687"/>
      <c r="D213" s="3648" t="s">
        <v>201</v>
      </c>
      <c r="E213" s="3649"/>
      <c r="F213" s="2351">
        <f t="shared" si="79"/>
        <v>0</v>
      </c>
      <c r="G213" s="2413">
        <f t="shared" si="79"/>
        <v>0</v>
      </c>
      <c r="H213" s="12"/>
      <c r="I213" s="1968">
        <f>IF(F213=0,0,ROUND($F213*COEF!$J$27,0))</f>
        <v>0</v>
      </c>
      <c r="J213" s="858">
        <f>IF(F213=0,0,ROUND($F213*COEF!$K$27,0))</f>
        <v>0</v>
      </c>
      <c r="K213" s="858">
        <f>IF(F213=0,0,ROUND($F213*COEF!$L$27,0))</f>
        <v>0</v>
      </c>
      <c r="L213" s="859">
        <f t="shared" ref="L213:L244" ca="1" si="92">+ROUND(I213*I$395,0)</f>
        <v>0</v>
      </c>
      <c r="M213" s="859">
        <f t="shared" ref="M213:M244" ca="1" si="93">+ROUND(J213*J$395,0)</f>
        <v>0</v>
      </c>
      <c r="N213" s="859">
        <f t="shared" ref="N213:N244" ca="1" si="94">+ROUND(K213*K$395,0)</f>
        <v>0</v>
      </c>
      <c r="O213" s="860">
        <f t="shared" ca="1" si="88"/>
        <v>0</v>
      </c>
      <c r="P213" s="860">
        <f t="shared" ca="1" si="89"/>
        <v>0</v>
      </c>
      <c r="Q213" s="860">
        <f t="shared" ca="1" si="90"/>
        <v>0</v>
      </c>
      <c r="R213" s="1969">
        <f t="shared" ca="1" si="91"/>
        <v>0</v>
      </c>
      <c r="S213" s="675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</row>
    <row r="214" spans="1:29" ht="52.5" hidden="1" customHeight="1" x14ac:dyDescent="0.2">
      <c r="A214" s="4020"/>
      <c r="B214" s="2716"/>
      <c r="C214" s="3687"/>
      <c r="D214" s="3650" t="s">
        <v>55</v>
      </c>
      <c r="E214" s="3651"/>
      <c r="F214" s="2351">
        <f t="shared" si="79"/>
        <v>0</v>
      </c>
      <c r="G214" s="2413">
        <f t="shared" si="79"/>
        <v>0</v>
      </c>
      <c r="H214" s="12"/>
      <c r="I214" s="1968">
        <f>IF(F214=0,0,ROUND($F214*COEF!$J$27,0))</f>
        <v>0</v>
      </c>
      <c r="J214" s="858">
        <f>IF(F214=0,0,ROUND($F214*COEF!$K$27,0))</f>
        <v>0</v>
      </c>
      <c r="K214" s="858">
        <f>IF(F214=0,0,ROUND($F214*COEF!$L$27,0))</f>
        <v>0</v>
      </c>
      <c r="L214" s="859">
        <f t="shared" ca="1" si="92"/>
        <v>0</v>
      </c>
      <c r="M214" s="859">
        <f t="shared" ca="1" si="93"/>
        <v>0</v>
      </c>
      <c r="N214" s="859">
        <f t="shared" ca="1" si="94"/>
        <v>0</v>
      </c>
      <c r="O214" s="860">
        <f t="shared" ca="1" si="88"/>
        <v>0</v>
      </c>
      <c r="P214" s="860">
        <f t="shared" ca="1" si="89"/>
        <v>0</v>
      </c>
      <c r="Q214" s="860">
        <f t="shared" ca="1" si="90"/>
        <v>0</v>
      </c>
      <c r="R214" s="1969">
        <f t="shared" ca="1" si="91"/>
        <v>0</v>
      </c>
      <c r="S214" s="675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</row>
    <row r="215" spans="1:29" ht="52.5" hidden="1" customHeight="1" x14ac:dyDescent="0.2">
      <c r="A215" s="4020"/>
      <c r="B215" s="2716"/>
      <c r="C215" s="3687"/>
      <c r="D215" s="3650" t="s">
        <v>202</v>
      </c>
      <c r="E215" s="3651"/>
      <c r="F215" s="2351">
        <f t="shared" si="79"/>
        <v>0</v>
      </c>
      <c r="G215" s="2413">
        <f t="shared" si="79"/>
        <v>0</v>
      </c>
      <c r="H215" s="12"/>
      <c r="I215" s="1968">
        <f>IF(F215=0,0,ROUND($F215*COEF!$J$27,0))</f>
        <v>0</v>
      </c>
      <c r="J215" s="858">
        <f>IF(F215=0,0,ROUND($F215*COEF!$K$27,0))</f>
        <v>0</v>
      </c>
      <c r="K215" s="858">
        <f>IF(F215=0,0,ROUND($F215*COEF!$L$27,0))</f>
        <v>0</v>
      </c>
      <c r="L215" s="859">
        <f t="shared" ca="1" si="92"/>
        <v>0</v>
      </c>
      <c r="M215" s="859">
        <f t="shared" ca="1" si="93"/>
        <v>0</v>
      </c>
      <c r="N215" s="859">
        <f t="shared" ca="1" si="94"/>
        <v>0</v>
      </c>
      <c r="O215" s="860">
        <f t="shared" ca="1" si="88"/>
        <v>0</v>
      </c>
      <c r="P215" s="860">
        <f t="shared" ca="1" si="89"/>
        <v>0</v>
      </c>
      <c r="Q215" s="860">
        <f t="shared" ca="1" si="90"/>
        <v>0</v>
      </c>
      <c r="R215" s="1969">
        <f t="shared" ca="1" si="91"/>
        <v>0</v>
      </c>
      <c r="S215" s="675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</row>
    <row r="216" spans="1:29" ht="52.5" hidden="1" customHeight="1" thickBot="1" x14ac:dyDescent="0.25">
      <c r="A216" s="4020"/>
      <c r="B216" s="2716"/>
      <c r="C216" s="3688"/>
      <c r="D216" s="3650" t="s">
        <v>203</v>
      </c>
      <c r="E216" s="3651"/>
      <c r="F216" s="2351">
        <f t="shared" si="79"/>
        <v>0</v>
      </c>
      <c r="G216" s="2413">
        <f t="shared" si="79"/>
        <v>0</v>
      </c>
      <c r="H216" s="12"/>
      <c r="I216" s="1968">
        <f>IF(F216=0,0,ROUND($F216*COEF!$J$27,0))</f>
        <v>0</v>
      </c>
      <c r="J216" s="858">
        <f>IF(F216=0,0,ROUND($F216*COEF!$K$27,0))</f>
        <v>0</v>
      </c>
      <c r="K216" s="858">
        <f>IF(F216=0,0,ROUND($F216*COEF!$L$27,0))</f>
        <v>0</v>
      </c>
      <c r="L216" s="859">
        <f t="shared" ca="1" si="92"/>
        <v>0</v>
      </c>
      <c r="M216" s="859">
        <f t="shared" ca="1" si="93"/>
        <v>0</v>
      </c>
      <c r="N216" s="859">
        <f t="shared" ca="1" si="94"/>
        <v>0</v>
      </c>
      <c r="O216" s="860">
        <f t="shared" ca="1" si="88"/>
        <v>0</v>
      </c>
      <c r="P216" s="860">
        <f t="shared" ca="1" si="89"/>
        <v>0</v>
      </c>
      <c r="Q216" s="860">
        <f t="shared" ca="1" si="90"/>
        <v>0</v>
      </c>
      <c r="R216" s="1969">
        <f t="shared" ca="1" si="91"/>
        <v>0</v>
      </c>
      <c r="S216" s="675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</row>
    <row r="217" spans="1:29" ht="52.5" hidden="1" customHeight="1" x14ac:dyDescent="0.2">
      <c r="A217" s="4020"/>
      <c r="B217" s="2716"/>
      <c r="C217" s="3984" t="s">
        <v>1338</v>
      </c>
      <c r="D217" s="3648" t="s">
        <v>53</v>
      </c>
      <c r="E217" s="3649"/>
      <c r="F217" s="2351">
        <f t="shared" si="79"/>
        <v>0</v>
      </c>
      <c r="G217" s="2413">
        <f t="shared" si="79"/>
        <v>0</v>
      </c>
      <c r="H217" s="12"/>
      <c r="I217" s="1968">
        <f>IF(F217=0,0,ROUND($F217*COEF!$J$27,0))</f>
        <v>0</v>
      </c>
      <c r="J217" s="858">
        <f>IF(F217=0,0,ROUND($F217*COEF!$K$27,0))</f>
        <v>0</v>
      </c>
      <c r="K217" s="858">
        <f>IF(F217=0,0,ROUND($F217*COEF!$L$27,0))</f>
        <v>0</v>
      </c>
      <c r="L217" s="859">
        <f t="shared" ca="1" si="92"/>
        <v>0</v>
      </c>
      <c r="M217" s="859">
        <f t="shared" ca="1" si="93"/>
        <v>0</v>
      </c>
      <c r="N217" s="859">
        <f t="shared" ca="1" si="94"/>
        <v>0</v>
      </c>
      <c r="O217" s="860">
        <f t="shared" ca="1" si="88"/>
        <v>0</v>
      </c>
      <c r="P217" s="860">
        <f t="shared" ca="1" si="89"/>
        <v>0</v>
      </c>
      <c r="Q217" s="860">
        <f t="shared" ca="1" si="90"/>
        <v>0</v>
      </c>
      <c r="R217" s="1969">
        <f t="shared" ca="1" si="91"/>
        <v>0</v>
      </c>
      <c r="S217" s="675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</row>
    <row r="218" spans="1:29" ht="52.5" hidden="1" customHeight="1" x14ac:dyDescent="0.2">
      <c r="A218" s="4020"/>
      <c r="B218" s="2716"/>
      <c r="C218" s="3985"/>
      <c r="D218" s="3648" t="s">
        <v>200</v>
      </c>
      <c r="E218" s="3649"/>
      <c r="F218" s="2351">
        <f t="shared" si="79"/>
        <v>0</v>
      </c>
      <c r="G218" s="2413">
        <f t="shared" si="79"/>
        <v>0</v>
      </c>
      <c r="H218" s="12"/>
      <c r="I218" s="1968">
        <f>IF(F218=0,0,ROUND($F218*COEF!$J$27,0))</f>
        <v>0</v>
      </c>
      <c r="J218" s="858">
        <f>IF(F218=0,0,ROUND($F218*COEF!$K$27,0))</f>
        <v>0</v>
      </c>
      <c r="K218" s="858">
        <f>IF(F218=0,0,ROUND($F218*COEF!$L$27,0))</f>
        <v>0</v>
      </c>
      <c r="L218" s="859">
        <f t="shared" ca="1" si="92"/>
        <v>0</v>
      </c>
      <c r="M218" s="859">
        <f t="shared" ca="1" si="93"/>
        <v>0</v>
      </c>
      <c r="N218" s="859">
        <f t="shared" ca="1" si="94"/>
        <v>0</v>
      </c>
      <c r="O218" s="860">
        <f t="shared" ca="1" si="88"/>
        <v>0</v>
      </c>
      <c r="P218" s="860">
        <f t="shared" ca="1" si="89"/>
        <v>0</v>
      </c>
      <c r="Q218" s="860">
        <f t="shared" ca="1" si="90"/>
        <v>0</v>
      </c>
      <c r="R218" s="1969">
        <f t="shared" ca="1" si="91"/>
        <v>0</v>
      </c>
      <c r="S218" s="675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</row>
    <row r="219" spans="1:29" ht="52.5" hidden="1" customHeight="1" x14ac:dyDescent="0.2">
      <c r="A219" s="4020"/>
      <c r="B219" s="2716"/>
      <c r="C219" s="3985"/>
      <c r="D219" s="3648" t="s">
        <v>201</v>
      </c>
      <c r="E219" s="3649"/>
      <c r="F219" s="2351">
        <f t="shared" si="79"/>
        <v>0</v>
      </c>
      <c r="G219" s="2413">
        <f t="shared" si="79"/>
        <v>0</v>
      </c>
      <c r="H219" s="12"/>
      <c r="I219" s="1968">
        <f>IF(F219=0,0,ROUND($F219*COEF!$J$27,0))</f>
        <v>0</v>
      </c>
      <c r="J219" s="858">
        <f>IF(F219=0,0,ROUND($F219*COEF!$K$27,0))</f>
        <v>0</v>
      </c>
      <c r="K219" s="858">
        <f>IF(F219=0,0,ROUND($F219*COEF!$L$27,0))</f>
        <v>0</v>
      </c>
      <c r="L219" s="859">
        <f t="shared" ca="1" si="92"/>
        <v>0</v>
      </c>
      <c r="M219" s="859">
        <f t="shared" ca="1" si="93"/>
        <v>0</v>
      </c>
      <c r="N219" s="859">
        <f t="shared" ca="1" si="94"/>
        <v>0</v>
      </c>
      <c r="O219" s="860">
        <f t="shared" ca="1" si="88"/>
        <v>0</v>
      </c>
      <c r="P219" s="860">
        <f t="shared" ca="1" si="89"/>
        <v>0</v>
      </c>
      <c r="Q219" s="860">
        <f t="shared" ca="1" si="90"/>
        <v>0</v>
      </c>
      <c r="R219" s="1969">
        <f t="shared" ca="1" si="91"/>
        <v>0</v>
      </c>
      <c r="S219" s="675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</row>
    <row r="220" spans="1:29" ht="52.5" hidden="1" customHeight="1" x14ac:dyDescent="0.2">
      <c r="A220" s="4020"/>
      <c r="B220" s="2716"/>
      <c r="C220" s="3985"/>
      <c r="D220" s="3648" t="s">
        <v>1353</v>
      </c>
      <c r="E220" s="3649"/>
      <c r="F220" s="2351">
        <f t="shared" si="79"/>
        <v>0</v>
      </c>
      <c r="G220" s="2413">
        <f t="shared" si="79"/>
        <v>0</v>
      </c>
      <c r="H220" s="12"/>
      <c r="I220" s="1968">
        <f>IF(F220=0,0,ROUND($F220*COEF!$J$27,0))</f>
        <v>0</v>
      </c>
      <c r="J220" s="858">
        <f>IF(F220=0,0,ROUND($F220*COEF!$K$27,0))</f>
        <v>0</v>
      </c>
      <c r="K220" s="858">
        <f>IF(F220=0,0,ROUND($F220*COEF!$L$27,0))</f>
        <v>0</v>
      </c>
      <c r="L220" s="859">
        <f t="shared" ca="1" si="92"/>
        <v>0</v>
      </c>
      <c r="M220" s="859">
        <f t="shared" ca="1" si="93"/>
        <v>0</v>
      </c>
      <c r="N220" s="859">
        <f t="shared" ca="1" si="94"/>
        <v>0</v>
      </c>
      <c r="O220" s="860">
        <f t="shared" ref="O220" ca="1" si="95">I220+L220</f>
        <v>0</v>
      </c>
      <c r="P220" s="860">
        <f t="shared" ref="P220" ca="1" si="96">J220+M220</f>
        <v>0</v>
      </c>
      <c r="Q220" s="860">
        <f t="shared" ref="Q220" ca="1" si="97">K220+N220</f>
        <v>0</v>
      </c>
      <c r="R220" s="1969">
        <f t="shared" ref="R220" ca="1" si="98">SUM(O220:Q220)</f>
        <v>0</v>
      </c>
      <c r="S220" s="675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</row>
    <row r="221" spans="1:29" ht="52.5" hidden="1" customHeight="1" x14ac:dyDescent="0.2">
      <c r="A221" s="4020"/>
      <c r="B221" s="2716"/>
      <c r="C221" s="3985"/>
      <c r="D221" s="3650" t="s">
        <v>55</v>
      </c>
      <c r="E221" s="3651"/>
      <c r="F221" s="2351">
        <f t="shared" si="79"/>
        <v>0</v>
      </c>
      <c r="G221" s="2413">
        <f t="shared" si="79"/>
        <v>0</v>
      </c>
      <c r="H221" s="12"/>
      <c r="I221" s="1968">
        <f>IF(F221=0,0,ROUND($F221*COEF!$J$27,0))</f>
        <v>0</v>
      </c>
      <c r="J221" s="858">
        <f>IF(F221=0,0,ROUND($F221*COEF!$K$27,0))</f>
        <v>0</v>
      </c>
      <c r="K221" s="858">
        <f>IF(F221=0,0,ROUND($F221*COEF!$L$27,0))</f>
        <v>0</v>
      </c>
      <c r="L221" s="859">
        <f t="shared" ca="1" si="92"/>
        <v>0</v>
      </c>
      <c r="M221" s="859">
        <f t="shared" ca="1" si="93"/>
        <v>0</v>
      </c>
      <c r="N221" s="859">
        <f t="shared" ca="1" si="94"/>
        <v>0</v>
      </c>
      <c r="O221" s="860">
        <f t="shared" ca="1" si="88"/>
        <v>0</v>
      </c>
      <c r="P221" s="860">
        <f t="shared" ca="1" si="89"/>
        <v>0</v>
      </c>
      <c r="Q221" s="860">
        <f t="shared" ca="1" si="90"/>
        <v>0</v>
      </c>
      <c r="R221" s="1969">
        <f t="shared" ca="1" si="91"/>
        <v>0</v>
      </c>
      <c r="S221" s="675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</row>
    <row r="222" spans="1:29" ht="52.5" hidden="1" customHeight="1" x14ac:dyDescent="0.2">
      <c r="A222" s="4020"/>
      <c r="B222" s="2716"/>
      <c r="C222" s="3985"/>
      <c r="D222" s="3650" t="s">
        <v>202</v>
      </c>
      <c r="E222" s="3651"/>
      <c r="F222" s="2351">
        <f t="shared" si="79"/>
        <v>0</v>
      </c>
      <c r="G222" s="2413">
        <f t="shared" si="79"/>
        <v>0</v>
      </c>
      <c r="H222" s="12"/>
      <c r="I222" s="1968">
        <f>IF(F222=0,0,ROUND($F222*COEF!$J$27,0))</f>
        <v>0</v>
      </c>
      <c r="J222" s="858">
        <f>IF(F222=0,0,ROUND($F222*COEF!$K$27,0))</f>
        <v>0</v>
      </c>
      <c r="K222" s="858">
        <f>IF(F222=0,0,ROUND($F222*COEF!$L$27,0))</f>
        <v>0</v>
      </c>
      <c r="L222" s="859">
        <f t="shared" ca="1" si="92"/>
        <v>0</v>
      </c>
      <c r="M222" s="859">
        <f t="shared" ca="1" si="93"/>
        <v>0</v>
      </c>
      <c r="N222" s="859">
        <f t="shared" ca="1" si="94"/>
        <v>0</v>
      </c>
      <c r="O222" s="860">
        <f t="shared" ca="1" si="88"/>
        <v>0</v>
      </c>
      <c r="P222" s="860">
        <f t="shared" ca="1" si="89"/>
        <v>0</v>
      </c>
      <c r="Q222" s="860">
        <f t="shared" ca="1" si="90"/>
        <v>0</v>
      </c>
      <c r="R222" s="1969">
        <f t="shared" ca="1" si="91"/>
        <v>0</v>
      </c>
      <c r="S222" s="675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</row>
    <row r="223" spans="1:29" ht="52.5" hidden="1" customHeight="1" x14ac:dyDescent="0.2">
      <c r="A223" s="4020"/>
      <c r="B223" s="2716"/>
      <c r="C223" s="3985"/>
      <c r="D223" s="3650" t="s">
        <v>203</v>
      </c>
      <c r="E223" s="3651"/>
      <c r="F223" s="2351">
        <f t="shared" si="79"/>
        <v>0</v>
      </c>
      <c r="G223" s="2413">
        <f t="shared" si="79"/>
        <v>0</v>
      </c>
      <c r="H223" s="12"/>
      <c r="I223" s="1968">
        <f>IF(F223=0,0,ROUND($F223*COEF!$J$27,0))</f>
        <v>0</v>
      </c>
      <c r="J223" s="858">
        <f>IF(F223=0,0,ROUND($F223*COEF!$K$27,0))</f>
        <v>0</v>
      </c>
      <c r="K223" s="858">
        <f>IF(F223=0,0,ROUND($F223*COEF!$L$27,0))</f>
        <v>0</v>
      </c>
      <c r="L223" s="859">
        <f t="shared" ca="1" si="92"/>
        <v>0</v>
      </c>
      <c r="M223" s="859">
        <f t="shared" ca="1" si="93"/>
        <v>0</v>
      </c>
      <c r="N223" s="859">
        <f t="shared" ca="1" si="94"/>
        <v>0</v>
      </c>
      <c r="O223" s="860">
        <f t="shared" ca="1" si="88"/>
        <v>0</v>
      </c>
      <c r="P223" s="860">
        <f t="shared" ca="1" si="89"/>
        <v>0</v>
      </c>
      <c r="Q223" s="860">
        <f t="shared" ca="1" si="90"/>
        <v>0</v>
      </c>
      <c r="R223" s="1969">
        <f t="shared" ca="1" si="91"/>
        <v>0</v>
      </c>
      <c r="S223" s="675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</row>
    <row r="224" spans="1:29" ht="52.5" hidden="1" customHeight="1" thickBot="1" x14ac:dyDescent="0.25">
      <c r="A224" s="4020"/>
      <c r="B224" s="2716"/>
      <c r="C224" s="3986"/>
      <c r="D224" s="3650" t="s">
        <v>1354</v>
      </c>
      <c r="E224" s="3651"/>
      <c r="F224" s="2351">
        <f t="shared" si="79"/>
        <v>0</v>
      </c>
      <c r="G224" s="2413">
        <f t="shared" si="79"/>
        <v>0</v>
      </c>
      <c r="H224" s="12"/>
      <c r="I224" s="1968">
        <f>IF(F224=0,0,ROUND($F224*COEF!$J$27,0))</f>
        <v>0</v>
      </c>
      <c r="J224" s="858">
        <f>IF(F224=0,0,ROUND($F224*COEF!$K$27,0))</f>
        <v>0</v>
      </c>
      <c r="K224" s="858">
        <f>IF(F224=0,0,ROUND($F224*COEF!$L$27,0))</f>
        <v>0</v>
      </c>
      <c r="L224" s="859">
        <f t="shared" ca="1" si="92"/>
        <v>0</v>
      </c>
      <c r="M224" s="859">
        <f t="shared" ca="1" si="93"/>
        <v>0</v>
      </c>
      <c r="N224" s="859">
        <f t="shared" ca="1" si="94"/>
        <v>0</v>
      </c>
      <c r="O224" s="860">
        <f t="shared" ref="O224" ca="1" si="99">I224+L224</f>
        <v>0</v>
      </c>
      <c r="P224" s="860">
        <f t="shared" ref="P224" ca="1" si="100">J224+M224</f>
        <v>0</v>
      </c>
      <c r="Q224" s="860">
        <f t="shared" ref="Q224" ca="1" si="101">K224+N224</f>
        <v>0</v>
      </c>
      <c r="R224" s="1969">
        <f t="shared" ref="R224" ca="1" si="102">SUM(O224:Q224)</f>
        <v>0</v>
      </c>
      <c r="S224" s="675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</row>
    <row r="225" spans="1:29" ht="52.5" hidden="1" customHeight="1" x14ac:dyDescent="0.2">
      <c r="A225" s="4020"/>
      <c r="B225" s="3963" t="s">
        <v>57</v>
      </c>
      <c r="C225" s="3958" t="s">
        <v>164</v>
      </c>
      <c r="D225" s="3959"/>
      <c r="E225" s="3960"/>
      <c r="F225" s="2410">
        <f t="shared" si="79"/>
        <v>0</v>
      </c>
      <c r="G225" s="2411">
        <f t="shared" si="79"/>
        <v>0</v>
      </c>
      <c r="H225" s="12"/>
      <c r="I225" s="1968">
        <f>IF(F225=0,0,ROUND($F225*COEF!$J$27,0))</f>
        <v>0</v>
      </c>
      <c r="J225" s="858">
        <f>IF(F225=0,0,ROUND($F225*COEF!$K$27,0))</f>
        <v>0</v>
      </c>
      <c r="K225" s="858">
        <f>IF(F225=0,0,ROUND($F225*COEF!$L$27,0))</f>
        <v>0</v>
      </c>
      <c r="L225" s="859">
        <f t="shared" ca="1" si="92"/>
        <v>0</v>
      </c>
      <c r="M225" s="859">
        <f t="shared" ca="1" si="93"/>
        <v>0</v>
      </c>
      <c r="N225" s="859">
        <f t="shared" ca="1" si="94"/>
        <v>0</v>
      </c>
      <c r="O225" s="860">
        <f t="shared" ca="1" si="62"/>
        <v>0</v>
      </c>
      <c r="P225" s="860">
        <f t="shared" ca="1" si="63"/>
        <v>0</v>
      </c>
      <c r="Q225" s="860">
        <f t="shared" ca="1" si="64"/>
        <v>0</v>
      </c>
      <c r="R225" s="1969">
        <f t="shared" ca="1" si="65"/>
        <v>0</v>
      </c>
      <c r="S225" s="675">
        <f t="shared" si="66"/>
        <v>0</v>
      </c>
      <c r="T225" s="10"/>
      <c r="U225" s="10"/>
      <c r="V225" s="10"/>
      <c r="W225" s="10"/>
      <c r="X225" s="10"/>
      <c r="Y225" s="10"/>
      <c r="Z225" s="10"/>
      <c r="AA225" s="10"/>
      <c r="AB225" s="10"/>
      <c r="AC225" s="10"/>
    </row>
    <row r="226" spans="1:29" ht="52.5" hidden="1" customHeight="1" x14ac:dyDescent="0.2">
      <c r="A226" s="4020"/>
      <c r="B226" s="3964"/>
      <c r="C226" s="3949" t="s">
        <v>179</v>
      </c>
      <c r="D226" s="3913"/>
      <c r="E226" s="4021"/>
      <c r="F226" s="2352">
        <f>+G226*350</f>
        <v>0</v>
      </c>
      <c r="G226" s="2412">
        <f>+G129</f>
        <v>0</v>
      </c>
      <c r="H226" s="12"/>
      <c r="I226" s="1968">
        <f>IF(F226=0,0,ROUND($F226*COEF!$J$27,0))</f>
        <v>0</v>
      </c>
      <c r="J226" s="858">
        <f>IF(F226=0,0,ROUND($F226*COEF!$K$27,0))</f>
        <v>0</v>
      </c>
      <c r="K226" s="858">
        <f>IF(F226=0,0,ROUND($F226*COEF!$L$27,0))</f>
        <v>0</v>
      </c>
      <c r="L226" s="859">
        <f t="shared" ca="1" si="92"/>
        <v>0</v>
      </c>
      <c r="M226" s="859">
        <f t="shared" ca="1" si="93"/>
        <v>0</v>
      </c>
      <c r="N226" s="859">
        <f t="shared" ca="1" si="94"/>
        <v>0</v>
      </c>
      <c r="O226" s="860">
        <f t="shared" ca="1" si="62"/>
        <v>0</v>
      </c>
      <c r="P226" s="860">
        <f t="shared" ca="1" si="63"/>
        <v>0</v>
      </c>
      <c r="Q226" s="860">
        <f t="shared" ca="1" si="64"/>
        <v>0</v>
      </c>
      <c r="R226" s="1969">
        <f t="shared" ca="1" si="65"/>
        <v>0</v>
      </c>
      <c r="S226" s="675">
        <f t="shared" si="66"/>
        <v>0</v>
      </c>
      <c r="T226" s="10"/>
      <c r="U226" s="10"/>
      <c r="V226" s="10"/>
      <c r="W226" s="10"/>
      <c r="X226" s="10"/>
      <c r="Y226" s="10"/>
      <c r="Z226" s="10"/>
      <c r="AA226" s="10"/>
      <c r="AB226" s="10"/>
      <c r="AC226" s="10"/>
    </row>
    <row r="227" spans="1:29" ht="52.5" hidden="1" customHeight="1" x14ac:dyDescent="0.2">
      <c r="A227" s="4020"/>
      <c r="B227" s="3964"/>
      <c r="C227" s="4088" t="s">
        <v>606</v>
      </c>
      <c r="D227" s="4088"/>
      <c r="E227" s="4088"/>
      <c r="F227" s="2351">
        <f>+F130</f>
        <v>0</v>
      </c>
      <c r="G227" s="2351">
        <f>+G130</f>
        <v>0</v>
      </c>
      <c r="H227" s="12"/>
      <c r="I227" s="1968">
        <f>IF(F227=0,0,ROUND($F227*COEF!$J$27,0))</f>
        <v>0</v>
      </c>
      <c r="J227" s="858">
        <f>IF(F227=0,0,ROUND($F227*COEF!$K$27,0))</f>
        <v>0</v>
      </c>
      <c r="K227" s="858">
        <f>IF(F227=0,0,ROUND($F227*COEF!$L$27,0))</f>
        <v>0</v>
      </c>
      <c r="L227" s="859">
        <f t="shared" ca="1" si="92"/>
        <v>0</v>
      </c>
      <c r="M227" s="859">
        <f t="shared" ca="1" si="93"/>
        <v>0</v>
      </c>
      <c r="N227" s="859">
        <f t="shared" ca="1" si="94"/>
        <v>0</v>
      </c>
      <c r="O227" s="860">
        <f t="shared" ref="O227" ca="1" si="103">I227+L227</f>
        <v>0</v>
      </c>
      <c r="P227" s="860">
        <f t="shared" ref="P227" ca="1" si="104">J227+M227</f>
        <v>0</v>
      </c>
      <c r="Q227" s="860">
        <f t="shared" ref="Q227" ca="1" si="105">K227+N227</f>
        <v>0</v>
      </c>
      <c r="R227" s="1969">
        <f t="shared" ref="R227" ca="1" si="106">SUM(O227:Q227)</f>
        <v>0</v>
      </c>
      <c r="S227" s="675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</row>
    <row r="228" spans="1:29" ht="52.5" hidden="1" customHeight="1" x14ac:dyDescent="0.2">
      <c r="A228" s="4020"/>
      <c r="B228" s="3964"/>
      <c r="C228" s="3807" t="s">
        <v>204</v>
      </c>
      <c r="D228" s="3808"/>
      <c r="E228" s="3809"/>
      <c r="F228" s="2352">
        <f>+F129-(350*G228)</f>
        <v>0</v>
      </c>
      <c r="G228" s="2412">
        <f>+G129</f>
        <v>0</v>
      </c>
      <c r="H228" s="12"/>
      <c r="I228" s="1968">
        <f>IF(F228=0,0,ROUND($F228*COEF!$J$27,0))</f>
        <v>0</v>
      </c>
      <c r="J228" s="858">
        <f>IF(F228=0,0,ROUND($F228*COEF!$K$27,0))</f>
        <v>0</v>
      </c>
      <c r="K228" s="858">
        <f>IF(F228=0,0,ROUND($F228*COEF!$L$27,0))</f>
        <v>0</v>
      </c>
      <c r="L228" s="859">
        <f t="shared" ca="1" si="92"/>
        <v>0</v>
      </c>
      <c r="M228" s="859">
        <f t="shared" ca="1" si="93"/>
        <v>0</v>
      </c>
      <c r="N228" s="859">
        <f t="shared" ca="1" si="94"/>
        <v>0</v>
      </c>
      <c r="O228" s="860">
        <f t="shared" ca="1" si="62"/>
        <v>0</v>
      </c>
      <c r="P228" s="860">
        <f t="shared" ca="1" si="63"/>
        <v>0</v>
      </c>
      <c r="Q228" s="860">
        <f t="shared" ca="1" si="64"/>
        <v>0</v>
      </c>
      <c r="R228" s="1969">
        <f t="shared" ca="1" si="65"/>
        <v>0</v>
      </c>
      <c r="S228" s="675">
        <f t="shared" si="66"/>
        <v>0</v>
      </c>
      <c r="T228" s="10"/>
      <c r="U228" s="10"/>
      <c r="V228" s="10"/>
      <c r="W228" s="10"/>
      <c r="X228" s="10"/>
      <c r="Y228" s="10"/>
      <c r="Z228" s="10"/>
      <c r="AA228" s="10"/>
      <c r="AB228" s="10"/>
      <c r="AC228" s="10"/>
    </row>
    <row r="229" spans="1:29" ht="52.5" hidden="1" customHeight="1" x14ac:dyDescent="0.2">
      <c r="A229" s="4020"/>
      <c r="B229" s="3964"/>
      <c r="C229" s="3946" t="s">
        <v>205</v>
      </c>
      <c r="D229" s="3912"/>
      <c r="E229" s="3947"/>
      <c r="F229" s="2352">
        <f>250*G231</f>
        <v>0</v>
      </c>
      <c r="G229" s="2412">
        <f>+G231</f>
        <v>0</v>
      </c>
      <c r="H229" s="12"/>
      <c r="I229" s="1968">
        <f>IF(F229=0,0,ROUND($F229*COEF!$J$27,0))</f>
        <v>0</v>
      </c>
      <c r="J229" s="858">
        <f>IF(F229=0,0,ROUND($F229*COEF!$K$27,0))</f>
        <v>0</v>
      </c>
      <c r="K229" s="858">
        <f>IF(F229=0,0,ROUND($F229*COEF!$L$27,0))</f>
        <v>0</v>
      </c>
      <c r="L229" s="859">
        <f t="shared" ca="1" si="92"/>
        <v>0</v>
      </c>
      <c r="M229" s="859">
        <f t="shared" ca="1" si="93"/>
        <v>0</v>
      </c>
      <c r="N229" s="859">
        <f t="shared" ca="1" si="94"/>
        <v>0</v>
      </c>
      <c r="O229" s="860">
        <f t="shared" ca="1" si="62"/>
        <v>0</v>
      </c>
      <c r="P229" s="860">
        <f t="shared" ca="1" si="63"/>
        <v>0</v>
      </c>
      <c r="Q229" s="860">
        <f t="shared" ca="1" si="64"/>
        <v>0</v>
      </c>
      <c r="R229" s="1969">
        <f t="shared" ca="1" si="65"/>
        <v>0</v>
      </c>
      <c r="S229" s="675">
        <f t="shared" si="66"/>
        <v>0</v>
      </c>
      <c r="T229" s="10"/>
      <c r="U229" s="10"/>
      <c r="V229" s="10"/>
      <c r="W229" s="10"/>
      <c r="X229" s="10"/>
      <c r="Y229" s="10"/>
      <c r="Z229" s="10"/>
      <c r="AA229" s="10"/>
      <c r="AB229" s="10"/>
      <c r="AC229" s="10"/>
    </row>
    <row r="230" spans="1:29" ht="52.5" hidden="1" customHeight="1" x14ac:dyDescent="0.2">
      <c r="A230" s="4020"/>
      <c r="B230" s="3964"/>
      <c r="C230" s="4090" t="s">
        <v>607</v>
      </c>
      <c r="D230" s="4090"/>
      <c r="E230" s="4090"/>
      <c r="F230" s="2352">
        <f>500*G232</f>
        <v>0</v>
      </c>
      <c r="G230" s="2412">
        <f>+G232</f>
        <v>0</v>
      </c>
      <c r="H230" s="12"/>
      <c r="I230" s="1968">
        <f>IF(F230=0,0,ROUND($F230*COEF!$J$27,0))</f>
        <v>0</v>
      </c>
      <c r="J230" s="858">
        <f>IF(F230=0,0,ROUND($F230*COEF!$K$27,0))</f>
        <v>0</v>
      </c>
      <c r="K230" s="858">
        <f>IF(F230=0,0,ROUND($F230*COEF!$L$27,0))</f>
        <v>0</v>
      </c>
      <c r="L230" s="859">
        <f t="shared" ca="1" si="92"/>
        <v>0</v>
      </c>
      <c r="M230" s="859">
        <f t="shared" ca="1" si="93"/>
        <v>0</v>
      </c>
      <c r="N230" s="859">
        <f t="shared" ca="1" si="94"/>
        <v>0</v>
      </c>
      <c r="O230" s="860">
        <f t="shared" ref="O230" ca="1" si="107">I230+L230</f>
        <v>0</v>
      </c>
      <c r="P230" s="860">
        <f t="shared" ref="P230" ca="1" si="108">J230+M230</f>
        <v>0</v>
      </c>
      <c r="Q230" s="860">
        <f t="shared" ref="Q230" ca="1" si="109">K230+N230</f>
        <v>0</v>
      </c>
      <c r="R230" s="1969">
        <f t="shared" ref="R230" ca="1" si="110">SUM(O230:Q230)</f>
        <v>0</v>
      </c>
      <c r="S230" s="675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</row>
    <row r="231" spans="1:29" ht="52.5" hidden="1" customHeight="1" x14ac:dyDescent="0.2">
      <c r="A231" s="4020"/>
      <c r="B231" s="3964"/>
      <c r="C231" s="3807" t="s">
        <v>206</v>
      </c>
      <c r="D231" s="3808"/>
      <c r="E231" s="3809"/>
      <c r="F231" s="2407">
        <f>+F131-250*G231</f>
        <v>0</v>
      </c>
      <c r="G231" s="2417">
        <f t="shared" ref="G231:G243" si="111">+G131</f>
        <v>0</v>
      </c>
      <c r="H231" s="12"/>
      <c r="I231" s="1968">
        <f>IF(F231=0,0,ROUND($F231*COEF!$J$27,0))</f>
        <v>0</v>
      </c>
      <c r="J231" s="858">
        <f>IF(F231=0,0,ROUND($F231*COEF!$K$27,0))</f>
        <v>0</v>
      </c>
      <c r="K231" s="858">
        <f>IF(F231=0,0,ROUND($F231*COEF!$L$27,0))</f>
        <v>0</v>
      </c>
      <c r="L231" s="859">
        <f t="shared" ca="1" si="92"/>
        <v>0</v>
      </c>
      <c r="M231" s="859">
        <f t="shared" ca="1" si="93"/>
        <v>0</v>
      </c>
      <c r="N231" s="859">
        <f t="shared" ca="1" si="94"/>
        <v>0</v>
      </c>
      <c r="O231" s="860">
        <f t="shared" ca="1" si="62"/>
        <v>0</v>
      </c>
      <c r="P231" s="860">
        <f t="shared" ca="1" si="63"/>
        <v>0</v>
      </c>
      <c r="Q231" s="860">
        <f t="shared" ca="1" si="64"/>
        <v>0</v>
      </c>
      <c r="R231" s="1969">
        <f t="shared" ca="1" si="65"/>
        <v>0</v>
      </c>
      <c r="S231" s="675">
        <f t="shared" si="66"/>
        <v>0</v>
      </c>
      <c r="T231" s="10"/>
      <c r="U231" s="10"/>
      <c r="V231" s="10"/>
      <c r="W231" s="10"/>
      <c r="X231" s="10"/>
      <c r="Y231" s="10"/>
      <c r="Z231" s="10"/>
      <c r="AA231" s="10"/>
      <c r="AB231" s="10"/>
      <c r="AC231" s="10"/>
    </row>
    <row r="232" spans="1:29" ht="52.5" hidden="1" customHeight="1" x14ac:dyDescent="0.2">
      <c r="A232" s="4020"/>
      <c r="B232" s="3964"/>
      <c r="C232" s="4090" t="s">
        <v>1241</v>
      </c>
      <c r="D232" s="4090"/>
      <c r="E232" s="4090"/>
      <c r="F232" s="2407">
        <f>+F132-500*G232</f>
        <v>0</v>
      </c>
      <c r="G232" s="2417">
        <f t="shared" si="111"/>
        <v>0</v>
      </c>
      <c r="H232" s="12"/>
      <c r="I232" s="1968">
        <f>IF(F232=0,0,ROUND($F232*COEF!$J$27,0))</f>
        <v>0</v>
      </c>
      <c r="J232" s="858">
        <f>IF(F232=0,0,ROUND($F232*COEF!$K$27,0))</f>
        <v>0</v>
      </c>
      <c r="K232" s="858">
        <f>IF(F232=0,0,ROUND($F232*COEF!$L$27,0))</f>
        <v>0</v>
      </c>
      <c r="L232" s="859">
        <f t="shared" ca="1" si="92"/>
        <v>0</v>
      </c>
      <c r="M232" s="859">
        <f t="shared" ca="1" si="93"/>
        <v>0</v>
      </c>
      <c r="N232" s="859">
        <f t="shared" ca="1" si="94"/>
        <v>0</v>
      </c>
      <c r="O232" s="860">
        <f t="shared" ref="O232" ca="1" si="112">I232+L232</f>
        <v>0</v>
      </c>
      <c r="P232" s="860">
        <f t="shared" ref="P232" ca="1" si="113">J232+M232</f>
        <v>0</v>
      </c>
      <c r="Q232" s="860">
        <f t="shared" ref="Q232" ca="1" si="114">K232+N232</f>
        <v>0</v>
      </c>
      <c r="R232" s="1969">
        <f t="shared" ref="R232" ca="1" si="115">SUM(O232:Q232)</f>
        <v>0</v>
      </c>
      <c r="S232" s="675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</row>
    <row r="233" spans="1:29" ht="52.5" hidden="1" customHeight="1" x14ac:dyDescent="0.2">
      <c r="A233" s="4020"/>
      <c r="B233" s="3964"/>
      <c r="C233" s="3652" t="s">
        <v>1341</v>
      </c>
      <c r="D233" s="3648" t="s">
        <v>59</v>
      </c>
      <c r="E233" s="3649"/>
      <c r="F233" s="2351">
        <f t="shared" ref="F233:F243" si="116">+F133</f>
        <v>0</v>
      </c>
      <c r="G233" s="2413">
        <f t="shared" si="111"/>
        <v>0</v>
      </c>
      <c r="H233" s="12"/>
      <c r="I233" s="1968">
        <f>IF(F233=0,0,ROUND($F233*COEF!$J$27,0))</f>
        <v>0</v>
      </c>
      <c r="J233" s="858">
        <f>IF(F233=0,0,ROUND($F233*COEF!$K$27,0))</f>
        <v>0</v>
      </c>
      <c r="K233" s="858">
        <f>IF(F233=0,0,ROUND($F233*COEF!$L$27,0))</f>
        <v>0</v>
      </c>
      <c r="L233" s="859">
        <f t="shared" ca="1" si="92"/>
        <v>0</v>
      </c>
      <c r="M233" s="859">
        <f t="shared" ca="1" si="93"/>
        <v>0</v>
      </c>
      <c r="N233" s="859">
        <f t="shared" ca="1" si="94"/>
        <v>0</v>
      </c>
      <c r="O233" s="860">
        <f t="shared" ca="1" si="62"/>
        <v>0</v>
      </c>
      <c r="P233" s="860">
        <f t="shared" ca="1" si="63"/>
        <v>0</v>
      </c>
      <c r="Q233" s="860">
        <f t="shared" ca="1" si="64"/>
        <v>0</v>
      </c>
      <c r="R233" s="1969">
        <f t="shared" ca="1" si="65"/>
        <v>0</v>
      </c>
      <c r="S233" s="675">
        <f t="shared" si="66"/>
        <v>0</v>
      </c>
      <c r="T233" s="10"/>
      <c r="U233" s="10"/>
      <c r="V233" s="10"/>
      <c r="W233" s="10"/>
      <c r="X233" s="10"/>
      <c r="Y233" s="10"/>
      <c r="Z233" s="10"/>
      <c r="AA233" s="10"/>
      <c r="AB233" s="10"/>
      <c r="AC233" s="10"/>
    </row>
    <row r="234" spans="1:29" ht="52.5" hidden="1" customHeight="1" x14ac:dyDescent="0.2">
      <c r="A234" s="4020"/>
      <c r="B234" s="3964"/>
      <c r="C234" s="3909"/>
      <c r="D234" s="4092" t="s">
        <v>590</v>
      </c>
      <c r="E234" s="4093"/>
      <c r="F234" s="2351">
        <f t="shared" si="116"/>
        <v>0</v>
      </c>
      <c r="G234" s="2413">
        <f t="shared" si="111"/>
        <v>0</v>
      </c>
      <c r="H234" s="12"/>
      <c r="I234" s="1968">
        <f>IF(F234=0,0,ROUND($F234*COEF!$J$27,0))</f>
        <v>0</v>
      </c>
      <c r="J234" s="858">
        <f>IF(F234=0,0,ROUND($F234*COEF!$K$27,0))</f>
        <v>0</v>
      </c>
      <c r="K234" s="858">
        <f>IF(F234=0,0,ROUND($F234*COEF!$L$27,0))</f>
        <v>0</v>
      </c>
      <c r="L234" s="859">
        <f t="shared" ca="1" si="92"/>
        <v>0</v>
      </c>
      <c r="M234" s="859">
        <f t="shared" ca="1" si="93"/>
        <v>0</v>
      </c>
      <c r="N234" s="859">
        <f t="shared" ca="1" si="94"/>
        <v>0</v>
      </c>
      <c r="O234" s="860">
        <f t="shared" ref="O234" ca="1" si="117">I234+L234</f>
        <v>0</v>
      </c>
      <c r="P234" s="860">
        <f t="shared" ref="P234" ca="1" si="118">J234+M234</f>
        <v>0</v>
      </c>
      <c r="Q234" s="860">
        <f t="shared" ref="Q234" ca="1" si="119">K234+N234</f>
        <v>0</v>
      </c>
      <c r="R234" s="1969">
        <f t="shared" ref="R234" ca="1" si="120">SUM(O234:Q234)</f>
        <v>0</v>
      </c>
      <c r="S234" s="675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</row>
    <row r="235" spans="1:29" ht="52.5" hidden="1" customHeight="1" x14ac:dyDescent="0.2">
      <c r="A235" s="4020"/>
      <c r="B235" s="3964"/>
      <c r="C235" s="3909"/>
      <c r="D235" s="3650" t="s">
        <v>60</v>
      </c>
      <c r="E235" s="3651"/>
      <c r="F235" s="2351">
        <f t="shared" si="116"/>
        <v>0</v>
      </c>
      <c r="G235" s="2413">
        <f t="shared" si="111"/>
        <v>0</v>
      </c>
      <c r="H235" s="12"/>
      <c r="I235" s="1968">
        <f>IF(F235=0,0,ROUND($F235*COEF!$J$27,0))</f>
        <v>0</v>
      </c>
      <c r="J235" s="858">
        <f>IF(F235=0,0,ROUND($F235*COEF!$K$27,0))</f>
        <v>0</v>
      </c>
      <c r="K235" s="858">
        <f>IF(F235=0,0,ROUND($F235*COEF!$L$27,0))</f>
        <v>0</v>
      </c>
      <c r="L235" s="859">
        <f t="shared" ca="1" si="92"/>
        <v>0</v>
      </c>
      <c r="M235" s="859">
        <f t="shared" ca="1" si="93"/>
        <v>0</v>
      </c>
      <c r="N235" s="859">
        <f t="shared" ca="1" si="94"/>
        <v>0</v>
      </c>
      <c r="O235" s="860">
        <f t="shared" ca="1" si="62"/>
        <v>0</v>
      </c>
      <c r="P235" s="860">
        <f t="shared" ca="1" si="63"/>
        <v>0</v>
      </c>
      <c r="Q235" s="860">
        <f t="shared" ca="1" si="64"/>
        <v>0</v>
      </c>
      <c r="R235" s="1969">
        <f t="shared" ca="1" si="65"/>
        <v>0</v>
      </c>
      <c r="S235" s="675">
        <f t="shared" si="66"/>
        <v>0</v>
      </c>
      <c r="T235" s="10"/>
      <c r="U235" s="10"/>
      <c r="V235" s="10"/>
      <c r="W235" s="10"/>
      <c r="X235" s="10"/>
      <c r="Y235" s="10"/>
      <c r="Z235" s="10"/>
      <c r="AA235" s="10"/>
      <c r="AB235" s="10"/>
      <c r="AC235" s="10"/>
    </row>
    <row r="236" spans="1:29" ht="52.5" hidden="1" customHeight="1" x14ac:dyDescent="0.2">
      <c r="A236" s="4020"/>
      <c r="B236" s="3370"/>
      <c r="C236" s="3653"/>
      <c r="D236" s="4094" t="s">
        <v>591</v>
      </c>
      <c r="E236" s="4095"/>
      <c r="F236" s="2351">
        <f t="shared" si="116"/>
        <v>0</v>
      </c>
      <c r="G236" s="2413">
        <f t="shared" si="111"/>
        <v>0</v>
      </c>
      <c r="H236" s="12"/>
      <c r="I236" s="1968">
        <f>IF(F236=0,0,ROUND($F236*COEF!$J$27,0))</f>
        <v>0</v>
      </c>
      <c r="J236" s="858">
        <f>IF(F236=0,0,ROUND($F236*COEF!$K$27,0))</f>
        <v>0</v>
      </c>
      <c r="K236" s="858">
        <f>IF(F236=0,0,ROUND($F236*COEF!$L$27,0))</f>
        <v>0</v>
      </c>
      <c r="L236" s="859">
        <f t="shared" ca="1" si="92"/>
        <v>0</v>
      </c>
      <c r="M236" s="859">
        <f t="shared" ca="1" si="93"/>
        <v>0</v>
      </c>
      <c r="N236" s="859">
        <f t="shared" ca="1" si="94"/>
        <v>0</v>
      </c>
      <c r="O236" s="860">
        <f t="shared" ref="O236" ca="1" si="121">I236+L236</f>
        <v>0</v>
      </c>
      <c r="P236" s="860">
        <f t="shared" ref="P236" ca="1" si="122">J236+M236</f>
        <v>0</v>
      </c>
      <c r="Q236" s="860">
        <f t="shared" ref="Q236" ca="1" si="123">K236+N236</f>
        <v>0</v>
      </c>
      <c r="R236" s="1969">
        <f t="shared" ref="R236" ca="1" si="124">SUM(O236:Q236)</f>
        <v>0</v>
      </c>
      <c r="S236" s="675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</row>
    <row r="237" spans="1:29" ht="52.5" hidden="1" customHeight="1" x14ac:dyDescent="0.2">
      <c r="A237" s="4020"/>
      <c r="B237" s="3370"/>
      <c r="C237" s="3652" t="s">
        <v>1342</v>
      </c>
      <c r="D237" s="3648" t="s">
        <v>59</v>
      </c>
      <c r="E237" s="3649"/>
      <c r="F237" s="2351">
        <f t="shared" si="116"/>
        <v>0</v>
      </c>
      <c r="G237" s="2413">
        <f t="shared" si="111"/>
        <v>0</v>
      </c>
      <c r="H237" s="12"/>
      <c r="I237" s="1968">
        <f>IF(F237=0,0,ROUND($F237*COEF!$J$27,0))</f>
        <v>0</v>
      </c>
      <c r="J237" s="858">
        <f>IF(F237=0,0,ROUND($F237*COEF!$K$27,0))</f>
        <v>0</v>
      </c>
      <c r="K237" s="858">
        <f>IF(F237=0,0,ROUND($F237*COEF!$L$27,0))</f>
        <v>0</v>
      </c>
      <c r="L237" s="859">
        <f t="shared" ca="1" si="92"/>
        <v>0</v>
      </c>
      <c r="M237" s="859">
        <f t="shared" ca="1" si="93"/>
        <v>0</v>
      </c>
      <c r="N237" s="859">
        <f t="shared" ca="1" si="94"/>
        <v>0</v>
      </c>
      <c r="O237" s="860">
        <f t="shared" ref="O237:O241" ca="1" si="125">I237+L237</f>
        <v>0</v>
      </c>
      <c r="P237" s="860">
        <f t="shared" ref="P237:P241" ca="1" si="126">J237+M237</f>
        <v>0</v>
      </c>
      <c r="Q237" s="860">
        <f t="shared" ref="Q237:Q241" ca="1" si="127">K237+N237</f>
        <v>0</v>
      </c>
      <c r="R237" s="1969">
        <f t="shared" ref="R237:R241" ca="1" si="128">SUM(O237:Q237)</f>
        <v>0</v>
      </c>
      <c r="S237" s="675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</row>
    <row r="238" spans="1:29" ht="52.5" hidden="1" customHeight="1" x14ac:dyDescent="0.2">
      <c r="A238" s="4020"/>
      <c r="B238" s="3370"/>
      <c r="C238" s="3653"/>
      <c r="D238" s="3650" t="s">
        <v>60</v>
      </c>
      <c r="E238" s="3651"/>
      <c r="F238" s="2351">
        <f t="shared" si="116"/>
        <v>0</v>
      </c>
      <c r="G238" s="2413">
        <f t="shared" si="111"/>
        <v>0</v>
      </c>
      <c r="H238" s="12"/>
      <c r="I238" s="1968">
        <f>IF(F238=0,0,ROUND($F238*COEF!$J$27,0))</f>
        <v>0</v>
      </c>
      <c r="J238" s="858">
        <f>IF(F238=0,0,ROUND($F238*COEF!$K$27,0))</f>
        <v>0</v>
      </c>
      <c r="K238" s="858">
        <f>IF(F238=0,0,ROUND($F238*COEF!$L$27,0))</f>
        <v>0</v>
      </c>
      <c r="L238" s="859">
        <f t="shared" ca="1" si="92"/>
        <v>0</v>
      </c>
      <c r="M238" s="859">
        <f t="shared" ca="1" si="93"/>
        <v>0</v>
      </c>
      <c r="N238" s="859">
        <f t="shared" ca="1" si="94"/>
        <v>0</v>
      </c>
      <c r="O238" s="860">
        <f t="shared" ca="1" si="125"/>
        <v>0</v>
      </c>
      <c r="P238" s="860">
        <f t="shared" ca="1" si="126"/>
        <v>0</v>
      </c>
      <c r="Q238" s="860">
        <f t="shared" ca="1" si="127"/>
        <v>0</v>
      </c>
      <c r="R238" s="1969">
        <f t="shared" ca="1" si="128"/>
        <v>0</v>
      </c>
      <c r="S238" s="675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</row>
    <row r="239" spans="1:29" ht="52.5" hidden="1" customHeight="1" x14ac:dyDescent="0.2">
      <c r="A239" s="4020"/>
      <c r="B239" s="3370"/>
      <c r="C239" s="3652" t="s">
        <v>1343</v>
      </c>
      <c r="D239" s="3648" t="s">
        <v>59</v>
      </c>
      <c r="E239" s="3649"/>
      <c r="F239" s="2351">
        <f t="shared" si="116"/>
        <v>0</v>
      </c>
      <c r="G239" s="2413">
        <f t="shared" si="111"/>
        <v>0</v>
      </c>
      <c r="H239" s="12"/>
      <c r="I239" s="1968">
        <f>IF(F239=0,0,ROUND($F239*COEF!$J$27,0))</f>
        <v>0</v>
      </c>
      <c r="J239" s="858">
        <f>IF(F239=0,0,ROUND($F239*COEF!$K$27,0))</f>
        <v>0</v>
      </c>
      <c r="K239" s="858">
        <f>IF(F239=0,0,ROUND($F239*COEF!$L$27,0))</f>
        <v>0</v>
      </c>
      <c r="L239" s="859">
        <f t="shared" ca="1" si="92"/>
        <v>0</v>
      </c>
      <c r="M239" s="859">
        <f t="shared" ca="1" si="93"/>
        <v>0</v>
      </c>
      <c r="N239" s="859">
        <f t="shared" ca="1" si="94"/>
        <v>0</v>
      </c>
      <c r="O239" s="860">
        <f t="shared" ca="1" si="125"/>
        <v>0</v>
      </c>
      <c r="P239" s="860">
        <f t="shared" ca="1" si="126"/>
        <v>0</v>
      </c>
      <c r="Q239" s="860">
        <f t="shared" ca="1" si="127"/>
        <v>0</v>
      </c>
      <c r="R239" s="1969">
        <f t="shared" ca="1" si="128"/>
        <v>0</v>
      </c>
      <c r="S239" s="675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</row>
    <row r="240" spans="1:29" ht="52.5" hidden="1" customHeight="1" x14ac:dyDescent="0.2">
      <c r="A240" s="4020"/>
      <c r="B240" s="3370"/>
      <c r="C240" s="3909"/>
      <c r="D240" s="3648" t="s">
        <v>1344</v>
      </c>
      <c r="E240" s="3649"/>
      <c r="F240" s="2351">
        <f t="shared" si="116"/>
        <v>0</v>
      </c>
      <c r="G240" s="2413">
        <f t="shared" si="111"/>
        <v>0</v>
      </c>
      <c r="H240" s="12"/>
      <c r="I240" s="1968">
        <f>IF(F240=0,0,ROUND($F240*COEF!$J$27,0))</f>
        <v>0</v>
      </c>
      <c r="J240" s="858">
        <f>IF(F240=0,0,ROUND($F240*COEF!$K$27,0))</f>
        <v>0</v>
      </c>
      <c r="K240" s="858">
        <f>IF(F240=0,0,ROUND($F240*COEF!$L$27,0))</f>
        <v>0</v>
      </c>
      <c r="L240" s="859">
        <f t="shared" ca="1" si="92"/>
        <v>0</v>
      </c>
      <c r="M240" s="859">
        <f t="shared" ca="1" si="93"/>
        <v>0</v>
      </c>
      <c r="N240" s="859">
        <f t="shared" ca="1" si="94"/>
        <v>0</v>
      </c>
      <c r="O240" s="860">
        <f t="shared" ref="O240" ca="1" si="129">I240+L240</f>
        <v>0</v>
      </c>
      <c r="P240" s="860">
        <f t="shared" ref="P240" ca="1" si="130">J240+M240</f>
        <v>0</v>
      </c>
      <c r="Q240" s="860">
        <f t="shared" ref="Q240" ca="1" si="131">K240+N240</f>
        <v>0</v>
      </c>
      <c r="R240" s="1969">
        <f t="shared" ref="R240" ca="1" si="132">SUM(O240:Q240)</f>
        <v>0</v>
      </c>
      <c r="S240" s="675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</row>
    <row r="241" spans="1:29" ht="52.5" hidden="1" customHeight="1" x14ac:dyDescent="0.2">
      <c r="A241" s="4020"/>
      <c r="B241" s="3370"/>
      <c r="C241" s="3909"/>
      <c r="D241" s="3650" t="s">
        <v>60</v>
      </c>
      <c r="E241" s="3651"/>
      <c r="F241" s="2351">
        <f t="shared" si="116"/>
        <v>0</v>
      </c>
      <c r="G241" s="2413">
        <f t="shared" si="111"/>
        <v>0</v>
      </c>
      <c r="H241" s="12"/>
      <c r="I241" s="1968">
        <f>IF(F241=0,0,ROUND($F241*COEF!$J$27,0))</f>
        <v>0</v>
      </c>
      <c r="J241" s="858">
        <f>IF(F241=0,0,ROUND($F241*COEF!$K$27,0))</f>
        <v>0</v>
      </c>
      <c r="K241" s="858">
        <f>IF(F241=0,0,ROUND($F241*COEF!$L$27,0))</f>
        <v>0</v>
      </c>
      <c r="L241" s="859">
        <f t="shared" ca="1" si="92"/>
        <v>0</v>
      </c>
      <c r="M241" s="859">
        <f t="shared" ca="1" si="93"/>
        <v>0</v>
      </c>
      <c r="N241" s="859">
        <f t="shared" ca="1" si="94"/>
        <v>0</v>
      </c>
      <c r="O241" s="860">
        <f t="shared" ca="1" si="125"/>
        <v>0</v>
      </c>
      <c r="P241" s="860">
        <f t="shared" ca="1" si="126"/>
        <v>0</v>
      </c>
      <c r="Q241" s="860">
        <f t="shared" ca="1" si="127"/>
        <v>0</v>
      </c>
      <c r="R241" s="1969">
        <f t="shared" ca="1" si="128"/>
        <v>0</v>
      </c>
      <c r="S241" s="675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</row>
    <row r="242" spans="1:29" ht="52.5" hidden="1" customHeight="1" thickBot="1" x14ac:dyDescent="0.25">
      <c r="A242" s="4020"/>
      <c r="B242" s="3370"/>
      <c r="C242" s="4118"/>
      <c r="D242" s="3650" t="s">
        <v>1321</v>
      </c>
      <c r="E242" s="3651"/>
      <c r="F242" s="2351">
        <f t="shared" si="116"/>
        <v>0</v>
      </c>
      <c r="G242" s="2413">
        <f t="shared" si="111"/>
        <v>0</v>
      </c>
      <c r="H242" s="12"/>
      <c r="I242" s="1968">
        <f>IF(F242=0,0,ROUND($F242*COEF!$J$27,0))</f>
        <v>0</v>
      </c>
      <c r="J242" s="858">
        <f>IF(F242=0,0,ROUND($F242*COEF!$K$27,0))</f>
        <v>0</v>
      </c>
      <c r="K242" s="858">
        <f>IF(F242=0,0,ROUND($F242*COEF!$L$27,0))</f>
        <v>0</v>
      </c>
      <c r="L242" s="859">
        <f t="shared" ca="1" si="92"/>
        <v>0</v>
      </c>
      <c r="M242" s="859">
        <f t="shared" ca="1" si="93"/>
        <v>0</v>
      </c>
      <c r="N242" s="859">
        <f t="shared" ca="1" si="94"/>
        <v>0</v>
      </c>
      <c r="O242" s="860">
        <f t="shared" ref="O242" ca="1" si="133">I242+L242</f>
        <v>0</v>
      </c>
      <c r="P242" s="860">
        <f t="shared" ref="P242" ca="1" si="134">J242+M242</f>
        <v>0</v>
      </c>
      <c r="Q242" s="860">
        <f t="shared" ref="Q242" ca="1" si="135">K242+N242</f>
        <v>0</v>
      </c>
      <c r="R242" s="1969">
        <f t="shared" ref="R242" ca="1" si="136">SUM(O242:Q242)</f>
        <v>0</v>
      </c>
      <c r="S242" s="675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</row>
    <row r="243" spans="1:29" ht="52.5" hidden="1" customHeight="1" x14ac:dyDescent="0.2">
      <c r="A243" s="4020"/>
      <c r="B243" s="4031" t="s">
        <v>62</v>
      </c>
      <c r="C243" s="4024" t="s">
        <v>164</v>
      </c>
      <c r="D243" s="3959"/>
      <c r="E243" s="3960"/>
      <c r="F243" s="2410">
        <f t="shared" si="116"/>
        <v>0</v>
      </c>
      <c r="G243" s="2411">
        <f t="shared" si="111"/>
        <v>0</v>
      </c>
      <c r="H243" s="12"/>
      <c r="I243" s="1968">
        <f>IF(F243=0,0,ROUND($F243*COEF!$J$27,0))</f>
        <v>0</v>
      </c>
      <c r="J243" s="858">
        <f>IF(F243=0,0,ROUND($F243*COEF!$K$27,0))</f>
        <v>0</v>
      </c>
      <c r="K243" s="858">
        <f>IF(F243=0,0,ROUND($F243*COEF!$L$27,0))</f>
        <v>0</v>
      </c>
      <c r="L243" s="859">
        <f t="shared" ca="1" si="92"/>
        <v>0</v>
      </c>
      <c r="M243" s="859">
        <f t="shared" ca="1" si="93"/>
        <v>0</v>
      </c>
      <c r="N243" s="859">
        <f t="shared" ca="1" si="94"/>
        <v>0</v>
      </c>
      <c r="O243" s="860">
        <f t="shared" ca="1" si="62"/>
        <v>0</v>
      </c>
      <c r="P243" s="860">
        <f t="shared" ca="1" si="63"/>
        <v>0</v>
      </c>
      <c r="Q243" s="860">
        <f t="shared" ca="1" si="64"/>
        <v>0</v>
      </c>
      <c r="R243" s="1969">
        <f t="shared" ca="1" si="65"/>
        <v>0</v>
      </c>
      <c r="S243" s="675">
        <f t="shared" si="66"/>
        <v>0</v>
      </c>
      <c r="T243" s="10"/>
      <c r="U243" s="10"/>
      <c r="V243" s="10"/>
      <c r="W243" s="10"/>
      <c r="X243" s="10"/>
      <c r="Y243" s="10"/>
      <c r="Z243" s="10"/>
      <c r="AA243" s="10"/>
      <c r="AB243" s="10"/>
      <c r="AC243" s="10"/>
    </row>
    <row r="244" spans="1:29" ht="52.5" hidden="1" customHeight="1" x14ac:dyDescent="0.2">
      <c r="A244" s="4020"/>
      <c r="B244" s="4032"/>
      <c r="C244" s="4025" t="s">
        <v>207</v>
      </c>
      <c r="D244" s="3913"/>
      <c r="E244" s="4021"/>
      <c r="F244" s="2351">
        <f>350*G246</f>
        <v>0</v>
      </c>
      <c r="G244" s="2413">
        <f>+G246</f>
        <v>0</v>
      </c>
      <c r="H244" s="12"/>
      <c r="I244" s="1968">
        <f>IF(F244=0,0,ROUND($F244*COEF!$J$27,0))</f>
        <v>0</v>
      </c>
      <c r="J244" s="858">
        <f>IF(F244=0,0,ROUND($F244*COEF!$K$27,0))</f>
        <v>0</v>
      </c>
      <c r="K244" s="858">
        <f>IF(F244=0,0,ROUND($F244*COEF!$L$27,0))</f>
        <v>0</v>
      </c>
      <c r="L244" s="859">
        <f t="shared" ca="1" si="92"/>
        <v>0</v>
      </c>
      <c r="M244" s="859">
        <f t="shared" ca="1" si="93"/>
        <v>0</v>
      </c>
      <c r="N244" s="859">
        <f t="shared" ca="1" si="94"/>
        <v>0</v>
      </c>
      <c r="O244" s="860">
        <f t="shared" ca="1" si="62"/>
        <v>0</v>
      </c>
      <c r="P244" s="860">
        <f t="shared" ca="1" si="63"/>
        <v>0</v>
      </c>
      <c r="Q244" s="860">
        <f t="shared" ca="1" si="64"/>
        <v>0</v>
      </c>
      <c r="R244" s="1969">
        <f t="shared" ca="1" si="65"/>
        <v>0</v>
      </c>
      <c r="S244" s="675">
        <f t="shared" si="66"/>
        <v>0</v>
      </c>
      <c r="T244" s="10"/>
      <c r="U244" s="10"/>
      <c r="V244" s="10"/>
      <c r="W244" s="10"/>
      <c r="X244" s="10"/>
      <c r="Y244" s="10"/>
      <c r="Z244" s="10"/>
      <c r="AA244" s="10"/>
      <c r="AB244" s="10"/>
      <c r="AC244" s="10"/>
    </row>
    <row r="245" spans="1:29" ht="52.5" hidden="1" customHeight="1" x14ac:dyDescent="0.2">
      <c r="A245" s="4020"/>
      <c r="B245" s="4032"/>
      <c r="C245" s="4097" t="s">
        <v>609</v>
      </c>
      <c r="D245" s="4088"/>
      <c r="E245" s="4088"/>
      <c r="F245" s="2351">
        <f>700*G247</f>
        <v>0</v>
      </c>
      <c r="G245" s="2413">
        <f>+G247</f>
        <v>0</v>
      </c>
      <c r="H245" s="12"/>
      <c r="I245" s="1968">
        <f>IF(F245=0,0,ROUND($F245*COEF!$J$27,0))</f>
        <v>0</v>
      </c>
      <c r="J245" s="858">
        <f>IF(F245=0,0,ROUND($F245*COEF!$K$27,0))</f>
        <v>0</v>
      </c>
      <c r="K245" s="858">
        <f>IF(F245=0,0,ROUND($F245*COEF!$L$27,0))</f>
        <v>0</v>
      </c>
      <c r="L245" s="859">
        <f t="shared" ref="L245:L276" ca="1" si="137">+ROUND(I245*I$395,0)</f>
        <v>0</v>
      </c>
      <c r="M245" s="859">
        <f t="shared" ref="M245:M276" ca="1" si="138">+ROUND(J245*J$395,0)</f>
        <v>0</v>
      </c>
      <c r="N245" s="859">
        <f t="shared" ref="N245:N276" ca="1" si="139">+ROUND(K245*K$395,0)</f>
        <v>0</v>
      </c>
      <c r="O245" s="860">
        <f t="shared" ref="O245" ca="1" si="140">I245+L245</f>
        <v>0</v>
      </c>
      <c r="P245" s="860">
        <f t="shared" ref="P245" ca="1" si="141">J245+M245</f>
        <v>0</v>
      </c>
      <c r="Q245" s="860">
        <f t="shared" ref="Q245" ca="1" si="142">K245+N245</f>
        <v>0</v>
      </c>
      <c r="R245" s="1969">
        <f t="shared" ref="R245" ca="1" si="143">SUM(O245:Q245)</f>
        <v>0</v>
      </c>
      <c r="S245" s="675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</row>
    <row r="246" spans="1:29" ht="52.5" hidden="1" customHeight="1" x14ac:dyDescent="0.2">
      <c r="A246" s="4020"/>
      <c r="B246" s="4032"/>
      <c r="C246" s="3965" t="s">
        <v>204</v>
      </c>
      <c r="D246" s="3808"/>
      <c r="E246" s="3809"/>
      <c r="F246" s="2408">
        <f>+F144-350*G246</f>
        <v>0</v>
      </c>
      <c r="G246" s="2419">
        <f>+G144</f>
        <v>0</v>
      </c>
      <c r="H246" s="12"/>
      <c r="I246" s="1968">
        <f>IF(F246=0,0,ROUND($F246*COEF!$J$27,0))</f>
        <v>0</v>
      </c>
      <c r="J246" s="858">
        <f>IF(F246=0,0,ROUND($F246*COEF!$K$27,0))</f>
        <v>0</v>
      </c>
      <c r="K246" s="858">
        <f>IF(F246=0,0,ROUND($F246*COEF!$L$27,0))</f>
        <v>0</v>
      </c>
      <c r="L246" s="859">
        <f t="shared" ca="1" si="137"/>
        <v>0</v>
      </c>
      <c r="M246" s="859">
        <f t="shared" ca="1" si="138"/>
        <v>0</v>
      </c>
      <c r="N246" s="859">
        <f t="shared" ca="1" si="139"/>
        <v>0</v>
      </c>
      <c r="O246" s="860">
        <f t="shared" ca="1" si="62"/>
        <v>0</v>
      </c>
      <c r="P246" s="860">
        <f t="shared" ca="1" si="63"/>
        <v>0</v>
      </c>
      <c r="Q246" s="860">
        <f t="shared" ca="1" si="64"/>
        <v>0</v>
      </c>
      <c r="R246" s="1969">
        <f t="shared" ca="1" si="65"/>
        <v>0</v>
      </c>
      <c r="S246" s="675">
        <f t="shared" si="66"/>
        <v>0</v>
      </c>
      <c r="T246" s="10"/>
      <c r="U246" s="10"/>
      <c r="V246" s="10"/>
      <c r="W246" s="10"/>
      <c r="X246" s="10"/>
      <c r="Y246" s="10"/>
      <c r="Z246" s="10"/>
      <c r="AA246" s="10"/>
      <c r="AB246" s="10"/>
      <c r="AC246" s="10"/>
    </row>
    <row r="247" spans="1:29" ht="52.5" hidden="1" customHeight="1" x14ac:dyDescent="0.2">
      <c r="A247" s="4020"/>
      <c r="B247" s="4032"/>
      <c r="C247" s="4098" t="s">
        <v>610</v>
      </c>
      <c r="D247" s="4098"/>
      <c r="E247" s="3965"/>
      <c r="F247" s="2408">
        <f>+F145-700*G247</f>
        <v>0</v>
      </c>
      <c r="G247" s="2419">
        <f>+G145</f>
        <v>0</v>
      </c>
      <c r="H247" s="12"/>
      <c r="I247" s="1968">
        <f>IF(F247=0,0,ROUND($F247*COEF!$J$27,0))</f>
        <v>0</v>
      </c>
      <c r="J247" s="858">
        <f>IF(F247=0,0,ROUND($F247*COEF!$K$27,0))</f>
        <v>0</v>
      </c>
      <c r="K247" s="858">
        <f>IF(F247=0,0,ROUND($F247*COEF!$L$27,0))</f>
        <v>0</v>
      </c>
      <c r="L247" s="859">
        <f t="shared" ca="1" si="137"/>
        <v>0</v>
      </c>
      <c r="M247" s="859">
        <f t="shared" ca="1" si="138"/>
        <v>0</v>
      </c>
      <c r="N247" s="859">
        <f t="shared" ca="1" si="139"/>
        <v>0</v>
      </c>
      <c r="O247" s="860">
        <f t="shared" ref="O247" ca="1" si="144">I247+L247</f>
        <v>0</v>
      </c>
      <c r="P247" s="860">
        <f t="shared" ref="P247" ca="1" si="145">J247+M247</f>
        <v>0</v>
      </c>
      <c r="Q247" s="860">
        <f t="shared" ref="Q247" ca="1" si="146">K247+N247</f>
        <v>0</v>
      </c>
      <c r="R247" s="1969">
        <f t="shared" ref="R247" ca="1" si="147">SUM(O247:Q247)</f>
        <v>0</v>
      </c>
      <c r="S247" s="675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</row>
    <row r="248" spans="1:29" ht="52.5" hidden="1" customHeight="1" x14ac:dyDescent="0.2">
      <c r="A248" s="4020"/>
      <c r="B248" s="4032"/>
      <c r="C248" s="3948" t="s">
        <v>198</v>
      </c>
      <c r="D248" s="3912"/>
      <c r="E248" s="3947"/>
      <c r="F248" s="2352">
        <f>250*G250</f>
        <v>0</v>
      </c>
      <c r="G248" s="2412">
        <f>+G250</f>
        <v>0</v>
      </c>
      <c r="H248" s="12"/>
      <c r="I248" s="1968">
        <f>IF(F248=0,0,ROUND($F248*COEF!$J$27,0))</f>
        <v>0</v>
      </c>
      <c r="J248" s="858">
        <f>IF(F248=0,0,ROUND($F248*COEF!$K$27,0))</f>
        <v>0</v>
      </c>
      <c r="K248" s="858">
        <f>IF(F248=0,0,ROUND($F248*COEF!$L$27,0))</f>
        <v>0</v>
      </c>
      <c r="L248" s="859">
        <f t="shared" ca="1" si="137"/>
        <v>0</v>
      </c>
      <c r="M248" s="859">
        <f t="shared" ca="1" si="138"/>
        <v>0</v>
      </c>
      <c r="N248" s="859">
        <f t="shared" ca="1" si="139"/>
        <v>0</v>
      </c>
      <c r="O248" s="860">
        <f t="shared" ca="1" si="62"/>
        <v>0</v>
      </c>
      <c r="P248" s="860">
        <f t="shared" ca="1" si="63"/>
        <v>0</v>
      </c>
      <c r="Q248" s="860">
        <f t="shared" ca="1" si="64"/>
        <v>0</v>
      </c>
      <c r="R248" s="1969">
        <f t="shared" ca="1" si="65"/>
        <v>0</v>
      </c>
      <c r="S248" s="675">
        <f t="shared" si="66"/>
        <v>0</v>
      </c>
      <c r="T248" s="10"/>
      <c r="U248" s="10"/>
      <c r="V248" s="10"/>
      <c r="W248" s="10"/>
      <c r="X248" s="10"/>
      <c r="Y248" s="10"/>
      <c r="Z248" s="10"/>
      <c r="AA248" s="10"/>
      <c r="AB248" s="10"/>
      <c r="AC248" s="10"/>
    </row>
    <row r="249" spans="1:29" ht="52.5" hidden="1" customHeight="1" x14ac:dyDescent="0.2">
      <c r="A249" s="4020"/>
      <c r="B249" s="4032"/>
      <c r="C249" s="4099" t="s">
        <v>611</v>
      </c>
      <c r="D249" s="4090"/>
      <c r="E249" s="4090"/>
      <c r="F249" s="2352">
        <f>500*G251</f>
        <v>0</v>
      </c>
      <c r="G249" s="2412">
        <f>+G251</f>
        <v>0</v>
      </c>
      <c r="H249" s="12"/>
      <c r="I249" s="1968">
        <f>IF(F249=0,0,ROUND($F249*COEF!$J$27,0))</f>
        <v>0</v>
      </c>
      <c r="J249" s="858">
        <f>IF(F249=0,0,ROUND($F249*COEF!$K$27,0))</f>
        <v>0</v>
      </c>
      <c r="K249" s="858">
        <f>IF(F249=0,0,ROUND($F249*COEF!$L$27,0))</f>
        <v>0</v>
      </c>
      <c r="L249" s="859">
        <f t="shared" ca="1" si="137"/>
        <v>0</v>
      </c>
      <c r="M249" s="859">
        <f t="shared" ca="1" si="138"/>
        <v>0</v>
      </c>
      <c r="N249" s="859">
        <f t="shared" ca="1" si="139"/>
        <v>0</v>
      </c>
      <c r="O249" s="860">
        <f t="shared" ref="O249" ca="1" si="148">I249+L249</f>
        <v>0</v>
      </c>
      <c r="P249" s="860">
        <f t="shared" ref="P249" ca="1" si="149">J249+M249</f>
        <v>0</v>
      </c>
      <c r="Q249" s="860">
        <f t="shared" ref="Q249" ca="1" si="150">K249+N249</f>
        <v>0</v>
      </c>
      <c r="R249" s="1969">
        <f t="shared" ref="R249" ca="1" si="151">SUM(O249:Q249)</f>
        <v>0</v>
      </c>
      <c r="S249" s="675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</row>
    <row r="250" spans="1:29" ht="52.5" hidden="1" customHeight="1" x14ac:dyDescent="0.2">
      <c r="A250" s="4020"/>
      <c r="B250" s="4032"/>
      <c r="C250" s="3965" t="s">
        <v>208</v>
      </c>
      <c r="D250" s="3808"/>
      <c r="E250" s="3809"/>
      <c r="F250" s="2407">
        <f>+F146-250*G250</f>
        <v>0</v>
      </c>
      <c r="G250" s="2417">
        <f t="shared" ref="G250:G261" si="152">+G146</f>
        <v>0</v>
      </c>
      <c r="H250" s="12"/>
      <c r="I250" s="1968">
        <f>IF(F250=0,0,ROUND($F250*COEF!$J$27,0))</f>
        <v>0</v>
      </c>
      <c r="J250" s="858">
        <f>IF(F250=0,0,ROUND($F250*COEF!$K$27,0))</f>
        <v>0</v>
      </c>
      <c r="K250" s="858">
        <f>IF(F250=0,0,ROUND($F250*COEF!$L$27,0))</f>
        <v>0</v>
      </c>
      <c r="L250" s="859">
        <f t="shared" ca="1" si="137"/>
        <v>0</v>
      </c>
      <c r="M250" s="859">
        <f t="shared" ca="1" si="138"/>
        <v>0</v>
      </c>
      <c r="N250" s="859">
        <f t="shared" ca="1" si="139"/>
        <v>0</v>
      </c>
      <c r="O250" s="860">
        <f t="shared" ca="1" si="62"/>
        <v>0</v>
      </c>
      <c r="P250" s="860">
        <f t="shared" ca="1" si="63"/>
        <v>0</v>
      </c>
      <c r="Q250" s="860">
        <f t="shared" ca="1" si="64"/>
        <v>0</v>
      </c>
      <c r="R250" s="1969">
        <f t="shared" ca="1" si="65"/>
        <v>0</v>
      </c>
      <c r="S250" s="675">
        <f t="shared" si="66"/>
        <v>0</v>
      </c>
      <c r="T250" s="10"/>
      <c r="U250" s="10"/>
      <c r="V250" s="10"/>
      <c r="W250" s="10"/>
      <c r="X250" s="10"/>
      <c r="Y250" s="10"/>
      <c r="Z250" s="10"/>
      <c r="AA250" s="10"/>
      <c r="AB250" s="10"/>
      <c r="AC250" s="10"/>
    </row>
    <row r="251" spans="1:29" ht="52.5" hidden="1" customHeight="1" x14ac:dyDescent="0.2">
      <c r="A251" s="4020"/>
      <c r="B251" s="4032"/>
      <c r="C251" s="4098" t="s">
        <v>612</v>
      </c>
      <c r="D251" s="4098"/>
      <c r="E251" s="3965"/>
      <c r="F251" s="2407">
        <f>+F147-500*G251</f>
        <v>0</v>
      </c>
      <c r="G251" s="2417">
        <f t="shared" si="152"/>
        <v>0</v>
      </c>
      <c r="H251" s="12"/>
      <c r="I251" s="1968">
        <f>IF(F251=0,0,ROUND($F251*COEF!$J$27,0))</f>
        <v>0</v>
      </c>
      <c r="J251" s="858">
        <f>IF(F251=0,0,ROUND($F251*COEF!$K$27,0))</f>
        <v>0</v>
      </c>
      <c r="K251" s="858">
        <f>IF(F251=0,0,ROUND($F251*COEF!$L$27,0))</f>
        <v>0</v>
      </c>
      <c r="L251" s="859">
        <f t="shared" ca="1" si="137"/>
        <v>0</v>
      </c>
      <c r="M251" s="859">
        <f t="shared" ca="1" si="138"/>
        <v>0</v>
      </c>
      <c r="N251" s="859">
        <f t="shared" ca="1" si="139"/>
        <v>0</v>
      </c>
      <c r="O251" s="860">
        <f t="shared" ref="O251" ca="1" si="153">I251+L251</f>
        <v>0</v>
      </c>
      <c r="P251" s="860">
        <f t="shared" ref="P251" ca="1" si="154">J251+M251</f>
        <v>0</v>
      </c>
      <c r="Q251" s="860">
        <f t="shared" ref="Q251" ca="1" si="155">K251+N251</f>
        <v>0</v>
      </c>
      <c r="R251" s="1969">
        <f t="shared" ref="R251" ca="1" si="156">SUM(O251:Q251)</f>
        <v>0</v>
      </c>
      <c r="S251" s="675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</row>
    <row r="252" spans="1:29" ht="52.5" hidden="1" customHeight="1" x14ac:dyDescent="0.2">
      <c r="A252" s="4020"/>
      <c r="B252" s="4032"/>
      <c r="C252" s="4119" t="s">
        <v>1345</v>
      </c>
      <c r="D252" s="3648" t="s">
        <v>64</v>
      </c>
      <c r="E252" s="3649"/>
      <c r="F252" s="2351">
        <f t="shared" ref="F252:F261" si="157">+F148</f>
        <v>0</v>
      </c>
      <c r="G252" s="2413">
        <f t="shared" si="152"/>
        <v>0</v>
      </c>
      <c r="H252" s="12"/>
      <c r="I252" s="1968">
        <f>IF(F252=0,0,ROUND($F252*COEF!$J$27,0))</f>
        <v>0</v>
      </c>
      <c r="J252" s="858">
        <f>IF(F252=0,0,ROUND($F252*COEF!$K$27,0))</f>
        <v>0</v>
      </c>
      <c r="K252" s="858">
        <f>IF(F252=0,0,ROUND($F252*COEF!$L$27,0))</f>
        <v>0</v>
      </c>
      <c r="L252" s="859">
        <f t="shared" ca="1" si="137"/>
        <v>0</v>
      </c>
      <c r="M252" s="859">
        <f t="shared" ca="1" si="138"/>
        <v>0</v>
      </c>
      <c r="N252" s="859">
        <f t="shared" ca="1" si="139"/>
        <v>0</v>
      </c>
      <c r="O252" s="860">
        <f t="shared" ca="1" si="62"/>
        <v>0</v>
      </c>
      <c r="P252" s="860">
        <f t="shared" ca="1" si="63"/>
        <v>0</v>
      </c>
      <c r="Q252" s="860">
        <f t="shared" ca="1" si="64"/>
        <v>0</v>
      </c>
      <c r="R252" s="1969">
        <f t="shared" ca="1" si="65"/>
        <v>0</v>
      </c>
      <c r="S252" s="675">
        <f t="shared" si="66"/>
        <v>0</v>
      </c>
      <c r="T252" s="10"/>
      <c r="U252" s="10"/>
      <c r="V252" s="10"/>
      <c r="W252" s="10"/>
      <c r="X252" s="10"/>
      <c r="Y252" s="10"/>
      <c r="Z252" s="10"/>
      <c r="AA252" s="10"/>
      <c r="AB252" s="10"/>
      <c r="AC252" s="10"/>
    </row>
    <row r="253" spans="1:29" ht="52.5" hidden="1" customHeight="1" x14ac:dyDescent="0.2">
      <c r="A253" s="4020"/>
      <c r="B253" s="4032"/>
      <c r="C253" s="4120"/>
      <c r="D253" s="4092" t="s">
        <v>613</v>
      </c>
      <c r="E253" s="4093"/>
      <c r="F253" s="2351">
        <f t="shared" si="157"/>
        <v>0</v>
      </c>
      <c r="G253" s="2413">
        <f t="shared" si="152"/>
        <v>0</v>
      </c>
      <c r="H253" s="12"/>
      <c r="I253" s="1968">
        <f>IF(F253=0,0,ROUND($F253*COEF!$J$27,0))</f>
        <v>0</v>
      </c>
      <c r="J253" s="858">
        <f>IF(F253=0,0,ROUND($F253*COEF!$K$27,0))</f>
        <v>0</v>
      </c>
      <c r="K253" s="858">
        <f>IF(F253=0,0,ROUND($F253*COEF!$L$27,0))</f>
        <v>0</v>
      </c>
      <c r="L253" s="859">
        <f t="shared" ca="1" si="137"/>
        <v>0</v>
      </c>
      <c r="M253" s="859">
        <f t="shared" ca="1" si="138"/>
        <v>0</v>
      </c>
      <c r="N253" s="859">
        <f t="shared" ca="1" si="139"/>
        <v>0</v>
      </c>
      <c r="O253" s="860">
        <f t="shared" ref="O253" ca="1" si="158">I253+L253</f>
        <v>0</v>
      </c>
      <c r="P253" s="860">
        <f t="shared" ref="P253" ca="1" si="159">J253+M253</f>
        <v>0</v>
      </c>
      <c r="Q253" s="860">
        <f t="shared" ref="Q253" ca="1" si="160">K253+N253</f>
        <v>0</v>
      </c>
      <c r="R253" s="1969">
        <f t="shared" ref="R253" ca="1" si="161">SUM(O253:Q253)</f>
        <v>0</v>
      </c>
      <c r="S253" s="675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</row>
    <row r="254" spans="1:29" ht="52.5" hidden="1" customHeight="1" x14ac:dyDescent="0.2">
      <c r="A254" s="4020"/>
      <c r="B254" s="4032"/>
      <c r="C254" s="4120"/>
      <c r="D254" s="3650" t="s">
        <v>65</v>
      </c>
      <c r="E254" s="3651"/>
      <c r="F254" s="2351">
        <f t="shared" si="157"/>
        <v>0</v>
      </c>
      <c r="G254" s="2413">
        <f t="shared" si="152"/>
        <v>0</v>
      </c>
      <c r="H254" s="12"/>
      <c r="I254" s="1968">
        <f>IF(F254=0,0,ROUND($F254*COEF!$J$27,0))</f>
        <v>0</v>
      </c>
      <c r="J254" s="858">
        <f>IF(F254=0,0,ROUND($F254*COEF!$K$27,0))</f>
        <v>0</v>
      </c>
      <c r="K254" s="858">
        <f>IF(F254=0,0,ROUND($F254*COEF!$L$27,0))</f>
        <v>0</v>
      </c>
      <c r="L254" s="859">
        <f t="shared" ca="1" si="137"/>
        <v>0</v>
      </c>
      <c r="M254" s="859">
        <f t="shared" ca="1" si="138"/>
        <v>0</v>
      </c>
      <c r="N254" s="859">
        <f t="shared" ca="1" si="139"/>
        <v>0</v>
      </c>
      <c r="O254" s="860">
        <f t="shared" ca="1" si="62"/>
        <v>0</v>
      </c>
      <c r="P254" s="860">
        <f t="shared" ca="1" si="63"/>
        <v>0</v>
      </c>
      <c r="Q254" s="860">
        <f t="shared" ca="1" si="64"/>
        <v>0</v>
      </c>
      <c r="R254" s="1969">
        <f t="shared" ca="1" si="65"/>
        <v>0</v>
      </c>
      <c r="S254" s="675">
        <f t="shared" si="66"/>
        <v>0</v>
      </c>
      <c r="T254" s="10"/>
      <c r="U254" s="10"/>
      <c r="V254" s="10"/>
      <c r="W254" s="10"/>
      <c r="X254" s="10"/>
      <c r="Y254" s="10"/>
      <c r="Z254" s="10"/>
      <c r="AA254" s="10"/>
      <c r="AB254" s="10"/>
      <c r="AC254" s="10"/>
    </row>
    <row r="255" spans="1:29" ht="52.5" hidden="1" customHeight="1" x14ac:dyDescent="0.2">
      <c r="A255" s="4020"/>
      <c r="B255" s="3368"/>
      <c r="C255" s="4121"/>
      <c r="D255" s="4094" t="s">
        <v>614</v>
      </c>
      <c r="E255" s="4095"/>
      <c r="F255" s="2351">
        <f t="shared" si="157"/>
        <v>0</v>
      </c>
      <c r="G255" s="2413">
        <f t="shared" si="152"/>
        <v>0</v>
      </c>
      <c r="H255" s="12"/>
      <c r="I255" s="1968">
        <f>IF(F255=0,0,ROUND($F255*COEF!$J$27,0))</f>
        <v>0</v>
      </c>
      <c r="J255" s="858">
        <f>IF(F255=0,0,ROUND($F255*COEF!$K$27,0))</f>
        <v>0</v>
      </c>
      <c r="K255" s="858">
        <f>IF(F255=0,0,ROUND($F255*COEF!$L$27,0))</f>
        <v>0</v>
      </c>
      <c r="L255" s="859">
        <f t="shared" ca="1" si="137"/>
        <v>0</v>
      </c>
      <c r="M255" s="859">
        <f t="shared" ca="1" si="138"/>
        <v>0</v>
      </c>
      <c r="N255" s="859">
        <f t="shared" ca="1" si="139"/>
        <v>0</v>
      </c>
      <c r="O255" s="860">
        <f t="shared" ref="O255" ca="1" si="162">I255+L255</f>
        <v>0</v>
      </c>
      <c r="P255" s="860">
        <f t="shared" ref="P255" ca="1" si="163">J255+M255</f>
        <v>0</v>
      </c>
      <c r="Q255" s="860">
        <f t="shared" ref="Q255" ca="1" si="164">K255+N255</f>
        <v>0</v>
      </c>
      <c r="R255" s="1969">
        <f t="shared" ref="R255" ca="1" si="165">SUM(O255:Q255)</f>
        <v>0</v>
      </c>
      <c r="S255" s="675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</row>
    <row r="256" spans="1:29" ht="52.5" hidden="1" customHeight="1" x14ac:dyDescent="0.2">
      <c r="A256" s="4020"/>
      <c r="B256" s="3368"/>
      <c r="C256" s="4123" t="s">
        <v>1346</v>
      </c>
      <c r="D256" s="3648" t="s">
        <v>64</v>
      </c>
      <c r="E256" s="3649"/>
      <c r="F256" s="2351">
        <f t="shared" si="157"/>
        <v>0</v>
      </c>
      <c r="G256" s="2413">
        <f t="shared" si="152"/>
        <v>0</v>
      </c>
      <c r="H256" s="12"/>
      <c r="I256" s="1968">
        <f>IF(F256=0,0,ROUND($F256*COEF!$J$27,0))</f>
        <v>0</v>
      </c>
      <c r="J256" s="858">
        <f>IF(F256=0,0,ROUND($F256*COEF!$K$27,0))</f>
        <v>0</v>
      </c>
      <c r="K256" s="858">
        <f>IF(F256=0,0,ROUND($F256*COEF!$L$27,0))</f>
        <v>0</v>
      </c>
      <c r="L256" s="859">
        <f t="shared" ca="1" si="137"/>
        <v>0</v>
      </c>
      <c r="M256" s="859">
        <f t="shared" ca="1" si="138"/>
        <v>0</v>
      </c>
      <c r="N256" s="859">
        <f t="shared" ca="1" si="139"/>
        <v>0</v>
      </c>
      <c r="O256" s="860">
        <f t="shared" ref="O256:O260" ca="1" si="166">I256+L256</f>
        <v>0</v>
      </c>
      <c r="P256" s="860">
        <f t="shared" ref="P256:P260" ca="1" si="167">J256+M256</f>
        <v>0</v>
      </c>
      <c r="Q256" s="860">
        <f t="shared" ref="Q256:Q260" ca="1" si="168">K256+N256</f>
        <v>0</v>
      </c>
      <c r="R256" s="1969">
        <f t="shared" ref="R256:R260" ca="1" si="169">SUM(O256:Q256)</f>
        <v>0</v>
      </c>
      <c r="S256" s="675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</row>
    <row r="257" spans="1:29" ht="52.5" hidden="1" customHeight="1" x14ac:dyDescent="0.2">
      <c r="A257" s="4020"/>
      <c r="B257" s="3368"/>
      <c r="C257" s="4123"/>
      <c r="D257" s="3650" t="s">
        <v>65</v>
      </c>
      <c r="E257" s="3651"/>
      <c r="F257" s="2351">
        <f t="shared" si="157"/>
        <v>0</v>
      </c>
      <c r="G257" s="2413">
        <f t="shared" si="152"/>
        <v>0</v>
      </c>
      <c r="H257" s="12"/>
      <c r="I257" s="1968">
        <f>IF(F257=0,0,ROUND($F257*COEF!$J$27,0))</f>
        <v>0</v>
      </c>
      <c r="J257" s="858">
        <f>IF(F257=0,0,ROUND($F257*COEF!$K$27,0))</f>
        <v>0</v>
      </c>
      <c r="K257" s="858">
        <f>IF(F257=0,0,ROUND($F257*COEF!$L$27,0))</f>
        <v>0</v>
      </c>
      <c r="L257" s="859">
        <f t="shared" ca="1" si="137"/>
        <v>0</v>
      </c>
      <c r="M257" s="859">
        <f t="shared" ca="1" si="138"/>
        <v>0</v>
      </c>
      <c r="N257" s="859">
        <f t="shared" ca="1" si="139"/>
        <v>0</v>
      </c>
      <c r="O257" s="860">
        <f t="shared" ca="1" si="166"/>
        <v>0</v>
      </c>
      <c r="P257" s="860">
        <f t="shared" ca="1" si="167"/>
        <v>0</v>
      </c>
      <c r="Q257" s="860">
        <f t="shared" ca="1" si="168"/>
        <v>0</v>
      </c>
      <c r="R257" s="1969">
        <f t="shared" ca="1" si="169"/>
        <v>0</v>
      </c>
      <c r="S257" s="675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</row>
    <row r="258" spans="1:29" ht="52.5" hidden="1" customHeight="1" x14ac:dyDescent="0.2">
      <c r="A258" s="4020"/>
      <c r="B258" s="3368"/>
      <c r="C258" s="3652" t="s">
        <v>1347</v>
      </c>
      <c r="D258" s="3648" t="s">
        <v>64</v>
      </c>
      <c r="E258" s="3649"/>
      <c r="F258" s="2351">
        <f t="shared" si="157"/>
        <v>0</v>
      </c>
      <c r="G258" s="2413">
        <f t="shared" si="152"/>
        <v>0</v>
      </c>
      <c r="H258" s="12"/>
      <c r="I258" s="1968">
        <f>IF(F258=0,0,ROUND($F258*COEF!$J$27,0))</f>
        <v>0</v>
      </c>
      <c r="J258" s="858">
        <f>IF(F258=0,0,ROUND($F258*COEF!$K$27,0))</f>
        <v>0</v>
      </c>
      <c r="K258" s="858">
        <f>IF(F258=0,0,ROUND($F258*COEF!$L$27,0))</f>
        <v>0</v>
      </c>
      <c r="L258" s="859">
        <f t="shared" ca="1" si="137"/>
        <v>0</v>
      </c>
      <c r="M258" s="859">
        <f t="shared" ca="1" si="138"/>
        <v>0</v>
      </c>
      <c r="N258" s="859">
        <f t="shared" ca="1" si="139"/>
        <v>0</v>
      </c>
      <c r="O258" s="860">
        <f t="shared" ca="1" si="166"/>
        <v>0</v>
      </c>
      <c r="P258" s="860">
        <f t="shared" ca="1" si="167"/>
        <v>0</v>
      </c>
      <c r="Q258" s="860">
        <f t="shared" ca="1" si="168"/>
        <v>0</v>
      </c>
      <c r="R258" s="1969">
        <f t="shared" ca="1" si="169"/>
        <v>0</v>
      </c>
      <c r="S258" s="675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</row>
    <row r="259" spans="1:29" ht="52.5" hidden="1" customHeight="1" x14ac:dyDescent="0.2">
      <c r="A259" s="4020"/>
      <c r="B259" s="3368"/>
      <c r="C259" s="3909"/>
      <c r="D259" s="3648" t="s">
        <v>1324</v>
      </c>
      <c r="E259" s="3649"/>
      <c r="F259" s="2351">
        <f t="shared" si="157"/>
        <v>0</v>
      </c>
      <c r="G259" s="2413">
        <f t="shared" si="152"/>
        <v>0</v>
      </c>
      <c r="H259" s="12"/>
      <c r="I259" s="1968">
        <f>IF(F259=0,0,ROUND($F259*COEF!$J$27,0))</f>
        <v>0</v>
      </c>
      <c r="J259" s="858">
        <f>IF(F259=0,0,ROUND($F259*COEF!$K$27,0))</f>
        <v>0</v>
      </c>
      <c r="K259" s="858">
        <f>IF(F259=0,0,ROUND($F259*COEF!$L$27,0))</f>
        <v>0</v>
      </c>
      <c r="L259" s="859">
        <f t="shared" ca="1" si="137"/>
        <v>0</v>
      </c>
      <c r="M259" s="859">
        <f t="shared" ca="1" si="138"/>
        <v>0</v>
      </c>
      <c r="N259" s="859">
        <f t="shared" ca="1" si="139"/>
        <v>0</v>
      </c>
      <c r="O259" s="860">
        <f t="shared" ref="O259" ca="1" si="170">I259+L259</f>
        <v>0</v>
      </c>
      <c r="P259" s="860">
        <f t="shared" ref="P259" ca="1" si="171">J259+M259</f>
        <v>0</v>
      </c>
      <c r="Q259" s="860">
        <f t="shared" ref="Q259" ca="1" si="172">K259+N259</f>
        <v>0</v>
      </c>
      <c r="R259" s="1969">
        <f t="shared" ref="R259" ca="1" si="173">SUM(O259:Q259)</f>
        <v>0</v>
      </c>
      <c r="S259" s="675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</row>
    <row r="260" spans="1:29" ht="52.5" hidden="1" customHeight="1" x14ac:dyDescent="0.2">
      <c r="A260" s="4020"/>
      <c r="B260" s="3368"/>
      <c r="C260" s="3909"/>
      <c r="D260" s="3650" t="s">
        <v>65</v>
      </c>
      <c r="E260" s="3651"/>
      <c r="F260" s="2351">
        <f t="shared" si="157"/>
        <v>0</v>
      </c>
      <c r="G260" s="2413">
        <f t="shared" si="152"/>
        <v>0</v>
      </c>
      <c r="H260" s="12"/>
      <c r="I260" s="1968">
        <f>IF(F260=0,0,ROUND($F260*COEF!$J$27,0))</f>
        <v>0</v>
      </c>
      <c r="J260" s="858">
        <f>IF(F260=0,0,ROUND($F260*COEF!$K$27,0))</f>
        <v>0</v>
      </c>
      <c r="K260" s="858">
        <f>IF(F260=0,0,ROUND($F260*COEF!$L$27,0))</f>
        <v>0</v>
      </c>
      <c r="L260" s="859">
        <f t="shared" ca="1" si="137"/>
        <v>0</v>
      </c>
      <c r="M260" s="859">
        <f t="shared" ca="1" si="138"/>
        <v>0</v>
      </c>
      <c r="N260" s="859">
        <f t="shared" ca="1" si="139"/>
        <v>0</v>
      </c>
      <c r="O260" s="860">
        <f t="shared" ca="1" si="166"/>
        <v>0</v>
      </c>
      <c r="P260" s="860">
        <f t="shared" ca="1" si="167"/>
        <v>0</v>
      </c>
      <c r="Q260" s="860">
        <f t="shared" ca="1" si="168"/>
        <v>0</v>
      </c>
      <c r="R260" s="1969">
        <f t="shared" ca="1" si="169"/>
        <v>0</v>
      </c>
      <c r="S260" s="675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</row>
    <row r="261" spans="1:29" ht="52.5" hidden="1" customHeight="1" thickBot="1" x14ac:dyDescent="0.25">
      <c r="A261" s="4020"/>
      <c r="B261" s="3368"/>
      <c r="C261" s="4118"/>
      <c r="D261" s="3650" t="s">
        <v>1325</v>
      </c>
      <c r="E261" s="3651"/>
      <c r="F261" s="2351">
        <f t="shared" si="157"/>
        <v>0</v>
      </c>
      <c r="G261" s="2413">
        <f t="shared" si="152"/>
        <v>0</v>
      </c>
      <c r="H261" s="12"/>
      <c r="I261" s="1968">
        <f>IF(F261=0,0,ROUND($F261*COEF!$J$27,0))</f>
        <v>0</v>
      </c>
      <c r="J261" s="858">
        <f>IF(F261=0,0,ROUND($F261*COEF!$K$27,0))</f>
        <v>0</v>
      </c>
      <c r="K261" s="858">
        <f>IF(F261=0,0,ROUND($F261*COEF!$L$27,0))</f>
        <v>0</v>
      </c>
      <c r="L261" s="859">
        <f t="shared" ca="1" si="137"/>
        <v>0</v>
      </c>
      <c r="M261" s="859">
        <f t="shared" ca="1" si="138"/>
        <v>0</v>
      </c>
      <c r="N261" s="859">
        <f t="shared" ca="1" si="139"/>
        <v>0</v>
      </c>
      <c r="O261" s="860">
        <f t="shared" ref="O261" ca="1" si="174">I261+L261</f>
        <v>0</v>
      </c>
      <c r="P261" s="860">
        <f t="shared" ref="P261" ca="1" si="175">J261+M261</f>
        <v>0</v>
      </c>
      <c r="Q261" s="860">
        <f t="shared" ref="Q261" ca="1" si="176">K261+N261</f>
        <v>0</v>
      </c>
      <c r="R261" s="1969">
        <f t="shared" ref="R261" ca="1" si="177">SUM(O261:Q261)</f>
        <v>0</v>
      </c>
      <c r="S261" s="675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</row>
    <row r="262" spans="1:29" ht="52.5" hidden="1" customHeight="1" x14ac:dyDescent="0.2">
      <c r="A262" s="4020"/>
      <c r="B262" s="4029" t="s">
        <v>67</v>
      </c>
      <c r="C262" s="3958" t="s">
        <v>164</v>
      </c>
      <c r="D262" s="3959"/>
      <c r="E262" s="3960"/>
      <c r="F262" s="2410">
        <f t="shared" ref="F262" si="178">+F158</f>
        <v>0</v>
      </c>
      <c r="G262" s="2411">
        <f t="shared" ref="G262" si="179">+G158</f>
        <v>0</v>
      </c>
      <c r="H262" s="12"/>
      <c r="I262" s="1968">
        <f>IF(F262=0,0,ROUND($F262*COEF!$J$27,0))</f>
        <v>0</v>
      </c>
      <c r="J262" s="858">
        <f>IF(F262=0,0,ROUND($F262*COEF!$K$27,0))</f>
        <v>0</v>
      </c>
      <c r="K262" s="858">
        <f>IF(F262=0,0,ROUND($F262*COEF!$L$27,0))</f>
        <v>0</v>
      </c>
      <c r="L262" s="859">
        <f t="shared" ca="1" si="137"/>
        <v>0</v>
      </c>
      <c r="M262" s="859">
        <f t="shared" ca="1" si="138"/>
        <v>0</v>
      </c>
      <c r="N262" s="859">
        <f t="shared" ca="1" si="139"/>
        <v>0</v>
      </c>
      <c r="O262" s="860">
        <f t="shared" ca="1" si="62"/>
        <v>0</v>
      </c>
      <c r="P262" s="860">
        <f t="shared" ca="1" si="63"/>
        <v>0</v>
      </c>
      <c r="Q262" s="860">
        <f t="shared" ca="1" si="64"/>
        <v>0</v>
      </c>
      <c r="R262" s="1969">
        <f t="shared" ca="1" si="65"/>
        <v>0</v>
      </c>
      <c r="S262" s="675">
        <f t="shared" si="66"/>
        <v>0</v>
      </c>
      <c r="T262" s="10"/>
      <c r="U262" s="10"/>
      <c r="V262" s="10"/>
      <c r="W262" s="10"/>
      <c r="X262" s="10"/>
      <c r="Y262" s="10"/>
      <c r="Z262" s="10"/>
      <c r="AA262" s="10"/>
      <c r="AB262" s="10"/>
      <c r="AC262" s="10"/>
    </row>
    <row r="263" spans="1:29" ht="52.5" hidden="1" customHeight="1" x14ac:dyDescent="0.2">
      <c r="A263" s="4020"/>
      <c r="B263" s="4030"/>
      <c r="C263" s="3949" t="s">
        <v>207</v>
      </c>
      <c r="D263" s="3913"/>
      <c r="E263" s="4021"/>
      <c r="F263" s="2351">
        <f>350*G265</f>
        <v>0</v>
      </c>
      <c r="G263" s="2413">
        <f>+G265</f>
        <v>0</v>
      </c>
      <c r="H263" s="12"/>
      <c r="I263" s="1968">
        <f>IF(F263=0,0,ROUND($F263*COEF!$J$27,0))</f>
        <v>0</v>
      </c>
      <c r="J263" s="858">
        <f>IF(F263=0,0,ROUND($F263*COEF!$K$27,0))</f>
        <v>0</v>
      </c>
      <c r="K263" s="858">
        <f>IF(F263=0,0,ROUND($F263*COEF!$L$27,0))</f>
        <v>0</v>
      </c>
      <c r="L263" s="859">
        <f t="shared" ca="1" si="137"/>
        <v>0</v>
      </c>
      <c r="M263" s="859">
        <f t="shared" ca="1" si="138"/>
        <v>0</v>
      </c>
      <c r="N263" s="859">
        <f t="shared" ca="1" si="139"/>
        <v>0</v>
      </c>
      <c r="O263" s="860">
        <f t="shared" ca="1" si="62"/>
        <v>0</v>
      </c>
      <c r="P263" s="860">
        <f t="shared" ca="1" si="63"/>
        <v>0</v>
      </c>
      <c r="Q263" s="860">
        <f t="shared" ca="1" si="64"/>
        <v>0</v>
      </c>
      <c r="R263" s="1969">
        <f t="shared" ca="1" si="65"/>
        <v>0</v>
      </c>
      <c r="S263" s="675">
        <f t="shared" si="66"/>
        <v>0</v>
      </c>
      <c r="T263" s="10"/>
      <c r="U263" s="10"/>
      <c r="V263" s="10"/>
      <c r="W263" s="10"/>
      <c r="X263" s="10"/>
      <c r="Y263" s="10"/>
      <c r="Z263" s="10"/>
      <c r="AA263" s="10"/>
      <c r="AB263" s="10"/>
      <c r="AC263" s="10"/>
    </row>
    <row r="264" spans="1:29" ht="52.5" hidden="1" customHeight="1" x14ac:dyDescent="0.2">
      <c r="A264" s="4020"/>
      <c r="B264" s="4030"/>
      <c r="C264" s="4097" t="s">
        <v>609</v>
      </c>
      <c r="D264" s="4088"/>
      <c r="E264" s="4088"/>
      <c r="F264" s="2351">
        <f>700*G266</f>
        <v>0</v>
      </c>
      <c r="G264" s="2413">
        <f>+G266</f>
        <v>0</v>
      </c>
      <c r="H264" s="12"/>
      <c r="I264" s="1968">
        <f>IF(F264=0,0,ROUND($F264*COEF!$J$27,0))</f>
        <v>0</v>
      </c>
      <c r="J264" s="858">
        <f>IF(F264=0,0,ROUND($F264*COEF!$K$27,0))</f>
        <v>0</v>
      </c>
      <c r="K264" s="858">
        <f>IF(F264=0,0,ROUND($F264*COEF!$L$27,0))</f>
        <v>0</v>
      </c>
      <c r="L264" s="859">
        <f t="shared" ca="1" si="137"/>
        <v>0</v>
      </c>
      <c r="M264" s="859">
        <f t="shared" ca="1" si="138"/>
        <v>0</v>
      </c>
      <c r="N264" s="859">
        <f t="shared" ca="1" si="139"/>
        <v>0</v>
      </c>
      <c r="O264" s="860">
        <f t="shared" ref="O264" ca="1" si="180">I264+L264</f>
        <v>0</v>
      </c>
      <c r="P264" s="860">
        <f t="shared" ref="P264" ca="1" si="181">J264+M264</f>
        <v>0</v>
      </c>
      <c r="Q264" s="860">
        <f t="shared" ref="Q264" ca="1" si="182">K264+N264</f>
        <v>0</v>
      </c>
      <c r="R264" s="1969">
        <f t="shared" ref="R264" ca="1" si="183">SUM(O264:Q264)</f>
        <v>0</v>
      </c>
      <c r="S264" s="675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</row>
    <row r="265" spans="1:29" ht="52.5" hidden="1" customHeight="1" x14ac:dyDescent="0.2">
      <c r="A265" s="4020"/>
      <c r="B265" s="4030"/>
      <c r="C265" s="3807" t="s">
        <v>204</v>
      </c>
      <c r="D265" s="3808"/>
      <c r="E265" s="3809"/>
      <c r="F265" s="2407">
        <f>+F159-350*G265</f>
        <v>0</v>
      </c>
      <c r="G265" s="2417">
        <f>+G159</f>
        <v>0</v>
      </c>
      <c r="H265" s="12"/>
      <c r="I265" s="1968">
        <f>IF(F265=0,0,ROUND($F265*COEF!$J$27,0))</f>
        <v>0</v>
      </c>
      <c r="J265" s="858">
        <f>IF(F265=0,0,ROUND($F265*COEF!$K$27,0))</f>
        <v>0</v>
      </c>
      <c r="K265" s="858">
        <f>IF(F265=0,0,ROUND($F265*COEF!$L$27,0))</f>
        <v>0</v>
      </c>
      <c r="L265" s="859">
        <f t="shared" ca="1" si="137"/>
        <v>0</v>
      </c>
      <c r="M265" s="859">
        <f t="shared" ca="1" si="138"/>
        <v>0</v>
      </c>
      <c r="N265" s="859">
        <f t="shared" ca="1" si="139"/>
        <v>0</v>
      </c>
      <c r="O265" s="860">
        <f t="shared" ca="1" si="62"/>
        <v>0</v>
      </c>
      <c r="P265" s="860">
        <f t="shared" ca="1" si="63"/>
        <v>0</v>
      </c>
      <c r="Q265" s="860">
        <f t="shared" ca="1" si="64"/>
        <v>0</v>
      </c>
      <c r="R265" s="1969">
        <f t="shared" ca="1" si="65"/>
        <v>0</v>
      </c>
      <c r="S265" s="675">
        <f t="shared" si="66"/>
        <v>0</v>
      </c>
      <c r="T265" s="10"/>
      <c r="U265" s="10"/>
      <c r="V265" s="10"/>
      <c r="W265" s="10"/>
      <c r="X265" s="10"/>
      <c r="Y265" s="10"/>
      <c r="Z265" s="10"/>
      <c r="AA265" s="10"/>
      <c r="AB265" s="10"/>
      <c r="AC265" s="10"/>
    </row>
    <row r="266" spans="1:29" ht="52.5" hidden="1" customHeight="1" x14ac:dyDescent="0.2">
      <c r="A266" s="4020"/>
      <c r="B266" s="4030"/>
      <c r="C266" s="4098" t="s">
        <v>1242</v>
      </c>
      <c r="D266" s="4098"/>
      <c r="E266" s="3965"/>
      <c r="F266" s="2407">
        <f>+F160-700*G266</f>
        <v>0</v>
      </c>
      <c r="G266" s="2417">
        <f>+G160</f>
        <v>0</v>
      </c>
      <c r="H266" s="12"/>
      <c r="I266" s="1968">
        <f>IF(F266=0,0,ROUND($F266*COEF!$J$27,0))</f>
        <v>0</v>
      </c>
      <c r="J266" s="858">
        <f>IF(F266=0,0,ROUND($F266*COEF!$K$27,0))</f>
        <v>0</v>
      </c>
      <c r="K266" s="858">
        <f>IF(F266=0,0,ROUND($F266*COEF!$L$27,0))</f>
        <v>0</v>
      </c>
      <c r="L266" s="859">
        <f t="shared" ca="1" si="137"/>
        <v>0</v>
      </c>
      <c r="M266" s="859">
        <f t="shared" ca="1" si="138"/>
        <v>0</v>
      </c>
      <c r="N266" s="859">
        <f t="shared" ca="1" si="139"/>
        <v>0</v>
      </c>
      <c r="O266" s="860">
        <f t="shared" ref="O266" ca="1" si="184">I266+L266</f>
        <v>0</v>
      </c>
      <c r="P266" s="860">
        <f t="shared" ref="P266" ca="1" si="185">J266+M266</f>
        <v>0</v>
      </c>
      <c r="Q266" s="860">
        <f t="shared" ref="Q266" ca="1" si="186">K266+N266</f>
        <v>0</v>
      </c>
      <c r="R266" s="1969">
        <f t="shared" ref="R266" ca="1" si="187">SUM(O266:Q266)</f>
        <v>0</v>
      </c>
      <c r="S266" s="675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</row>
    <row r="267" spans="1:29" ht="52.5" hidden="1" customHeight="1" x14ac:dyDescent="0.2">
      <c r="A267" s="4020"/>
      <c r="B267" s="4030"/>
      <c r="C267" s="3946" t="s">
        <v>198</v>
      </c>
      <c r="D267" s="3912"/>
      <c r="E267" s="3947"/>
      <c r="F267" s="2352">
        <f>250*G269</f>
        <v>0</v>
      </c>
      <c r="G267" s="2412">
        <f>+G269</f>
        <v>0</v>
      </c>
      <c r="H267" s="12"/>
      <c r="I267" s="1968">
        <f>IF(F267=0,0,ROUND($F267*COEF!$J$27,0))</f>
        <v>0</v>
      </c>
      <c r="J267" s="858">
        <f>IF(F267=0,0,ROUND($F267*COEF!$K$27,0))</f>
        <v>0</v>
      </c>
      <c r="K267" s="858">
        <f>IF(F267=0,0,ROUND($F267*COEF!$L$27,0))</f>
        <v>0</v>
      </c>
      <c r="L267" s="859">
        <f t="shared" ca="1" si="137"/>
        <v>0</v>
      </c>
      <c r="M267" s="859">
        <f t="shared" ca="1" si="138"/>
        <v>0</v>
      </c>
      <c r="N267" s="859">
        <f t="shared" ca="1" si="139"/>
        <v>0</v>
      </c>
      <c r="O267" s="860">
        <f t="shared" ca="1" si="62"/>
        <v>0</v>
      </c>
      <c r="P267" s="860">
        <f t="shared" ca="1" si="63"/>
        <v>0</v>
      </c>
      <c r="Q267" s="860">
        <f t="shared" ca="1" si="64"/>
        <v>0</v>
      </c>
      <c r="R267" s="1969">
        <f t="shared" ca="1" si="65"/>
        <v>0</v>
      </c>
      <c r="S267" s="675">
        <f t="shared" si="66"/>
        <v>0</v>
      </c>
      <c r="T267" s="10"/>
      <c r="U267" s="10"/>
      <c r="V267" s="10"/>
      <c r="W267" s="10"/>
      <c r="X267" s="10"/>
      <c r="Y267" s="10"/>
      <c r="Z267" s="10"/>
      <c r="AA267" s="10"/>
      <c r="AB267" s="10"/>
      <c r="AC267" s="10"/>
    </row>
    <row r="268" spans="1:29" ht="52.5" hidden="1" customHeight="1" x14ac:dyDescent="0.2">
      <c r="A268" s="4020"/>
      <c r="B268" s="4030"/>
      <c r="C268" s="4099" t="s">
        <v>611</v>
      </c>
      <c r="D268" s="4090"/>
      <c r="E268" s="4090"/>
      <c r="F268" s="2352">
        <f>500*G270</f>
        <v>0</v>
      </c>
      <c r="G268" s="2412">
        <f>+G270</f>
        <v>0</v>
      </c>
      <c r="H268" s="12"/>
      <c r="I268" s="1968">
        <f>IF(F268=0,0,ROUND($F268*COEF!$J$27,0))</f>
        <v>0</v>
      </c>
      <c r="J268" s="858">
        <f>IF(F268=0,0,ROUND($F268*COEF!$K$27,0))</f>
        <v>0</v>
      </c>
      <c r="K268" s="858">
        <f>IF(F268=0,0,ROUND($F268*COEF!$L$27,0))</f>
        <v>0</v>
      </c>
      <c r="L268" s="859">
        <f t="shared" ca="1" si="137"/>
        <v>0</v>
      </c>
      <c r="M268" s="859">
        <f t="shared" ca="1" si="138"/>
        <v>0</v>
      </c>
      <c r="N268" s="859">
        <f t="shared" ca="1" si="139"/>
        <v>0</v>
      </c>
      <c r="O268" s="860">
        <f t="shared" ref="O268" ca="1" si="188">I268+L268</f>
        <v>0</v>
      </c>
      <c r="P268" s="860">
        <f t="shared" ref="P268" ca="1" si="189">J268+M268</f>
        <v>0</v>
      </c>
      <c r="Q268" s="860">
        <f t="shared" ref="Q268" ca="1" si="190">K268+N268</f>
        <v>0</v>
      </c>
      <c r="R268" s="1969">
        <f t="shared" ref="R268" ca="1" si="191">SUM(O268:Q268)</f>
        <v>0</v>
      </c>
      <c r="S268" s="675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</row>
    <row r="269" spans="1:29" ht="52.5" hidden="1" customHeight="1" x14ac:dyDescent="0.2">
      <c r="A269" s="4020"/>
      <c r="B269" s="4030"/>
      <c r="C269" s="3807" t="s">
        <v>209</v>
      </c>
      <c r="D269" s="3808"/>
      <c r="E269" s="3809"/>
      <c r="F269" s="2407">
        <f>+F161-250*G269</f>
        <v>0</v>
      </c>
      <c r="G269" s="2417">
        <f t="shared" ref="G269:G278" si="192">+G161</f>
        <v>0</v>
      </c>
      <c r="H269" s="12"/>
      <c r="I269" s="1968">
        <f>IF(F269=0,0,ROUND($F269*COEF!$J$27,0))</f>
        <v>0</v>
      </c>
      <c r="J269" s="858">
        <f>IF(F269=0,0,ROUND($F269*COEF!$K$27,0))</f>
        <v>0</v>
      </c>
      <c r="K269" s="858">
        <f>IF(F269=0,0,ROUND($F269*COEF!$L$27,0))</f>
        <v>0</v>
      </c>
      <c r="L269" s="859">
        <f t="shared" ca="1" si="137"/>
        <v>0</v>
      </c>
      <c r="M269" s="859">
        <f t="shared" ca="1" si="138"/>
        <v>0</v>
      </c>
      <c r="N269" s="859">
        <f t="shared" ca="1" si="139"/>
        <v>0</v>
      </c>
      <c r="O269" s="860">
        <f t="shared" ca="1" si="62"/>
        <v>0</v>
      </c>
      <c r="P269" s="860">
        <f t="shared" ca="1" si="63"/>
        <v>0</v>
      </c>
      <c r="Q269" s="860">
        <f t="shared" ca="1" si="64"/>
        <v>0</v>
      </c>
      <c r="R269" s="1969">
        <f t="shared" ca="1" si="65"/>
        <v>0</v>
      </c>
      <c r="S269" s="675">
        <f t="shared" si="66"/>
        <v>0</v>
      </c>
      <c r="T269" s="10"/>
      <c r="U269" s="10"/>
      <c r="V269" s="10"/>
      <c r="W269" s="10"/>
      <c r="X269" s="10"/>
      <c r="Y269" s="10"/>
      <c r="Z269" s="10"/>
      <c r="AA269" s="10"/>
      <c r="AB269" s="10"/>
      <c r="AC269" s="10"/>
    </row>
    <row r="270" spans="1:29" ht="52.5" hidden="1" customHeight="1" x14ac:dyDescent="0.2">
      <c r="A270" s="4020"/>
      <c r="B270" s="4030"/>
      <c r="C270" s="4098" t="s">
        <v>616</v>
      </c>
      <c r="D270" s="4098"/>
      <c r="E270" s="3965"/>
      <c r="F270" s="2407">
        <f>+F162-500*G270</f>
        <v>0</v>
      </c>
      <c r="G270" s="2417">
        <f t="shared" si="192"/>
        <v>0</v>
      </c>
      <c r="H270" s="12"/>
      <c r="I270" s="1968">
        <f>IF(F270=0,0,ROUND($F270*COEF!$J$27,0))</f>
        <v>0</v>
      </c>
      <c r="J270" s="858">
        <f>IF(F270=0,0,ROUND($F270*COEF!$K$27,0))</f>
        <v>0</v>
      </c>
      <c r="K270" s="858">
        <f>IF(F270=0,0,ROUND($F270*COEF!$L$27,0))</f>
        <v>0</v>
      </c>
      <c r="L270" s="859">
        <f t="shared" ca="1" si="137"/>
        <v>0</v>
      </c>
      <c r="M270" s="859">
        <f t="shared" ca="1" si="138"/>
        <v>0</v>
      </c>
      <c r="N270" s="859">
        <f t="shared" ca="1" si="139"/>
        <v>0</v>
      </c>
      <c r="O270" s="860">
        <f t="shared" ref="O270" ca="1" si="193">I270+L270</f>
        <v>0</v>
      </c>
      <c r="P270" s="860">
        <f t="shared" ref="P270" ca="1" si="194">J270+M270</f>
        <v>0</v>
      </c>
      <c r="Q270" s="860">
        <f t="shared" ref="Q270" ca="1" si="195">K270+N270</f>
        <v>0</v>
      </c>
      <c r="R270" s="1969">
        <f t="shared" ref="R270" ca="1" si="196">SUM(O270:Q270)</f>
        <v>0</v>
      </c>
      <c r="S270" s="675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</row>
    <row r="271" spans="1:29" ht="52.5" hidden="1" customHeight="1" x14ac:dyDescent="0.2">
      <c r="A271" s="4020"/>
      <c r="B271" s="4030"/>
      <c r="C271" s="3652" t="s">
        <v>1345</v>
      </c>
      <c r="D271" s="3648" t="s">
        <v>68</v>
      </c>
      <c r="E271" s="3649"/>
      <c r="F271" s="2351">
        <f t="shared" ref="F271:F278" si="197">+F163</f>
        <v>0</v>
      </c>
      <c r="G271" s="2413">
        <f t="shared" si="192"/>
        <v>0</v>
      </c>
      <c r="H271" s="12"/>
      <c r="I271" s="1968">
        <f>IF(F271=0,0,ROUND($F271*COEF!$J$27,0))</f>
        <v>0</v>
      </c>
      <c r="J271" s="858">
        <f>IF(F271=0,0,ROUND($F271*COEF!$K$27,0))</f>
        <v>0</v>
      </c>
      <c r="K271" s="858">
        <f>IF(F271=0,0,ROUND($F271*COEF!$L$27,0))</f>
        <v>0</v>
      </c>
      <c r="L271" s="859">
        <f t="shared" ca="1" si="137"/>
        <v>0</v>
      </c>
      <c r="M271" s="859">
        <f t="shared" ca="1" si="138"/>
        <v>0</v>
      </c>
      <c r="N271" s="859">
        <f t="shared" ca="1" si="139"/>
        <v>0</v>
      </c>
      <c r="O271" s="860">
        <f t="shared" ca="1" si="62"/>
        <v>0</v>
      </c>
      <c r="P271" s="860">
        <f t="shared" ca="1" si="63"/>
        <v>0</v>
      </c>
      <c r="Q271" s="860">
        <f t="shared" ca="1" si="64"/>
        <v>0</v>
      </c>
      <c r="R271" s="1969">
        <f t="shared" ca="1" si="65"/>
        <v>0</v>
      </c>
      <c r="S271" s="675">
        <f t="shared" si="66"/>
        <v>0</v>
      </c>
      <c r="T271" s="10"/>
      <c r="U271" s="10"/>
      <c r="V271" s="10"/>
      <c r="W271" s="10"/>
      <c r="X271" s="10"/>
      <c r="Y271" s="10"/>
      <c r="Z271" s="10"/>
      <c r="AA271" s="10"/>
      <c r="AB271" s="10"/>
      <c r="AC271" s="10"/>
    </row>
    <row r="272" spans="1:29" ht="52.5" hidden="1" customHeight="1" x14ac:dyDescent="0.2">
      <c r="A272" s="4020"/>
      <c r="B272" s="4030"/>
      <c r="C272" s="3909"/>
      <c r="D272" s="3648" t="s">
        <v>617</v>
      </c>
      <c r="E272" s="3649"/>
      <c r="F272" s="2351">
        <f t="shared" si="197"/>
        <v>0</v>
      </c>
      <c r="G272" s="2413">
        <f t="shared" si="192"/>
        <v>0</v>
      </c>
      <c r="H272" s="12"/>
      <c r="I272" s="1968">
        <f>IF(F272=0,0,ROUND($F272*COEF!$J$27,0))</f>
        <v>0</v>
      </c>
      <c r="J272" s="858">
        <f>IF(F272=0,0,ROUND($F272*COEF!$K$27,0))</f>
        <v>0</v>
      </c>
      <c r="K272" s="858">
        <f>IF(F272=0,0,ROUND($F272*COEF!$L$27,0))</f>
        <v>0</v>
      </c>
      <c r="L272" s="859">
        <f t="shared" ca="1" si="137"/>
        <v>0</v>
      </c>
      <c r="M272" s="859">
        <f t="shared" ca="1" si="138"/>
        <v>0</v>
      </c>
      <c r="N272" s="859">
        <f t="shared" ca="1" si="139"/>
        <v>0</v>
      </c>
      <c r="O272" s="860">
        <f t="shared" ref="O272" ca="1" si="198">I272+L272</f>
        <v>0</v>
      </c>
      <c r="P272" s="860">
        <f t="shared" ref="P272" ca="1" si="199">J272+M272</f>
        <v>0</v>
      </c>
      <c r="Q272" s="860">
        <f t="shared" ref="Q272" ca="1" si="200">K272+N272</f>
        <v>0</v>
      </c>
      <c r="R272" s="1969">
        <f t="shared" ref="R272" ca="1" si="201">SUM(O272:Q272)</f>
        <v>0</v>
      </c>
      <c r="S272" s="675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</row>
    <row r="273" spans="1:44" ht="52.5" hidden="1" customHeight="1" x14ac:dyDescent="0.2">
      <c r="A273" s="4020"/>
      <c r="B273" s="4030"/>
      <c r="C273" s="3909"/>
      <c r="D273" s="3650" t="s">
        <v>69</v>
      </c>
      <c r="E273" s="3651"/>
      <c r="F273" s="2351">
        <f t="shared" si="197"/>
        <v>0</v>
      </c>
      <c r="G273" s="2413">
        <f t="shared" si="192"/>
        <v>0</v>
      </c>
      <c r="H273" s="12"/>
      <c r="I273" s="1968">
        <f>IF(F273=0,0,ROUND($F273*COEF!$J$27,0))</f>
        <v>0</v>
      </c>
      <c r="J273" s="858">
        <f>IF(F273=0,0,ROUND($F273*COEF!$K$27,0))</f>
        <v>0</v>
      </c>
      <c r="K273" s="858">
        <f>IF(F273=0,0,ROUND($F273*COEF!$L$27,0))</f>
        <v>0</v>
      </c>
      <c r="L273" s="859">
        <f t="shared" ca="1" si="137"/>
        <v>0</v>
      </c>
      <c r="M273" s="859">
        <f t="shared" ca="1" si="138"/>
        <v>0</v>
      </c>
      <c r="N273" s="859">
        <f t="shared" ca="1" si="139"/>
        <v>0</v>
      </c>
      <c r="O273" s="860">
        <f t="shared" ca="1" si="62"/>
        <v>0</v>
      </c>
      <c r="P273" s="860">
        <f t="shared" ca="1" si="63"/>
        <v>0</v>
      </c>
      <c r="Q273" s="860">
        <f t="shared" ca="1" si="64"/>
        <v>0</v>
      </c>
      <c r="R273" s="1969">
        <f t="shared" ca="1" si="65"/>
        <v>0</v>
      </c>
      <c r="S273" s="675">
        <f t="shared" si="66"/>
        <v>0</v>
      </c>
      <c r="T273" s="10"/>
      <c r="U273" s="10"/>
      <c r="V273" s="10"/>
      <c r="W273" s="10"/>
      <c r="X273" s="10"/>
      <c r="Y273" s="10"/>
      <c r="Z273" s="10"/>
      <c r="AA273" s="10"/>
      <c r="AB273" s="10"/>
      <c r="AC273" s="10"/>
    </row>
    <row r="274" spans="1:44" ht="52.5" hidden="1" customHeight="1" x14ac:dyDescent="0.2">
      <c r="A274" s="3365"/>
      <c r="B274" s="3375"/>
      <c r="C274" s="3653"/>
      <c r="D274" s="3650" t="s">
        <v>618</v>
      </c>
      <c r="E274" s="3651"/>
      <c r="F274" s="2351">
        <f t="shared" si="197"/>
        <v>0</v>
      </c>
      <c r="G274" s="2413">
        <f t="shared" si="192"/>
        <v>0</v>
      </c>
      <c r="H274" s="12"/>
      <c r="I274" s="1968">
        <f>IF(F274=0,0,ROUND($F274*COEF!$J$27,0))</f>
        <v>0</v>
      </c>
      <c r="J274" s="858">
        <f>IF(F274=0,0,ROUND($F274*COEF!$K$27,0))</f>
        <v>0</v>
      </c>
      <c r="K274" s="858">
        <f>IF(F274=0,0,ROUND($F274*COEF!$L$27,0))</f>
        <v>0</v>
      </c>
      <c r="L274" s="859">
        <f t="shared" ca="1" si="137"/>
        <v>0</v>
      </c>
      <c r="M274" s="859">
        <f t="shared" ca="1" si="138"/>
        <v>0</v>
      </c>
      <c r="N274" s="859">
        <f t="shared" ca="1" si="139"/>
        <v>0</v>
      </c>
      <c r="O274" s="860">
        <f t="shared" ref="O274" ca="1" si="202">I274+L274</f>
        <v>0</v>
      </c>
      <c r="P274" s="860">
        <f t="shared" ref="P274" ca="1" si="203">J274+M274</f>
        <v>0</v>
      </c>
      <c r="Q274" s="860">
        <f t="shared" ref="Q274" ca="1" si="204">K274+N274</f>
        <v>0</v>
      </c>
      <c r="R274" s="1969">
        <f t="shared" ref="R274" ca="1" si="205">SUM(O274:Q274)</f>
        <v>0</v>
      </c>
      <c r="S274" s="675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</row>
    <row r="275" spans="1:44" ht="52.5" hidden="1" customHeight="1" x14ac:dyDescent="0.2">
      <c r="A275" s="3365"/>
      <c r="B275" s="3375"/>
      <c r="C275" s="4122" t="s">
        <v>1346</v>
      </c>
      <c r="D275" s="3648" t="s">
        <v>68</v>
      </c>
      <c r="E275" s="3649"/>
      <c r="F275" s="2351">
        <f t="shared" si="197"/>
        <v>0</v>
      </c>
      <c r="G275" s="2413">
        <f t="shared" si="192"/>
        <v>0</v>
      </c>
      <c r="H275" s="12"/>
      <c r="I275" s="1968">
        <f>IF(F275=0,0,ROUND($F275*COEF!$J$27,0))</f>
        <v>0</v>
      </c>
      <c r="J275" s="858">
        <f>IF(F275=0,0,ROUND($F275*COEF!$K$27,0))</f>
        <v>0</v>
      </c>
      <c r="K275" s="858">
        <f>IF(F275=0,0,ROUND($F275*COEF!$L$27,0))</f>
        <v>0</v>
      </c>
      <c r="L275" s="859">
        <f t="shared" ca="1" si="137"/>
        <v>0</v>
      </c>
      <c r="M275" s="859">
        <f t="shared" ca="1" si="138"/>
        <v>0</v>
      </c>
      <c r="N275" s="859">
        <f t="shared" ca="1" si="139"/>
        <v>0</v>
      </c>
      <c r="O275" s="860">
        <f t="shared" ref="O275:O279" ca="1" si="206">I275+L275</f>
        <v>0</v>
      </c>
      <c r="P275" s="860">
        <f t="shared" ref="P275:P279" ca="1" si="207">J275+M275</f>
        <v>0</v>
      </c>
      <c r="Q275" s="860">
        <f t="shared" ref="Q275:Q279" ca="1" si="208">K275+N275</f>
        <v>0</v>
      </c>
      <c r="R275" s="1969">
        <f t="shared" ref="R275:R279" ca="1" si="209">SUM(O275:Q275)</f>
        <v>0</v>
      </c>
      <c r="S275" s="675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</row>
    <row r="276" spans="1:44" ht="52.5" hidden="1" customHeight="1" x14ac:dyDescent="0.2">
      <c r="A276" s="3365"/>
      <c r="B276" s="3375"/>
      <c r="C276" s="4122"/>
      <c r="D276" s="3650" t="s">
        <v>69</v>
      </c>
      <c r="E276" s="3651"/>
      <c r="F276" s="2351">
        <f t="shared" si="197"/>
        <v>0</v>
      </c>
      <c r="G276" s="2413">
        <f t="shared" si="192"/>
        <v>0</v>
      </c>
      <c r="H276" s="12"/>
      <c r="I276" s="1968">
        <f>IF(F276=0,0,ROUND($F276*COEF!$J$27,0))</f>
        <v>0</v>
      </c>
      <c r="J276" s="858">
        <f>IF(F276=0,0,ROUND($F276*COEF!$K$27,0))</f>
        <v>0</v>
      </c>
      <c r="K276" s="858">
        <f>IF(F276=0,0,ROUND($F276*COEF!$L$27,0))</f>
        <v>0</v>
      </c>
      <c r="L276" s="859">
        <f t="shared" ca="1" si="137"/>
        <v>0</v>
      </c>
      <c r="M276" s="859">
        <f t="shared" ca="1" si="138"/>
        <v>0</v>
      </c>
      <c r="N276" s="859">
        <f t="shared" ca="1" si="139"/>
        <v>0</v>
      </c>
      <c r="O276" s="860">
        <f t="shared" ca="1" si="206"/>
        <v>0</v>
      </c>
      <c r="P276" s="860">
        <f t="shared" ca="1" si="207"/>
        <v>0</v>
      </c>
      <c r="Q276" s="860">
        <f t="shared" ca="1" si="208"/>
        <v>0</v>
      </c>
      <c r="R276" s="1969">
        <f t="shared" ca="1" si="209"/>
        <v>0</v>
      </c>
      <c r="S276" s="675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</row>
    <row r="277" spans="1:44" ht="52.5" hidden="1" customHeight="1" x14ac:dyDescent="0.2">
      <c r="A277" s="3365"/>
      <c r="B277" s="3375"/>
      <c r="C277" s="3652" t="s">
        <v>1347</v>
      </c>
      <c r="D277" s="3648" t="s">
        <v>68</v>
      </c>
      <c r="E277" s="3649"/>
      <c r="F277" s="2351">
        <f t="shared" si="197"/>
        <v>0</v>
      </c>
      <c r="G277" s="2413">
        <f t="shared" si="192"/>
        <v>0</v>
      </c>
      <c r="H277" s="12"/>
      <c r="I277" s="1968">
        <f>IF(F277=0,0,ROUND($F277*COEF!$J$27,0))</f>
        <v>0</v>
      </c>
      <c r="J277" s="858">
        <f>IF(F277=0,0,ROUND($F277*COEF!$K$27,0))</f>
        <v>0</v>
      </c>
      <c r="K277" s="858">
        <f>IF(F277=0,0,ROUND($F277*COEF!$L$27,0))</f>
        <v>0</v>
      </c>
      <c r="L277" s="859">
        <f t="shared" ref="L277:L284" ca="1" si="210">+ROUND(I277*I$395,0)</f>
        <v>0</v>
      </c>
      <c r="M277" s="859">
        <f t="shared" ref="M277:M284" ca="1" si="211">+ROUND(J277*J$395,0)</f>
        <v>0</v>
      </c>
      <c r="N277" s="859">
        <f t="shared" ref="N277:N284" ca="1" si="212">+ROUND(K277*K$395,0)</f>
        <v>0</v>
      </c>
      <c r="O277" s="860">
        <f t="shared" ca="1" si="206"/>
        <v>0</v>
      </c>
      <c r="P277" s="860">
        <f t="shared" ca="1" si="207"/>
        <v>0</v>
      </c>
      <c r="Q277" s="860">
        <f t="shared" ca="1" si="208"/>
        <v>0</v>
      </c>
      <c r="R277" s="1969">
        <f t="shared" ca="1" si="209"/>
        <v>0</v>
      </c>
      <c r="S277" s="675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</row>
    <row r="278" spans="1:44" ht="52.5" hidden="1" customHeight="1" x14ac:dyDescent="0.2">
      <c r="A278" s="3365"/>
      <c r="B278" s="3375"/>
      <c r="C278" s="3909"/>
      <c r="D278" s="3648" t="s">
        <v>1348</v>
      </c>
      <c r="E278" s="3649"/>
      <c r="F278" s="2351">
        <f t="shared" si="197"/>
        <v>0</v>
      </c>
      <c r="G278" s="2413">
        <f t="shared" si="192"/>
        <v>0</v>
      </c>
      <c r="H278" s="12"/>
      <c r="I278" s="1968">
        <f>IF(F278=0,0,ROUND($F278*COEF!$J$27,0))</f>
        <v>0</v>
      </c>
      <c r="J278" s="858">
        <f>IF(F278=0,0,ROUND($F278*COEF!$K$27,0))</f>
        <v>0</v>
      </c>
      <c r="K278" s="858">
        <f>IF(F278=0,0,ROUND($F278*COEF!$L$27,0))</f>
        <v>0</v>
      </c>
      <c r="L278" s="859">
        <f t="shared" ca="1" si="210"/>
        <v>0</v>
      </c>
      <c r="M278" s="859">
        <f t="shared" ca="1" si="211"/>
        <v>0</v>
      </c>
      <c r="N278" s="859">
        <f t="shared" ca="1" si="212"/>
        <v>0</v>
      </c>
      <c r="O278" s="860">
        <f t="shared" ref="O278" ca="1" si="213">I278+L278</f>
        <v>0</v>
      </c>
      <c r="P278" s="860">
        <f t="shared" ref="P278" ca="1" si="214">J278+M278</f>
        <v>0</v>
      </c>
      <c r="Q278" s="860">
        <f t="shared" ref="Q278" ca="1" si="215">K278+N278</f>
        <v>0</v>
      </c>
      <c r="R278" s="1969">
        <f t="shared" ref="R278" ca="1" si="216">SUM(O278:Q278)</f>
        <v>0</v>
      </c>
      <c r="S278" s="675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</row>
    <row r="279" spans="1:44" ht="52.5" hidden="1" customHeight="1" x14ac:dyDescent="0.2">
      <c r="A279" s="3365"/>
      <c r="B279" s="3375"/>
      <c r="C279" s="3909"/>
      <c r="D279" s="3650" t="s">
        <v>69</v>
      </c>
      <c r="E279" s="3651"/>
      <c r="F279" s="2351">
        <f t="shared" ref="F279:F280" si="217">+F171</f>
        <v>0</v>
      </c>
      <c r="G279" s="2413">
        <f t="shared" ref="G279:G280" si="218">+G171</f>
        <v>0</v>
      </c>
      <c r="H279" s="12"/>
      <c r="I279" s="1968">
        <f>IF(F279=0,0,ROUND($F279*COEF!$J$27,0))</f>
        <v>0</v>
      </c>
      <c r="J279" s="858">
        <f>IF(F279=0,0,ROUND($F279*COEF!$K$27,0))</f>
        <v>0</v>
      </c>
      <c r="K279" s="858">
        <f>IF(F279=0,0,ROUND($F279*COEF!$L$27,0))</f>
        <v>0</v>
      </c>
      <c r="L279" s="859">
        <f t="shared" ca="1" si="210"/>
        <v>0</v>
      </c>
      <c r="M279" s="859">
        <f t="shared" ca="1" si="211"/>
        <v>0</v>
      </c>
      <c r="N279" s="859">
        <f t="shared" ca="1" si="212"/>
        <v>0</v>
      </c>
      <c r="O279" s="860">
        <f t="shared" ca="1" si="206"/>
        <v>0</v>
      </c>
      <c r="P279" s="860">
        <f t="shared" ca="1" si="207"/>
        <v>0</v>
      </c>
      <c r="Q279" s="860">
        <f t="shared" ca="1" si="208"/>
        <v>0</v>
      </c>
      <c r="R279" s="1969">
        <f t="shared" ca="1" si="209"/>
        <v>0</v>
      </c>
      <c r="S279" s="675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</row>
    <row r="280" spans="1:44" ht="52.5" hidden="1" customHeight="1" x14ac:dyDescent="0.2">
      <c r="A280" s="3365"/>
      <c r="B280" s="3375"/>
      <c r="C280" s="3653"/>
      <c r="D280" s="3650" t="s">
        <v>1349</v>
      </c>
      <c r="E280" s="3651"/>
      <c r="F280" s="2351">
        <f t="shared" si="217"/>
        <v>0</v>
      </c>
      <c r="G280" s="2413">
        <f t="shared" si="218"/>
        <v>0</v>
      </c>
      <c r="H280" s="12"/>
      <c r="I280" s="1968">
        <f>IF(F280=0,0,ROUND($F280*COEF!$J$27,0))</f>
        <v>0</v>
      </c>
      <c r="J280" s="858">
        <f>IF(F280=0,0,ROUND($F280*COEF!$K$27,0))</f>
        <v>0</v>
      </c>
      <c r="K280" s="858">
        <f>IF(F280=0,0,ROUND($F280*COEF!$L$27,0))</f>
        <v>0</v>
      </c>
      <c r="L280" s="859">
        <f t="shared" ca="1" si="210"/>
        <v>0</v>
      </c>
      <c r="M280" s="859">
        <f t="shared" ca="1" si="211"/>
        <v>0</v>
      </c>
      <c r="N280" s="859">
        <f t="shared" ca="1" si="212"/>
        <v>0</v>
      </c>
      <c r="O280" s="860">
        <f t="shared" ref="O280" ca="1" si="219">I280+L280</f>
        <v>0</v>
      </c>
      <c r="P280" s="860">
        <f t="shared" ref="P280" ca="1" si="220">J280+M280</f>
        <v>0</v>
      </c>
      <c r="Q280" s="860">
        <f t="shared" ref="Q280" ca="1" si="221">K280+N280</f>
        <v>0</v>
      </c>
      <c r="R280" s="1969">
        <f t="shared" ref="R280" ca="1" si="222">SUM(O280:Q280)</f>
        <v>0</v>
      </c>
      <c r="S280" s="675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</row>
    <row r="281" spans="1:44" ht="57.75" hidden="1" customHeight="1" thickBot="1" x14ac:dyDescent="0.25">
      <c r="A281" s="3954" t="s">
        <v>186</v>
      </c>
      <c r="B281" s="3944" t="s">
        <v>21</v>
      </c>
      <c r="C281" s="4026" t="s">
        <v>210</v>
      </c>
      <c r="D281" s="4027"/>
      <c r="E281" s="4028"/>
      <c r="F281" s="2420">
        <f>+F173+800*G282</f>
        <v>0</v>
      </c>
      <c r="G281" s="2420">
        <f>+G173+G174</f>
        <v>0</v>
      </c>
      <c r="H281" s="12"/>
      <c r="I281" s="1968">
        <f>IF(F281=0,0,ROUND($F281*COEF!$J$27,0))</f>
        <v>0</v>
      </c>
      <c r="J281" s="858">
        <f>IF(F281=0,0,ROUND($F281*COEF!$K$27,0))</f>
        <v>0</v>
      </c>
      <c r="K281" s="858">
        <f>IF(F281=0,0,ROUND($F281*COEF!$L$27,0))</f>
        <v>0</v>
      </c>
      <c r="L281" s="859">
        <f t="shared" ca="1" si="210"/>
        <v>0</v>
      </c>
      <c r="M281" s="859">
        <f t="shared" ca="1" si="211"/>
        <v>0</v>
      </c>
      <c r="N281" s="859">
        <f t="shared" ca="1" si="212"/>
        <v>0</v>
      </c>
      <c r="O281" s="860">
        <f t="shared" ca="1" si="62"/>
        <v>0</v>
      </c>
      <c r="P281" s="860">
        <f t="shared" ca="1" si="63"/>
        <v>0</v>
      </c>
      <c r="Q281" s="860">
        <f t="shared" ca="1" si="64"/>
        <v>0</v>
      </c>
      <c r="R281" s="1969">
        <f t="shared" ca="1" si="65"/>
        <v>0</v>
      </c>
      <c r="S281" s="675">
        <f t="shared" si="66"/>
        <v>0</v>
      </c>
      <c r="T281" s="10"/>
      <c r="U281" s="10"/>
      <c r="V281" s="10"/>
      <c r="W281" s="10"/>
      <c r="X281" s="10"/>
      <c r="Y281" s="10"/>
      <c r="Z281" s="10"/>
      <c r="AA281" s="10"/>
      <c r="AB281" s="10"/>
      <c r="AC281" s="10"/>
    </row>
    <row r="282" spans="1:44" ht="57.75" hidden="1" customHeight="1" thickBot="1" x14ac:dyDescent="0.25">
      <c r="A282" s="3954"/>
      <c r="B282" s="3945"/>
      <c r="C282" s="3739" t="s">
        <v>211</v>
      </c>
      <c r="D282" s="3740"/>
      <c r="E282" s="3741"/>
      <c r="F282" s="2352">
        <f>+F174-800*G174</f>
        <v>0</v>
      </c>
      <c r="G282" s="2352">
        <f>+G174</f>
        <v>0</v>
      </c>
      <c r="H282" s="12"/>
      <c r="I282" s="1968">
        <f>IF(F282=0,0,ROUND($F282*COEF!$J$27,0))</f>
        <v>0</v>
      </c>
      <c r="J282" s="858">
        <f>IF(F282=0,0,ROUND($F282*COEF!$K$27,0))</f>
        <v>0</v>
      </c>
      <c r="K282" s="858">
        <f>IF(F282=0,0,ROUND($F282*COEF!$L$27,0))</f>
        <v>0</v>
      </c>
      <c r="L282" s="859">
        <f t="shared" ca="1" si="210"/>
        <v>0</v>
      </c>
      <c r="M282" s="859">
        <f t="shared" ca="1" si="211"/>
        <v>0</v>
      </c>
      <c r="N282" s="859">
        <f t="shared" ca="1" si="212"/>
        <v>0</v>
      </c>
      <c r="O282" s="860">
        <f t="shared" ca="1" si="62"/>
        <v>0</v>
      </c>
      <c r="P282" s="860">
        <f t="shared" ca="1" si="63"/>
        <v>0</v>
      </c>
      <c r="Q282" s="860">
        <f t="shared" ca="1" si="64"/>
        <v>0</v>
      </c>
      <c r="R282" s="1969">
        <f t="shared" ca="1" si="65"/>
        <v>0</v>
      </c>
      <c r="S282" s="675">
        <f t="shared" si="66"/>
        <v>0</v>
      </c>
      <c r="T282" s="10"/>
      <c r="U282" s="10"/>
      <c r="V282" s="10"/>
      <c r="W282" s="10"/>
      <c r="X282" s="10"/>
      <c r="Y282" s="10"/>
      <c r="Z282" s="10"/>
      <c r="AA282" s="10"/>
      <c r="AB282" s="10"/>
      <c r="AC282" s="10"/>
    </row>
    <row r="283" spans="1:44" ht="57.75" hidden="1" customHeight="1" thickBot="1" x14ac:dyDescent="0.25">
      <c r="A283" s="3954"/>
      <c r="B283" s="3956" t="s">
        <v>71</v>
      </c>
      <c r="C283" s="3794" t="s">
        <v>212</v>
      </c>
      <c r="D283" s="3795"/>
      <c r="E283" s="4016"/>
      <c r="F283" s="2352">
        <f>+G283*800</f>
        <v>0</v>
      </c>
      <c r="G283" s="2352">
        <f>+G175</f>
        <v>0</v>
      </c>
      <c r="H283" s="12"/>
      <c r="I283" s="1968">
        <f>IF(F283=0,0,ROUND($F283*COEF!$J$27,0))</f>
        <v>0</v>
      </c>
      <c r="J283" s="858">
        <f>IF(F283=0,0,ROUND($F283*COEF!$K$27,0))</f>
        <v>0</v>
      </c>
      <c r="K283" s="858">
        <f>IF(F283=0,0,ROUND($F283*COEF!$L$27,0))</f>
        <v>0</v>
      </c>
      <c r="L283" s="859">
        <f t="shared" ca="1" si="210"/>
        <v>0</v>
      </c>
      <c r="M283" s="859">
        <f t="shared" ca="1" si="211"/>
        <v>0</v>
      </c>
      <c r="N283" s="859">
        <f t="shared" ca="1" si="212"/>
        <v>0</v>
      </c>
      <c r="O283" s="860">
        <f t="shared" ca="1" si="62"/>
        <v>0</v>
      </c>
      <c r="P283" s="860">
        <f t="shared" ca="1" si="63"/>
        <v>0</v>
      </c>
      <c r="Q283" s="860">
        <f t="shared" ca="1" si="64"/>
        <v>0</v>
      </c>
      <c r="R283" s="1969">
        <f t="shared" ca="1" si="65"/>
        <v>0</v>
      </c>
      <c r="S283" s="675">
        <f t="shared" si="66"/>
        <v>0</v>
      </c>
      <c r="T283" s="10"/>
      <c r="U283" s="10"/>
      <c r="V283" s="10"/>
      <c r="W283" s="10"/>
      <c r="X283" s="10"/>
      <c r="Y283" s="10"/>
      <c r="Z283" s="10"/>
      <c r="AA283" s="10"/>
      <c r="AB283" s="10"/>
      <c r="AC283" s="10"/>
    </row>
    <row r="284" spans="1:44" ht="57.75" hidden="1" customHeight="1" thickBot="1" x14ac:dyDescent="0.25">
      <c r="A284" s="3955"/>
      <c r="B284" s="3957"/>
      <c r="C284" s="3794" t="s">
        <v>213</v>
      </c>
      <c r="D284" s="3795"/>
      <c r="E284" s="4016"/>
      <c r="F284" s="2352">
        <f>+F175-F283</f>
        <v>0</v>
      </c>
      <c r="G284" s="2352">
        <f>+G283</f>
        <v>0</v>
      </c>
      <c r="H284" s="12"/>
      <c r="I284" s="1968">
        <f>IF(F284=0,0,ROUND($F284*COEF!$J$27,0))</f>
        <v>0</v>
      </c>
      <c r="J284" s="858">
        <f>IF(F284=0,0,ROUND($F284*COEF!$K$27,0))</f>
        <v>0</v>
      </c>
      <c r="K284" s="858">
        <f>IF(F284=0,0,ROUND($F284*COEF!$L$27,0))</f>
        <v>0</v>
      </c>
      <c r="L284" s="859">
        <f t="shared" ca="1" si="210"/>
        <v>0</v>
      </c>
      <c r="M284" s="859">
        <f t="shared" ca="1" si="211"/>
        <v>0</v>
      </c>
      <c r="N284" s="859">
        <f t="shared" ca="1" si="212"/>
        <v>0</v>
      </c>
      <c r="O284" s="860">
        <f t="shared" ca="1" si="62"/>
        <v>0</v>
      </c>
      <c r="P284" s="860">
        <f t="shared" ca="1" si="63"/>
        <v>0</v>
      </c>
      <c r="Q284" s="860">
        <f t="shared" ca="1" si="64"/>
        <v>0</v>
      </c>
      <c r="R284" s="1969">
        <f t="shared" ca="1" si="65"/>
        <v>0</v>
      </c>
      <c r="S284" s="675">
        <f t="shared" si="66"/>
        <v>0</v>
      </c>
      <c r="T284" s="10"/>
      <c r="U284" s="10"/>
      <c r="V284" s="10"/>
      <c r="W284" s="10"/>
      <c r="X284" s="10"/>
      <c r="Y284" s="10"/>
      <c r="Z284" s="10"/>
      <c r="AA284" s="10"/>
      <c r="AB284" s="10"/>
      <c r="AC284" s="10"/>
    </row>
    <row r="285" spans="1:44" ht="41.25" hidden="1" customHeight="1" thickBot="1" x14ac:dyDescent="0.25">
      <c r="A285" s="3810" t="s">
        <v>190</v>
      </c>
      <c r="B285" s="3811"/>
      <c r="C285" s="3811"/>
      <c r="D285" s="3811"/>
      <c r="E285" s="4053"/>
      <c r="F285" s="2167">
        <f>SUM(F181:F284)</f>
        <v>0</v>
      </c>
      <c r="G285" s="2167">
        <f>SUM(G181:G284)</f>
        <v>0</v>
      </c>
      <c r="H285" s="12"/>
      <c r="I285" s="2354">
        <f t="shared" ref="I285:R285" si="223">SUM(I181:I284)</f>
        <v>0</v>
      </c>
      <c r="J285" s="2354">
        <f t="shared" si="223"/>
        <v>0</v>
      </c>
      <c r="K285" s="2354">
        <f t="shared" si="223"/>
        <v>0</v>
      </c>
      <c r="L285" s="2354">
        <f t="shared" ca="1" si="223"/>
        <v>0</v>
      </c>
      <c r="M285" s="2354">
        <f t="shared" ca="1" si="223"/>
        <v>0</v>
      </c>
      <c r="N285" s="2354">
        <f t="shared" ca="1" si="223"/>
        <v>0</v>
      </c>
      <c r="O285" s="2354">
        <f t="shared" ca="1" si="223"/>
        <v>0</v>
      </c>
      <c r="P285" s="2354">
        <f t="shared" ca="1" si="223"/>
        <v>0</v>
      </c>
      <c r="Q285" s="2354">
        <f t="shared" ca="1" si="223"/>
        <v>0</v>
      </c>
      <c r="R285" s="2354">
        <f t="shared" ca="1" si="223"/>
        <v>0</v>
      </c>
      <c r="S285" s="1964">
        <f t="shared" ref="S285:AQ285" si="224">SUM(S181:S283)</f>
        <v>0</v>
      </c>
      <c r="T285" s="1440">
        <f t="shared" si="224"/>
        <v>0</v>
      </c>
      <c r="U285" s="1440">
        <f t="shared" si="224"/>
        <v>0</v>
      </c>
      <c r="V285" s="1440">
        <f t="shared" si="224"/>
        <v>0</v>
      </c>
      <c r="W285" s="1440">
        <f t="shared" si="224"/>
        <v>0</v>
      </c>
      <c r="X285" s="1440">
        <f t="shared" si="224"/>
        <v>0</v>
      </c>
      <c r="Y285" s="851">
        <f t="shared" si="224"/>
        <v>0</v>
      </c>
      <c r="Z285" s="851">
        <f t="shared" si="224"/>
        <v>0</v>
      </c>
      <c r="AA285" s="851">
        <f t="shared" si="224"/>
        <v>0</v>
      </c>
      <c r="AB285" s="851">
        <f t="shared" si="224"/>
        <v>0</v>
      </c>
      <c r="AC285" s="851">
        <f t="shared" si="224"/>
        <v>0</v>
      </c>
      <c r="AD285" s="851">
        <f t="shared" si="224"/>
        <v>0</v>
      </c>
      <c r="AE285" s="851">
        <f t="shared" si="224"/>
        <v>0</v>
      </c>
      <c r="AF285" s="851">
        <f t="shared" si="224"/>
        <v>0</v>
      </c>
      <c r="AG285" s="851">
        <f t="shared" si="224"/>
        <v>0</v>
      </c>
      <c r="AH285" s="851">
        <f t="shared" si="224"/>
        <v>0</v>
      </c>
      <c r="AI285" s="851">
        <f t="shared" si="224"/>
        <v>0</v>
      </c>
      <c r="AJ285" s="851">
        <f t="shared" si="224"/>
        <v>0</v>
      </c>
      <c r="AK285" s="851">
        <f t="shared" si="224"/>
        <v>0</v>
      </c>
      <c r="AL285" s="851">
        <f t="shared" si="224"/>
        <v>0</v>
      </c>
      <c r="AM285" s="851">
        <f t="shared" si="224"/>
        <v>0</v>
      </c>
      <c r="AN285" s="851">
        <f t="shared" si="224"/>
        <v>0</v>
      </c>
      <c r="AO285" s="851">
        <f t="shared" si="224"/>
        <v>0</v>
      </c>
      <c r="AP285" s="851">
        <f t="shared" si="224"/>
        <v>0</v>
      </c>
      <c r="AQ285" s="851">
        <f t="shared" si="224"/>
        <v>0</v>
      </c>
      <c r="AR285" s="851"/>
    </row>
    <row r="286" spans="1:44" ht="30.75" hidden="1" customHeight="1" x14ac:dyDescent="0.35">
      <c r="B286" s="830"/>
      <c r="C286" s="800"/>
      <c r="D286" s="852"/>
      <c r="E286" s="853"/>
      <c r="F286" s="854"/>
      <c r="I286" s="1438">
        <f t="shared" ref="I286:S286" si="225">+I285-SUM(I290:I382)</f>
        <v>0</v>
      </c>
      <c r="J286" s="1438">
        <f t="shared" si="225"/>
        <v>0</v>
      </c>
      <c r="K286" s="1438">
        <f t="shared" si="225"/>
        <v>0</v>
      </c>
      <c r="L286" s="1438">
        <f t="shared" ca="1" si="225"/>
        <v>0</v>
      </c>
      <c r="M286" s="1438">
        <f t="shared" ca="1" si="225"/>
        <v>0</v>
      </c>
      <c r="N286" s="1438">
        <f t="shared" ca="1" si="225"/>
        <v>0</v>
      </c>
      <c r="O286" s="1438">
        <f t="shared" ca="1" si="225"/>
        <v>0</v>
      </c>
      <c r="P286" s="1438">
        <f t="shared" ca="1" si="225"/>
        <v>0</v>
      </c>
      <c r="Q286" s="1438">
        <f t="shared" ca="1" si="225"/>
        <v>0</v>
      </c>
      <c r="R286" s="1438">
        <f t="shared" ca="1" si="225"/>
        <v>0</v>
      </c>
      <c r="S286" s="1438" t="e">
        <f t="shared" ca="1" si="225"/>
        <v>#DIV/0!</v>
      </c>
      <c r="T286" s="10"/>
      <c r="U286" s="10"/>
      <c r="V286" s="10"/>
      <c r="W286" s="10"/>
      <c r="X286" s="10"/>
      <c r="Y286" s="10"/>
      <c r="Z286" s="10"/>
      <c r="AA286" s="10"/>
      <c r="AB286" s="10"/>
      <c r="AC286" s="10"/>
    </row>
    <row r="287" spans="1:44" ht="52.5" customHeight="1" thickBot="1" x14ac:dyDescent="0.6">
      <c r="A287" s="4084" t="s">
        <v>214</v>
      </c>
      <c r="B287" s="4085"/>
      <c r="C287" s="4085"/>
      <c r="D287" s="4085"/>
      <c r="E287" s="4085"/>
      <c r="F287" s="4085"/>
      <c r="G287" s="4086"/>
      <c r="I287" s="2646"/>
      <c r="J287" s="2646"/>
      <c r="K287" s="10"/>
      <c r="L287" s="10"/>
      <c r="M287" s="10"/>
      <c r="N287" s="10"/>
      <c r="O287" s="10"/>
      <c r="P287" s="10"/>
      <c r="Q287" s="10"/>
      <c r="R287" s="10"/>
      <c r="S287" s="10"/>
      <c r="T287" s="2647" t="s">
        <v>152</v>
      </c>
      <c r="U287" s="662"/>
      <c r="V287" s="662"/>
      <c r="W287" s="10"/>
      <c r="X287" s="10"/>
      <c r="Y287" s="10"/>
      <c r="Z287" s="10"/>
      <c r="AA287" s="10"/>
      <c r="AB287" s="10"/>
      <c r="AC287" s="10"/>
    </row>
    <row r="288" spans="1:44" ht="28.5" customHeight="1" x14ac:dyDescent="0.2">
      <c r="A288" s="4078" t="s">
        <v>160</v>
      </c>
      <c r="B288" s="4079"/>
      <c r="C288" s="4079"/>
      <c r="D288" s="4079"/>
      <c r="E288" s="4080"/>
      <c r="F288" s="4040" t="s">
        <v>191</v>
      </c>
      <c r="G288" s="4042" t="s">
        <v>101</v>
      </c>
      <c r="I288" s="4041" t="s">
        <v>192</v>
      </c>
      <c r="J288" s="3934"/>
      <c r="K288" s="3935"/>
      <c r="L288" s="3933" t="s">
        <v>193</v>
      </c>
      <c r="M288" s="3934"/>
      <c r="N288" s="3935"/>
      <c r="O288" s="3763" t="s">
        <v>194</v>
      </c>
      <c r="P288" s="3764"/>
      <c r="Q288" s="3764"/>
      <c r="R288" s="1965"/>
      <c r="S288" s="548"/>
      <c r="T288" s="10"/>
      <c r="U288" s="540" t="s">
        <v>94</v>
      </c>
      <c r="V288" s="540"/>
      <c r="W288" s="540"/>
      <c r="X288" s="10"/>
      <c r="Y288" s="10"/>
      <c r="Z288" s="10"/>
      <c r="AA288" s="10"/>
      <c r="AB288" s="10"/>
      <c r="AC288" s="10"/>
      <c r="AD288" s="10"/>
    </row>
    <row r="289" spans="1:30" ht="24" customHeight="1" thickBot="1" x14ac:dyDescent="0.25">
      <c r="A289" s="4081"/>
      <c r="B289" s="4082"/>
      <c r="C289" s="4082"/>
      <c r="D289" s="4082"/>
      <c r="E289" s="4083"/>
      <c r="F289" s="3940"/>
      <c r="G289" s="3789"/>
      <c r="I289" s="1966" t="s">
        <v>5</v>
      </c>
      <c r="J289" s="585" t="s">
        <v>6</v>
      </c>
      <c r="K289" s="585" t="s">
        <v>7</v>
      </c>
      <c r="L289" s="585" t="s">
        <v>5</v>
      </c>
      <c r="M289" s="585" t="s">
        <v>6</v>
      </c>
      <c r="N289" s="585" t="s">
        <v>7</v>
      </c>
      <c r="O289" s="585" t="s">
        <v>5</v>
      </c>
      <c r="P289" s="585" t="s">
        <v>6</v>
      </c>
      <c r="Q289" s="585" t="s">
        <v>7</v>
      </c>
      <c r="R289" s="1967" t="s">
        <v>4</v>
      </c>
      <c r="S289" s="548"/>
      <c r="T289" s="10"/>
      <c r="U289" s="540" t="s">
        <v>5</v>
      </c>
      <c r="V289" s="540" t="s">
        <v>6</v>
      </c>
      <c r="W289" s="540" t="s">
        <v>7</v>
      </c>
      <c r="X289" s="543" t="s">
        <v>215</v>
      </c>
      <c r="Y289" s="543" t="s">
        <v>216</v>
      </c>
      <c r="Z289" s="10"/>
      <c r="AA289" s="10"/>
      <c r="AB289" s="10"/>
      <c r="AC289" s="10"/>
      <c r="AD289" s="10"/>
    </row>
    <row r="290" spans="1:30" ht="54" customHeight="1" thickBot="1" x14ac:dyDescent="0.25">
      <c r="A290" s="4033" t="s">
        <v>163</v>
      </c>
      <c r="B290" s="4100" t="s">
        <v>41</v>
      </c>
      <c r="C290" s="3172">
        <v>5030</v>
      </c>
      <c r="D290" s="3758" t="s">
        <v>217</v>
      </c>
      <c r="E290" s="3758"/>
      <c r="F290" s="2421">
        <f t="shared" ref="F290:G312" si="226">+F181</f>
        <v>0</v>
      </c>
      <c r="G290" s="2421">
        <f t="shared" si="226"/>
        <v>0</v>
      </c>
      <c r="H290" s="4056" t="s">
        <v>41</v>
      </c>
      <c r="I290" s="3328">
        <f>IF(F290=0,0,ROUND($F290*COEF!$J$27,0))</f>
        <v>0</v>
      </c>
      <c r="J290" s="3329">
        <f>IF(F290=0,0,ROUND($F290*COEF!$K$27,0))</f>
        <v>0</v>
      </c>
      <c r="K290" s="3329">
        <f>IF(F290=0,0,ROUND($F290*COEF!$L$27,0))</f>
        <v>0</v>
      </c>
      <c r="L290" s="3330">
        <f t="shared" ref="L290:L321" ca="1" si="227">+ROUND(I290*I$395,0)</f>
        <v>0</v>
      </c>
      <c r="M290" s="3330">
        <f t="shared" ref="M290:M321" ca="1" si="228">+ROUND(J290*J$395,0)</f>
        <v>0</v>
      </c>
      <c r="N290" s="3330">
        <f t="shared" ref="N290:N321" ca="1" si="229">+ROUND(K290*K$395,0)</f>
        <v>0</v>
      </c>
      <c r="O290" s="860">
        <f ca="1">I290+L290</f>
        <v>0</v>
      </c>
      <c r="P290" s="860">
        <f ca="1">J290+M290</f>
        <v>0</v>
      </c>
      <c r="Q290" s="860">
        <f ca="1">K290+N290</f>
        <v>0</v>
      </c>
      <c r="R290" s="1969">
        <f t="shared" ref="R290" ca="1" si="230">SUM(O290:Q290)</f>
        <v>0</v>
      </c>
      <c r="S290" s="861" t="e">
        <f ca="1">+T290/R290</f>
        <v>#DIV/0!</v>
      </c>
      <c r="T290" s="856">
        <f ca="1">+SUM(L290:N290)</f>
        <v>0</v>
      </c>
      <c r="U290" s="711">
        <f t="shared" ref="U290:W290" ca="1" si="231">L290</f>
        <v>0</v>
      </c>
      <c r="V290" s="711">
        <f t="shared" ca="1" si="231"/>
        <v>0</v>
      </c>
      <c r="W290" s="711">
        <f t="shared" ca="1" si="231"/>
        <v>0</v>
      </c>
      <c r="X290" s="2773">
        <f t="shared" ref="X290:X357" si="232">+SUM(I290:K290)</f>
        <v>0</v>
      </c>
      <c r="Y290" s="2774">
        <f t="shared" ref="Y290:Y357" ca="1" si="233">+SUM(L290:N290)</f>
        <v>0</v>
      </c>
      <c r="Z290" s="10">
        <f t="shared" ref="Z290:Z305" si="234">IF(K290=0,0,W290/K290)</f>
        <v>0</v>
      </c>
      <c r="AA290" s="675">
        <f t="shared" ref="AA290:AA305" ca="1" si="235">R290-F290</f>
        <v>0</v>
      </c>
      <c r="AB290" s="10" t="e">
        <f t="shared" ref="AB290:AB305" ca="1" si="236">AA290/F290</f>
        <v>#DIV/0!</v>
      </c>
      <c r="AC290" s="862"/>
      <c r="AD290" s="863"/>
    </row>
    <row r="291" spans="1:30" ht="54" customHeight="1" thickBot="1" x14ac:dyDescent="0.25">
      <c r="A291" s="4034"/>
      <c r="B291" s="4101"/>
      <c r="C291" s="1954">
        <v>5040</v>
      </c>
      <c r="D291" s="3743" t="s">
        <v>218</v>
      </c>
      <c r="E291" s="3744"/>
      <c r="F291" s="2421">
        <f t="shared" si="226"/>
        <v>0</v>
      </c>
      <c r="G291" s="2421">
        <f t="shared" si="226"/>
        <v>0</v>
      </c>
      <c r="H291" s="4057"/>
      <c r="I291" s="3328">
        <f>IF(F291=0,0,ROUND($F291*COEF!$J$27,0))</f>
        <v>0</v>
      </c>
      <c r="J291" s="3329">
        <f>IF(F291=0,0,ROUND($F291*COEF!$K$27,0))</f>
        <v>0</v>
      </c>
      <c r="K291" s="3329">
        <f>IF(F291=0,0,ROUND($F291*COEF!$L$27,0))</f>
        <v>0</v>
      </c>
      <c r="L291" s="3330">
        <f t="shared" ca="1" si="227"/>
        <v>0</v>
      </c>
      <c r="M291" s="3330">
        <f t="shared" ca="1" si="228"/>
        <v>0</v>
      </c>
      <c r="N291" s="3330">
        <f t="shared" ca="1" si="229"/>
        <v>0</v>
      </c>
      <c r="O291" s="860">
        <f t="shared" ref="O291:O380" ca="1" si="237">I291+L291</f>
        <v>0</v>
      </c>
      <c r="P291" s="860">
        <f t="shared" ref="P291:P381" ca="1" si="238">J291+M291</f>
        <v>0</v>
      </c>
      <c r="Q291" s="860">
        <f t="shared" ref="Q291:Q381" ca="1" si="239">K291+N291</f>
        <v>0</v>
      </c>
      <c r="R291" s="1969">
        <f t="shared" ref="R291:R381" ca="1" si="240">SUM(O291:Q291)</f>
        <v>0</v>
      </c>
      <c r="S291" s="866"/>
      <c r="T291" s="856">
        <f t="shared" ref="T291:T358" ca="1" si="241">+SUM(L291:N291)</f>
        <v>0</v>
      </c>
      <c r="U291" s="711">
        <f t="shared" ref="U291:U358" ca="1" si="242">L291</f>
        <v>0</v>
      </c>
      <c r="V291" s="711">
        <f t="shared" ref="V291:V358" ca="1" si="243">M291</f>
        <v>0</v>
      </c>
      <c r="W291" s="711">
        <f t="shared" ref="W291:W358" ca="1" si="244">N291</f>
        <v>0</v>
      </c>
      <c r="X291" s="2773">
        <f t="shared" si="232"/>
        <v>0</v>
      </c>
      <c r="Y291" s="2774">
        <f t="shared" ca="1" si="233"/>
        <v>0</v>
      </c>
      <c r="Z291" s="10">
        <f t="shared" si="234"/>
        <v>0</v>
      </c>
      <c r="AA291" s="675">
        <f t="shared" ca="1" si="235"/>
        <v>0</v>
      </c>
      <c r="AB291" s="10" t="e">
        <f t="shared" ca="1" si="236"/>
        <v>#DIV/0!</v>
      </c>
      <c r="AC291" s="867"/>
      <c r="AD291" s="868"/>
    </row>
    <row r="292" spans="1:30" ht="54" customHeight="1" thickBot="1" x14ac:dyDescent="0.25">
      <c r="A292" s="4034"/>
      <c r="B292" s="4101"/>
      <c r="C292" s="1955">
        <v>5050</v>
      </c>
      <c r="D292" s="3742" t="s">
        <v>219</v>
      </c>
      <c r="E292" s="3742"/>
      <c r="F292" s="2421">
        <f t="shared" si="226"/>
        <v>0</v>
      </c>
      <c r="G292" s="2421">
        <f t="shared" si="226"/>
        <v>0</v>
      </c>
      <c r="H292" s="4057"/>
      <c r="I292" s="3328">
        <f>IF(F292=0,0,ROUND($F292*COEF!$J$27,0))</f>
        <v>0</v>
      </c>
      <c r="J292" s="3329">
        <f>IF(F292=0,0,ROUND($F292*COEF!$K$27,0))</f>
        <v>0</v>
      </c>
      <c r="K292" s="3329">
        <f>IF(F292=0,0,ROUND($F292*COEF!$L$27,0))</f>
        <v>0</v>
      </c>
      <c r="L292" s="3330">
        <f t="shared" ca="1" si="227"/>
        <v>0</v>
      </c>
      <c r="M292" s="3330">
        <f t="shared" ca="1" si="228"/>
        <v>0</v>
      </c>
      <c r="N292" s="3330">
        <f t="shared" ca="1" si="229"/>
        <v>0</v>
      </c>
      <c r="O292" s="860">
        <f t="shared" ca="1" si="237"/>
        <v>0</v>
      </c>
      <c r="P292" s="860">
        <f t="shared" ref="P292" ca="1" si="245">J292+M292</f>
        <v>0</v>
      </c>
      <c r="Q292" s="860">
        <f t="shared" ref="Q292" ca="1" si="246">K292+N292</f>
        <v>0</v>
      </c>
      <c r="R292" s="1969">
        <f t="shared" ref="R292" ca="1" si="247">SUM(O292:Q292)</f>
        <v>0</v>
      </c>
      <c r="S292" s="866"/>
      <c r="T292" s="856">
        <f t="shared" ca="1" si="241"/>
        <v>0</v>
      </c>
      <c r="U292" s="711">
        <f t="shared" ca="1" si="242"/>
        <v>0</v>
      </c>
      <c r="V292" s="711">
        <f t="shared" ca="1" si="243"/>
        <v>0</v>
      </c>
      <c r="W292" s="711">
        <f t="shared" ca="1" si="244"/>
        <v>0</v>
      </c>
      <c r="X292" s="2773">
        <f t="shared" si="232"/>
        <v>0</v>
      </c>
      <c r="Y292" s="2774">
        <f t="shared" ca="1" si="233"/>
        <v>0</v>
      </c>
      <c r="Z292" s="10"/>
      <c r="AA292" s="675"/>
      <c r="AB292" s="10"/>
      <c r="AC292" s="1720"/>
      <c r="AD292" s="868"/>
    </row>
    <row r="293" spans="1:30" ht="54" customHeight="1" thickBot="1" x14ac:dyDescent="0.25">
      <c r="A293" s="4034"/>
      <c r="B293" s="4101"/>
      <c r="C293" s="1721">
        <v>5501</v>
      </c>
      <c r="D293" s="3751" t="s">
        <v>1231</v>
      </c>
      <c r="E293" s="1721" t="s">
        <v>46</v>
      </c>
      <c r="F293" s="2421">
        <f t="shared" si="226"/>
        <v>0</v>
      </c>
      <c r="G293" s="2421">
        <f t="shared" si="226"/>
        <v>0</v>
      </c>
      <c r="H293" s="4057"/>
      <c r="I293" s="3328">
        <f>IF(F293=0,0,ROUND($F293*COEF!$J$27,0))</f>
        <v>0</v>
      </c>
      <c r="J293" s="3329">
        <f>IF(F293=0,0,ROUND($F293*COEF!$K$27,0))</f>
        <v>0</v>
      </c>
      <c r="K293" s="3329">
        <f>IF(F293=0,0,ROUND($F293*COEF!$L$27,0))</f>
        <v>0</v>
      </c>
      <c r="L293" s="3330">
        <f t="shared" ca="1" si="227"/>
        <v>0</v>
      </c>
      <c r="M293" s="3330">
        <f t="shared" ca="1" si="228"/>
        <v>0</v>
      </c>
      <c r="N293" s="3330">
        <f t="shared" ca="1" si="229"/>
        <v>0</v>
      </c>
      <c r="O293" s="860">
        <f t="shared" ca="1" si="237"/>
        <v>0</v>
      </c>
      <c r="P293" s="860">
        <f t="shared" ca="1" si="238"/>
        <v>0</v>
      </c>
      <c r="Q293" s="860">
        <f t="shared" ca="1" si="239"/>
        <v>0</v>
      </c>
      <c r="R293" s="1969">
        <f t="shared" ca="1" si="240"/>
        <v>0</v>
      </c>
      <c r="S293" s="866"/>
      <c r="T293" s="856">
        <f t="shared" ca="1" si="241"/>
        <v>0</v>
      </c>
      <c r="U293" s="711">
        <f t="shared" ca="1" si="242"/>
        <v>0</v>
      </c>
      <c r="V293" s="711">
        <f t="shared" ca="1" si="243"/>
        <v>0</v>
      </c>
      <c r="W293" s="711">
        <f t="shared" ca="1" si="244"/>
        <v>0</v>
      </c>
      <c r="X293" s="2773">
        <f t="shared" si="232"/>
        <v>0</v>
      </c>
      <c r="Y293" s="2774">
        <f t="shared" ca="1" si="233"/>
        <v>0</v>
      </c>
      <c r="Z293" s="10"/>
      <c r="AA293" s="675"/>
      <c r="AB293" s="10"/>
      <c r="AC293" s="1720"/>
      <c r="AD293" s="868"/>
    </row>
    <row r="294" spans="1:30" ht="54" customHeight="1" thickBot="1" x14ac:dyDescent="0.25">
      <c r="A294" s="4034"/>
      <c r="B294" s="4101"/>
      <c r="C294" s="1721">
        <v>5502</v>
      </c>
      <c r="D294" s="3746"/>
      <c r="E294" s="1721" t="s">
        <v>47</v>
      </c>
      <c r="F294" s="2421">
        <f t="shared" si="226"/>
        <v>0</v>
      </c>
      <c r="G294" s="2421">
        <f t="shared" si="226"/>
        <v>0</v>
      </c>
      <c r="H294" s="4057"/>
      <c r="I294" s="3328">
        <f>IF(F294=0,0,ROUND($F294*COEF!$J$27,0))</f>
        <v>0</v>
      </c>
      <c r="J294" s="3329">
        <f>IF(F294=0,0,ROUND($F294*COEF!$K$27,0))</f>
        <v>0</v>
      </c>
      <c r="K294" s="3329">
        <f>IF(F294=0,0,ROUND($F294*COEF!$L$27,0))</f>
        <v>0</v>
      </c>
      <c r="L294" s="3330">
        <f t="shared" ca="1" si="227"/>
        <v>0</v>
      </c>
      <c r="M294" s="3330">
        <f t="shared" ca="1" si="228"/>
        <v>0</v>
      </c>
      <c r="N294" s="3330">
        <f t="shared" ca="1" si="229"/>
        <v>0</v>
      </c>
      <c r="O294" s="860">
        <f t="shared" ca="1" si="237"/>
        <v>0</v>
      </c>
      <c r="P294" s="860">
        <f t="shared" ref="P294" ca="1" si="248">J294+M294</f>
        <v>0</v>
      </c>
      <c r="Q294" s="860">
        <f t="shared" ref="Q294" ca="1" si="249">K294+N294</f>
        <v>0</v>
      </c>
      <c r="R294" s="1969">
        <f t="shared" ref="R294" ca="1" si="250">SUM(O294:Q294)</f>
        <v>0</v>
      </c>
      <c r="S294" s="866"/>
      <c r="T294" s="856">
        <f t="shared" ca="1" si="241"/>
        <v>0</v>
      </c>
      <c r="U294" s="711">
        <f t="shared" ca="1" si="242"/>
        <v>0</v>
      </c>
      <c r="V294" s="711">
        <f t="shared" ca="1" si="243"/>
        <v>0</v>
      </c>
      <c r="W294" s="711">
        <f t="shared" ca="1" si="244"/>
        <v>0</v>
      </c>
      <c r="X294" s="2773">
        <f t="shared" si="232"/>
        <v>0</v>
      </c>
      <c r="Y294" s="2774">
        <f t="shared" ca="1" si="233"/>
        <v>0</v>
      </c>
      <c r="Z294" s="10"/>
      <c r="AA294" s="675"/>
      <c r="AB294" s="10"/>
      <c r="AC294" s="1720"/>
      <c r="AD294" s="868"/>
    </row>
    <row r="295" spans="1:30" ht="54" customHeight="1" thickBot="1" x14ac:dyDescent="0.25">
      <c r="A295" s="4034"/>
      <c r="B295" s="4101"/>
      <c r="C295" s="1949">
        <v>5551</v>
      </c>
      <c r="D295" s="3746"/>
      <c r="E295" s="1949" t="s">
        <v>169</v>
      </c>
      <c r="F295" s="2421">
        <f t="shared" si="226"/>
        <v>0</v>
      </c>
      <c r="G295" s="2421">
        <f t="shared" si="226"/>
        <v>0</v>
      </c>
      <c r="H295" s="4057"/>
      <c r="I295" s="3328">
        <f>IF(F295=0,0,ROUND($F295*COEF!$J$27,0))</f>
        <v>0</v>
      </c>
      <c r="J295" s="3329">
        <f>IF(F295=0,0,ROUND($F295*COEF!$K$27,0))</f>
        <v>0</v>
      </c>
      <c r="K295" s="3329">
        <f>IF(F295=0,0,ROUND($F295*COEF!$L$27,0))</f>
        <v>0</v>
      </c>
      <c r="L295" s="3330">
        <f t="shared" ca="1" si="227"/>
        <v>0</v>
      </c>
      <c r="M295" s="3330">
        <f t="shared" ca="1" si="228"/>
        <v>0</v>
      </c>
      <c r="N295" s="3330">
        <f t="shared" ca="1" si="229"/>
        <v>0</v>
      </c>
      <c r="O295" s="860">
        <f t="shared" ca="1" si="237"/>
        <v>0</v>
      </c>
      <c r="P295" s="860">
        <f t="shared" ca="1" si="238"/>
        <v>0</v>
      </c>
      <c r="Q295" s="860">
        <f t="shared" ca="1" si="239"/>
        <v>0</v>
      </c>
      <c r="R295" s="1969">
        <f t="shared" ca="1" si="240"/>
        <v>0</v>
      </c>
      <c r="S295" s="866"/>
      <c r="T295" s="856">
        <f t="shared" ca="1" si="241"/>
        <v>0</v>
      </c>
      <c r="U295" s="711">
        <f t="shared" ca="1" si="242"/>
        <v>0</v>
      </c>
      <c r="V295" s="711">
        <f t="shared" ca="1" si="243"/>
        <v>0</v>
      </c>
      <c r="W295" s="711">
        <f t="shared" ca="1" si="244"/>
        <v>0</v>
      </c>
      <c r="X295" s="2773">
        <f t="shared" si="232"/>
        <v>0</v>
      </c>
      <c r="Y295" s="2774">
        <f t="shared" ca="1" si="233"/>
        <v>0</v>
      </c>
      <c r="Z295" s="10">
        <f t="shared" si="234"/>
        <v>0</v>
      </c>
      <c r="AA295" s="675">
        <f t="shared" ca="1" si="235"/>
        <v>0</v>
      </c>
      <c r="AB295" s="10" t="e">
        <f t="shared" ca="1" si="236"/>
        <v>#DIV/0!</v>
      </c>
      <c r="AC295" s="869"/>
      <c r="AD295" s="870"/>
    </row>
    <row r="296" spans="1:30" ht="54" customHeight="1" thickBot="1" x14ac:dyDescent="0.25">
      <c r="A296" s="4034"/>
      <c r="B296" s="4101"/>
      <c r="C296" s="3173">
        <v>5552</v>
      </c>
      <c r="D296" s="3747"/>
      <c r="E296" s="3173" t="s">
        <v>49</v>
      </c>
      <c r="F296" s="3174">
        <f t="shared" si="226"/>
        <v>0</v>
      </c>
      <c r="G296" s="3174">
        <f t="shared" si="226"/>
        <v>0</v>
      </c>
      <c r="H296" s="4057"/>
      <c r="I296" s="3328">
        <f>IF(F296=0,0,ROUND($F296*COEF!$J$27,0))</f>
        <v>0</v>
      </c>
      <c r="J296" s="3329">
        <f>IF(F296=0,0,ROUND($F296*COEF!$K$27,0))</f>
        <v>0</v>
      </c>
      <c r="K296" s="3329">
        <f>IF(F296=0,0,ROUND($F296*COEF!$L$27,0))</f>
        <v>0</v>
      </c>
      <c r="L296" s="3330">
        <f t="shared" ca="1" si="227"/>
        <v>0</v>
      </c>
      <c r="M296" s="3330">
        <f t="shared" ca="1" si="228"/>
        <v>0</v>
      </c>
      <c r="N296" s="3330">
        <f t="shared" ca="1" si="229"/>
        <v>0</v>
      </c>
      <c r="O296" s="860">
        <f t="shared" ca="1" si="237"/>
        <v>0</v>
      </c>
      <c r="P296" s="860">
        <f t="shared" ca="1" si="238"/>
        <v>0</v>
      </c>
      <c r="Q296" s="860">
        <f t="shared" ca="1" si="239"/>
        <v>0</v>
      </c>
      <c r="R296" s="1969">
        <f t="shared" ca="1" si="240"/>
        <v>0</v>
      </c>
      <c r="S296" s="866"/>
      <c r="T296" s="856">
        <f t="shared" ca="1" si="241"/>
        <v>0</v>
      </c>
      <c r="U296" s="711">
        <f t="shared" ca="1" si="242"/>
        <v>0</v>
      </c>
      <c r="V296" s="711">
        <f t="shared" ca="1" si="243"/>
        <v>0</v>
      </c>
      <c r="W296" s="711">
        <f t="shared" ca="1" si="244"/>
        <v>0</v>
      </c>
      <c r="X296" s="2773">
        <f t="shared" si="232"/>
        <v>0</v>
      </c>
      <c r="Y296" s="2774">
        <f t="shared" ca="1" si="233"/>
        <v>0</v>
      </c>
      <c r="Z296" s="10">
        <f t="shared" ref="Z296" si="251">IF(K296=0,0,W296/K296)</f>
        <v>0</v>
      </c>
      <c r="AA296" s="675">
        <f t="shared" ca="1" si="235"/>
        <v>0</v>
      </c>
      <c r="AB296" s="10" t="e">
        <f t="shared" ca="1" si="236"/>
        <v>#DIV/0!</v>
      </c>
      <c r="AC296" s="871"/>
      <c r="AD296" s="870"/>
    </row>
    <row r="297" spans="1:30" ht="54" customHeight="1" thickBot="1" x14ac:dyDescent="0.25">
      <c r="A297" s="4034"/>
      <c r="B297" s="4101"/>
      <c r="C297" s="1721">
        <v>5570</v>
      </c>
      <c r="D297" s="3751" t="s">
        <v>1232</v>
      </c>
      <c r="E297" s="1721" t="s">
        <v>46</v>
      </c>
      <c r="F297" s="3174">
        <f t="shared" si="226"/>
        <v>0</v>
      </c>
      <c r="G297" s="3174">
        <f t="shared" si="226"/>
        <v>0</v>
      </c>
      <c r="H297" s="4057"/>
      <c r="I297" s="3328">
        <f>IF(F297=0,0,ROUND($F297*COEF!$J$27,0))</f>
        <v>0</v>
      </c>
      <c r="J297" s="3329">
        <f>IF(F297=0,0,ROUND($F297*COEF!$K$27,0))</f>
        <v>0</v>
      </c>
      <c r="K297" s="3329">
        <f>IF(F297=0,0,ROUND($F297*COEF!$L$27,0))</f>
        <v>0</v>
      </c>
      <c r="L297" s="3330">
        <f t="shared" ca="1" si="227"/>
        <v>0</v>
      </c>
      <c r="M297" s="3330">
        <f t="shared" ca="1" si="228"/>
        <v>0</v>
      </c>
      <c r="N297" s="3330">
        <f t="shared" ca="1" si="229"/>
        <v>0</v>
      </c>
      <c r="O297" s="860">
        <f t="shared" ref="O297:O304" ca="1" si="252">I297+L297</f>
        <v>0</v>
      </c>
      <c r="P297" s="860">
        <f t="shared" ref="P297:P304" ca="1" si="253">J297+M297</f>
        <v>0</v>
      </c>
      <c r="Q297" s="860">
        <f t="shared" ref="Q297:Q304" ca="1" si="254">K297+N297</f>
        <v>0</v>
      </c>
      <c r="R297" s="1969">
        <f t="shared" ref="R297:R304" ca="1" si="255">SUM(O297:Q297)</f>
        <v>0</v>
      </c>
      <c r="S297" s="866"/>
      <c r="T297" s="856">
        <f t="shared" ca="1" si="241"/>
        <v>0</v>
      </c>
      <c r="U297" s="711">
        <f t="shared" ca="1" si="242"/>
        <v>0</v>
      </c>
      <c r="V297" s="711">
        <f t="shared" ca="1" si="243"/>
        <v>0</v>
      </c>
      <c r="W297" s="711">
        <f t="shared" ca="1" si="244"/>
        <v>0</v>
      </c>
      <c r="X297" s="2773">
        <f t="shared" si="232"/>
        <v>0</v>
      </c>
      <c r="Y297" s="2774">
        <f t="shared" ca="1" si="233"/>
        <v>0</v>
      </c>
      <c r="Z297" s="10"/>
      <c r="AA297" s="675"/>
      <c r="AB297" s="10"/>
      <c r="AC297" s="871"/>
      <c r="AD297" s="870"/>
    </row>
    <row r="298" spans="1:30" ht="54" customHeight="1" thickBot="1" x14ac:dyDescent="0.25">
      <c r="A298" s="4034"/>
      <c r="B298" s="4101"/>
      <c r="C298" s="1721">
        <v>5571</v>
      </c>
      <c r="D298" s="3746"/>
      <c r="E298" s="1721" t="s">
        <v>47</v>
      </c>
      <c r="F298" s="3174">
        <f t="shared" si="226"/>
        <v>0</v>
      </c>
      <c r="G298" s="3174">
        <f t="shared" si="226"/>
        <v>0</v>
      </c>
      <c r="H298" s="4057"/>
      <c r="I298" s="3328">
        <f>IF(F298=0,0,ROUND($F298*COEF!$J$27,0))</f>
        <v>0</v>
      </c>
      <c r="J298" s="3329">
        <f>IF(F298=0,0,ROUND($F298*COEF!$K$27,0))</f>
        <v>0</v>
      </c>
      <c r="K298" s="3329">
        <f>IF(F298=0,0,ROUND($F298*COEF!$L$27,0))</f>
        <v>0</v>
      </c>
      <c r="L298" s="3330">
        <f t="shared" ca="1" si="227"/>
        <v>0</v>
      </c>
      <c r="M298" s="3330">
        <f t="shared" ca="1" si="228"/>
        <v>0</v>
      </c>
      <c r="N298" s="3330">
        <f t="shared" ca="1" si="229"/>
        <v>0</v>
      </c>
      <c r="O298" s="860">
        <f t="shared" ca="1" si="252"/>
        <v>0</v>
      </c>
      <c r="P298" s="860">
        <f t="shared" ca="1" si="253"/>
        <v>0</v>
      </c>
      <c r="Q298" s="860">
        <f t="shared" ca="1" si="254"/>
        <v>0</v>
      </c>
      <c r="R298" s="1969">
        <f t="shared" ca="1" si="255"/>
        <v>0</v>
      </c>
      <c r="S298" s="866"/>
      <c r="T298" s="856">
        <f t="shared" ca="1" si="241"/>
        <v>0</v>
      </c>
      <c r="U298" s="711">
        <f t="shared" ca="1" si="242"/>
        <v>0</v>
      </c>
      <c r="V298" s="711">
        <f t="shared" ca="1" si="243"/>
        <v>0</v>
      </c>
      <c r="W298" s="711">
        <f t="shared" ca="1" si="244"/>
        <v>0</v>
      </c>
      <c r="X298" s="2773">
        <f t="shared" si="232"/>
        <v>0</v>
      </c>
      <c r="Y298" s="2774">
        <f t="shared" ca="1" si="233"/>
        <v>0</v>
      </c>
      <c r="Z298" s="10"/>
      <c r="AA298" s="675"/>
      <c r="AB298" s="10"/>
      <c r="AC298" s="871"/>
      <c r="AD298" s="870"/>
    </row>
    <row r="299" spans="1:30" ht="54" customHeight="1" thickBot="1" x14ac:dyDescent="0.25">
      <c r="A299" s="4034"/>
      <c r="B299" s="4101"/>
      <c r="C299" s="1949">
        <v>5580</v>
      </c>
      <c r="D299" s="3746"/>
      <c r="E299" s="1949" t="s">
        <v>169</v>
      </c>
      <c r="F299" s="3174">
        <f t="shared" si="226"/>
        <v>0</v>
      </c>
      <c r="G299" s="3174">
        <f t="shared" si="226"/>
        <v>0</v>
      </c>
      <c r="H299" s="4057"/>
      <c r="I299" s="3328">
        <f>IF(F299=0,0,ROUND($F299*COEF!$J$27,0))</f>
        <v>0</v>
      </c>
      <c r="J299" s="3329">
        <f>IF(F299=0,0,ROUND($F299*COEF!$K$27,0))</f>
        <v>0</v>
      </c>
      <c r="K299" s="3329">
        <f>IF(F299=0,0,ROUND($F299*COEF!$L$27,0))</f>
        <v>0</v>
      </c>
      <c r="L299" s="3330">
        <f t="shared" ca="1" si="227"/>
        <v>0</v>
      </c>
      <c r="M299" s="3330">
        <f t="shared" ca="1" si="228"/>
        <v>0</v>
      </c>
      <c r="N299" s="3330">
        <f t="shared" ca="1" si="229"/>
        <v>0</v>
      </c>
      <c r="O299" s="860">
        <f t="shared" ca="1" si="252"/>
        <v>0</v>
      </c>
      <c r="P299" s="860">
        <f t="shared" ca="1" si="253"/>
        <v>0</v>
      </c>
      <c r="Q299" s="860">
        <f t="shared" ca="1" si="254"/>
        <v>0</v>
      </c>
      <c r="R299" s="1969">
        <f t="shared" ca="1" si="255"/>
        <v>0</v>
      </c>
      <c r="S299" s="866"/>
      <c r="T299" s="856">
        <f t="shared" ca="1" si="241"/>
        <v>0</v>
      </c>
      <c r="U299" s="711">
        <f t="shared" ca="1" si="242"/>
        <v>0</v>
      </c>
      <c r="V299" s="711">
        <f t="shared" ca="1" si="243"/>
        <v>0</v>
      </c>
      <c r="W299" s="711">
        <f t="shared" ca="1" si="244"/>
        <v>0</v>
      </c>
      <c r="X299" s="2773">
        <f t="shared" si="232"/>
        <v>0</v>
      </c>
      <c r="Y299" s="2774">
        <f t="shared" ca="1" si="233"/>
        <v>0</v>
      </c>
      <c r="Z299" s="10"/>
      <c r="AA299" s="675"/>
      <c r="AB299" s="10"/>
      <c r="AC299" s="871"/>
      <c r="AD299" s="870"/>
    </row>
    <row r="300" spans="1:30" ht="54" customHeight="1" thickBot="1" x14ac:dyDescent="0.25">
      <c r="A300" s="4034"/>
      <c r="B300" s="4101"/>
      <c r="C300" s="3173">
        <v>5581</v>
      </c>
      <c r="D300" s="3747"/>
      <c r="E300" s="3173" t="s">
        <v>49</v>
      </c>
      <c r="F300" s="3174">
        <f t="shared" si="226"/>
        <v>0</v>
      </c>
      <c r="G300" s="3174">
        <f t="shared" si="226"/>
        <v>0</v>
      </c>
      <c r="H300" s="4057"/>
      <c r="I300" s="3328">
        <f>IF(F300=0,0,ROUND($F300*COEF!$J$27,0))</f>
        <v>0</v>
      </c>
      <c r="J300" s="3329">
        <f>IF(F300=0,0,ROUND($F300*COEF!$K$27,0))</f>
        <v>0</v>
      </c>
      <c r="K300" s="3329">
        <f>IF(F300=0,0,ROUND($F300*COEF!$L$27,0))</f>
        <v>0</v>
      </c>
      <c r="L300" s="3330">
        <f t="shared" ca="1" si="227"/>
        <v>0</v>
      </c>
      <c r="M300" s="3330">
        <f t="shared" ca="1" si="228"/>
        <v>0</v>
      </c>
      <c r="N300" s="3330">
        <f t="shared" ca="1" si="229"/>
        <v>0</v>
      </c>
      <c r="O300" s="860">
        <f t="shared" ca="1" si="252"/>
        <v>0</v>
      </c>
      <c r="P300" s="860">
        <f t="shared" ca="1" si="253"/>
        <v>0</v>
      </c>
      <c r="Q300" s="860">
        <f t="shared" ca="1" si="254"/>
        <v>0</v>
      </c>
      <c r="R300" s="1969">
        <f t="shared" ca="1" si="255"/>
        <v>0</v>
      </c>
      <c r="S300" s="866"/>
      <c r="T300" s="856">
        <f t="shared" ca="1" si="241"/>
        <v>0</v>
      </c>
      <c r="U300" s="711">
        <f t="shared" ca="1" si="242"/>
        <v>0</v>
      </c>
      <c r="V300" s="711">
        <f t="shared" ca="1" si="243"/>
        <v>0</v>
      </c>
      <c r="W300" s="711">
        <f t="shared" ca="1" si="244"/>
        <v>0</v>
      </c>
      <c r="X300" s="2773">
        <f t="shared" si="232"/>
        <v>0</v>
      </c>
      <c r="Y300" s="2774">
        <f t="shared" ca="1" si="233"/>
        <v>0</v>
      </c>
      <c r="Z300" s="10"/>
      <c r="AA300" s="675"/>
      <c r="AB300" s="10"/>
      <c r="AC300" s="871"/>
      <c r="AD300" s="870"/>
    </row>
    <row r="301" spans="1:30" ht="54" customHeight="1" thickBot="1" x14ac:dyDescent="0.25">
      <c r="A301" s="4034"/>
      <c r="B301" s="4101"/>
      <c r="C301" s="1721">
        <v>5590</v>
      </c>
      <c r="D301" s="3751" t="s">
        <v>1233</v>
      </c>
      <c r="E301" s="1721" t="s">
        <v>46</v>
      </c>
      <c r="F301" s="3174">
        <f t="shared" si="226"/>
        <v>0</v>
      </c>
      <c r="G301" s="3174">
        <f t="shared" si="226"/>
        <v>0</v>
      </c>
      <c r="H301" s="4057"/>
      <c r="I301" s="3328">
        <f>IF(F301=0,0,ROUND($F301*COEF!$J$27,0))</f>
        <v>0</v>
      </c>
      <c r="J301" s="3329">
        <f>IF(F301=0,0,ROUND($F301*COEF!$K$27,0))</f>
        <v>0</v>
      </c>
      <c r="K301" s="3329">
        <f>IF(F301=0,0,ROUND($F301*COEF!$L$27,0))</f>
        <v>0</v>
      </c>
      <c r="L301" s="3330">
        <f t="shared" ca="1" si="227"/>
        <v>0</v>
      </c>
      <c r="M301" s="3330">
        <f t="shared" ca="1" si="228"/>
        <v>0</v>
      </c>
      <c r="N301" s="3330">
        <f t="shared" ca="1" si="229"/>
        <v>0</v>
      </c>
      <c r="O301" s="860">
        <f t="shared" ca="1" si="252"/>
        <v>0</v>
      </c>
      <c r="P301" s="860">
        <f t="shared" ca="1" si="253"/>
        <v>0</v>
      </c>
      <c r="Q301" s="860">
        <f t="shared" ca="1" si="254"/>
        <v>0</v>
      </c>
      <c r="R301" s="1969">
        <f t="shared" ca="1" si="255"/>
        <v>0</v>
      </c>
      <c r="S301" s="866"/>
      <c r="T301" s="856">
        <f t="shared" ca="1" si="241"/>
        <v>0</v>
      </c>
      <c r="U301" s="711">
        <f t="shared" ca="1" si="242"/>
        <v>0</v>
      </c>
      <c r="V301" s="711">
        <f t="shared" ca="1" si="243"/>
        <v>0</v>
      </c>
      <c r="W301" s="711">
        <f t="shared" ca="1" si="244"/>
        <v>0</v>
      </c>
      <c r="X301" s="2773">
        <f t="shared" si="232"/>
        <v>0</v>
      </c>
      <c r="Y301" s="2774">
        <f t="shared" ca="1" si="233"/>
        <v>0</v>
      </c>
      <c r="Z301" s="10"/>
      <c r="AA301" s="675"/>
      <c r="AB301" s="10"/>
      <c r="AC301" s="871"/>
      <c r="AD301" s="870"/>
    </row>
    <row r="302" spans="1:30" ht="54" customHeight="1" thickBot="1" x14ac:dyDescent="0.25">
      <c r="A302" s="4034"/>
      <c r="B302" s="4101"/>
      <c r="C302" s="1721">
        <v>5591</v>
      </c>
      <c r="D302" s="3746"/>
      <c r="E302" s="1721" t="s">
        <v>47</v>
      </c>
      <c r="F302" s="3174">
        <f t="shared" si="226"/>
        <v>0</v>
      </c>
      <c r="G302" s="3174">
        <f t="shared" si="226"/>
        <v>0</v>
      </c>
      <c r="H302" s="4057"/>
      <c r="I302" s="3328">
        <f>IF(F302=0,0,ROUND($F302*COEF!$J$27,0))</f>
        <v>0</v>
      </c>
      <c r="J302" s="3329">
        <f>IF(F302=0,0,ROUND($F302*COEF!$K$27,0))</f>
        <v>0</v>
      </c>
      <c r="K302" s="3329">
        <f>IF(F302=0,0,ROUND($F302*COEF!$L$27,0))</f>
        <v>0</v>
      </c>
      <c r="L302" s="3330">
        <f t="shared" ca="1" si="227"/>
        <v>0</v>
      </c>
      <c r="M302" s="3330">
        <f t="shared" ca="1" si="228"/>
        <v>0</v>
      </c>
      <c r="N302" s="3330">
        <f t="shared" ca="1" si="229"/>
        <v>0</v>
      </c>
      <c r="O302" s="860">
        <f t="shared" ca="1" si="252"/>
        <v>0</v>
      </c>
      <c r="P302" s="860">
        <f t="shared" ca="1" si="253"/>
        <v>0</v>
      </c>
      <c r="Q302" s="860">
        <f t="shared" ca="1" si="254"/>
        <v>0</v>
      </c>
      <c r="R302" s="1969">
        <f t="shared" ca="1" si="255"/>
        <v>0</v>
      </c>
      <c r="S302" s="866"/>
      <c r="T302" s="856">
        <f t="shared" ca="1" si="241"/>
        <v>0</v>
      </c>
      <c r="U302" s="711">
        <f t="shared" ca="1" si="242"/>
        <v>0</v>
      </c>
      <c r="V302" s="711">
        <f t="shared" ca="1" si="243"/>
        <v>0</v>
      </c>
      <c r="W302" s="711">
        <f t="shared" ca="1" si="244"/>
        <v>0</v>
      </c>
      <c r="X302" s="2773">
        <f t="shared" si="232"/>
        <v>0</v>
      </c>
      <c r="Y302" s="2774">
        <f t="shared" ca="1" si="233"/>
        <v>0</v>
      </c>
      <c r="Z302" s="10"/>
      <c r="AA302" s="675"/>
      <c r="AB302" s="10"/>
      <c r="AC302" s="871"/>
      <c r="AD302" s="870"/>
    </row>
    <row r="303" spans="1:30" ht="54" customHeight="1" thickBot="1" x14ac:dyDescent="0.25">
      <c r="A303" s="4034"/>
      <c r="B303" s="4101"/>
      <c r="C303" s="1949">
        <v>5600</v>
      </c>
      <c r="D303" s="3746"/>
      <c r="E303" s="1949" t="s">
        <v>169</v>
      </c>
      <c r="F303" s="3174">
        <f t="shared" si="226"/>
        <v>0</v>
      </c>
      <c r="G303" s="3174">
        <f t="shared" si="226"/>
        <v>0</v>
      </c>
      <c r="H303" s="4057"/>
      <c r="I303" s="3328">
        <f>IF(F303=0,0,ROUND($F303*COEF!$J$27,0))</f>
        <v>0</v>
      </c>
      <c r="J303" s="3329">
        <f>IF(F303=0,0,ROUND($F303*COEF!$K$27,0))</f>
        <v>0</v>
      </c>
      <c r="K303" s="3329">
        <f>IF(F303=0,0,ROUND($F303*COEF!$L$27,0))</f>
        <v>0</v>
      </c>
      <c r="L303" s="3330">
        <f t="shared" ca="1" si="227"/>
        <v>0</v>
      </c>
      <c r="M303" s="3330">
        <f t="shared" ca="1" si="228"/>
        <v>0</v>
      </c>
      <c r="N303" s="3330">
        <f t="shared" ca="1" si="229"/>
        <v>0</v>
      </c>
      <c r="O303" s="860">
        <f t="shared" ca="1" si="252"/>
        <v>0</v>
      </c>
      <c r="P303" s="860">
        <f t="shared" ca="1" si="253"/>
        <v>0</v>
      </c>
      <c r="Q303" s="860">
        <f t="shared" ca="1" si="254"/>
        <v>0</v>
      </c>
      <c r="R303" s="1969">
        <f t="shared" ca="1" si="255"/>
        <v>0</v>
      </c>
      <c r="S303" s="866"/>
      <c r="T303" s="856">
        <f t="shared" ca="1" si="241"/>
        <v>0</v>
      </c>
      <c r="U303" s="711">
        <f t="shared" ca="1" si="242"/>
        <v>0</v>
      </c>
      <c r="V303" s="711">
        <f t="shared" ca="1" si="243"/>
        <v>0</v>
      </c>
      <c r="W303" s="711">
        <f t="shared" ca="1" si="244"/>
        <v>0</v>
      </c>
      <c r="X303" s="2773">
        <f t="shared" si="232"/>
        <v>0</v>
      </c>
      <c r="Y303" s="2774">
        <f t="shared" ca="1" si="233"/>
        <v>0</v>
      </c>
      <c r="Z303" s="10"/>
      <c r="AA303" s="675"/>
      <c r="AB303" s="10"/>
      <c r="AC303" s="871"/>
      <c r="AD303" s="870"/>
    </row>
    <row r="304" spans="1:30" ht="54" customHeight="1" thickBot="1" x14ac:dyDescent="0.25">
      <c r="A304" s="4034"/>
      <c r="B304" s="4102"/>
      <c r="C304" s="3173">
        <v>5601</v>
      </c>
      <c r="D304" s="3747"/>
      <c r="E304" s="3173" t="s">
        <v>49</v>
      </c>
      <c r="F304" s="3174">
        <f t="shared" si="226"/>
        <v>0</v>
      </c>
      <c r="G304" s="3174">
        <f t="shared" si="226"/>
        <v>0</v>
      </c>
      <c r="H304" s="4058"/>
      <c r="I304" s="3328">
        <f>IF(F304=0,0,ROUND($F304*COEF!$J$27,0))</f>
        <v>0</v>
      </c>
      <c r="J304" s="3329">
        <f>IF(F304=0,0,ROUND($F304*COEF!$K$27,0))</f>
        <v>0</v>
      </c>
      <c r="K304" s="3329">
        <f>IF(F304=0,0,ROUND($F304*COEF!$L$27,0))</f>
        <v>0</v>
      </c>
      <c r="L304" s="3330">
        <f t="shared" ca="1" si="227"/>
        <v>0</v>
      </c>
      <c r="M304" s="3330">
        <f t="shared" ca="1" si="228"/>
        <v>0</v>
      </c>
      <c r="N304" s="3330">
        <f t="shared" ca="1" si="229"/>
        <v>0</v>
      </c>
      <c r="O304" s="860">
        <f t="shared" ca="1" si="252"/>
        <v>0</v>
      </c>
      <c r="P304" s="860">
        <f t="shared" ca="1" si="253"/>
        <v>0</v>
      </c>
      <c r="Q304" s="860">
        <f t="shared" ca="1" si="254"/>
        <v>0</v>
      </c>
      <c r="R304" s="1969">
        <f t="shared" ca="1" si="255"/>
        <v>0</v>
      </c>
      <c r="S304" s="866"/>
      <c r="T304" s="856">
        <f t="shared" ca="1" si="241"/>
        <v>0</v>
      </c>
      <c r="U304" s="711">
        <f t="shared" ca="1" si="242"/>
        <v>0</v>
      </c>
      <c r="V304" s="711">
        <f t="shared" ca="1" si="243"/>
        <v>0</v>
      </c>
      <c r="W304" s="711">
        <f t="shared" ca="1" si="244"/>
        <v>0</v>
      </c>
      <c r="X304" s="2773">
        <f t="shared" si="232"/>
        <v>0</v>
      </c>
      <c r="Y304" s="2774">
        <f t="shared" ca="1" si="233"/>
        <v>0</v>
      </c>
      <c r="Z304" s="10"/>
      <c r="AA304" s="675"/>
      <c r="AB304" s="10"/>
      <c r="AC304" s="871"/>
      <c r="AD304" s="870"/>
    </row>
    <row r="305" spans="1:104" ht="64.5" customHeight="1" thickBot="1" x14ac:dyDescent="0.25">
      <c r="A305" s="4034"/>
      <c r="B305" s="4062" t="s">
        <v>52</v>
      </c>
      <c r="C305" s="3172">
        <v>5030</v>
      </c>
      <c r="D305" s="3758" t="s">
        <v>217</v>
      </c>
      <c r="E305" s="3758"/>
      <c r="F305" s="2421">
        <f t="shared" si="226"/>
        <v>0</v>
      </c>
      <c r="G305" s="2421">
        <f t="shared" si="226"/>
        <v>0</v>
      </c>
      <c r="H305" s="4130" t="s">
        <v>52</v>
      </c>
      <c r="I305" s="3328">
        <f>IF(F305=0,0,ROUND($F305*COEF!$J$27,0))</f>
        <v>0</v>
      </c>
      <c r="J305" s="3329">
        <f>IF(F305=0,0,ROUND($F305*COEF!$K$27,0))</f>
        <v>0</v>
      </c>
      <c r="K305" s="3329">
        <f>IF(F305=0,0,ROUND($F305*COEF!$L$27,0))</f>
        <v>0</v>
      </c>
      <c r="L305" s="3330">
        <f t="shared" ca="1" si="227"/>
        <v>0</v>
      </c>
      <c r="M305" s="3330">
        <f t="shared" ca="1" si="228"/>
        <v>0</v>
      </c>
      <c r="N305" s="3330">
        <f t="shared" ca="1" si="229"/>
        <v>0</v>
      </c>
      <c r="O305" s="860">
        <f t="shared" ca="1" si="237"/>
        <v>0</v>
      </c>
      <c r="P305" s="860">
        <f t="shared" ca="1" si="238"/>
        <v>0</v>
      </c>
      <c r="Q305" s="860">
        <f t="shared" ca="1" si="239"/>
        <v>0</v>
      </c>
      <c r="R305" s="1969">
        <f t="shared" ca="1" si="240"/>
        <v>0</v>
      </c>
      <c r="S305" s="866"/>
      <c r="T305" s="856">
        <f t="shared" ca="1" si="241"/>
        <v>0</v>
      </c>
      <c r="U305" s="711">
        <f t="shared" ca="1" si="242"/>
        <v>0</v>
      </c>
      <c r="V305" s="711">
        <f t="shared" ca="1" si="243"/>
        <v>0</v>
      </c>
      <c r="W305" s="711">
        <f t="shared" ca="1" si="244"/>
        <v>0</v>
      </c>
      <c r="X305" s="2773">
        <f t="shared" si="232"/>
        <v>0</v>
      </c>
      <c r="Y305" s="2774">
        <f t="shared" ca="1" si="233"/>
        <v>0</v>
      </c>
      <c r="Z305" s="10">
        <f t="shared" si="234"/>
        <v>0</v>
      </c>
      <c r="AA305" s="675">
        <f t="shared" ca="1" si="235"/>
        <v>0</v>
      </c>
      <c r="AB305" s="10" t="e">
        <f t="shared" ca="1" si="236"/>
        <v>#DIV/0!</v>
      </c>
      <c r="AC305" s="871"/>
      <c r="AD305" s="874"/>
    </row>
    <row r="306" spans="1:104" ht="54" customHeight="1" thickBot="1" x14ac:dyDescent="0.25">
      <c r="A306" s="4034"/>
      <c r="B306" s="4063"/>
      <c r="C306" s="1954">
        <v>5040</v>
      </c>
      <c r="D306" s="3743" t="s">
        <v>218</v>
      </c>
      <c r="E306" s="3744"/>
      <c r="F306" s="2421">
        <f t="shared" si="226"/>
        <v>0</v>
      </c>
      <c r="G306" s="2421">
        <f t="shared" si="226"/>
        <v>0</v>
      </c>
      <c r="H306" s="4131"/>
      <c r="I306" s="3328">
        <f>IF(F306=0,0,ROUND($F306*COEF!$J$27,0))</f>
        <v>0</v>
      </c>
      <c r="J306" s="3329">
        <f>IF(F306=0,0,ROUND($F306*COEF!$K$27,0))</f>
        <v>0</v>
      </c>
      <c r="K306" s="3329">
        <f>IF(F306=0,0,ROUND($F306*COEF!$L$27,0))</f>
        <v>0</v>
      </c>
      <c r="L306" s="3330">
        <f t="shared" ca="1" si="227"/>
        <v>0</v>
      </c>
      <c r="M306" s="3330">
        <f t="shared" ca="1" si="228"/>
        <v>0</v>
      </c>
      <c r="N306" s="3330">
        <f t="shared" ca="1" si="229"/>
        <v>0</v>
      </c>
      <c r="O306" s="860">
        <f t="shared" ca="1" si="237"/>
        <v>0</v>
      </c>
      <c r="P306" s="860">
        <f t="shared" ca="1" si="238"/>
        <v>0</v>
      </c>
      <c r="Q306" s="860">
        <f t="shared" ca="1" si="239"/>
        <v>0</v>
      </c>
      <c r="R306" s="1969">
        <f t="shared" ca="1" si="240"/>
        <v>0</v>
      </c>
      <c r="S306" s="866"/>
      <c r="T306" s="856">
        <f t="shared" ca="1" si="241"/>
        <v>0</v>
      </c>
      <c r="U306" s="711">
        <f t="shared" ca="1" si="242"/>
        <v>0</v>
      </c>
      <c r="V306" s="711">
        <f t="shared" ca="1" si="243"/>
        <v>0</v>
      </c>
      <c r="W306" s="711">
        <f t="shared" ca="1" si="244"/>
        <v>0</v>
      </c>
      <c r="X306" s="2773">
        <f t="shared" si="232"/>
        <v>0</v>
      </c>
      <c r="Y306" s="2774">
        <f t="shared" ca="1" si="233"/>
        <v>0</v>
      </c>
      <c r="Z306" s="10"/>
      <c r="AA306" s="675"/>
      <c r="AB306" s="10"/>
      <c r="AC306" s="862"/>
      <c r="AD306" s="863"/>
    </row>
    <row r="307" spans="1:104" ht="54" hidden="1" customHeight="1" thickBot="1" x14ac:dyDescent="0.25">
      <c r="A307" s="4034"/>
      <c r="B307" s="4063"/>
      <c r="C307" s="1954">
        <v>5041</v>
      </c>
      <c r="D307" s="3743" t="s">
        <v>620</v>
      </c>
      <c r="E307" s="3744"/>
      <c r="F307" s="2421">
        <f t="shared" si="226"/>
        <v>0</v>
      </c>
      <c r="G307" s="2421">
        <f t="shared" si="226"/>
        <v>0</v>
      </c>
      <c r="H307" s="4131"/>
      <c r="I307" s="3328">
        <f>IF(F307=0,0,ROUND($F307*COEF!$J$27,0))</f>
        <v>0</v>
      </c>
      <c r="J307" s="3329">
        <f>IF(F307=0,0,ROUND($F307*COEF!$K$27,0))</f>
        <v>0</v>
      </c>
      <c r="K307" s="3329">
        <f>IF(F307=0,0,ROUND($F307*COEF!$L$27,0))</f>
        <v>0</v>
      </c>
      <c r="L307" s="3330">
        <f t="shared" ca="1" si="227"/>
        <v>0</v>
      </c>
      <c r="M307" s="3330">
        <f t="shared" ca="1" si="228"/>
        <v>0</v>
      </c>
      <c r="N307" s="3330">
        <f t="shared" ca="1" si="229"/>
        <v>0</v>
      </c>
      <c r="O307" s="860">
        <f t="shared" ref="O307" ca="1" si="256">I307+L307</f>
        <v>0</v>
      </c>
      <c r="P307" s="860">
        <f t="shared" ref="P307" ca="1" si="257">J307+M307</f>
        <v>0</v>
      </c>
      <c r="Q307" s="860">
        <f t="shared" ref="Q307" ca="1" si="258">K307+N307</f>
        <v>0</v>
      </c>
      <c r="R307" s="1969">
        <f t="shared" ref="R307" ca="1" si="259">SUM(O307:Q307)</f>
        <v>0</v>
      </c>
      <c r="S307" s="866"/>
      <c r="T307" s="856">
        <f t="shared" ca="1" si="241"/>
        <v>0</v>
      </c>
      <c r="U307" s="711">
        <f t="shared" ca="1" si="242"/>
        <v>0</v>
      </c>
      <c r="V307" s="711">
        <f t="shared" ca="1" si="243"/>
        <v>0</v>
      </c>
      <c r="W307" s="711">
        <f t="shared" ca="1" si="244"/>
        <v>0</v>
      </c>
      <c r="X307" s="2773">
        <f t="shared" si="232"/>
        <v>0</v>
      </c>
      <c r="Y307" s="2774">
        <f t="shared" ca="1" si="233"/>
        <v>0</v>
      </c>
      <c r="Z307" s="10"/>
      <c r="AA307" s="675"/>
      <c r="AB307" s="10"/>
      <c r="AC307" s="888"/>
      <c r="AD307" s="3483"/>
    </row>
    <row r="308" spans="1:104" ht="54" customHeight="1" thickBot="1" x14ac:dyDescent="0.25">
      <c r="A308" s="4034"/>
      <c r="B308" s="4063"/>
      <c r="C308" s="1954">
        <v>5045</v>
      </c>
      <c r="D308" s="3743" t="s">
        <v>221</v>
      </c>
      <c r="E308" s="3744"/>
      <c r="F308" s="2421">
        <f t="shared" si="226"/>
        <v>0</v>
      </c>
      <c r="G308" s="2421">
        <f t="shared" si="226"/>
        <v>0</v>
      </c>
      <c r="H308" s="4131"/>
      <c r="I308" s="3328">
        <f>IF(F308=0,0,ROUND($F308*COEF!$J$27,0))</f>
        <v>0</v>
      </c>
      <c r="J308" s="3329">
        <f>IF(F308=0,0,ROUND($F308*COEF!$K$27,0))</f>
        <v>0</v>
      </c>
      <c r="K308" s="3329">
        <f>IF(F308=0,0,ROUND($F308*COEF!$L$27,0))</f>
        <v>0</v>
      </c>
      <c r="L308" s="3330">
        <f t="shared" ca="1" si="227"/>
        <v>0</v>
      </c>
      <c r="M308" s="3330">
        <f t="shared" ca="1" si="228"/>
        <v>0</v>
      </c>
      <c r="N308" s="3330">
        <f t="shared" ca="1" si="229"/>
        <v>0</v>
      </c>
      <c r="O308" s="860">
        <f t="shared" ca="1" si="237"/>
        <v>0</v>
      </c>
      <c r="P308" s="860">
        <f t="shared" ref="P308" ca="1" si="260">J308+M308</f>
        <v>0</v>
      </c>
      <c r="Q308" s="860">
        <f t="shared" ref="Q308" ca="1" si="261">K308+N308</f>
        <v>0</v>
      </c>
      <c r="R308" s="1969">
        <f t="shared" ref="R308" ca="1" si="262">SUM(O308:Q308)</f>
        <v>0</v>
      </c>
      <c r="S308" s="866"/>
      <c r="T308" s="856">
        <f t="shared" ca="1" si="241"/>
        <v>0</v>
      </c>
      <c r="U308" s="711">
        <f t="shared" ca="1" si="242"/>
        <v>0</v>
      </c>
      <c r="V308" s="711">
        <f t="shared" ca="1" si="243"/>
        <v>0</v>
      </c>
      <c r="W308" s="711">
        <f t="shared" ca="1" si="244"/>
        <v>0</v>
      </c>
      <c r="X308" s="2773">
        <f t="shared" si="232"/>
        <v>0</v>
      </c>
      <c r="Y308" s="2774">
        <f t="shared" ca="1" si="233"/>
        <v>0</v>
      </c>
      <c r="Z308" s="10"/>
      <c r="AA308" s="675"/>
      <c r="AB308" s="10"/>
      <c r="AC308" s="1720"/>
      <c r="AD308" s="868"/>
    </row>
    <row r="309" spans="1:104" ht="54" customHeight="1" thickBot="1" x14ac:dyDescent="0.25">
      <c r="A309" s="4034"/>
      <c r="B309" s="4063"/>
      <c r="C309" s="1955">
        <v>5050</v>
      </c>
      <c r="D309" s="3742" t="s">
        <v>219</v>
      </c>
      <c r="E309" s="3742"/>
      <c r="F309" s="2421">
        <f t="shared" si="226"/>
        <v>0</v>
      </c>
      <c r="G309" s="2421">
        <f t="shared" si="226"/>
        <v>0</v>
      </c>
      <c r="H309" s="4131"/>
      <c r="I309" s="3328">
        <f>IF(F309=0,0,ROUND($F309*COEF!$J$27,0))</f>
        <v>0</v>
      </c>
      <c r="J309" s="3329">
        <f>IF(F309=0,0,ROUND($F309*COEF!$K$27,0))</f>
        <v>0</v>
      </c>
      <c r="K309" s="3329">
        <f>IF(F309=0,0,ROUND($F309*COEF!$L$27,0))</f>
        <v>0</v>
      </c>
      <c r="L309" s="3330">
        <f t="shared" ca="1" si="227"/>
        <v>0</v>
      </c>
      <c r="M309" s="3330">
        <f t="shared" ca="1" si="228"/>
        <v>0</v>
      </c>
      <c r="N309" s="3330">
        <f t="shared" ca="1" si="229"/>
        <v>0</v>
      </c>
      <c r="O309" s="860">
        <f t="shared" ca="1" si="237"/>
        <v>0</v>
      </c>
      <c r="P309" s="860">
        <f t="shared" ca="1" si="238"/>
        <v>0</v>
      </c>
      <c r="Q309" s="860">
        <f t="shared" ca="1" si="239"/>
        <v>0</v>
      </c>
      <c r="R309" s="1969">
        <f t="shared" ca="1" si="240"/>
        <v>0</v>
      </c>
      <c r="S309" s="866"/>
      <c r="T309" s="856">
        <f t="shared" ca="1" si="241"/>
        <v>0</v>
      </c>
      <c r="U309" s="711">
        <f t="shared" ca="1" si="242"/>
        <v>0</v>
      </c>
      <c r="V309" s="711">
        <f t="shared" ca="1" si="243"/>
        <v>0</v>
      </c>
      <c r="W309" s="711">
        <f t="shared" ca="1" si="244"/>
        <v>0</v>
      </c>
      <c r="X309" s="2773">
        <f t="shared" si="232"/>
        <v>0</v>
      </c>
      <c r="Y309" s="2774">
        <f t="shared" ca="1" si="233"/>
        <v>0</v>
      </c>
      <c r="Z309" s="10"/>
      <c r="AA309" s="675"/>
      <c r="AB309" s="10"/>
      <c r="AC309" s="1720"/>
      <c r="AD309" s="868"/>
    </row>
    <row r="310" spans="1:104" ht="54" hidden="1" customHeight="1" thickBot="1" x14ac:dyDescent="0.25">
      <c r="A310" s="4034"/>
      <c r="B310" s="4063"/>
      <c r="C310" s="1955">
        <v>5051</v>
      </c>
      <c r="D310" s="3742" t="s">
        <v>621</v>
      </c>
      <c r="E310" s="3742"/>
      <c r="F310" s="2421">
        <f t="shared" si="226"/>
        <v>0</v>
      </c>
      <c r="G310" s="2421">
        <f t="shared" si="226"/>
        <v>0</v>
      </c>
      <c r="H310" s="4131"/>
      <c r="I310" s="3328">
        <f>IF(F310=0,0,ROUND($F310*COEF!$J$27,0))</f>
        <v>0</v>
      </c>
      <c r="J310" s="3329">
        <f>IF(F310=0,0,ROUND($F310*COEF!$K$27,0))</f>
        <v>0</v>
      </c>
      <c r="K310" s="3329">
        <f>IF(F310=0,0,ROUND($F310*COEF!$L$27,0))</f>
        <v>0</v>
      </c>
      <c r="L310" s="3330">
        <f t="shared" ca="1" si="227"/>
        <v>0</v>
      </c>
      <c r="M310" s="3330">
        <f t="shared" ca="1" si="228"/>
        <v>0</v>
      </c>
      <c r="N310" s="3330">
        <f t="shared" ca="1" si="229"/>
        <v>0</v>
      </c>
      <c r="O310" s="860">
        <f t="shared" ref="O310" ca="1" si="263">I310+L310</f>
        <v>0</v>
      </c>
      <c r="P310" s="860">
        <f t="shared" ref="P310" ca="1" si="264">J310+M310</f>
        <v>0</v>
      </c>
      <c r="Q310" s="860">
        <f t="shared" ref="Q310" ca="1" si="265">K310+N310</f>
        <v>0</v>
      </c>
      <c r="R310" s="1969">
        <f t="shared" ref="R310" ca="1" si="266">SUM(O310:Q310)</f>
        <v>0</v>
      </c>
      <c r="S310" s="866"/>
      <c r="T310" s="856">
        <f t="shared" ca="1" si="241"/>
        <v>0</v>
      </c>
      <c r="U310" s="711">
        <f t="shared" ca="1" si="242"/>
        <v>0</v>
      </c>
      <c r="V310" s="711">
        <f t="shared" ca="1" si="243"/>
        <v>0</v>
      </c>
      <c r="W310" s="711">
        <f t="shared" ca="1" si="244"/>
        <v>0</v>
      </c>
      <c r="X310" s="2773">
        <f t="shared" si="232"/>
        <v>0</v>
      </c>
      <c r="Y310" s="2774">
        <f t="shared" ca="1" si="233"/>
        <v>0</v>
      </c>
      <c r="Z310" s="10"/>
      <c r="AA310" s="675"/>
      <c r="AB310" s="10"/>
      <c r="AC310" s="1720"/>
      <c r="AD310" s="868"/>
    </row>
    <row r="311" spans="1:104" ht="54" customHeight="1" thickBot="1" x14ac:dyDescent="0.25">
      <c r="A311" s="4034"/>
      <c r="B311" s="4063"/>
      <c r="C311" s="1955">
        <v>5055</v>
      </c>
      <c r="D311" s="3742" t="s">
        <v>222</v>
      </c>
      <c r="E311" s="3742"/>
      <c r="F311" s="2421">
        <f t="shared" si="226"/>
        <v>0</v>
      </c>
      <c r="G311" s="2421">
        <f t="shared" si="226"/>
        <v>0</v>
      </c>
      <c r="H311" s="4131"/>
      <c r="I311" s="3328">
        <f>IF(F311=0,0,ROUND($F311*COEF!$J$27,0))</f>
        <v>0</v>
      </c>
      <c r="J311" s="3329">
        <f>IF(F311=0,0,ROUND($F311*COEF!$K$27,0))</f>
        <v>0</v>
      </c>
      <c r="K311" s="3329">
        <f>IF(F311=0,0,ROUND($F311*COEF!$L$27,0))</f>
        <v>0</v>
      </c>
      <c r="L311" s="3330">
        <f t="shared" ca="1" si="227"/>
        <v>0</v>
      </c>
      <c r="M311" s="3330">
        <f t="shared" ca="1" si="228"/>
        <v>0</v>
      </c>
      <c r="N311" s="3330">
        <f t="shared" ca="1" si="229"/>
        <v>0</v>
      </c>
      <c r="O311" s="860">
        <f t="shared" ca="1" si="237"/>
        <v>0</v>
      </c>
      <c r="P311" s="860">
        <f t="shared" ca="1" si="238"/>
        <v>0</v>
      </c>
      <c r="Q311" s="860">
        <f t="shared" ca="1" si="239"/>
        <v>0</v>
      </c>
      <c r="R311" s="1969">
        <f t="shared" ca="1" si="240"/>
        <v>0</v>
      </c>
      <c r="S311" s="866"/>
      <c r="T311" s="856">
        <f t="shared" ca="1" si="241"/>
        <v>0</v>
      </c>
      <c r="U311" s="711">
        <f t="shared" ca="1" si="242"/>
        <v>0</v>
      </c>
      <c r="V311" s="711">
        <f t="shared" ca="1" si="243"/>
        <v>0</v>
      </c>
      <c r="W311" s="711">
        <f t="shared" ca="1" si="244"/>
        <v>0</v>
      </c>
      <c r="X311" s="2773">
        <f t="shared" si="232"/>
        <v>0</v>
      </c>
      <c r="Y311" s="2774">
        <f t="shared" ca="1" si="233"/>
        <v>0</v>
      </c>
      <c r="Z311" s="10"/>
      <c r="AA311" s="675"/>
      <c r="AB311" s="10"/>
      <c r="AC311" s="869"/>
      <c r="AD311" s="870"/>
    </row>
    <row r="312" spans="1:104" ht="54" customHeight="1" thickBot="1" x14ac:dyDescent="0.25">
      <c r="A312" s="4034"/>
      <c r="B312" s="4063"/>
      <c r="C312" s="1948">
        <v>5503</v>
      </c>
      <c r="D312" s="3751" t="s">
        <v>1234</v>
      </c>
      <c r="E312" s="1948" t="s">
        <v>53</v>
      </c>
      <c r="F312" s="2421">
        <f t="shared" si="226"/>
        <v>0</v>
      </c>
      <c r="G312" s="2421">
        <f t="shared" si="226"/>
        <v>0</v>
      </c>
      <c r="H312" s="4131"/>
      <c r="I312" s="3328">
        <f>IF(F312=0,0,ROUND($F312*COEF!$J$27,0))</f>
        <v>0</v>
      </c>
      <c r="J312" s="3329">
        <f>IF(F312=0,0,ROUND($F312*COEF!$K$27,0))</f>
        <v>0</v>
      </c>
      <c r="K312" s="3329">
        <f>IF(F312=0,0,ROUND($F312*COEF!$L$27,0))</f>
        <v>0</v>
      </c>
      <c r="L312" s="3330">
        <f t="shared" ca="1" si="227"/>
        <v>0</v>
      </c>
      <c r="M312" s="3330">
        <f t="shared" ca="1" si="228"/>
        <v>0</v>
      </c>
      <c r="N312" s="3330">
        <f t="shared" ca="1" si="229"/>
        <v>0</v>
      </c>
      <c r="O312" s="860">
        <f t="shared" ca="1" si="237"/>
        <v>0</v>
      </c>
      <c r="P312" s="860">
        <f t="shared" ca="1" si="238"/>
        <v>0</v>
      </c>
      <c r="Q312" s="860">
        <f t="shared" ca="1" si="239"/>
        <v>0</v>
      </c>
      <c r="R312" s="1969">
        <f t="shared" ca="1" si="240"/>
        <v>0</v>
      </c>
      <c r="S312" s="866"/>
      <c r="T312" s="856">
        <f t="shared" ca="1" si="241"/>
        <v>0</v>
      </c>
      <c r="U312" s="711">
        <f t="shared" ca="1" si="242"/>
        <v>0</v>
      </c>
      <c r="V312" s="711">
        <f t="shared" ca="1" si="243"/>
        <v>0</v>
      </c>
      <c r="W312" s="711">
        <f t="shared" ca="1" si="244"/>
        <v>0</v>
      </c>
      <c r="X312" s="2773">
        <f t="shared" si="232"/>
        <v>0</v>
      </c>
      <c r="Y312" s="2774">
        <f t="shared" ca="1" si="233"/>
        <v>0</v>
      </c>
      <c r="Z312" s="10"/>
      <c r="AA312" s="675"/>
      <c r="AB312" s="10"/>
      <c r="AC312" s="871"/>
      <c r="AD312" s="870"/>
    </row>
    <row r="313" spans="1:104" ht="54" customHeight="1" thickBot="1" x14ac:dyDescent="0.25">
      <c r="A313" s="4034"/>
      <c r="B313" s="4063"/>
      <c r="C313" s="1948">
        <v>5504</v>
      </c>
      <c r="D313" s="3746"/>
      <c r="E313" s="1948" t="s">
        <v>54</v>
      </c>
      <c r="F313" s="2421">
        <f>+F204+F205</f>
        <v>0</v>
      </c>
      <c r="G313" s="2421">
        <f>+G204+G205</f>
        <v>0</v>
      </c>
      <c r="H313" s="4131"/>
      <c r="I313" s="3328">
        <f>IF(F313=0,0,ROUND($F313*COEF!$J$27,0))</f>
        <v>0</v>
      </c>
      <c r="J313" s="3329">
        <f>IF(F313=0,0,ROUND($F313*COEF!$K$27,0))</f>
        <v>0</v>
      </c>
      <c r="K313" s="3329">
        <f>IF(F313=0,0,ROUND($F313*COEF!$L$27,0))</f>
        <v>0</v>
      </c>
      <c r="L313" s="3330">
        <f t="shared" ca="1" si="227"/>
        <v>0</v>
      </c>
      <c r="M313" s="3330">
        <f t="shared" ca="1" si="228"/>
        <v>0</v>
      </c>
      <c r="N313" s="3330">
        <f t="shared" ca="1" si="229"/>
        <v>0</v>
      </c>
      <c r="O313" s="860">
        <f t="shared" ca="1" si="237"/>
        <v>0</v>
      </c>
      <c r="P313" s="860">
        <f t="shared" ca="1" si="238"/>
        <v>0</v>
      </c>
      <c r="Q313" s="860">
        <f t="shared" ca="1" si="239"/>
        <v>0</v>
      </c>
      <c r="R313" s="1969">
        <f t="shared" ca="1" si="240"/>
        <v>0</v>
      </c>
      <c r="S313" s="3328">
        <f ca="1">IF(P313=0,0,ROUND($F313*COEF!$J$27,0))</f>
        <v>0</v>
      </c>
      <c r="T313" s="856">
        <f t="shared" ca="1" si="241"/>
        <v>0</v>
      </c>
      <c r="U313" s="711">
        <f t="shared" ca="1" si="242"/>
        <v>0</v>
      </c>
      <c r="V313" s="711">
        <f t="shared" ca="1" si="243"/>
        <v>0</v>
      </c>
      <c r="W313" s="711">
        <f t="shared" ca="1" si="244"/>
        <v>0</v>
      </c>
      <c r="X313" s="2773">
        <f t="shared" si="232"/>
        <v>0</v>
      </c>
      <c r="Y313" s="2774">
        <f t="shared" ca="1" si="233"/>
        <v>0</v>
      </c>
      <c r="Z313" s="860">
        <f t="shared" ref="Z313" ca="1" si="267">T313+W313</f>
        <v>0</v>
      </c>
      <c r="AA313" s="860">
        <f t="shared" ref="AA313" ca="1" si="268">U313+X313</f>
        <v>0</v>
      </c>
      <c r="AB313" s="1969">
        <f t="shared" ref="AB313" ca="1" si="269">SUM(Y313:AA313)</f>
        <v>0</v>
      </c>
      <c r="AC313" s="3328">
        <f ca="1">IF(Z313=0,0,ROUND($F313*COEF!$J$27,0))</f>
        <v>0</v>
      </c>
      <c r="AD313" s="3329">
        <f ca="1">IF(Z313=0,0,ROUND($F313*COEF!$K$27,0))</f>
        <v>0</v>
      </c>
      <c r="AE313" s="3329">
        <f ca="1">IF(Z313=0,0,ROUND($F313*COEF!$L$27,0))</f>
        <v>0</v>
      </c>
      <c r="AF313" s="3330">
        <f t="shared" ref="AF313:AH313" ca="1" si="270">+ROUND(AC313*AC$395,0)</f>
        <v>0</v>
      </c>
      <c r="AG313" s="3330">
        <f t="shared" ca="1" si="270"/>
        <v>0</v>
      </c>
      <c r="AH313" s="3330">
        <f t="shared" ca="1" si="270"/>
        <v>0</v>
      </c>
      <c r="AI313" s="860">
        <f t="shared" ref="AI313" ca="1" si="271">AC313+AF313</f>
        <v>0</v>
      </c>
      <c r="AJ313" s="860">
        <f t="shared" ref="AJ313" ca="1" si="272">AD313+AG313</f>
        <v>0</v>
      </c>
      <c r="AK313" s="860">
        <f t="shared" ref="AK313" ca="1" si="273">AE313+AH313</f>
        <v>0</v>
      </c>
      <c r="AL313" s="1969">
        <f t="shared" ref="AL313" ca="1" si="274">SUM(AI313:AK313)</f>
        <v>0</v>
      </c>
      <c r="AM313" s="3328">
        <f ca="1">IF(AJ313=0,0,ROUND($F313*COEF!$J$27,0))</f>
        <v>0</v>
      </c>
      <c r="AN313" s="3329">
        <f ca="1">IF(AJ313=0,0,ROUND($F313*COEF!$K$27,0))</f>
        <v>0</v>
      </c>
      <c r="AO313" s="3329">
        <f ca="1">IF(AJ313=0,0,ROUND($F313*COEF!$L$27,0))</f>
        <v>0</v>
      </c>
      <c r="AP313" s="3330">
        <f t="shared" ref="AP313:AR313" ca="1" si="275">+ROUND(AM313*AM$395,0)</f>
        <v>0</v>
      </c>
      <c r="AQ313" s="3330">
        <f t="shared" ca="1" si="275"/>
        <v>0</v>
      </c>
      <c r="AR313" s="3330">
        <f t="shared" ca="1" si="275"/>
        <v>0</v>
      </c>
      <c r="AS313" s="860">
        <f t="shared" ref="AS313" ca="1" si="276">AM313+AP313</f>
        <v>0</v>
      </c>
      <c r="AT313" s="860">
        <f t="shared" ref="AT313" ca="1" si="277">AN313+AQ313</f>
        <v>0</v>
      </c>
      <c r="AU313" s="860">
        <f t="shared" ref="AU313" ca="1" si="278">AO313+AR313</f>
        <v>0</v>
      </c>
      <c r="AV313" s="1969">
        <f t="shared" ref="AV313" ca="1" si="279">SUM(AS313:AU313)</f>
        <v>0</v>
      </c>
      <c r="AW313" s="3328">
        <f ca="1">IF(AT313=0,0,ROUND($F313*COEF!$J$27,0))</f>
        <v>0</v>
      </c>
      <c r="AX313" s="3329">
        <f ca="1">IF(AT313=0,0,ROUND($F313*COEF!$K$27,0))</f>
        <v>0</v>
      </c>
      <c r="AY313" s="3329">
        <f ca="1">IF(AT313=0,0,ROUND($F313*COEF!$L$27,0))</f>
        <v>0</v>
      </c>
      <c r="AZ313" s="3330">
        <f t="shared" ref="AZ313:BB313" ca="1" si="280">+ROUND(AW313*AW$395,0)</f>
        <v>0</v>
      </c>
      <c r="BA313" s="3330">
        <f t="shared" ca="1" si="280"/>
        <v>0</v>
      </c>
      <c r="BB313" s="3330">
        <f t="shared" ca="1" si="280"/>
        <v>0</v>
      </c>
      <c r="BC313" s="860">
        <f t="shared" ref="BC313" ca="1" si="281">AW313+AZ313</f>
        <v>0</v>
      </c>
      <c r="BD313" s="860">
        <f t="shared" ref="BD313" ca="1" si="282">AX313+BA313</f>
        <v>0</v>
      </c>
      <c r="BE313" s="860">
        <f t="shared" ref="BE313" ca="1" si="283">AY313+BB313</f>
        <v>0</v>
      </c>
      <c r="BF313" s="1969">
        <f t="shared" ref="BF313" ca="1" si="284">SUM(BC313:BE313)</f>
        <v>0</v>
      </c>
      <c r="BG313" s="3328">
        <f ca="1">IF(BD313=0,0,ROUND($F313*COEF!$J$27,0))</f>
        <v>0</v>
      </c>
      <c r="BH313" s="3329">
        <f ca="1">IF(BD313=0,0,ROUND($F313*COEF!$K$27,0))</f>
        <v>0</v>
      </c>
      <c r="BI313" s="3329">
        <f ca="1">IF(BD313=0,0,ROUND($F313*COEF!$L$27,0))</f>
        <v>0</v>
      </c>
      <c r="BJ313" s="3330">
        <f t="shared" ref="BJ313:BL313" ca="1" si="285">+ROUND(BG313*BG$395,0)</f>
        <v>0</v>
      </c>
      <c r="BK313" s="3330">
        <f t="shared" ca="1" si="285"/>
        <v>0</v>
      </c>
      <c r="BL313" s="3330">
        <f t="shared" ca="1" si="285"/>
        <v>0</v>
      </c>
      <c r="BM313" s="860">
        <f t="shared" ref="BM313" ca="1" si="286">BG313+BJ313</f>
        <v>0</v>
      </c>
      <c r="BN313" s="860">
        <f t="shared" ref="BN313" ca="1" si="287">BH313+BK313</f>
        <v>0</v>
      </c>
      <c r="BO313" s="860">
        <f t="shared" ref="BO313" ca="1" si="288">BI313+BL313</f>
        <v>0</v>
      </c>
      <c r="BP313" s="1969">
        <f t="shared" ref="BP313" ca="1" si="289">SUM(BM313:BO313)</f>
        <v>0</v>
      </c>
      <c r="BQ313" s="3328">
        <f ca="1">IF(BN313=0,0,ROUND($F313*COEF!$J$27,0))</f>
        <v>0</v>
      </c>
      <c r="BR313" s="3329">
        <f ca="1">IF(BN313=0,0,ROUND($F313*COEF!$K$27,0))</f>
        <v>0</v>
      </c>
      <c r="BS313" s="3329">
        <f ca="1">IF(BN313=0,0,ROUND($F313*COEF!$L$27,0))</f>
        <v>0</v>
      </c>
      <c r="BT313" s="3330">
        <f t="shared" ref="BT313:BV313" ca="1" si="290">+ROUND(BQ313*BQ$395,0)</f>
        <v>0</v>
      </c>
      <c r="BU313" s="3330">
        <f t="shared" ca="1" si="290"/>
        <v>0</v>
      </c>
      <c r="BV313" s="3330">
        <f t="shared" ca="1" si="290"/>
        <v>0</v>
      </c>
      <c r="BW313" s="860">
        <f t="shared" ref="BW313" ca="1" si="291">BQ313+BT313</f>
        <v>0</v>
      </c>
      <c r="BX313" s="860">
        <f t="shared" ref="BX313" ca="1" si="292">BR313+BU313</f>
        <v>0</v>
      </c>
      <c r="BY313" s="860">
        <f t="shared" ref="BY313" ca="1" si="293">BS313+BV313</f>
        <v>0</v>
      </c>
      <c r="BZ313" s="1969">
        <f t="shared" ref="BZ313" ca="1" si="294">SUM(BW313:BY313)</f>
        <v>0</v>
      </c>
      <c r="CA313" s="3328">
        <f ca="1">IF(BX313=0,0,ROUND($F313*COEF!$J$27,0))</f>
        <v>0</v>
      </c>
      <c r="CB313" s="3329">
        <f ca="1">IF(BX313=0,0,ROUND($F313*COEF!$K$27,0))</f>
        <v>0</v>
      </c>
      <c r="CC313" s="3329">
        <f ca="1">IF(BX313=0,0,ROUND($F313*COEF!$L$27,0))</f>
        <v>0</v>
      </c>
      <c r="CD313" s="3330">
        <f t="shared" ref="CD313:CF313" ca="1" si="295">+ROUND(CA313*CA$395,0)</f>
        <v>0</v>
      </c>
      <c r="CE313" s="3330">
        <f t="shared" ca="1" si="295"/>
        <v>0</v>
      </c>
      <c r="CF313" s="3330">
        <f t="shared" ca="1" si="295"/>
        <v>0</v>
      </c>
      <c r="CG313" s="860">
        <f t="shared" ref="CG313" ca="1" si="296">CA313+CD313</f>
        <v>0</v>
      </c>
      <c r="CH313" s="860">
        <f t="shared" ref="CH313" ca="1" si="297">CB313+CE313</f>
        <v>0</v>
      </c>
      <c r="CI313" s="860">
        <f t="shared" ref="CI313" ca="1" si="298">CC313+CF313</f>
        <v>0</v>
      </c>
      <c r="CJ313" s="1969">
        <f t="shared" ref="CJ313" ca="1" si="299">SUM(CG313:CI313)</f>
        <v>0</v>
      </c>
      <c r="CK313" s="3328">
        <f ca="1">IF(CH313=0,0,ROUND($F313*COEF!$J$27,0))</f>
        <v>0</v>
      </c>
      <c r="CL313" s="3329">
        <f ca="1">IF(CH313=0,0,ROUND($F313*COEF!$K$27,0))</f>
        <v>0</v>
      </c>
      <c r="CM313" s="3329">
        <f ca="1">IF(CH313=0,0,ROUND($F313*COEF!$L$27,0))</f>
        <v>0</v>
      </c>
      <c r="CN313" s="3330">
        <f t="shared" ref="CN313:CP313" ca="1" si="300">+ROUND(CK313*CK$395,0)</f>
        <v>0</v>
      </c>
      <c r="CO313" s="3330">
        <f t="shared" ca="1" si="300"/>
        <v>0</v>
      </c>
      <c r="CP313" s="3330">
        <f t="shared" ca="1" si="300"/>
        <v>0</v>
      </c>
      <c r="CQ313" s="860">
        <f t="shared" ref="CQ313" ca="1" si="301">CK313+CN313</f>
        <v>0</v>
      </c>
      <c r="CR313" s="860">
        <f t="shared" ref="CR313" ca="1" si="302">CL313+CO313</f>
        <v>0</v>
      </c>
      <c r="CS313" s="860">
        <f t="shared" ref="CS313" ca="1" si="303">CM313+CP313</f>
        <v>0</v>
      </c>
      <c r="CT313" s="1969">
        <f t="shared" ref="CT313" ca="1" si="304">SUM(CQ313:CS313)</f>
        <v>0</v>
      </c>
      <c r="CU313" s="3328">
        <f ca="1">IF(CR313=0,0,ROUND($F313*COEF!$J$27,0))</f>
        <v>0</v>
      </c>
      <c r="CV313" s="3329">
        <f ca="1">IF(CR313=0,0,ROUND($F313*COEF!$K$27,0))</f>
        <v>0</v>
      </c>
      <c r="CW313" s="3329">
        <f ca="1">IF(CR313=0,0,ROUND($F313*COEF!$L$27,0))</f>
        <v>0</v>
      </c>
      <c r="CX313" s="3330">
        <f t="shared" ref="CX313:CZ313" ca="1" si="305">+ROUND(CU313*CU$395,0)</f>
        <v>0</v>
      </c>
      <c r="CY313" s="3330">
        <f t="shared" ca="1" si="305"/>
        <v>0</v>
      </c>
      <c r="CZ313" s="3330">
        <f t="shared" ca="1" si="305"/>
        <v>0</v>
      </c>
    </row>
    <row r="314" spans="1:104" ht="54" hidden="1" customHeight="1" thickBot="1" x14ac:dyDescent="0.25">
      <c r="A314" s="4034"/>
      <c r="B314" s="4063"/>
      <c r="C314" s="1948">
        <v>5505</v>
      </c>
      <c r="D314" s="3746"/>
      <c r="E314" s="1948" t="s">
        <v>1350</v>
      </c>
      <c r="F314" s="2421">
        <f>+F206</f>
        <v>0</v>
      </c>
      <c r="G314" s="2421">
        <f>+G206</f>
        <v>0</v>
      </c>
      <c r="H314" s="4131"/>
      <c r="I314" s="3328">
        <f>IF(F314=0,0,ROUND($F314*COEF!$J$27,0))</f>
        <v>0</v>
      </c>
      <c r="J314" s="3329">
        <f>IF(F314=0,0,ROUND($F314*COEF!$K$27,0))</f>
        <v>0</v>
      </c>
      <c r="K314" s="3329">
        <f>IF(F314=0,0,ROUND($F314*COEF!$L$27,0))</f>
        <v>0</v>
      </c>
      <c r="L314" s="3330">
        <f t="shared" ca="1" si="227"/>
        <v>0</v>
      </c>
      <c r="M314" s="3330">
        <f t="shared" ca="1" si="228"/>
        <v>0</v>
      </c>
      <c r="N314" s="3330">
        <f t="shared" ca="1" si="229"/>
        <v>0</v>
      </c>
      <c r="O314" s="860">
        <f t="shared" ref="O314" ca="1" si="306">I314+L314</f>
        <v>0</v>
      </c>
      <c r="P314" s="860">
        <f t="shared" ref="P314" ca="1" si="307">J314+M314</f>
        <v>0</v>
      </c>
      <c r="Q314" s="860">
        <f t="shared" ref="Q314" ca="1" si="308">K314+N314</f>
        <v>0</v>
      </c>
      <c r="R314" s="1969">
        <f t="shared" ref="R314" ca="1" si="309">SUM(O314:Q314)</f>
        <v>0</v>
      </c>
      <c r="S314" s="866"/>
      <c r="T314" s="856">
        <f t="shared" ca="1" si="241"/>
        <v>0</v>
      </c>
      <c r="U314" s="711">
        <f t="shared" ca="1" si="242"/>
        <v>0</v>
      </c>
      <c r="V314" s="711">
        <f t="shared" ca="1" si="243"/>
        <v>0</v>
      </c>
      <c r="W314" s="711">
        <f t="shared" ca="1" si="244"/>
        <v>0</v>
      </c>
      <c r="X314" s="2773">
        <f t="shared" si="232"/>
        <v>0</v>
      </c>
      <c r="Y314" s="2774">
        <f t="shared" ca="1" si="233"/>
        <v>0</v>
      </c>
      <c r="Z314" s="10"/>
      <c r="AA314" s="675"/>
      <c r="AB314" s="10"/>
      <c r="AC314" s="871"/>
      <c r="AD314" s="875"/>
    </row>
    <row r="315" spans="1:104" ht="54" customHeight="1" thickBot="1" x14ac:dyDescent="0.25">
      <c r="A315" s="4034"/>
      <c r="B315" s="4063"/>
      <c r="C315" s="1949">
        <v>5553</v>
      </c>
      <c r="D315" s="3746"/>
      <c r="E315" s="1949" t="s">
        <v>55</v>
      </c>
      <c r="F315" s="2421">
        <f>+F207</f>
        <v>0</v>
      </c>
      <c r="G315" s="2421">
        <f>+G207</f>
        <v>0</v>
      </c>
      <c r="H315" s="4131"/>
      <c r="I315" s="3328">
        <f>IF(F315=0,0,ROUND($F315*COEF!$J$27,0))</f>
        <v>0</v>
      </c>
      <c r="J315" s="3329">
        <f>IF(F315=0,0,ROUND($F315*COEF!$K$27,0))</f>
        <v>0</v>
      </c>
      <c r="K315" s="3329">
        <f>IF(F315=0,0,ROUND($F315*COEF!$L$27,0))</f>
        <v>0</v>
      </c>
      <c r="L315" s="3330">
        <f t="shared" ca="1" si="227"/>
        <v>0</v>
      </c>
      <c r="M315" s="3330">
        <f t="shared" ca="1" si="228"/>
        <v>0</v>
      </c>
      <c r="N315" s="3330">
        <f t="shared" ca="1" si="229"/>
        <v>0</v>
      </c>
      <c r="O315" s="860">
        <f t="shared" ca="1" si="237"/>
        <v>0</v>
      </c>
      <c r="P315" s="860">
        <f t="shared" ca="1" si="238"/>
        <v>0</v>
      </c>
      <c r="Q315" s="860">
        <f t="shared" ca="1" si="239"/>
        <v>0</v>
      </c>
      <c r="R315" s="1969">
        <f t="shared" ca="1" si="240"/>
        <v>0</v>
      </c>
      <c r="S315" s="866"/>
      <c r="T315" s="856">
        <f t="shared" ca="1" si="241"/>
        <v>0</v>
      </c>
      <c r="U315" s="711">
        <f t="shared" ca="1" si="242"/>
        <v>0</v>
      </c>
      <c r="V315" s="711">
        <f t="shared" ca="1" si="243"/>
        <v>0</v>
      </c>
      <c r="W315" s="711">
        <f t="shared" ca="1" si="244"/>
        <v>0</v>
      </c>
      <c r="X315" s="2773">
        <f t="shared" si="232"/>
        <v>0</v>
      </c>
      <c r="Y315" s="2774">
        <f t="shared" ca="1" si="233"/>
        <v>0</v>
      </c>
      <c r="Z315" s="10"/>
      <c r="AA315" s="675"/>
      <c r="AB315" s="10"/>
      <c r="AC315" s="871"/>
      <c r="AD315" s="875"/>
    </row>
    <row r="316" spans="1:104" ht="54" customHeight="1" thickBot="1" x14ac:dyDescent="0.25">
      <c r="A316" s="4034"/>
      <c r="B316" s="4063"/>
      <c r="C316" s="3173">
        <v>5554</v>
      </c>
      <c r="D316" s="3746"/>
      <c r="E316" s="3173" t="s">
        <v>56</v>
      </c>
      <c r="F316" s="3174">
        <f>+F208+F209</f>
        <v>0</v>
      </c>
      <c r="G316" s="3174">
        <f>+G208+G209</f>
        <v>0</v>
      </c>
      <c r="H316" s="4131"/>
      <c r="I316" s="3328">
        <f>IF(F316=0,0,ROUND($F316*COEF!$J$27,0))</f>
        <v>0</v>
      </c>
      <c r="J316" s="3329">
        <f>IF(F316=0,0,ROUND($F316*COEF!$K$27,0))</f>
        <v>0</v>
      </c>
      <c r="K316" s="3329">
        <f>IF(F316=0,0,ROUND($F316*COEF!$L$27,0))</f>
        <v>0</v>
      </c>
      <c r="L316" s="3330">
        <f t="shared" ca="1" si="227"/>
        <v>0</v>
      </c>
      <c r="M316" s="3330">
        <f t="shared" ca="1" si="228"/>
        <v>0</v>
      </c>
      <c r="N316" s="3330">
        <f t="shared" ca="1" si="229"/>
        <v>0</v>
      </c>
      <c r="O316" s="860">
        <f t="shared" ca="1" si="237"/>
        <v>0</v>
      </c>
      <c r="P316" s="860">
        <f t="shared" ca="1" si="238"/>
        <v>0</v>
      </c>
      <c r="Q316" s="860">
        <f t="shared" ca="1" si="239"/>
        <v>0</v>
      </c>
      <c r="R316" s="1969">
        <f t="shared" ca="1" si="240"/>
        <v>0</v>
      </c>
      <c r="S316" s="866"/>
      <c r="T316" s="856">
        <f t="shared" ca="1" si="241"/>
        <v>0</v>
      </c>
      <c r="U316" s="711">
        <f t="shared" ca="1" si="242"/>
        <v>0</v>
      </c>
      <c r="V316" s="711">
        <f t="shared" ca="1" si="243"/>
        <v>0</v>
      </c>
      <c r="W316" s="711">
        <f t="shared" ca="1" si="244"/>
        <v>0</v>
      </c>
      <c r="X316" s="2773">
        <f t="shared" si="232"/>
        <v>0</v>
      </c>
      <c r="Y316" s="2774">
        <f t="shared" ca="1" si="233"/>
        <v>0</v>
      </c>
      <c r="Z316" s="10"/>
      <c r="AA316" s="675"/>
      <c r="AB316" s="10"/>
      <c r="AC316" s="871"/>
      <c r="AD316" s="875"/>
    </row>
    <row r="317" spans="1:104" ht="54" hidden="1" customHeight="1" thickBot="1" x14ac:dyDescent="0.25">
      <c r="A317" s="4034"/>
      <c r="B317" s="4063"/>
      <c r="C317" s="3419">
        <v>5555</v>
      </c>
      <c r="D317" s="3752"/>
      <c r="E317" s="1949" t="s">
        <v>1315</v>
      </c>
      <c r="F317" s="3171">
        <f>+F210</f>
        <v>0</v>
      </c>
      <c r="G317" s="3171">
        <f>+G210</f>
        <v>0</v>
      </c>
      <c r="H317" s="4131"/>
      <c r="I317" s="3328">
        <f>IF(F317=0,0,ROUND($F317*COEF!$J$27,0))</f>
        <v>0</v>
      </c>
      <c r="J317" s="3329">
        <f>IF(F317=0,0,ROUND($F317*COEF!$K$27,0))</f>
        <v>0</v>
      </c>
      <c r="K317" s="3329">
        <f>IF(F317=0,0,ROUND($F317*COEF!$L$27,0))</f>
        <v>0</v>
      </c>
      <c r="L317" s="3330">
        <f t="shared" ca="1" si="227"/>
        <v>0</v>
      </c>
      <c r="M317" s="3330">
        <f t="shared" ca="1" si="228"/>
        <v>0</v>
      </c>
      <c r="N317" s="3330">
        <f t="shared" ca="1" si="229"/>
        <v>0</v>
      </c>
      <c r="O317" s="860">
        <f t="shared" ref="O317" ca="1" si="310">I317+L317</f>
        <v>0</v>
      </c>
      <c r="P317" s="860">
        <f t="shared" ref="P317" ca="1" si="311">J317+M317</f>
        <v>0</v>
      </c>
      <c r="Q317" s="860">
        <f t="shared" ref="Q317" ca="1" si="312">K317+N317</f>
        <v>0</v>
      </c>
      <c r="R317" s="1969">
        <f t="shared" ref="R317" ca="1" si="313">SUM(O317:Q317)</f>
        <v>0</v>
      </c>
      <c r="S317" s="866"/>
      <c r="T317" s="856">
        <f t="shared" ca="1" si="241"/>
        <v>0</v>
      </c>
      <c r="U317" s="711">
        <f t="shared" ca="1" si="242"/>
        <v>0</v>
      </c>
      <c r="V317" s="711">
        <f t="shared" ca="1" si="243"/>
        <v>0</v>
      </c>
      <c r="W317" s="711">
        <f t="shared" ca="1" si="244"/>
        <v>0</v>
      </c>
      <c r="X317" s="2773">
        <f t="shared" si="232"/>
        <v>0</v>
      </c>
      <c r="Y317" s="2774">
        <f t="shared" ca="1" si="233"/>
        <v>0</v>
      </c>
      <c r="Z317" s="10"/>
      <c r="AA317" s="675"/>
      <c r="AB317" s="10"/>
      <c r="AC317" s="871"/>
      <c r="AD317" s="875"/>
    </row>
    <row r="318" spans="1:104" ht="54" customHeight="1" thickBot="1" x14ac:dyDescent="0.25">
      <c r="A318" s="4034"/>
      <c r="B318" s="4063"/>
      <c r="C318" s="1948">
        <v>5572</v>
      </c>
      <c r="D318" s="4074" t="s">
        <v>1235</v>
      </c>
      <c r="E318" s="1948" t="s">
        <v>53</v>
      </c>
      <c r="F318" s="2421">
        <f>+F211</f>
        <v>0</v>
      </c>
      <c r="G318" s="2421">
        <f>+G211</f>
        <v>0</v>
      </c>
      <c r="H318" s="4131"/>
      <c r="I318" s="3328">
        <f>IF(F318=0,0,ROUND($F318*COEF!$J$27,0))</f>
        <v>0</v>
      </c>
      <c r="J318" s="3329">
        <f>IF(F318=0,0,ROUND($F318*COEF!$K$27,0))</f>
        <v>0</v>
      </c>
      <c r="K318" s="3329">
        <f>IF(F318=0,0,ROUND($F318*COEF!$L$27,0))</f>
        <v>0</v>
      </c>
      <c r="L318" s="3330">
        <f t="shared" ca="1" si="227"/>
        <v>0</v>
      </c>
      <c r="M318" s="3330">
        <f t="shared" ca="1" si="228"/>
        <v>0</v>
      </c>
      <c r="N318" s="3330">
        <f t="shared" ca="1" si="229"/>
        <v>0</v>
      </c>
      <c r="O318" s="860">
        <f t="shared" ref="O318:O326" ca="1" si="314">I318+L318</f>
        <v>0</v>
      </c>
      <c r="P318" s="860">
        <f t="shared" ref="P318:P326" ca="1" si="315">J318+M318</f>
        <v>0</v>
      </c>
      <c r="Q318" s="860">
        <f t="shared" ref="Q318:Q326" ca="1" si="316">K318+N318</f>
        <v>0</v>
      </c>
      <c r="R318" s="1969">
        <f t="shared" ref="R318:R326" ca="1" si="317">SUM(O318:Q318)</f>
        <v>0</v>
      </c>
      <c r="S318" s="866"/>
      <c r="T318" s="856">
        <f t="shared" ca="1" si="241"/>
        <v>0</v>
      </c>
      <c r="U318" s="711">
        <f t="shared" ca="1" si="242"/>
        <v>0</v>
      </c>
      <c r="V318" s="711">
        <f t="shared" ca="1" si="243"/>
        <v>0</v>
      </c>
      <c r="W318" s="711">
        <f t="shared" ca="1" si="244"/>
        <v>0</v>
      </c>
      <c r="X318" s="2773">
        <f t="shared" si="232"/>
        <v>0</v>
      </c>
      <c r="Y318" s="2774">
        <f t="shared" ca="1" si="233"/>
        <v>0</v>
      </c>
      <c r="Z318" s="10"/>
      <c r="AA318" s="675"/>
      <c r="AB318" s="10"/>
      <c r="AC318" s="871"/>
      <c r="AD318" s="875"/>
    </row>
    <row r="319" spans="1:104" ht="54" customHeight="1" thickBot="1" x14ac:dyDescent="0.25">
      <c r="A319" s="4034"/>
      <c r="B319" s="4063"/>
      <c r="C319" s="1948">
        <v>5573</v>
      </c>
      <c r="D319" s="4074"/>
      <c r="E319" s="1948" t="s">
        <v>54</v>
      </c>
      <c r="F319" s="2421">
        <f>+F212+F213</f>
        <v>0</v>
      </c>
      <c r="G319" s="2421">
        <f>+G212+G213</f>
        <v>0</v>
      </c>
      <c r="H319" s="4131"/>
      <c r="I319" s="3328">
        <f>IF(F319=0,0,ROUND($F319*COEF!$J$27,0))</f>
        <v>0</v>
      </c>
      <c r="J319" s="3329">
        <f>IF(F319=0,0,ROUND($F319*COEF!$K$27,0))</f>
        <v>0</v>
      </c>
      <c r="K319" s="3329">
        <f>IF(F319=0,0,ROUND($F319*COEF!$L$27,0))</f>
        <v>0</v>
      </c>
      <c r="L319" s="3330">
        <f t="shared" ca="1" si="227"/>
        <v>0</v>
      </c>
      <c r="M319" s="3330">
        <f t="shared" ca="1" si="228"/>
        <v>0</v>
      </c>
      <c r="N319" s="3330">
        <f t="shared" ca="1" si="229"/>
        <v>0</v>
      </c>
      <c r="O319" s="860">
        <f t="shared" ca="1" si="314"/>
        <v>0</v>
      </c>
      <c r="P319" s="860">
        <f t="shared" ca="1" si="315"/>
        <v>0</v>
      </c>
      <c r="Q319" s="860">
        <f t="shared" ca="1" si="316"/>
        <v>0</v>
      </c>
      <c r="R319" s="1969">
        <f t="shared" ca="1" si="317"/>
        <v>0</v>
      </c>
      <c r="S319" s="866"/>
      <c r="T319" s="856">
        <f t="shared" ca="1" si="241"/>
        <v>0</v>
      </c>
      <c r="U319" s="711">
        <f t="shared" ca="1" si="242"/>
        <v>0</v>
      </c>
      <c r="V319" s="711">
        <f t="shared" ca="1" si="243"/>
        <v>0</v>
      </c>
      <c r="W319" s="711">
        <f t="shared" ca="1" si="244"/>
        <v>0</v>
      </c>
      <c r="X319" s="2773">
        <f t="shared" si="232"/>
        <v>0</v>
      </c>
      <c r="Y319" s="2774">
        <f t="shared" ca="1" si="233"/>
        <v>0</v>
      </c>
      <c r="Z319" s="10"/>
      <c r="AA319" s="675"/>
      <c r="AB319" s="10"/>
      <c r="AC319" s="871"/>
      <c r="AD319" s="875"/>
    </row>
    <row r="320" spans="1:104" ht="54" customHeight="1" thickBot="1" x14ac:dyDescent="0.25">
      <c r="A320" s="4034"/>
      <c r="B320" s="4063"/>
      <c r="C320" s="1949">
        <v>5582</v>
      </c>
      <c r="D320" s="4074"/>
      <c r="E320" s="1949" t="s">
        <v>55</v>
      </c>
      <c r="F320" s="2421">
        <f>+F214</f>
        <v>0</v>
      </c>
      <c r="G320" s="2421">
        <f>+G214</f>
        <v>0</v>
      </c>
      <c r="H320" s="4131"/>
      <c r="I320" s="3328">
        <f>IF(F320=0,0,ROUND($F320*COEF!$J$27,0))</f>
        <v>0</v>
      </c>
      <c r="J320" s="3329">
        <f>IF(F320=0,0,ROUND($F320*COEF!$K$27,0))</f>
        <v>0</v>
      </c>
      <c r="K320" s="3329">
        <f>IF(F320=0,0,ROUND($F320*COEF!$L$27,0))</f>
        <v>0</v>
      </c>
      <c r="L320" s="3330">
        <f t="shared" ca="1" si="227"/>
        <v>0</v>
      </c>
      <c r="M320" s="3330">
        <f t="shared" ca="1" si="228"/>
        <v>0</v>
      </c>
      <c r="N320" s="3330">
        <f t="shared" ca="1" si="229"/>
        <v>0</v>
      </c>
      <c r="O320" s="860">
        <f t="shared" ca="1" si="314"/>
        <v>0</v>
      </c>
      <c r="P320" s="860">
        <f t="shared" ca="1" si="315"/>
        <v>0</v>
      </c>
      <c r="Q320" s="860">
        <f t="shared" ca="1" si="316"/>
        <v>0</v>
      </c>
      <c r="R320" s="1969">
        <f t="shared" ca="1" si="317"/>
        <v>0</v>
      </c>
      <c r="S320" s="866"/>
      <c r="T320" s="856">
        <f t="shared" ca="1" si="241"/>
        <v>0</v>
      </c>
      <c r="U320" s="711">
        <f t="shared" ca="1" si="242"/>
        <v>0</v>
      </c>
      <c r="V320" s="711">
        <f t="shared" ca="1" si="243"/>
        <v>0</v>
      </c>
      <c r="W320" s="711">
        <f t="shared" ca="1" si="244"/>
        <v>0</v>
      </c>
      <c r="X320" s="2773">
        <f t="shared" si="232"/>
        <v>0</v>
      </c>
      <c r="Y320" s="2774">
        <f t="shared" ca="1" si="233"/>
        <v>0</v>
      </c>
      <c r="Z320" s="10"/>
      <c r="AA320" s="675"/>
      <c r="AB320" s="10"/>
      <c r="AC320" s="871"/>
      <c r="AD320" s="875"/>
    </row>
    <row r="321" spans="1:104" ht="54" customHeight="1" thickBot="1" x14ac:dyDescent="0.25">
      <c r="A321" s="4034"/>
      <c r="B321" s="4063"/>
      <c r="C321" s="3173">
        <v>5583</v>
      </c>
      <c r="D321" s="4074"/>
      <c r="E321" s="3173" t="s">
        <v>56</v>
      </c>
      <c r="F321" s="3174">
        <f>+F215+F216</f>
        <v>0</v>
      </c>
      <c r="G321" s="3174">
        <f>+G215+G216</f>
        <v>0</v>
      </c>
      <c r="H321" s="4131"/>
      <c r="I321" s="3328">
        <f>IF(F321=0,0,ROUND($F321*COEF!$J$27,0))</f>
        <v>0</v>
      </c>
      <c r="J321" s="3329">
        <f>IF(F321=0,0,ROUND($F321*COEF!$K$27,0))</f>
        <v>0</v>
      </c>
      <c r="K321" s="3329">
        <f>IF(F321=0,0,ROUND($F321*COEF!$L$27,0))</f>
        <v>0</v>
      </c>
      <c r="L321" s="3330">
        <f t="shared" ca="1" si="227"/>
        <v>0</v>
      </c>
      <c r="M321" s="3330">
        <f t="shared" ca="1" si="228"/>
        <v>0</v>
      </c>
      <c r="N321" s="3330">
        <f t="shared" ca="1" si="229"/>
        <v>0</v>
      </c>
      <c r="O321" s="860">
        <f t="shared" ca="1" si="314"/>
        <v>0</v>
      </c>
      <c r="P321" s="860">
        <f t="shared" ca="1" si="315"/>
        <v>0</v>
      </c>
      <c r="Q321" s="860">
        <f t="shared" ca="1" si="316"/>
        <v>0</v>
      </c>
      <c r="R321" s="1969">
        <f t="shared" ca="1" si="317"/>
        <v>0</v>
      </c>
      <c r="S321" s="866"/>
      <c r="T321" s="856">
        <f t="shared" ca="1" si="241"/>
        <v>0</v>
      </c>
      <c r="U321" s="711">
        <f t="shared" ca="1" si="242"/>
        <v>0</v>
      </c>
      <c r="V321" s="711">
        <f t="shared" ca="1" si="243"/>
        <v>0</v>
      </c>
      <c r="W321" s="711">
        <f t="shared" ca="1" si="244"/>
        <v>0</v>
      </c>
      <c r="X321" s="2773">
        <f t="shared" si="232"/>
        <v>0</v>
      </c>
      <c r="Y321" s="2774">
        <f t="shared" ca="1" si="233"/>
        <v>0</v>
      </c>
      <c r="Z321" s="10"/>
      <c r="AA321" s="675"/>
      <c r="AB321" s="10"/>
      <c r="AC321" s="871"/>
      <c r="AD321" s="875"/>
    </row>
    <row r="322" spans="1:104" ht="54" customHeight="1" thickBot="1" x14ac:dyDescent="0.25">
      <c r="A322" s="4034"/>
      <c r="B322" s="4063"/>
      <c r="C322" s="1948">
        <v>5592</v>
      </c>
      <c r="D322" s="3751" t="s">
        <v>1236</v>
      </c>
      <c r="E322" s="1948" t="s">
        <v>53</v>
      </c>
      <c r="F322" s="3171">
        <f>+F217</f>
        <v>0</v>
      </c>
      <c r="G322" s="3171">
        <f>+G217</f>
        <v>0</v>
      </c>
      <c r="H322" s="4131"/>
      <c r="I322" s="3328">
        <f>IF(F322=0,0,ROUND($F322*COEF!$J$27,0))</f>
        <v>0</v>
      </c>
      <c r="J322" s="3329">
        <f>IF(F322=0,0,ROUND($F322*COEF!$K$27,0))</f>
        <v>0</v>
      </c>
      <c r="K322" s="3329">
        <f>IF(F322=0,0,ROUND($F322*COEF!$L$27,0))</f>
        <v>0</v>
      </c>
      <c r="L322" s="3330">
        <f t="shared" ref="L322:L353" ca="1" si="318">+ROUND(I322*I$395,0)</f>
        <v>0</v>
      </c>
      <c r="M322" s="3330">
        <f t="shared" ref="M322:M353" ca="1" si="319">+ROUND(J322*J$395,0)</f>
        <v>0</v>
      </c>
      <c r="N322" s="3330">
        <f t="shared" ref="N322:N353" ca="1" si="320">+ROUND(K322*K$395,0)</f>
        <v>0</v>
      </c>
      <c r="O322" s="860">
        <f t="shared" ca="1" si="314"/>
        <v>0</v>
      </c>
      <c r="P322" s="860">
        <f t="shared" ca="1" si="315"/>
        <v>0</v>
      </c>
      <c r="Q322" s="860">
        <f t="shared" ca="1" si="316"/>
        <v>0</v>
      </c>
      <c r="R322" s="1969">
        <f t="shared" ca="1" si="317"/>
        <v>0</v>
      </c>
      <c r="S322" s="866"/>
      <c r="T322" s="856">
        <f t="shared" ca="1" si="241"/>
        <v>0</v>
      </c>
      <c r="U322" s="711">
        <f t="shared" ca="1" si="242"/>
        <v>0</v>
      </c>
      <c r="V322" s="711">
        <f t="shared" ca="1" si="243"/>
        <v>0</v>
      </c>
      <c r="W322" s="711">
        <f t="shared" ca="1" si="244"/>
        <v>0</v>
      </c>
      <c r="X322" s="2773">
        <f t="shared" si="232"/>
        <v>0</v>
      </c>
      <c r="Y322" s="2774">
        <f t="shared" ca="1" si="233"/>
        <v>0</v>
      </c>
      <c r="Z322" s="10"/>
      <c r="AA322" s="675"/>
      <c r="AB322" s="10"/>
      <c r="AC322" s="871"/>
      <c r="AD322" s="875"/>
    </row>
    <row r="323" spans="1:104" ht="54" customHeight="1" thickBot="1" x14ac:dyDescent="0.25">
      <c r="A323" s="4034"/>
      <c r="B323" s="4063"/>
      <c r="C323" s="1948">
        <v>5593</v>
      </c>
      <c r="D323" s="3746"/>
      <c r="E323" s="1948" t="s">
        <v>54</v>
      </c>
      <c r="F323" s="3171">
        <f>+F218+F219</f>
        <v>0</v>
      </c>
      <c r="G323" s="3171">
        <f>+G218+G219</f>
        <v>0</v>
      </c>
      <c r="H323" s="4131"/>
      <c r="I323" s="3328">
        <f>IF(F323=0,0,ROUND($F323*COEF!$J$27,0))</f>
        <v>0</v>
      </c>
      <c r="J323" s="3329">
        <f>IF(F323=0,0,ROUND($F323*COEF!$K$27,0))</f>
        <v>0</v>
      </c>
      <c r="K323" s="3329">
        <f>IF(F323=0,0,ROUND($F323*COEF!$L$27,0))</f>
        <v>0</v>
      </c>
      <c r="L323" s="3330">
        <f t="shared" ca="1" si="318"/>
        <v>0</v>
      </c>
      <c r="M323" s="3330">
        <f t="shared" ca="1" si="319"/>
        <v>0</v>
      </c>
      <c r="N323" s="3330">
        <f t="shared" ca="1" si="320"/>
        <v>0</v>
      </c>
      <c r="O323" s="860">
        <f t="shared" ca="1" si="314"/>
        <v>0</v>
      </c>
      <c r="P323" s="860">
        <f t="shared" ca="1" si="315"/>
        <v>0</v>
      </c>
      <c r="Q323" s="860">
        <f t="shared" ca="1" si="316"/>
        <v>0</v>
      </c>
      <c r="R323" s="1969">
        <f t="shared" ca="1" si="317"/>
        <v>0</v>
      </c>
      <c r="S323" s="866"/>
      <c r="T323" s="856">
        <f t="shared" ca="1" si="241"/>
        <v>0</v>
      </c>
      <c r="U323" s="711">
        <f t="shared" ca="1" si="242"/>
        <v>0</v>
      </c>
      <c r="V323" s="711">
        <f t="shared" ca="1" si="243"/>
        <v>0</v>
      </c>
      <c r="W323" s="711">
        <f t="shared" ca="1" si="244"/>
        <v>0</v>
      </c>
      <c r="X323" s="2773">
        <f t="shared" si="232"/>
        <v>0</v>
      </c>
      <c r="Y323" s="2774">
        <f t="shared" ca="1" si="233"/>
        <v>0</v>
      </c>
      <c r="Z323" s="10"/>
      <c r="AA323" s="675"/>
      <c r="AB323" s="10"/>
      <c r="AC323" s="871"/>
      <c r="AD323" s="875"/>
    </row>
    <row r="324" spans="1:104" ht="54" hidden="1" customHeight="1" thickBot="1" x14ac:dyDescent="0.25">
      <c r="A324" s="4034"/>
      <c r="B324" s="4063"/>
      <c r="C324" s="1948"/>
      <c r="D324" s="3746"/>
      <c r="E324" s="1948" t="s">
        <v>1353</v>
      </c>
      <c r="F324" s="3171">
        <f>+F220</f>
        <v>0</v>
      </c>
      <c r="G324" s="3171">
        <f>+G220</f>
        <v>0</v>
      </c>
      <c r="H324" s="4131"/>
      <c r="I324" s="3328">
        <f>IF(F324=0,0,ROUND($F324*COEF!$J$27,0))</f>
        <v>0</v>
      </c>
      <c r="J324" s="3329">
        <f>IF(F324=0,0,ROUND($F324*COEF!$K$27,0))</f>
        <v>0</v>
      </c>
      <c r="K324" s="3329">
        <f>IF(F324=0,0,ROUND($F324*COEF!$L$27,0))</f>
        <v>0</v>
      </c>
      <c r="L324" s="3330">
        <f t="shared" ca="1" si="318"/>
        <v>0</v>
      </c>
      <c r="M324" s="3330">
        <f t="shared" ca="1" si="319"/>
        <v>0</v>
      </c>
      <c r="N324" s="3330">
        <f t="shared" ca="1" si="320"/>
        <v>0</v>
      </c>
      <c r="O324" s="860">
        <f t="shared" ref="O324" ca="1" si="321">I324+L324</f>
        <v>0</v>
      </c>
      <c r="P324" s="860">
        <f t="shared" ref="P324" ca="1" si="322">J324+M324</f>
        <v>0</v>
      </c>
      <c r="Q324" s="860">
        <f t="shared" ref="Q324" ca="1" si="323">K324+N324</f>
        <v>0</v>
      </c>
      <c r="R324" s="1969">
        <f t="shared" ref="R324" ca="1" si="324">SUM(O324:Q324)</f>
        <v>0</v>
      </c>
      <c r="S324" s="866"/>
      <c r="T324" s="856">
        <f t="shared" ref="T324" ca="1" si="325">+SUM(L324:N324)</f>
        <v>0</v>
      </c>
      <c r="U324" s="711">
        <f t="shared" ref="U324" ca="1" si="326">L324</f>
        <v>0</v>
      </c>
      <c r="V324" s="711">
        <f t="shared" ref="V324" ca="1" si="327">M324</f>
        <v>0</v>
      </c>
      <c r="W324" s="711">
        <f t="shared" ref="W324" ca="1" si="328">N324</f>
        <v>0</v>
      </c>
      <c r="X324" s="2773">
        <f t="shared" ref="X324" si="329">+SUM(I324:K324)</f>
        <v>0</v>
      </c>
      <c r="Y324" s="2774">
        <f t="shared" ref="Y324" ca="1" si="330">+SUM(L324:N324)</f>
        <v>0</v>
      </c>
      <c r="Z324" s="10"/>
      <c r="AA324" s="675"/>
      <c r="AB324" s="10"/>
      <c r="AC324" s="871"/>
      <c r="AD324" s="875"/>
    </row>
    <row r="325" spans="1:104" ht="54" customHeight="1" thickBot="1" x14ac:dyDescent="0.25">
      <c r="A325" s="4034"/>
      <c r="B325" s="4063"/>
      <c r="C325" s="1949">
        <v>5602</v>
      </c>
      <c r="D325" s="3746"/>
      <c r="E325" s="1949" t="s">
        <v>55</v>
      </c>
      <c r="F325" s="3171">
        <f>+F221</f>
        <v>0</v>
      </c>
      <c r="G325" s="3171">
        <f>+G221</f>
        <v>0</v>
      </c>
      <c r="H325" s="4131"/>
      <c r="I325" s="3328">
        <f>IF(F325=0,0,ROUND($F325*COEF!$J$27,0))</f>
        <v>0</v>
      </c>
      <c r="J325" s="3329">
        <f>IF(F325=0,0,ROUND($F325*COEF!$K$27,0))</f>
        <v>0</v>
      </c>
      <c r="K325" s="3329">
        <f>IF(F325=0,0,ROUND($F325*COEF!$L$27,0))</f>
        <v>0</v>
      </c>
      <c r="L325" s="3330">
        <f t="shared" ca="1" si="318"/>
        <v>0</v>
      </c>
      <c r="M325" s="3330">
        <f t="shared" ca="1" si="319"/>
        <v>0</v>
      </c>
      <c r="N325" s="3330">
        <f t="shared" ca="1" si="320"/>
        <v>0</v>
      </c>
      <c r="O325" s="860">
        <f t="shared" ca="1" si="314"/>
        <v>0</v>
      </c>
      <c r="P325" s="860">
        <f t="shared" ca="1" si="315"/>
        <v>0</v>
      </c>
      <c r="Q325" s="860">
        <f t="shared" ca="1" si="316"/>
        <v>0</v>
      </c>
      <c r="R325" s="1969">
        <f t="shared" ca="1" si="317"/>
        <v>0</v>
      </c>
      <c r="S325" s="866"/>
      <c r="T325" s="856">
        <f t="shared" ca="1" si="241"/>
        <v>0</v>
      </c>
      <c r="U325" s="711">
        <f t="shared" ca="1" si="242"/>
        <v>0</v>
      </c>
      <c r="V325" s="711">
        <f t="shared" ca="1" si="243"/>
        <v>0</v>
      </c>
      <c r="W325" s="711">
        <f t="shared" ca="1" si="244"/>
        <v>0</v>
      </c>
      <c r="X325" s="2773">
        <f t="shared" si="232"/>
        <v>0</v>
      </c>
      <c r="Y325" s="2774">
        <f t="shared" ca="1" si="233"/>
        <v>0</v>
      </c>
      <c r="Z325" s="10"/>
      <c r="AA325" s="675"/>
      <c r="AB325" s="10"/>
      <c r="AC325" s="871"/>
      <c r="AD325" s="875"/>
    </row>
    <row r="326" spans="1:104" ht="54" customHeight="1" thickBot="1" x14ac:dyDescent="0.25">
      <c r="A326" s="4034"/>
      <c r="B326" s="4064"/>
      <c r="C326" s="3173">
        <v>5603</v>
      </c>
      <c r="D326" s="3746"/>
      <c r="E326" s="3173" t="s">
        <v>56</v>
      </c>
      <c r="F326" s="3171">
        <f>+F222+F223</f>
        <v>0</v>
      </c>
      <c r="G326" s="3171">
        <f>+G222+G223</f>
        <v>0</v>
      </c>
      <c r="H326" s="4131"/>
      <c r="I326" s="3328">
        <f>IF(F326=0,0,ROUND($F326*COEF!$J$27,0))</f>
        <v>0</v>
      </c>
      <c r="J326" s="3329">
        <f>IF(F326=0,0,ROUND($F326*COEF!$K$27,0))</f>
        <v>0</v>
      </c>
      <c r="K326" s="3329">
        <f>IF(F326=0,0,ROUND($F326*COEF!$L$27,0))</f>
        <v>0</v>
      </c>
      <c r="L326" s="3330">
        <f t="shared" ca="1" si="318"/>
        <v>0</v>
      </c>
      <c r="M326" s="3330">
        <f t="shared" ca="1" si="319"/>
        <v>0</v>
      </c>
      <c r="N326" s="3330">
        <f t="shared" ca="1" si="320"/>
        <v>0</v>
      </c>
      <c r="O326" s="860">
        <f t="shared" ca="1" si="314"/>
        <v>0</v>
      </c>
      <c r="P326" s="860">
        <f t="shared" ca="1" si="315"/>
        <v>0</v>
      </c>
      <c r="Q326" s="860">
        <f t="shared" ca="1" si="316"/>
        <v>0</v>
      </c>
      <c r="R326" s="1969">
        <f t="shared" ca="1" si="317"/>
        <v>0</v>
      </c>
      <c r="S326" s="866"/>
      <c r="T326" s="856">
        <f t="shared" ca="1" si="241"/>
        <v>0</v>
      </c>
      <c r="U326" s="711">
        <f t="shared" ca="1" si="242"/>
        <v>0</v>
      </c>
      <c r="V326" s="711">
        <f t="shared" ca="1" si="243"/>
        <v>0</v>
      </c>
      <c r="W326" s="711">
        <f t="shared" ca="1" si="244"/>
        <v>0</v>
      </c>
      <c r="X326" s="2773">
        <f t="shared" si="232"/>
        <v>0</v>
      </c>
      <c r="Y326" s="2774">
        <f t="shared" ca="1" si="233"/>
        <v>0</v>
      </c>
      <c r="Z326" s="10"/>
      <c r="AA326" s="675"/>
      <c r="AB326" s="10"/>
      <c r="AC326" s="871"/>
      <c r="AD326" s="875"/>
    </row>
    <row r="327" spans="1:104" ht="54" hidden="1" customHeight="1" thickBot="1" x14ac:dyDescent="0.25">
      <c r="A327" s="4034"/>
      <c r="B327" s="3489"/>
      <c r="C327" s="3515"/>
      <c r="D327" s="3747"/>
      <c r="E327" s="3173" t="s">
        <v>623</v>
      </c>
      <c r="F327" s="3171">
        <f t="shared" ref="F327:G333" si="331">+F224</f>
        <v>0</v>
      </c>
      <c r="G327" s="3171">
        <f t="shared" si="331"/>
        <v>0</v>
      </c>
      <c r="H327" s="4132"/>
      <c r="I327" s="3328">
        <f>IF(F327=0,0,ROUND($F327*COEF!$J$27,0))</f>
        <v>0</v>
      </c>
      <c r="J327" s="3329">
        <f>IF(F327=0,0,ROUND($F327*COEF!$K$27,0))</f>
        <v>0</v>
      </c>
      <c r="K327" s="3329">
        <f>IF(F327=0,0,ROUND($F327*COEF!$L$27,0))</f>
        <v>0</v>
      </c>
      <c r="L327" s="3330">
        <f t="shared" ca="1" si="318"/>
        <v>0</v>
      </c>
      <c r="M327" s="3330">
        <f t="shared" ca="1" si="319"/>
        <v>0</v>
      </c>
      <c r="N327" s="3330">
        <f t="shared" ca="1" si="320"/>
        <v>0</v>
      </c>
      <c r="O327" s="860">
        <f t="shared" ref="O327" ca="1" si="332">I327+L327</f>
        <v>0</v>
      </c>
      <c r="P327" s="860">
        <f t="shared" ref="P327" ca="1" si="333">J327+M327</f>
        <v>0</v>
      </c>
      <c r="Q327" s="860">
        <f t="shared" ref="Q327" ca="1" si="334">K327+N327</f>
        <v>0</v>
      </c>
      <c r="R327" s="1969">
        <f t="shared" ref="R327" ca="1" si="335">SUM(O327:Q327)</f>
        <v>0</v>
      </c>
      <c r="S327" s="866"/>
      <c r="T327" s="856">
        <f t="shared" ref="T327" ca="1" si="336">+SUM(L327:N327)</f>
        <v>0</v>
      </c>
      <c r="U327" s="711">
        <f t="shared" ref="U327" ca="1" si="337">L327</f>
        <v>0</v>
      </c>
      <c r="V327" s="711">
        <f t="shared" ref="V327" ca="1" si="338">M327</f>
        <v>0</v>
      </c>
      <c r="W327" s="711">
        <f t="shared" ref="W327" ca="1" si="339">N327</f>
        <v>0</v>
      </c>
      <c r="X327" s="2773">
        <f t="shared" ref="X327" si="340">+SUM(I327:K327)</f>
        <v>0</v>
      </c>
      <c r="Y327" s="2774">
        <f t="shared" ref="Y327" ca="1" si="341">+SUM(L327:N327)</f>
        <v>0</v>
      </c>
      <c r="Z327" s="10"/>
      <c r="AA327" s="675"/>
      <c r="AB327" s="10"/>
      <c r="AC327" s="871"/>
      <c r="AD327" s="875"/>
    </row>
    <row r="328" spans="1:104" ht="63" customHeight="1" thickBot="1" x14ac:dyDescent="0.25">
      <c r="A328" s="4034"/>
      <c r="B328" s="4065" t="s">
        <v>57</v>
      </c>
      <c r="C328" s="3172">
        <v>5030</v>
      </c>
      <c r="D328" s="3758" t="s">
        <v>217</v>
      </c>
      <c r="E328" s="3758"/>
      <c r="F328" s="2421">
        <f t="shared" si="331"/>
        <v>0</v>
      </c>
      <c r="G328" s="2421">
        <f t="shared" si="331"/>
        <v>0</v>
      </c>
      <c r="H328" s="4133" t="s">
        <v>57</v>
      </c>
      <c r="I328" s="3328">
        <f>IF(F328=0,0,ROUND($F328*COEF!$J$27,0))</f>
        <v>0</v>
      </c>
      <c r="J328" s="3329">
        <f>IF(F328=0,0,ROUND($F328*COEF!$K$27,0))</f>
        <v>0</v>
      </c>
      <c r="K328" s="3329">
        <f>IF(F328=0,0,ROUND($F328*COEF!$L$27,0))</f>
        <v>0</v>
      </c>
      <c r="L328" s="3330">
        <f t="shared" ca="1" si="318"/>
        <v>0</v>
      </c>
      <c r="M328" s="3330">
        <f t="shared" ca="1" si="319"/>
        <v>0</v>
      </c>
      <c r="N328" s="3330">
        <f t="shared" ca="1" si="320"/>
        <v>0</v>
      </c>
      <c r="O328" s="860">
        <f t="shared" ca="1" si="237"/>
        <v>0</v>
      </c>
      <c r="P328" s="860">
        <f t="shared" ca="1" si="238"/>
        <v>0</v>
      </c>
      <c r="Q328" s="860">
        <f t="shared" ca="1" si="239"/>
        <v>0</v>
      </c>
      <c r="R328" s="1969">
        <f t="shared" ca="1" si="240"/>
        <v>0</v>
      </c>
      <c r="S328" s="866"/>
      <c r="T328" s="856">
        <f t="shared" ca="1" si="241"/>
        <v>0</v>
      </c>
      <c r="U328" s="711">
        <f t="shared" ca="1" si="242"/>
        <v>0</v>
      </c>
      <c r="V328" s="711">
        <f t="shared" ca="1" si="243"/>
        <v>0</v>
      </c>
      <c r="W328" s="711">
        <f t="shared" ca="1" si="244"/>
        <v>0</v>
      </c>
      <c r="X328" s="2773">
        <f t="shared" si="232"/>
        <v>0</v>
      </c>
      <c r="Y328" s="2774">
        <f t="shared" ca="1" si="233"/>
        <v>0</v>
      </c>
      <c r="Z328" s="10"/>
      <c r="AA328" s="675"/>
      <c r="AB328" s="10"/>
      <c r="AC328" s="878"/>
      <c r="AD328" s="879"/>
    </row>
    <row r="329" spans="1:104" ht="54" customHeight="1" thickBot="1" x14ac:dyDescent="0.25">
      <c r="A329" s="4034"/>
      <c r="B329" s="4066"/>
      <c r="C329" s="1954">
        <v>5040</v>
      </c>
      <c r="D329" s="3743" t="s">
        <v>218</v>
      </c>
      <c r="E329" s="3744"/>
      <c r="F329" s="2421">
        <f t="shared" si="331"/>
        <v>0</v>
      </c>
      <c r="G329" s="2421">
        <f t="shared" si="331"/>
        <v>0</v>
      </c>
      <c r="H329" s="4134"/>
      <c r="I329" s="3328">
        <f>IF(F329=0,0,ROUND($F329*COEF!$J$27,0))</f>
        <v>0</v>
      </c>
      <c r="J329" s="3329">
        <f>IF(F329=0,0,ROUND($F329*COEF!$K$27,0))</f>
        <v>0</v>
      </c>
      <c r="K329" s="3329">
        <f>IF(F329=0,0,ROUND($F329*COEF!$L$27,0))</f>
        <v>0</v>
      </c>
      <c r="L329" s="3330">
        <f t="shared" ca="1" si="318"/>
        <v>0</v>
      </c>
      <c r="M329" s="3330">
        <f t="shared" ca="1" si="319"/>
        <v>0</v>
      </c>
      <c r="N329" s="3330">
        <f t="shared" ca="1" si="320"/>
        <v>0</v>
      </c>
      <c r="O329" s="860">
        <f t="shared" ca="1" si="237"/>
        <v>0</v>
      </c>
      <c r="P329" s="860">
        <f t="shared" ca="1" si="238"/>
        <v>0</v>
      </c>
      <c r="Q329" s="860">
        <f t="shared" ca="1" si="239"/>
        <v>0</v>
      </c>
      <c r="R329" s="1969">
        <f t="shared" ca="1" si="240"/>
        <v>0</v>
      </c>
      <c r="S329" s="866"/>
      <c r="T329" s="856">
        <f t="shared" ca="1" si="241"/>
        <v>0</v>
      </c>
      <c r="U329" s="711">
        <f t="shared" ca="1" si="242"/>
        <v>0</v>
      </c>
      <c r="V329" s="711">
        <f t="shared" ca="1" si="243"/>
        <v>0</v>
      </c>
      <c r="W329" s="711">
        <f t="shared" ca="1" si="244"/>
        <v>0</v>
      </c>
      <c r="X329" s="2773">
        <f t="shared" si="232"/>
        <v>0</v>
      </c>
      <c r="Y329" s="2774">
        <f t="shared" ca="1" si="233"/>
        <v>0</v>
      </c>
      <c r="Z329" s="10"/>
      <c r="AA329" s="675"/>
      <c r="AB329" s="10"/>
      <c r="AC329" s="862"/>
      <c r="AD329" s="863"/>
    </row>
    <row r="330" spans="1:104" ht="54" hidden="1" customHeight="1" thickBot="1" x14ac:dyDescent="0.25">
      <c r="A330" s="4034"/>
      <c r="B330" s="4066"/>
      <c r="C330" s="1954">
        <v>5041</v>
      </c>
      <c r="D330" s="3743" t="s">
        <v>620</v>
      </c>
      <c r="E330" s="3744"/>
      <c r="F330" s="2421">
        <f t="shared" si="331"/>
        <v>0</v>
      </c>
      <c r="G330" s="2421">
        <f t="shared" si="331"/>
        <v>0</v>
      </c>
      <c r="H330" s="4134"/>
      <c r="I330" s="3328">
        <f>IF(F330=0,0,ROUND($F330*COEF!$J$27,0))</f>
        <v>0</v>
      </c>
      <c r="J330" s="3329">
        <f>IF(F330=0,0,ROUND($F330*COEF!$K$27,0))</f>
        <v>0</v>
      </c>
      <c r="K330" s="3329">
        <f>IF(F330=0,0,ROUND($F330*COEF!$L$27,0))</f>
        <v>0</v>
      </c>
      <c r="L330" s="3330">
        <f t="shared" ca="1" si="318"/>
        <v>0</v>
      </c>
      <c r="M330" s="3330">
        <f t="shared" ca="1" si="319"/>
        <v>0</v>
      </c>
      <c r="N330" s="3330">
        <f t="shared" ca="1" si="320"/>
        <v>0</v>
      </c>
      <c r="O330" s="860">
        <f t="shared" ref="O330" ca="1" si="342">I330+L330</f>
        <v>0</v>
      </c>
      <c r="P330" s="860">
        <f t="shared" ref="P330" ca="1" si="343">J330+M330</f>
        <v>0</v>
      </c>
      <c r="Q330" s="860">
        <f t="shared" ref="Q330" ca="1" si="344">K330+N330</f>
        <v>0</v>
      </c>
      <c r="R330" s="1969">
        <f t="shared" ref="R330" ca="1" si="345">SUM(O330:Q330)</f>
        <v>0</v>
      </c>
      <c r="S330" s="866"/>
      <c r="T330" s="856">
        <f t="shared" ca="1" si="241"/>
        <v>0</v>
      </c>
      <c r="U330" s="711">
        <f t="shared" ca="1" si="242"/>
        <v>0</v>
      </c>
      <c r="V330" s="711">
        <f t="shared" ca="1" si="243"/>
        <v>0</v>
      </c>
      <c r="W330" s="711">
        <f t="shared" ca="1" si="244"/>
        <v>0</v>
      </c>
      <c r="X330" s="2773">
        <f t="shared" si="232"/>
        <v>0</v>
      </c>
      <c r="Y330" s="2774">
        <f t="shared" ca="1" si="233"/>
        <v>0</v>
      </c>
      <c r="Z330" s="10"/>
      <c r="AA330" s="675"/>
      <c r="AB330" s="10"/>
      <c r="AC330" s="888"/>
      <c r="AD330" s="3483"/>
    </row>
    <row r="331" spans="1:104" ht="54" customHeight="1" thickBot="1" x14ac:dyDescent="0.25">
      <c r="A331" s="4034"/>
      <c r="B331" s="4066"/>
      <c r="C331" s="1954">
        <v>5045</v>
      </c>
      <c r="D331" s="3743" t="s">
        <v>221</v>
      </c>
      <c r="E331" s="3744"/>
      <c r="F331" s="2421">
        <f t="shared" si="331"/>
        <v>0</v>
      </c>
      <c r="G331" s="2421">
        <f t="shared" si="331"/>
        <v>0</v>
      </c>
      <c r="H331" s="4134"/>
      <c r="I331" s="3328">
        <f>IF(F331=0,0,ROUND($F331*COEF!$J$27,0))</f>
        <v>0</v>
      </c>
      <c r="J331" s="3329">
        <f>IF(F331=0,0,ROUND($F331*COEF!$K$27,0))</f>
        <v>0</v>
      </c>
      <c r="K331" s="3329">
        <f>IF(F331=0,0,ROUND($F331*COEF!$L$27,0))</f>
        <v>0</v>
      </c>
      <c r="L331" s="3330">
        <f t="shared" ca="1" si="318"/>
        <v>0</v>
      </c>
      <c r="M331" s="3330">
        <f t="shared" ca="1" si="319"/>
        <v>0</v>
      </c>
      <c r="N331" s="3330">
        <f t="shared" ca="1" si="320"/>
        <v>0</v>
      </c>
      <c r="O331" s="860">
        <f t="shared" ca="1" si="237"/>
        <v>0</v>
      </c>
      <c r="P331" s="860">
        <f t="shared" ref="P331" ca="1" si="346">J331+M331</f>
        <v>0</v>
      </c>
      <c r="Q331" s="860">
        <f t="shared" ref="Q331" ca="1" si="347">K331+N331</f>
        <v>0</v>
      </c>
      <c r="R331" s="1969">
        <f t="shared" ref="R331" ca="1" si="348">SUM(O331:Q331)</f>
        <v>0</v>
      </c>
      <c r="S331" s="866"/>
      <c r="T331" s="856">
        <f t="shared" ca="1" si="241"/>
        <v>0</v>
      </c>
      <c r="U331" s="711">
        <f t="shared" ca="1" si="242"/>
        <v>0</v>
      </c>
      <c r="V331" s="711">
        <f t="shared" ca="1" si="243"/>
        <v>0</v>
      </c>
      <c r="W331" s="711">
        <f t="shared" ca="1" si="244"/>
        <v>0</v>
      </c>
      <c r="X331" s="2773">
        <f t="shared" si="232"/>
        <v>0</v>
      </c>
      <c r="Y331" s="2774">
        <f t="shared" ca="1" si="233"/>
        <v>0</v>
      </c>
      <c r="Z331" s="10"/>
      <c r="AA331" s="675"/>
      <c r="AB331" s="10"/>
      <c r="AC331" s="1720"/>
      <c r="AD331" s="868"/>
    </row>
    <row r="332" spans="1:104" ht="54" customHeight="1" thickBot="1" x14ac:dyDescent="0.25">
      <c r="A332" s="4034"/>
      <c r="B332" s="4066"/>
      <c r="C332" s="1955">
        <v>5050</v>
      </c>
      <c r="D332" s="3742" t="s">
        <v>219</v>
      </c>
      <c r="E332" s="3742"/>
      <c r="F332" s="2421">
        <f t="shared" si="331"/>
        <v>0</v>
      </c>
      <c r="G332" s="2421">
        <f t="shared" si="331"/>
        <v>0</v>
      </c>
      <c r="H332" s="4134"/>
      <c r="I332" s="3328">
        <f>IF(F332=0,0,ROUND($F332*COEF!$J$27,0))</f>
        <v>0</v>
      </c>
      <c r="J332" s="3329">
        <f>IF(F332=0,0,ROUND($F332*COEF!$K$27,0))</f>
        <v>0</v>
      </c>
      <c r="K332" s="3329">
        <f>IF(F332=0,0,ROUND($F332*COEF!$L$27,0))</f>
        <v>0</v>
      </c>
      <c r="L332" s="3330">
        <f t="shared" ca="1" si="318"/>
        <v>0</v>
      </c>
      <c r="M332" s="3330">
        <f t="shared" ca="1" si="319"/>
        <v>0</v>
      </c>
      <c r="N332" s="3330">
        <f t="shared" ca="1" si="320"/>
        <v>0</v>
      </c>
      <c r="O332" s="860">
        <f t="shared" ca="1" si="237"/>
        <v>0</v>
      </c>
      <c r="P332" s="860">
        <f t="shared" ref="P332" ca="1" si="349">J332+M332</f>
        <v>0</v>
      </c>
      <c r="Q332" s="860">
        <f t="shared" ref="Q332" ca="1" si="350">K332+N332</f>
        <v>0</v>
      </c>
      <c r="R332" s="1969">
        <f t="shared" ref="R332" ca="1" si="351">SUM(O332:Q332)</f>
        <v>0</v>
      </c>
      <c r="S332" s="866"/>
      <c r="T332" s="856">
        <f t="shared" ca="1" si="241"/>
        <v>0</v>
      </c>
      <c r="U332" s="711">
        <f t="shared" ca="1" si="242"/>
        <v>0</v>
      </c>
      <c r="V332" s="711">
        <f t="shared" ca="1" si="243"/>
        <v>0</v>
      </c>
      <c r="W332" s="711">
        <f t="shared" ca="1" si="244"/>
        <v>0</v>
      </c>
      <c r="X332" s="2773">
        <f t="shared" si="232"/>
        <v>0</v>
      </c>
      <c r="Y332" s="2774">
        <f t="shared" ca="1" si="233"/>
        <v>0</v>
      </c>
      <c r="Z332" s="10"/>
      <c r="AA332" s="675"/>
      <c r="AB332" s="10"/>
      <c r="AC332" s="1720"/>
      <c r="AD332" s="868"/>
    </row>
    <row r="333" spans="1:104" ht="54" hidden="1" customHeight="1" thickBot="1" x14ac:dyDescent="0.25">
      <c r="A333" s="4034"/>
      <c r="B333" s="4066"/>
      <c r="C333" s="1955">
        <v>5051</v>
      </c>
      <c r="D333" s="3742" t="s">
        <v>621</v>
      </c>
      <c r="E333" s="3742"/>
      <c r="F333" s="2421">
        <f t="shared" si="331"/>
        <v>0</v>
      </c>
      <c r="G333" s="2421">
        <f t="shared" si="331"/>
        <v>0</v>
      </c>
      <c r="H333" s="4134"/>
      <c r="I333" s="3328">
        <f>IF(F333=0,0,ROUND($F333*COEF!$J$27,0))</f>
        <v>0</v>
      </c>
      <c r="J333" s="3329">
        <f>IF(F333=0,0,ROUND($F333*COEF!$K$27,0))</f>
        <v>0</v>
      </c>
      <c r="K333" s="3329">
        <f>IF(F333=0,0,ROUND($F333*COEF!$L$27,0))</f>
        <v>0</v>
      </c>
      <c r="L333" s="3330">
        <f t="shared" ca="1" si="318"/>
        <v>0</v>
      </c>
      <c r="M333" s="3330">
        <f t="shared" ca="1" si="319"/>
        <v>0</v>
      </c>
      <c r="N333" s="3330">
        <f t="shared" ca="1" si="320"/>
        <v>0</v>
      </c>
      <c r="O333" s="860">
        <f t="shared" ref="O333" ca="1" si="352">I333+L333</f>
        <v>0</v>
      </c>
      <c r="P333" s="860">
        <f t="shared" ref="P333" ca="1" si="353">J333+M333</f>
        <v>0</v>
      </c>
      <c r="Q333" s="860">
        <f t="shared" ref="Q333" ca="1" si="354">K333+N333</f>
        <v>0</v>
      </c>
      <c r="R333" s="1969">
        <f t="shared" ref="R333" ca="1" si="355">SUM(O333:Q333)</f>
        <v>0</v>
      </c>
      <c r="S333" s="866"/>
      <c r="T333" s="856">
        <f t="shared" ca="1" si="241"/>
        <v>0</v>
      </c>
      <c r="U333" s="711">
        <f t="shared" ca="1" si="242"/>
        <v>0</v>
      </c>
      <c r="V333" s="711">
        <f t="shared" ca="1" si="243"/>
        <v>0</v>
      </c>
      <c r="W333" s="711">
        <f t="shared" ca="1" si="244"/>
        <v>0</v>
      </c>
      <c r="X333" s="2773">
        <f t="shared" si="232"/>
        <v>0</v>
      </c>
      <c r="Y333" s="2774">
        <f t="shared" ca="1" si="233"/>
        <v>0</v>
      </c>
      <c r="Z333" s="10"/>
      <c r="AA333" s="675"/>
      <c r="AB333" s="10"/>
      <c r="AC333" s="1720"/>
      <c r="AD333" s="868"/>
    </row>
    <row r="334" spans="1:104" ht="54" customHeight="1" thickBot="1" x14ac:dyDescent="0.25">
      <c r="A334" s="4034"/>
      <c r="B334" s="4066"/>
      <c r="C334" s="1955">
        <v>5055</v>
      </c>
      <c r="D334" s="3742" t="s">
        <v>222</v>
      </c>
      <c r="E334" s="3742"/>
      <c r="F334" s="2421">
        <f>+F231+F232</f>
        <v>0</v>
      </c>
      <c r="G334" s="2421">
        <f>+G231+G232</f>
        <v>0</v>
      </c>
      <c r="H334" s="4134"/>
      <c r="I334" s="3328">
        <f>IF(F334=0,0,ROUND($F334*COEF!$J$27,0))</f>
        <v>0</v>
      </c>
      <c r="J334" s="3329">
        <f>IF(F334=0,0,ROUND($F334*COEF!$K$27,0))</f>
        <v>0</v>
      </c>
      <c r="K334" s="3329">
        <f>IF(F334=0,0,ROUND($F334*COEF!$L$27,0))</f>
        <v>0</v>
      </c>
      <c r="L334" s="3330">
        <f t="shared" ca="1" si="318"/>
        <v>0</v>
      </c>
      <c r="M334" s="3330">
        <f t="shared" ca="1" si="319"/>
        <v>0</v>
      </c>
      <c r="N334" s="3330">
        <f t="shared" ca="1" si="320"/>
        <v>0</v>
      </c>
      <c r="O334" s="860">
        <f t="shared" ca="1" si="237"/>
        <v>0</v>
      </c>
      <c r="P334" s="860">
        <f t="shared" ca="1" si="238"/>
        <v>0</v>
      </c>
      <c r="Q334" s="860">
        <f t="shared" ca="1" si="239"/>
        <v>0</v>
      </c>
      <c r="R334" s="1969">
        <f t="shared" ca="1" si="240"/>
        <v>0</v>
      </c>
      <c r="S334" s="866"/>
      <c r="T334" s="856">
        <f t="shared" ca="1" si="241"/>
        <v>0</v>
      </c>
      <c r="U334" s="711">
        <f t="shared" ca="1" si="242"/>
        <v>0</v>
      </c>
      <c r="V334" s="711">
        <f t="shared" ca="1" si="243"/>
        <v>0</v>
      </c>
      <c r="W334" s="711">
        <f t="shared" ca="1" si="244"/>
        <v>0</v>
      </c>
      <c r="X334" s="2773">
        <f t="shared" si="232"/>
        <v>0</v>
      </c>
      <c r="Y334" s="2774">
        <f t="shared" ca="1" si="233"/>
        <v>0</v>
      </c>
      <c r="Z334" s="10"/>
      <c r="AA334" s="675"/>
      <c r="AB334" s="10"/>
      <c r="AC334" s="869"/>
      <c r="AD334" s="870"/>
    </row>
    <row r="335" spans="1:104" ht="54" customHeight="1" thickBot="1" x14ac:dyDescent="0.25">
      <c r="A335" s="4034"/>
      <c r="B335" s="4066"/>
      <c r="C335" s="1948">
        <v>5506</v>
      </c>
      <c r="D335" s="3751" t="s">
        <v>1234</v>
      </c>
      <c r="E335" s="1948" t="s">
        <v>59</v>
      </c>
      <c r="F335" s="2421">
        <f t="shared" ref="F335:G338" si="356">+F233</f>
        <v>0</v>
      </c>
      <c r="G335" s="2421">
        <f t="shared" si="356"/>
        <v>0</v>
      </c>
      <c r="H335" s="4134"/>
      <c r="I335" s="3328">
        <f>IF(F335=0,0,ROUND($F335*COEF!$J$27,0))</f>
        <v>0</v>
      </c>
      <c r="J335" s="3329">
        <f>IF(F335=0,0,ROUND($F335*COEF!$K$27,0))</f>
        <v>0</v>
      </c>
      <c r="K335" s="3329">
        <f>IF(F335=0,0,ROUND($F335*COEF!$L$27,0))</f>
        <v>0</v>
      </c>
      <c r="L335" s="3330">
        <f t="shared" ca="1" si="318"/>
        <v>0</v>
      </c>
      <c r="M335" s="3330">
        <f t="shared" ca="1" si="319"/>
        <v>0</v>
      </c>
      <c r="N335" s="3330">
        <f t="shared" ca="1" si="320"/>
        <v>0</v>
      </c>
      <c r="O335" s="860">
        <f t="shared" ca="1" si="237"/>
        <v>0</v>
      </c>
      <c r="P335" s="860">
        <f t="shared" ca="1" si="238"/>
        <v>0</v>
      </c>
      <c r="Q335" s="860">
        <f t="shared" ca="1" si="239"/>
        <v>0</v>
      </c>
      <c r="R335" s="1969">
        <f t="shared" ca="1" si="240"/>
        <v>0</v>
      </c>
      <c r="S335" s="3328">
        <f ca="1">IF(P335=0,0,ROUND($F335*COEF!$J$27,0))</f>
        <v>0</v>
      </c>
      <c r="T335" s="856">
        <f t="shared" ca="1" si="241"/>
        <v>0</v>
      </c>
      <c r="U335" s="711">
        <f t="shared" ca="1" si="242"/>
        <v>0</v>
      </c>
      <c r="V335" s="711">
        <f t="shared" ca="1" si="243"/>
        <v>0</v>
      </c>
      <c r="W335" s="711">
        <f t="shared" ca="1" si="244"/>
        <v>0</v>
      </c>
      <c r="X335" s="2773">
        <f t="shared" si="232"/>
        <v>0</v>
      </c>
      <c r="Y335" s="2774">
        <f t="shared" ca="1" si="233"/>
        <v>0</v>
      </c>
      <c r="Z335" s="860">
        <f t="shared" ref="Z335" ca="1" si="357">T335+W335</f>
        <v>0</v>
      </c>
      <c r="AA335" s="860">
        <f t="shared" ref="AA335" ca="1" si="358">U335+X335</f>
        <v>0</v>
      </c>
      <c r="AB335" s="1969">
        <f t="shared" ref="AB335" ca="1" si="359">SUM(Y335:AA335)</f>
        <v>0</v>
      </c>
      <c r="AC335" s="3328">
        <f ca="1">IF(Z335=0,0,ROUND($F335*COEF!$J$27,0))</f>
        <v>0</v>
      </c>
      <c r="AD335" s="3329">
        <f ca="1">IF(Z335=0,0,ROUND($F335*COEF!$K$27,0))</f>
        <v>0</v>
      </c>
      <c r="AE335" s="3329">
        <f ca="1">IF(Z335=0,0,ROUND($F335*COEF!$L$27,0))</f>
        <v>0</v>
      </c>
      <c r="AF335" s="3330">
        <f t="shared" ref="AF335:AH335" ca="1" si="360">+ROUND(AC335*AC$395,0)</f>
        <v>0</v>
      </c>
      <c r="AG335" s="3330">
        <f t="shared" ca="1" si="360"/>
        <v>0</v>
      </c>
      <c r="AH335" s="3330">
        <f t="shared" ca="1" si="360"/>
        <v>0</v>
      </c>
      <c r="AI335" s="860">
        <f t="shared" ref="AI335" ca="1" si="361">AC335+AF335</f>
        <v>0</v>
      </c>
      <c r="AJ335" s="860">
        <f t="shared" ref="AJ335" ca="1" si="362">AD335+AG335</f>
        <v>0</v>
      </c>
      <c r="AK335" s="860">
        <f t="shared" ref="AK335" ca="1" si="363">AE335+AH335</f>
        <v>0</v>
      </c>
      <c r="AL335" s="1969">
        <f t="shared" ref="AL335" ca="1" si="364">SUM(AI335:AK335)</f>
        <v>0</v>
      </c>
      <c r="AM335" s="3328">
        <f ca="1">IF(AJ335=0,0,ROUND($F335*COEF!$J$27,0))</f>
        <v>0</v>
      </c>
      <c r="AN335" s="3329">
        <f ca="1">IF(AJ335=0,0,ROUND($F335*COEF!$K$27,0))</f>
        <v>0</v>
      </c>
      <c r="AO335" s="3329">
        <f ca="1">IF(AJ335=0,0,ROUND($F335*COEF!$L$27,0))</f>
        <v>0</v>
      </c>
      <c r="AP335" s="3330">
        <f t="shared" ref="AP335:AR335" ca="1" si="365">+ROUND(AM335*AM$395,0)</f>
        <v>0</v>
      </c>
      <c r="AQ335" s="3330">
        <f t="shared" ca="1" si="365"/>
        <v>0</v>
      </c>
      <c r="AR335" s="3330">
        <f t="shared" ca="1" si="365"/>
        <v>0</v>
      </c>
      <c r="AS335" s="860">
        <f t="shared" ref="AS335" ca="1" si="366">AM335+AP335</f>
        <v>0</v>
      </c>
      <c r="AT335" s="860">
        <f t="shared" ref="AT335" ca="1" si="367">AN335+AQ335</f>
        <v>0</v>
      </c>
      <c r="AU335" s="860">
        <f t="shared" ref="AU335" ca="1" si="368">AO335+AR335</f>
        <v>0</v>
      </c>
      <c r="AV335" s="1969">
        <f t="shared" ref="AV335" ca="1" si="369">SUM(AS335:AU335)</f>
        <v>0</v>
      </c>
      <c r="AW335" s="3328">
        <f ca="1">IF(AT335=0,0,ROUND($F335*COEF!$J$27,0))</f>
        <v>0</v>
      </c>
      <c r="AX335" s="3329">
        <f ca="1">IF(AT335=0,0,ROUND($F335*COEF!$K$27,0))</f>
        <v>0</v>
      </c>
      <c r="AY335" s="3329">
        <f ca="1">IF(AT335=0,0,ROUND($F335*COEF!$L$27,0))</f>
        <v>0</v>
      </c>
      <c r="AZ335" s="3330">
        <f t="shared" ref="AZ335:BB335" ca="1" si="370">+ROUND(AW335*AW$395,0)</f>
        <v>0</v>
      </c>
      <c r="BA335" s="3330">
        <f t="shared" ca="1" si="370"/>
        <v>0</v>
      </c>
      <c r="BB335" s="3330">
        <f t="shared" ca="1" si="370"/>
        <v>0</v>
      </c>
      <c r="BC335" s="860">
        <f t="shared" ref="BC335" ca="1" si="371">AW335+AZ335</f>
        <v>0</v>
      </c>
      <c r="BD335" s="860">
        <f t="shared" ref="BD335" ca="1" si="372">AX335+BA335</f>
        <v>0</v>
      </c>
      <c r="BE335" s="860">
        <f t="shared" ref="BE335" ca="1" si="373">AY335+BB335</f>
        <v>0</v>
      </c>
      <c r="BF335" s="1969">
        <f t="shared" ref="BF335" ca="1" si="374">SUM(BC335:BE335)</f>
        <v>0</v>
      </c>
      <c r="BG335" s="3328">
        <f ca="1">IF(BD335=0,0,ROUND($F335*COEF!$J$27,0))</f>
        <v>0</v>
      </c>
      <c r="BH335" s="3329">
        <f ca="1">IF(BD335=0,0,ROUND($F335*COEF!$K$27,0))</f>
        <v>0</v>
      </c>
      <c r="BI335" s="3329">
        <f ca="1">IF(BD335=0,0,ROUND($F335*COEF!$L$27,0))</f>
        <v>0</v>
      </c>
      <c r="BJ335" s="3330">
        <f t="shared" ref="BJ335:BL335" ca="1" si="375">+ROUND(BG335*BG$395,0)</f>
        <v>0</v>
      </c>
      <c r="BK335" s="3330">
        <f t="shared" ca="1" si="375"/>
        <v>0</v>
      </c>
      <c r="BL335" s="3330">
        <f t="shared" ca="1" si="375"/>
        <v>0</v>
      </c>
      <c r="BM335" s="860">
        <f t="shared" ref="BM335" ca="1" si="376">BG335+BJ335</f>
        <v>0</v>
      </c>
      <c r="BN335" s="860">
        <f t="shared" ref="BN335" ca="1" si="377">BH335+BK335</f>
        <v>0</v>
      </c>
      <c r="BO335" s="860">
        <f t="shared" ref="BO335" ca="1" si="378">BI335+BL335</f>
        <v>0</v>
      </c>
      <c r="BP335" s="1969">
        <f t="shared" ref="BP335" ca="1" si="379">SUM(BM335:BO335)</f>
        <v>0</v>
      </c>
      <c r="BQ335" s="3328">
        <f ca="1">IF(BN335=0,0,ROUND($F335*COEF!$J$27,0))</f>
        <v>0</v>
      </c>
      <c r="BR335" s="3329">
        <f ca="1">IF(BN335=0,0,ROUND($F335*COEF!$K$27,0))</f>
        <v>0</v>
      </c>
      <c r="BS335" s="3329">
        <f ca="1">IF(BN335=0,0,ROUND($F335*COEF!$L$27,0))</f>
        <v>0</v>
      </c>
      <c r="BT335" s="3330">
        <f t="shared" ref="BT335:BV335" ca="1" si="380">+ROUND(BQ335*BQ$395,0)</f>
        <v>0</v>
      </c>
      <c r="BU335" s="3330">
        <f t="shared" ca="1" si="380"/>
        <v>0</v>
      </c>
      <c r="BV335" s="3330">
        <f t="shared" ca="1" si="380"/>
        <v>0</v>
      </c>
      <c r="BW335" s="860">
        <f t="shared" ref="BW335" ca="1" si="381">BQ335+BT335</f>
        <v>0</v>
      </c>
      <c r="BX335" s="860">
        <f t="shared" ref="BX335" ca="1" si="382">BR335+BU335</f>
        <v>0</v>
      </c>
      <c r="BY335" s="860">
        <f t="shared" ref="BY335" ca="1" si="383">BS335+BV335</f>
        <v>0</v>
      </c>
      <c r="BZ335" s="1969">
        <f t="shared" ref="BZ335" ca="1" si="384">SUM(BW335:BY335)</f>
        <v>0</v>
      </c>
      <c r="CA335" s="3328">
        <f ca="1">IF(BX335=0,0,ROUND($F335*COEF!$J$27,0))</f>
        <v>0</v>
      </c>
      <c r="CB335" s="3329">
        <f ca="1">IF(BX335=0,0,ROUND($F335*COEF!$K$27,0))</f>
        <v>0</v>
      </c>
      <c r="CC335" s="3329">
        <f ca="1">IF(BX335=0,0,ROUND($F335*COEF!$L$27,0))</f>
        <v>0</v>
      </c>
      <c r="CD335" s="3330">
        <f t="shared" ref="CD335:CF335" ca="1" si="385">+ROUND(CA335*CA$395,0)</f>
        <v>0</v>
      </c>
      <c r="CE335" s="3330">
        <f t="shared" ca="1" si="385"/>
        <v>0</v>
      </c>
      <c r="CF335" s="3330">
        <f t="shared" ca="1" si="385"/>
        <v>0</v>
      </c>
      <c r="CG335" s="860">
        <f t="shared" ref="CG335" ca="1" si="386">CA335+CD335</f>
        <v>0</v>
      </c>
      <c r="CH335" s="860">
        <f t="shared" ref="CH335" ca="1" si="387">CB335+CE335</f>
        <v>0</v>
      </c>
      <c r="CI335" s="860">
        <f t="shared" ref="CI335" ca="1" si="388">CC335+CF335</f>
        <v>0</v>
      </c>
      <c r="CJ335" s="1969">
        <f t="shared" ref="CJ335" ca="1" si="389">SUM(CG335:CI335)</f>
        <v>0</v>
      </c>
      <c r="CK335" s="3328">
        <f ca="1">IF(CH335=0,0,ROUND($F335*COEF!$J$27,0))</f>
        <v>0</v>
      </c>
      <c r="CL335" s="3329">
        <f ca="1">IF(CH335=0,0,ROUND($F335*COEF!$K$27,0))</f>
        <v>0</v>
      </c>
      <c r="CM335" s="3329">
        <f ca="1">IF(CH335=0,0,ROUND($F335*COEF!$L$27,0))</f>
        <v>0</v>
      </c>
      <c r="CN335" s="3330">
        <f t="shared" ref="CN335:CP335" ca="1" si="390">+ROUND(CK335*CK$395,0)</f>
        <v>0</v>
      </c>
      <c r="CO335" s="3330">
        <f t="shared" ca="1" si="390"/>
        <v>0</v>
      </c>
      <c r="CP335" s="3330">
        <f t="shared" ca="1" si="390"/>
        <v>0</v>
      </c>
      <c r="CQ335" s="860">
        <f t="shared" ref="CQ335" ca="1" si="391">CK335+CN335</f>
        <v>0</v>
      </c>
      <c r="CR335" s="860">
        <f t="shared" ref="CR335" ca="1" si="392">CL335+CO335</f>
        <v>0</v>
      </c>
      <c r="CS335" s="860">
        <f t="shared" ref="CS335" ca="1" si="393">CM335+CP335</f>
        <v>0</v>
      </c>
      <c r="CT335" s="1969">
        <f t="shared" ref="CT335" ca="1" si="394">SUM(CQ335:CS335)</f>
        <v>0</v>
      </c>
      <c r="CU335" s="3328">
        <f ca="1">IF(CR335=0,0,ROUND($F335*COEF!$J$27,0))</f>
        <v>0</v>
      </c>
      <c r="CV335" s="3329">
        <f ca="1">IF(CR335=0,0,ROUND($F335*COEF!$K$27,0))</f>
        <v>0</v>
      </c>
      <c r="CW335" s="3329">
        <f ca="1">IF(CR335=0,0,ROUND($F335*COEF!$L$27,0))</f>
        <v>0</v>
      </c>
      <c r="CX335" s="3330">
        <f t="shared" ref="CX335:CZ335" ca="1" si="395">+ROUND(CU335*CU$395,0)</f>
        <v>0</v>
      </c>
      <c r="CY335" s="3330">
        <f t="shared" ca="1" si="395"/>
        <v>0</v>
      </c>
      <c r="CZ335" s="3330">
        <f t="shared" ca="1" si="395"/>
        <v>0</v>
      </c>
    </row>
    <row r="336" spans="1:104" ht="54" hidden="1" customHeight="1" thickBot="1" x14ac:dyDescent="0.25">
      <c r="A336" s="4034"/>
      <c r="B336" s="4066"/>
      <c r="C336" s="1948">
        <v>5507</v>
      </c>
      <c r="D336" s="3746"/>
      <c r="E336" s="1948" t="s">
        <v>590</v>
      </c>
      <c r="F336" s="2421">
        <f t="shared" si="356"/>
        <v>0</v>
      </c>
      <c r="G336" s="2421">
        <f t="shared" si="356"/>
        <v>0</v>
      </c>
      <c r="H336" s="4134"/>
      <c r="I336" s="3328">
        <f>IF(F336=0,0,ROUND($F336*COEF!$J$27,0))</f>
        <v>0</v>
      </c>
      <c r="J336" s="3329">
        <f>IF(F336=0,0,ROUND($F336*COEF!$K$27,0))</f>
        <v>0</v>
      </c>
      <c r="K336" s="3329">
        <f>IF(F336=0,0,ROUND($F336*COEF!$L$27,0))</f>
        <v>0</v>
      </c>
      <c r="L336" s="3330">
        <f t="shared" ca="1" si="318"/>
        <v>0</v>
      </c>
      <c r="M336" s="3330">
        <f t="shared" ca="1" si="319"/>
        <v>0</v>
      </c>
      <c r="N336" s="3330">
        <f t="shared" ca="1" si="320"/>
        <v>0</v>
      </c>
      <c r="O336" s="860">
        <f t="shared" ref="O336" ca="1" si="396">I336+L336</f>
        <v>0</v>
      </c>
      <c r="P336" s="860">
        <f t="shared" ref="P336" ca="1" si="397">J336+M336</f>
        <v>0</v>
      </c>
      <c r="Q336" s="860">
        <f t="shared" ref="Q336" ca="1" si="398">K336+N336</f>
        <v>0</v>
      </c>
      <c r="R336" s="1969">
        <f t="shared" ref="R336" ca="1" si="399">SUM(O336:Q336)</f>
        <v>0</v>
      </c>
      <c r="S336" s="866"/>
      <c r="T336" s="856">
        <f t="shared" ca="1" si="241"/>
        <v>0</v>
      </c>
      <c r="U336" s="711">
        <f t="shared" ca="1" si="242"/>
        <v>0</v>
      </c>
      <c r="V336" s="711">
        <f t="shared" ca="1" si="243"/>
        <v>0</v>
      </c>
      <c r="W336" s="711">
        <f t="shared" ca="1" si="244"/>
        <v>0</v>
      </c>
      <c r="X336" s="2773">
        <f t="shared" si="232"/>
        <v>0</v>
      </c>
      <c r="Y336" s="2774">
        <f t="shared" ca="1" si="233"/>
        <v>0</v>
      </c>
      <c r="Z336" s="10"/>
      <c r="AA336" s="675"/>
      <c r="AB336" s="10"/>
      <c r="AC336" s="871"/>
      <c r="AD336" s="3485"/>
    </row>
    <row r="337" spans="1:30" ht="54" customHeight="1" thickBot="1" x14ac:dyDescent="0.25">
      <c r="A337" s="4034"/>
      <c r="B337" s="4066"/>
      <c r="C337" s="1949">
        <v>5556</v>
      </c>
      <c r="D337" s="3746"/>
      <c r="E337" s="3173" t="s">
        <v>60</v>
      </c>
      <c r="F337" s="3174">
        <f t="shared" si="356"/>
        <v>0</v>
      </c>
      <c r="G337" s="3174">
        <f t="shared" si="356"/>
        <v>0</v>
      </c>
      <c r="H337" s="4134"/>
      <c r="I337" s="3328">
        <f>IF(F337=0,0,ROUND($F337*COEF!$J$27,0))</f>
        <v>0</v>
      </c>
      <c r="J337" s="3329">
        <f>IF(F337=0,0,ROUND($F337*COEF!$K$27,0))</f>
        <v>0</v>
      </c>
      <c r="K337" s="3329">
        <f>IF(F337=0,0,ROUND($F337*COEF!$L$27,0))</f>
        <v>0</v>
      </c>
      <c r="L337" s="3330">
        <f t="shared" ca="1" si="318"/>
        <v>0</v>
      </c>
      <c r="M337" s="3330">
        <f t="shared" ca="1" si="319"/>
        <v>0</v>
      </c>
      <c r="N337" s="3330">
        <f t="shared" ca="1" si="320"/>
        <v>0</v>
      </c>
      <c r="O337" s="860">
        <f t="shared" ca="1" si="237"/>
        <v>0</v>
      </c>
      <c r="P337" s="860">
        <f t="shared" ca="1" si="238"/>
        <v>0</v>
      </c>
      <c r="Q337" s="860">
        <f t="shared" ca="1" si="239"/>
        <v>0</v>
      </c>
      <c r="R337" s="1969">
        <f t="shared" ca="1" si="240"/>
        <v>0</v>
      </c>
      <c r="S337" s="866"/>
      <c r="T337" s="856">
        <f t="shared" ca="1" si="241"/>
        <v>0</v>
      </c>
      <c r="U337" s="711">
        <f t="shared" ca="1" si="242"/>
        <v>0</v>
      </c>
      <c r="V337" s="711">
        <f t="shared" ca="1" si="243"/>
        <v>0</v>
      </c>
      <c r="W337" s="711">
        <f t="shared" ca="1" si="244"/>
        <v>0</v>
      </c>
      <c r="X337" s="2773">
        <f t="shared" si="232"/>
        <v>0</v>
      </c>
      <c r="Y337" s="2774">
        <f t="shared" ca="1" si="233"/>
        <v>0</v>
      </c>
      <c r="Z337" s="10"/>
      <c r="AA337" s="675"/>
      <c r="AB337" s="10"/>
      <c r="AC337" s="878"/>
      <c r="AD337" s="879"/>
    </row>
    <row r="338" spans="1:30" ht="54" hidden="1" customHeight="1" thickBot="1" x14ac:dyDescent="0.25">
      <c r="A338" s="4034"/>
      <c r="B338" s="4066"/>
      <c r="C338" s="1949">
        <v>5557</v>
      </c>
      <c r="D338" s="3752"/>
      <c r="E338" s="1949" t="s">
        <v>591</v>
      </c>
      <c r="F338" s="3174">
        <f t="shared" si="356"/>
        <v>0</v>
      </c>
      <c r="G338" s="3174">
        <f t="shared" si="356"/>
        <v>0</v>
      </c>
      <c r="H338" s="4134"/>
      <c r="I338" s="3328">
        <f>IF(F338=0,0,ROUND($F338*COEF!$J$27,0))</f>
        <v>0</v>
      </c>
      <c r="J338" s="3329">
        <f>IF(F338=0,0,ROUND($F338*COEF!$K$27,0))</f>
        <v>0</v>
      </c>
      <c r="K338" s="3329">
        <f>IF(F338=0,0,ROUND($F338*COEF!$L$27,0))</f>
        <v>0</v>
      </c>
      <c r="L338" s="3330">
        <f t="shared" ca="1" si="318"/>
        <v>0</v>
      </c>
      <c r="M338" s="3330">
        <f t="shared" ca="1" si="319"/>
        <v>0</v>
      </c>
      <c r="N338" s="3330">
        <f t="shared" ca="1" si="320"/>
        <v>0</v>
      </c>
      <c r="O338" s="860">
        <f t="shared" ref="O338" ca="1" si="400">I338+L338</f>
        <v>0</v>
      </c>
      <c r="P338" s="860">
        <f t="shared" ref="P338" ca="1" si="401">J338+M338</f>
        <v>0</v>
      </c>
      <c r="Q338" s="860">
        <f t="shared" ref="Q338" ca="1" si="402">K338+N338</f>
        <v>0</v>
      </c>
      <c r="R338" s="1969">
        <f t="shared" ref="R338" ca="1" si="403">SUM(O338:Q338)</f>
        <v>0</v>
      </c>
      <c r="S338" s="866"/>
      <c r="T338" s="856">
        <f t="shared" ca="1" si="241"/>
        <v>0</v>
      </c>
      <c r="U338" s="711">
        <f t="shared" ca="1" si="242"/>
        <v>0</v>
      </c>
      <c r="V338" s="711">
        <f t="shared" ca="1" si="243"/>
        <v>0</v>
      </c>
      <c r="W338" s="711">
        <f t="shared" ca="1" si="244"/>
        <v>0</v>
      </c>
      <c r="X338" s="2773">
        <f t="shared" si="232"/>
        <v>0</v>
      </c>
      <c r="Y338" s="2774">
        <f t="shared" ca="1" si="233"/>
        <v>0</v>
      </c>
      <c r="Z338" s="10"/>
      <c r="AA338" s="675"/>
      <c r="AB338" s="10"/>
      <c r="AC338" s="880"/>
      <c r="AD338" s="881"/>
    </row>
    <row r="339" spans="1:30" ht="54" customHeight="1" thickBot="1" x14ac:dyDescent="0.25">
      <c r="A339" s="4034"/>
      <c r="B339" s="4066"/>
      <c r="C339" s="1948">
        <v>5574</v>
      </c>
      <c r="D339" s="3751" t="s">
        <v>1232</v>
      </c>
      <c r="E339" s="1948" t="s">
        <v>59</v>
      </c>
      <c r="F339" s="3174">
        <f t="shared" ref="F339:G339" si="404">+F237</f>
        <v>0</v>
      </c>
      <c r="G339" s="3174">
        <f t="shared" si="404"/>
        <v>0</v>
      </c>
      <c r="H339" s="4134"/>
      <c r="I339" s="3328">
        <f>IF(F339=0,0,ROUND($F339*COEF!$J$27,0))</f>
        <v>0</v>
      </c>
      <c r="J339" s="3329">
        <f>IF(F339=0,0,ROUND($F339*COEF!$K$27,0))</f>
        <v>0</v>
      </c>
      <c r="K339" s="3329">
        <f>IF(F339=0,0,ROUND($F339*COEF!$L$27,0))</f>
        <v>0</v>
      </c>
      <c r="L339" s="3330">
        <f t="shared" ca="1" si="318"/>
        <v>0</v>
      </c>
      <c r="M339" s="3330">
        <f t="shared" ca="1" si="319"/>
        <v>0</v>
      </c>
      <c r="N339" s="3330">
        <f t="shared" ca="1" si="320"/>
        <v>0</v>
      </c>
      <c r="O339" s="860">
        <f t="shared" ref="O339:O343" ca="1" si="405">I339+L339</f>
        <v>0</v>
      </c>
      <c r="P339" s="860">
        <f t="shared" ref="P339:P343" ca="1" si="406">J339+M339</f>
        <v>0</v>
      </c>
      <c r="Q339" s="860">
        <f t="shared" ref="Q339:Q343" ca="1" si="407">K339+N339</f>
        <v>0</v>
      </c>
      <c r="R339" s="1969">
        <f t="shared" ref="R339:R343" ca="1" si="408">SUM(O339:Q339)</f>
        <v>0</v>
      </c>
      <c r="S339" s="866"/>
      <c r="T339" s="856">
        <f t="shared" ca="1" si="241"/>
        <v>0</v>
      </c>
      <c r="U339" s="711">
        <f t="shared" ca="1" si="242"/>
        <v>0</v>
      </c>
      <c r="V339" s="711">
        <f t="shared" ca="1" si="243"/>
        <v>0</v>
      </c>
      <c r="W339" s="711">
        <f t="shared" ca="1" si="244"/>
        <v>0</v>
      </c>
      <c r="X339" s="2773">
        <f t="shared" si="232"/>
        <v>0</v>
      </c>
      <c r="Y339" s="2774">
        <f t="shared" ca="1" si="233"/>
        <v>0</v>
      </c>
      <c r="Z339" s="10"/>
      <c r="AA339" s="675"/>
      <c r="AB339" s="10"/>
      <c r="AC339" s="880"/>
      <c r="AD339" s="881"/>
    </row>
    <row r="340" spans="1:30" ht="54" customHeight="1" thickBot="1" x14ac:dyDescent="0.25">
      <c r="A340" s="4034"/>
      <c r="B340" s="4066"/>
      <c r="C340" s="1949">
        <v>5584</v>
      </c>
      <c r="D340" s="3747"/>
      <c r="E340" s="3173" t="s">
        <v>60</v>
      </c>
      <c r="F340" s="3174">
        <f t="shared" ref="F340:G340" si="409">+F238</f>
        <v>0</v>
      </c>
      <c r="G340" s="3174">
        <f t="shared" si="409"/>
        <v>0</v>
      </c>
      <c r="H340" s="4134"/>
      <c r="I340" s="3328">
        <f>IF(F340=0,0,ROUND($F340*COEF!$J$27,0))</f>
        <v>0</v>
      </c>
      <c r="J340" s="3329">
        <f>IF(F340=0,0,ROUND($F340*COEF!$K$27,0))</f>
        <v>0</v>
      </c>
      <c r="K340" s="3329">
        <f>IF(F340=0,0,ROUND($F340*COEF!$L$27,0))</f>
        <v>0</v>
      </c>
      <c r="L340" s="3330">
        <f t="shared" ca="1" si="318"/>
        <v>0</v>
      </c>
      <c r="M340" s="3330">
        <f t="shared" ca="1" si="319"/>
        <v>0</v>
      </c>
      <c r="N340" s="3330">
        <f t="shared" ca="1" si="320"/>
        <v>0</v>
      </c>
      <c r="O340" s="860">
        <f t="shared" ca="1" si="405"/>
        <v>0</v>
      </c>
      <c r="P340" s="860">
        <f t="shared" ca="1" si="406"/>
        <v>0</v>
      </c>
      <c r="Q340" s="860">
        <f t="shared" ca="1" si="407"/>
        <v>0</v>
      </c>
      <c r="R340" s="1969">
        <f t="shared" ca="1" si="408"/>
        <v>0</v>
      </c>
      <c r="S340" s="866"/>
      <c r="T340" s="856">
        <f t="shared" ca="1" si="241"/>
        <v>0</v>
      </c>
      <c r="U340" s="711">
        <f t="shared" ca="1" si="242"/>
        <v>0</v>
      </c>
      <c r="V340" s="711">
        <f t="shared" ca="1" si="243"/>
        <v>0</v>
      </c>
      <c r="W340" s="711">
        <f t="shared" ca="1" si="244"/>
        <v>0</v>
      </c>
      <c r="X340" s="2773">
        <f t="shared" si="232"/>
        <v>0</v>
      </c>
      <c r="Y340" s="2774">
        <f t="shared" ca="1" si="233"/>
        <v>0</v>
      </c>
      <c r="Z340" s="10"/>
      <c r="AA340" s="675"/>
      <c r="AB340" s="10"/>
      <c r="AC340" s="880"/>
      <c r="AD340" s="881"/>
    </row>
    <row r="341" spans="1:30" ht="54" customHeight="1" thickBot="1" x14ac:dyDescent="0.25">
      <c r="A341" s="4034"/>
      <c r="B341" s="4066"/>
      <c r="C341" s="1948">
        <v>5594</v>
      </c>
      <c r="D341" s="3745" t="s">
        <v>1233</v>
      </c>
      <c r="E341" s="1948" t="s">
        <v>59</v>
      </c>
      <c r="F341" s="3174">
        <f t="shared" ref="F341:G342" si="410">+F239</f>
        <v>0</v>
      </c>
      <c r="G341" s="3174">
        <f t="shared" si="410"/>
        <v>0</v>
      </c>
      <c r="H341" s="4134"/>
      <c r="I341" s="3328">
        <f>IF(F341=0,0,ROUND($F341*COEF!$J$27,0))</f>
        <v>0</v>
      </c>
      <c r="J341" s="3329">
        <f>IF(F341=0,0,ROUND($F341*COEF!$K$27,0))</f>
        <v>0</v>
      </c>
      <c r="K341" s="3329">
        <f>IF(F341=0,0,ROUND($F341*COEF!$L$27,0))</f>
        <v>0</v>
      </c>
      <c r="L341" s="3330">
        <f t="shared" ca="1" si="318"/>
        <v>0</v>
      </c>
      <c r="M341" s="3330">
        <f t="shared" ca="1" si="319"/>
        <v>0</v>
      </c>
      <c r="N341" s="3330">
        <f t="shared" ca="1" si="320"/>
        <v>0</v>
      </c>
      <c r="O341" s="860">
        <f t="shared" ca="1" si="405"/>
        <v>0</v>
      </c>
      <c r="P341" s="860">
        <f t="shared" ca="1" si="406"/>
        <v>0</v>
      </c>
      <c r="Q341" s="860">
        <f t="shared" ca="1" si="407"/>
        <v>0</v>
      </c>
      <c r="R341" s="1969">
        <f t="shared" ca="1" si="408"/>
        <v>0</v>
      </c>
      <c r="S341" s="866"/>
      <c r="T341" s="856">
        <f t="shared" ca="1" si="241"/>
        <v>0</v>
      </c>
      <c r="U341" s="711">
        <f t="shared" ca="1" si="242"/>
        <v>0</v>
      </c>
      <c r="V341" s="711">
        <f t="shared" ca="1" si="243"/>
        <v>0</v>
      </c>
      <c r="W341" s="711">
        <f t="shared" ca="1" si="244"/>
        <v>0</v>
      </c>
      <c r="X341" s="2773">
        <f t="shared" si="232"/>
        <v>0</v>
      </c>
      <c r="Y341" s="2774">
        <f t="shared" ca="1" si="233"/>
        <v>0</v>
      </c>
      <c r="Z341" s="10"/>
      <c r="AA341" s="675"/>
      <c r="AB341" s="10"/>
      <c r="AC341" s="880"/>
      <c r="AD341" s="881"/>
    </row>
    <row r="342" spans="1:30" ht="54" hidden="1" customHeight="1" thickBot="1" x14ac:dyDescent="0.25">
      <c r="A342" s="4034"/>
      <c r="B342" s="4066"/>
      <c r="C342" s="3484"/>
      <c r="D342" s="3746"/>
      <c r="E342" s="1948" t="s">
        <v>1320</v>
      </c>
      <c r="F342" s="3174">
        <f t="shared" si="410"/>
        <v>0</v>
      </c>
      <c r="G342" s="3174">
        <f t="shared" si="410"/>
        <v>0</v>
      </c>
      <c r="H342" s="4134"/>
      <c r="I342" s="3328">
        <f>IF(F342=0,0,ROUND($F342*COEF!$J$27,0))</f>
        <v>0</v>
      </c>
      <c r="J342" s="3329">
        <f>IF(F342=0,0,ROUND($F342*COEF!$K$27,0))</f>
        <v>0</v>
      </c>
      <c r="K342" s="3329">
        <f>IF(F342=0,0,ROUND($F342*COEF!$L$27,0))</f>
        <v>0</v>
      </c>
      <c r="L342" s="3330">
        <f t="shared" ca="1" si="318"/>
        <v>0</v>
      </c>
      <c r="M342" s="3330">
        <f t="shared" ca="1" si="319"/>
        <v>0</v>
      </c>
      <c r="N342" s="3330">
        <f t="shared" ca="1" si="320"/>
        <v>0</v>
      </c>
      <c r="O342" s="860">
        <f t="shared" ref="O342" ca="1" si="411">I342+L342</f>
        <v>0</v>
      </c>
      <c r="P342" s="860">
        <f t="shared" ref="P342" ca="1" si="412">J342+M342</f>
        <v>0</v>
      </c>
      <c r="Q342" s="860">
        <f t="shared" ref="Q342" ca="1" si="413">K342+N342</f>
        <v>0</v>
      </c>
      <c r="R342" s="1969">
        <f t="shared" ref="R342" ca="1" si="414">SUM(O342:Q342)</f>
        <v>0</v>
      </c>
      <c r="S342" s="866"/>
      <c r="T342" s="856">
        <f t="shared" ref="T342" ca="1" si="415">+SUM(L342:N342)</f>
        <v>0</v>
      </c>
      <c r="U342" s="711">
        <f t="shared" ref="U342" ca="1" si="416">L342</f>
        <v>0</v>
      </c>
      <c r="V342" s="711">
        <f t="shared" ref="V342" ca="1" si="417">M342</f>
        <v>0</v>
      </c>
      <c r="W342" s="711">
        <f t="shared" ref="W342" ca="1" si="418">N342</f>
        <v>0</v>
      </c>
      <c r="X342" s="2773">
        <f t="shared" ref="X342" si="419">+SUM(I342:K342)</f>
        <v>0</v>
      </c>
      <c r="Y342" s="2774">
        <f t="shared" ref="Y342" ca="1" si="420">+SUM(L342:N342)</f>
        <v>0</v>
      </c>
      <c r="Z342" s="10"/>
      <c r="AA342" s="675"/>
      <c r="AB342" s="10"/>
      <c r="AC342" s="880"/>
      <c r="AD342" s="881"/>
    </row>
    <row r="343" spans="1:30" ht="54" customHeight="1" thickBot="1" x14ac:dyDescent="0.25">
      <c r="A343" s="4034"/>
      <c r="B343" s="4067"/>
      <c r="C343" s="3419">
        <v>5604</v>
      </c>
      <c r="D343" s="3746"/>
      <c r="E343" s="3173" t="s">
        <v>60</v>
      </c>
      <c r="F343" s="3174">
        <f t="shared" ref="F343:G344" si="421">+F241</f>
        <v>0</v>
      </c>
      <c r="G343" s="3174">
        <f t="shared" si="421"/>
        <v>0</v>
      </c>
      <c r="H343" s="4134"/>
      <c r="I343" s="3328">
        <f>IF(F343=0,0,ROUND($F343*COEF!$J$27,0))</f>
        <v>0</v>
      </c>
      <c r="J343" s="3329">
        <f>IF(F343=0,0,ROUND($F343*COEF!$K$27,0))</f>
        <v>0</v>
      </c>
      <c r="K343" s="3329">
        <f>IF(F343=0,0,ROUND($F343*COEF!$L$27,0))</f>
        <v>0</v>
      </c>
      <c r="L343" s="3330">
        <f t="shared" ca="1" si="318"/>
        <v>0</v>
      </c>
      <c r="M343" s="3330">
        <f t="shared" ca="1" si="319"/>
        <v>0</v>
      </c>
      <c r="N343" s="3330">
        <f t="shared" ca="1" si="320"/>
        <v>0</v>
      </c>
      <c r="O343" s="860">
        <f t="shared" ca="1" si="405"/>
        <v>0</v>
      </c>
      <c r="P343" s="860">
        <f t="shared" ca="1" si="406"/>
        <v>0</v>
      </c>
      <c r="Q343" s="860">
        <f t="shared" ca="1" si="407"/>
        <v>0</v>
      </c>
      <c r="R343" s="1969">
        <f t="shared" ca="1" si="408"/>
        <v>0</v>
      </c>
      <c r="S343" s="866"/>
      <c r="T343" s="856">
        <f t="shared" ca="1" si="241"/>
        <v>0</v>
      </c>
      <c r="U343" s="711">
        <f t="shared" ca="1" si="242"/>
        <v>0</v>
      </c>
      <c r="V343" s="711">
        <f t="shared" ca="1" si="243"/>
        <v>0</v>
      </c>
      <c r="W343" s="711">
        <f t="shared" ca="1" si="244"/>
        <v>0</v>
      </c>
      <c r="X343" s="2773">
        <f t="shared" si="232"/>
        <v>0</v>
      </c>
      <c r="Y343" s="2774">
        <f t="shared" ca="1" si="233"/>
        <v>0</v>
      </c>
      <c r="Z343" s="10"/>
      <c r="AA343" s="675"/>
      <c r="AB343" s="10"/>
      <c r="AC343" s="880"/>
      <c r="AD343" s="881"/>
    </row>
    <row r="344" spans="1:30" ht="54" hidden="1" customHeight="1" thickBot="1" x14ac:dyDescent="0.25">
      <c r="A344" s="4034"/>
      <c r="B344" s="3490"/>
      <c r="C344" s="3515"/>
      <c r="D344" s="3747"/>
      <c r="E344" s="3173" t="s">
        <v>1321</v>
      </c>
      <c r="F344" s="3174">
        <f t="shared" si="421"/>
        <v>0</v>
      </c>
      <c r="G344" s="3174">
        <f t="shared" si="421"/>
        <v>0</v>
      </c>
      <c r="H344" s="4135"/>
      <c r="I344" s="3328">
        <f>IF(F344=0,0,ROUND($F344*COEF!$J$27,0))</f>
        <v>0</v>
      </c>
      <c r="J344" s="3329">
        <f>IF(F344=0,0,ROUND($F344*COEF!$K$27,0))</f>
        <v>0</v>
      </c>
      <c r="K344" s="3329">
        <f>IF(F344=0,0,ROUND($F344*COEF!$L$27,0))</f>
        <v>0</v>
      </c>
      <c r="L344" s="3330">
        <f t="shared" ca="1" si="318"/>
        <v>0</v>
      </c>
      <c r="M344" s="3330">
        <f t="shared" ca="1" si="319"/>
        <v>0</v>
      </c>
      <c r="N344" s="3330">
        <f t="shared" ca="1" si="320"/>
        <v>0</v>
      </c>
      <c r="O344" s="860">
        <f t="shared" ref="O344" ca="1" si="422">I344+L344</f>
        <v>0</v>
      </c>
      <c r="P344" s="860">
        <f t="shared" ref="P344" ca="1" si="423">J344+M344</f>
        <v>0</v>
      </c>
      <c r="Q344" s="860">
        <f t="shared" ref="Q344" ca="1" si="424">K344+N344</f>
        <v>0</v>
      </c>
      <c r="R344" s="1969">
        <f t="shared" ref="R344" ca="1" si="425">SUM(O344:Q344)</f>
        <v>0</v>
      </c>
      <c r="S344" s="866"/>
      <c r="T344" s="856">
        <f t="shared" ref="T344" ca="1" si="426">+SUM(L344:N344)</f>
        <v>0</v>
      </c>
      <c r="U344" s="711">
        <f t="shared" ref="U344" ca="1" si="427">L344</f>
        <v>0</v>
      </c>
      <c r="V344" s="711">
        <f t="shared" ref="V344" ca="1" si="428">M344</f>
        <v>0</v>
      </c>
      <c r="W344" s="711">
        <f t="shared" ref="W344" ca="1" si="429">N344</f>
        <v>0</v>
      </c>
      <c r="X344" s="2773">
        <f t="shared" ref="X344" si="430">+SUM(I344:K344)</f>
        <v>0</v>
      </c>
      <c r="Y344" s="2774">
        <f t="shared" ref="Y344" ca="1" si="431">+SUM(L344:N344)</f>
        <v>0</v>
      </c>
      <c r="Z344" s="10"/>
      <c r="AA344" s="675"/>
      <c r="AB344" s="10"/>
      <c r="AC344" s="880"/>
      <c r="AD344" s="881"/>
    </row>
    <row r="345" spans="1:30" ht="54" customHeight="1" thickBot="1" x14ac:dyDescent="0.25">
      <c r="A345" s="4034"/>
      <c r="B345" s="4068" t="s">
        <v>62</v>
      </c>
      <c r="C345" s="3172">
        <v>5030</v>
      </c>
      <c r="D345" s="3758" t="s">
        <v>217</v>
      </c>
      <c r="E345" s="3758"/>
      <c r="F345" s="2421">
        <f t="shared" ref="F345:G347" si="432">+F243</f>
        <v>0</v>
      </c>
      <c r="G345" s="2421">
        <f t="shared" si="432"/>
        <v>0</v>
      </c>
      <c r="H345" s="4136" t="s">
        <v>62</v>
      </c>
      <c r="I345" s="3328">
        <f>IF(F345=0,0,ROUND($F345*COEF!$J$27,0))</f>
        <v>0</v>
      </c>
      <c r="J345" s="3329">
        <f>IF(F345=0,0,ROUND($F345*COEF!$K$27,0))</f>
        <v>0</v>
      </c>
      <c r="K345" s="3329">
        <f>IF(F345=0,0,ROUND($F345*COEF!$L$27,0))</f>
        <v>0</v>
      </c>
      <c r="L345" s="3330">
        <f t="shared" ca="1" si="318"/>
        <v>0</v>
      </c>
      <c r="M345" s="3330">
        <f t="shared" ca="1" si="319"/>
        <v>0</v>
      </c>
      <c r="N345" s="3330">
        <f t="shared" ca="1" si="320"/>
        <v>0</v>
      </c>
      <c r="O345" s="860">
        <f t="shared" ca="1" si="237"/>
        <v>0</v>
      </c>
      <c r="P345" s="860">
        <f t="shared" ca="1" si="238"/>
        <v>0</v>
      </c>
      <c r="Q345" s="860">
        <f t="shared" ca="1" si="239"/>
        <v>0</v>
      </c>
      <c r="R345" s="1969">
        <f t="shared" ca="1" si="240"/>
        <v>0</v>
      </c>
      <c r="S345" s="866"/>
      <c r="T345" s="856">
        <f t="shared" ca="1" si="241"/>
        <v>0</v>
      </c>
      <c r="U345" s="711">
        <f t="shared" ca="1" si="242"/>
        <v>0</v>
      </c>
      <c r="V345" s="711">
        <f t="shared" ca="1" si="243"/>
        <v>0</v>
      </c>
      <c r="W345" s="711">
        <f t="shared" ca="1" si="244"/>
        <v>0</v>
      </c>
      <c r="X345" s="2773">
        <f t="shared" si="232"/>
        <v>0</v>
      </c>
      <c r="Y345" s="2774">
        <f t="shared" ca="1" si="233"/>
        <v>0</v>
      </c>
      <c r="Z345" s="10"/>
      <c r="AA345" s="675"/>
      <c r="AB345" s="10"/>
      <c r="AC345" s="880"/>
      <c r="AD345" s="881"/>
    </row>
    <row r="346" spans="1:30" ht="54" customHeight="1" thickBot="1" x14ac:dyDescent="0.25">
      <c r="A346" s="4034"/>
      <c r="B346" s="4069"/>
      <c r="C346" s="1954">
        <v>5040</v>
      </c>
      <c r="D346" s="3743" t="s">
        <v>218</v>
      </c>
      <c r="E346" s="3744"/>
      <c r="F346" s="2421">
        <f t="shared" si="432"/>
        <v>0</v>
      </c>
      <c r="G346" s="2421">
        <f t="shared" si="432"/>
        <v>0</v>
      </c>
      <c r="H346" s="4137"/>
      <c r="I346" s="3328">
        <f>IF(F346=0,0,ROUND($F346*COEF!$J$27,0))</f>
        <v>0</v>
      </c>
      <c r="J346" s="3329">
        <f>IF(F346=0,0,ROUND($F346*COEF!$K$27,0))</f>
        <v>0</v>
      </c>
      <c r="K346" s="3329">
        <f>IF(F346=0,0,ROUND($F346*COEF!$L$27,0))</f>
        <v>0</v>
      </c>
      <c r="L346" s="3330">
        <f t="shared" ca="1" si="318"/>
        <v>0</v>
      </c>
      <c r="M346" s="3330">
        <f t="shared" ca="1" si="319"/>
        <v>0</v>
      </c>
      <c r="N346" s="3330">
        <f t="shared" ca="1" si="320"/>
        <v>0</v>
      </c>
      <c r="O346" s="860">
        <f t="shared" ca="1" si="237"/>
        <v>0</v>
      </c>
      <c r="P346" s="860">
        <f t="shared" ca="1" si="238"/>
        <v>0</v>
      </c>
      <c r="Q346" s="860">
        <f t="shared" ca="1" si="239"/>
        <v>0</v>
      </c>
      <c r="R346" s="1969">
        <f t="shared" ca="1" si="240"/>
        <v>0</v>
      </c>
      <c r="S346" s="866"/>
      <c r="T346" s="856">
        <f t="shared" ca="1" si="241"/>
        <v>0</v>
      </c>
      <c r="U346" s="711">
        <f t="shared" ca="1" si="242"/>
        <v>0</v>
      </c>
      <c r="V346" s="711">
        <f t="shared" ca="1" si="243"/>
        <v>0</v>
      </c>
      <c r="W346" s="711">
        <f t="shared" ca="1" si="244"/>
        <v>0</v>
      </c>
      <c r="X346" s="2773">
        <f t="shared" si="232"/>
        <v>0</v>
      </c>
      <c r="Y346" s="2774">
        <f t="shared" ca="1" si="233"/>
        <v>0</v>
      </c>
      <c r="Z346" s="10"/>
      <c r="AA346" s="675"/>
      <c r="AB346" s="10"/>
      <c r="AC346" s="880"/>
      <c r="AD346" s="881"/>
    </row>
    <row r="347" spans="1:30" ht="54" hidden="1" customHeight="1" thickBot="1" x14ac:dyDescent="0.25">
      <c r="A347" s="4034"/>
      <c r="B347" s="4069"/>
      <c r="C347" s="1954">
        <v>5041</v>
      </c>
      <c r="D347" s="3743" t="s">
        <v>620</v>
      </c>
      <c r="E347" s="3744"/>
      <c r="F347" s="2421">
        <f t="shared" si="432"/>
        <v>0</v>
      </c>
      <c r="G347" s="2421">
        <f t="shared" si="432"/>
        <v>0</v>
      </c>
      <c r="H347" s="4137"/>
      <c r="I347" s="3328">
        <f>IF(F347=0,0,ROUND($F347*COEF!$J$27,0))</f>
        <v>0</v>
      </c>
      <c r="J347" s="3329">
        <f>IF(F347=0,0,ROUND($F347*COEF!$K$27,0))</f>
        <v>0</v>
      </c>
      <c r="K347" s="3329">
        <f>IF(F347=0,0,ROUND($F347*COEF!$L$27,0))</f>
        <v>0</v>
      </c>
      <c r="L347" s="3330">
        <f t="shared" ca="1" si="318"/>
        <v>0</v>
      </c>
      <c r="M347" s="3330">
        <f t="shared" ca="1" si="319"/>
        <v>0</v>
      </c>
      <c r="N347" s="3330">
        <f t="shared" ca="1" si="320"/>
        <v>0</v>
      </c>
      <c r="O347" s="860">
        <f t="shared" ref="O347" ca="1" si="433">I347+L347</f>
        <v>0</v>
      </c>
      <c r="P347" s="860">
        <f t="shared" ref="P347" ca="1" si="434">J347+M347</f>
        <v>0</v>
      </c>
      <c r="Q347" s="860">
        <f t="shared" ref="Q347" ca="1" si="435">K347+N347</f>
        <v>0</v>
      </c>
      <c r="R347" s="1969">
        <f t="shared" ref="R347" ca="1" si="436">SUM(O347:Q347)</f>
        <v>0</v>
      </c>
      <c r="S347" s="866"/>
      <c r="T347" s="856">
        <f t="shared" ca="1" si="241"/>
        <v>0</v>
      </c>
      <c r="U347" s="711">
        <f t="shared" ca="1" si="242"/>
        <v>0</v>
      </c>
      <c r="V347" s="711">
        <f t="shared" ca="1" si="243"/>
        <v>0</v>
      </c>
      <c r="W347" s="711">
        <f t="shared" ca="1" si="244"/>
        <v>0</v>
      </c>
      <c r="X347" s="2773">
        <f t="shared" si="232"/>
        <v>0</v>
      </c>
      <c r="Y347" s="2774">
        <f t="shared" ca="1" si="233"/>
        <v>0</v>
      </c>
      <c r="Z347" s="10"/>
      <c r="AA347" s="675"/>
      <c r="AB347" s="10"/>
      <c r="AC347" s="880"/>
      <c r="AD347" s="881"/>
    </row>
    <row r="348" spans="1:30" ht="54" customHeight="1" thickBot="1" x14ac:dyDescent="0.25">
      <c r="A348" s="4034"/>
      <c r="B348" s="4069"/>
      <c r="C348" s="1954">
        <v>5045</v>
      </c>
      <c r="D348" s="3743" t="s">
        <v>221</v>
      </c>
      <c r="E348" s="3744"/>
      <c r="F348" s="2421">
        <f>+F246+F247</f>
        <v>0</v>
      </c>
      <c r="G348" s="2421">
        <f>+G246+G247</f>
        <v>0</v>
      </c>
      <c r="H348" s="4137"/>
      <c r="I348" s="3328">
        <f>IF(F348=0,0,ROUND($F348*COEF!$J$27,0))</f>
        <v>0</v>
      </c>
      <c r="J348" s="3329">
        <f>IF(F348=0,0,ROUND($F348*COEF!$K$27,0))</f>
        <v>0</v>
      </c>
      <c r="K348" s="3329">
        <f>IF(F348=0,0,ROUND($F348*COEF!$L$27,0))</f>
        <v>0</v>
      </c>
      <c r="L348" s="3330">
        <f t="shared" ca="1" si="318"/>
        <v>0</v>
      </c>
      <c r="M348" s="3330">
        <f t="shared" ca="1" si="319"/>
        <v>0</v>
      </c>
      <c r="N348" s="3330">
        <f t="shared" ca="1" si="320"/>
        <v>0</v>
      </c>
      <c r="O348" s="860">
        <f t="shared" ca="1" si="237"/>
        <v>0</v>
      </c>
      <c r="P348" s="860">
        <f t="shared" ca="1" si="238"/>
        <v>0</v>
      </c>
      <c r="Q348" s="860">
        <f t="shared" ca="1" si="239"/>
        <v>0</v>
      </c>
      <c r="R348" s="1969">
        <f t="shared" ca="1" si="240"/>
        <v>0</v>
      </c>
      <c r="S348" s="866"/>
      <c r="T348" s="856">
        <f t="shared" ca="1" si="241"/>
        <v>0</v>
      </c>
      <c r="U348" s="711">
        <f t="shared" ca="1" si="242"/>
        <v>0</v>
      </c>
      <c r="V348" s="711">
        <f t="shared" ca="1" si="243"/>
        <v>0</v>
      </c>
      <c r="W348" s="711">
        <f t="shared" ca="1" si="244"/>
        <v>0</v>
      </c>
      <c r="X348" s="2773">
        <f t="shared" si="232"/>
        <v>0</v>
      </c>
      <c r="Y348" s="2774">
        <f t="shared" ca="1" si="233"/>
        <v>0</v>
      </c>
      <c r="Z348" s="10"/>
      <c r="AA348" s="675"/>
      <c r="AB348" s="10"/>
      <c r="AC348" s="862"/>
      <c r="AD348" s="863"/>
    </row>
    <row r="349" spans="1:30" ht="54" customHeight="1" thickBot="1" x14ac:dyDescent="0.25">
      <c r="A349" s="4034"/>
      <c r="B349" s="4069"/>
      <c r="C349" s="1955">
        <v>5050</v>
      </c>
      <c r="D349" s="3742" t="s">
        <v>219</v>
      </c>
      <c r="E349" s="3742"/>
      <c r="F349" s="2421">
        <f>+F248</f>
        <v>0</v>
      </c>
      <c r="G349" s="2421">
        <f>+G248</f>
        <v>0</v>
      </c>
      <c r="H349" s="4137"/>
      <c r="I349" s="3328">
        <f>IF(F349=0,0,ROUND($F349*COEF!$J$27,0))</f>
        <v>0</v>
      </c>
      <c r="J349" s="3329">
        <f>IF(F349=0,0,ROUND($F349*COEF!$K$27,0))</f>
        <v>0</v>
      </c>
      <c r="K349" s="3329">
        <f>IF(F349=0,0,ROUND($F349*COEF!$L$27,0))</f>
        <v>0</v>
      </c>
      <c r="L349" s="3330">
        <f t="shared" ca="1" si="318"/>
        <v>0</v>
      </c>
      <c r="M349" s="3330">
        <f t="shared" ca="1" si="319"/>
        <v>0</v>
      </c>
      <c r="N349" s="3330">
        <f t="shared" ca="1" si="320"/>
        <v>0</v>
      </c>
      <c r="O349" s="860">
        <f t="shared" ca="1" si="237"/>
        <v>0</v>
      </c>
      <c r="P349" s="860">
        <f t="shared" ca="1" si="238"/>
        <v>0</v>
      </c>
      <c r="Q349" s="860">
        <f t="shared" ca="1" si="239"/>
        <v>0</v>
      </c>
      <c r="R349" s="1969">
        <f t="shared" ca="1" si="240"/>
        <v>0</v>
      </c>
      <c r="S349" s="866"/>
      <c r="T349" s="856">
        <f t="shared" ca="1" si="241"/>
        <v>0</v>
      </c>
      <c r="U349" s="711">
        <f t="shared" ca="1" si="242"/>
        <v>0</v>
      </c>
      <c r="V349" s="711">
        <f t="shared" ca="1" si="243"/>
        <v>0</v>
      </c>
      <c r="W349" s="711">
        <f t="shared" ca="1" si="244"/>
        <v>0</v>
      </c>
      <c r="X349" s="2773">
        <f t="shared" si="232"/>
        <v>0</v>
      </c>
      <c r="Y349" s="2774">
        <f t="shared" ca="1" si="233"/>
        <v>0</v>
      </c>
      <c r="Z349" s="10"/>
      <c r="AA349" s="675"/>
      <c r="AB349" s="10"/>
      <c r="AC349" s="867"/>
      <c r="AD349" s="868"/>
    </row>
    <row r="350" spans="1:30" ht="54" hidden="1" customHeight="1" thickBot="1" x14ac:dyDescent="0.25">
      <c r="A350" s="4034"/>
      <c r="B350" s="4069"/>
      <c r="C350" s="1955">
        <v>5051</v>
      </c>
      <c r="D350" s="3742" t="s">
        <v>621</v>
      </c>
      <c r="E350" s="3742"/>
      <c r="F350" s="2421">
        <f>+F249</f>
        <v>0</v>
      </c>
      <c r="G350" s="2421">
        <f>+G249</f>
        <v>0</v>
      </c>
      <c r="H350" s="4137"/>
      <c r="I350" s="3328">
        <f>IF(F350=0,0,ROUND($F350*COEF!$J$27,0))</f>
        <v>0</v>
      </c>
      <c r="J350" s="3329">
        <f>IF(F350=0,0,ROUND($F350*COEF!$K$27,0))</f>
        <v>0</v>
      </c>
      <c r="K350" s="3329">
        <f>IF(F350=0,0,ROUND($F350*COEF!$L$27,0))</f>
        <v>0</v>
      </c>
      <c r="L350" s="3330">
        <f t="shared" ca="1" si="318"/>
        <v>0</v>
      </c>
      <c r="M350" s="3330">
        <f t="shared" ca="1" si="319"/>
        <v>0</v>
      </c>
      <c r="N350" s="3330">
        <f t="shared" ca="1" si="320"/>
        <v>0</v>
      </c>
      <c r="O350" s="860">
        <f t="shared" ref="O350" ca="1" si="437">I350+L350</f>
        <v>0</v>
      </c>
      <c r="P350" s="860">
        <f t="shared" ref="P350" ca="1" si="438">J350+M350</f>
        <v>0</v>
      </c>
      <c r="Q350" s="860">
        <f t="shared" ref="Q350" ca="1" si="439">K350+N350</f>
        <v>0</v>
      </c>
      <c r="R350" s="1969">
        <f t="shared" ref="R350" ca="1" si="440">SUM(O350:Q350)</f>
        <v>0</v>
      </c>
      <c r="S350" s="866"/>
      <c r="T350" s="856">
        <f t="shared" ca="1" si="241"/>
        <v>0</v>
      </c>
      <c r="U350" s="711">
        <f t="shared" ca="1" si="242"/>
        <v>0</v>
      </c>
      <c r="V350" s="711">
        <f t="shared" ca="1" si="243"/>
        <v>0</v>
      </c>
      <c r="W350" s="711">
        <f t="shared" ca="1" si="244"/>
        <v>0</v>
      </c>
      <c r="X350" s="2773">
        <f t="shared" si="232"/>
        <v>0</v>
      </c>
      <c r="Y350" s="2774">
        <f t="shared" ca="1" si="233"/>
        <v>0</v>
      </c>
      <c r="Z350" s="10"/>
      <c r="AA350" s="675"/>
      <c r="AB350" s="10"/>
      <c r="AC350" s="1720"/>
      <c r="AD350" s="868"/>
    </row>
    <row r="351" spans="1:30" ht="54" customHeight="1" thickBot="1" x14ac:dyDescent="0.25">
      <c r="A351" s="4034"/>
      <c r="B351" s="4069"/>
      <c r="C351" s="1955">
        <v>5055</v>
      </c>
      <c r="D351" s="3742" t="s">
        <v>222</v>
      </c>
      <c r="E351" s="3742"/>
      <c r="F351" s="2421">
        <f>+F250+F251</f>
        <v>0</v>
      </c>
      <c r="G351" s="2421">
        <f>+G250+G251</f>
        <v>0</v>
      </c>
      <c r="H351" s="4137"/>
      <c r="I351" s="3328">
        <f>IF(F351=0,0,ROUND($F351*COEF!$J$27,0))</f>
        <v>0</v>
      </c>
      <c r="J351" s="3329">
        <f>IF(F351=0,0,ROUND($F351*COEF!$K$27,0))</f>
        <v>0</v>
      </c>
      <c r="K351" s="3329">
        <f>IF(F351=0,0,ROUND($F351*COEF!$L$27,0))</f>
        <v>0</v>
      </c>
      <c r="L351" s="3330">
        <f t="shared" ca="1" si="318"/>
        <v>0</v>
      </c>
      <c r="M351" s="3330">
        <f t="shared" ca="1" si="319"/>
        <v>0</v>
      </c>
      <c r="N351" s="3330">
        <f t="shared" ca="1" si="320"/>
        <v>0</v>
      </c>
      <c r="O351" s="860">
        <f t="shared" ca="1" si="237"/>
        <v>0</v>
      </c>
      <c r="P351" s="860">
        <f t="shared" ref="P351" ca="1" si="441">J351+M351</f>
        <v>0</v>
      </c>
      <c r="Q351" s="860">
        <f t="shared" ref="Q351" ca="1" si="442">K351+N351</f>
        <v>0</v>
      </c>
      <c r="R351" s="1969">
        <f t="shared" ref="R351" ca="1" si="443">SUM(O351:Q351)</f>
        <v>0</v>
      </c>
      <c r="S351" s="866"/>
      <c r="T351" s="856">
        <f t="shared" ca="1" si="241"/>
        <v>0</v>
      </c>
      <c r="U351" s="711">
        <f t="shared" ca="1" si="242"/>
        <v>0</v>
      </c>
      <c r="V351" s="711">
        <f t="shared" ca="1" si="243"/>
        <v>0</v>
      </c>
      <c r="W351" s="711">
        <f t="shared" ca="1" si="244"/>
        <v>0</v>
      </c>
      <c r="X351" s="2773">
        <f t="shared" si="232"/>
        <v>0</v>
      </c>
      <c r="Y351" s="2774">
        <f t="shared" ca="1" si="233"/>
        <v>0</v>
      </c>
      <c r="Z351" s="10"/>
      <c r="AA351" s="675"/>
      <c r="AB351" s="10"/>
      <c r="AC351" s="1720"/>
      <c r="AD351" s="868"/>
    </row>
    <row r="352" spans="1:30" ht="54" customHeight="1" thickBot="1" x14ac:dyDescent="0.25">
      <c r="A352" s="4034"/>
      <c r="B352" s="4069"/>
      <c r="C352" s="1948">
        <v>5508</v>
      </c>
      <c r="D352" s="3751" t="s">
        <v>1234</v>
      </c>
      <c r="E352" s="1948" t="s">
        <v>64</v>
      </c>
      <c r="F352" s="2421">
        <f t="shared" ref="F352:G364" si="444">+F252</f>
        <v>0</v>
      </c>
      <c r="G352" s="2421">
        <f t="shared" si="444"/>
        <v>0</v>
      </c>
      <c r="H352" s="4137"/>
      <c r="I352" s="3328">
        <f>IF(F352=0,0,ROUND($F352*COEF!$J$27,0))</f>
        <v>0</v>
      </c>
      <c r="J352" s="3329">
        <f>IF(F352=0,0,ROUND($F352*COEF!$K$27,0))</f>
        <v>0</v>
      </c>
      <c r="K352" s="3329">
        <f>IF(F352=0,0,ROUND($F352*COEF!$L$27,0))</f>
        <v>0</v>
      </c>
      <c r="L352" s="3330">
        <f t="shared" ca="1" si="318"/>
        <v>0</v>
      </c>
      <c r="M352" s="3330">
        <f t="shared" ca="1" si="319"/>
        <v>0</v>
      </c>
      <c r="N352" s="3330">
        <f t="shared" ca="1" si="320"/>
        <v>0</v>
      </c>
      <c r="O352" s="860">
        <f t="shared" ca="1" si="237"/>
        <v>0</v>
      </c>
      <c r="P352" s="860">
        <f t="shared" ca="1" si="238"/>
        <v>0</v>
      </c>
      <c r="Q352" s="860">
        <f t="shared" ca="1" si="239"/>
        <v>0</v>
      </c>
      <c r="R352" s="1969">
        <f t="shared" ca="1" si="240"/>
        <v>0</v>
      </c>
      <c r="S352" s="866"/>
      <c r="T352" s="856">
        <f t="shared" ca="1" si="241"/>
        <v>0</v>
      </c>
      <c r="U352" s="711">
        <f t="shared" ca="1" si="242"/>
        <v>0</v>
      </c>
      <c r="V352" s="711">
        <f t="shared" ca="1" si="243"/>
        <v>0</v>
      </c>
      <c r="W352" s="711">
        <f t="shared" ca="1" si="244"/>
        <v>0</v>
      </c>
      <c r="X352" s="2773">
        <f t="shared" si="232"/>
        <v>0</v>
      </c>
      <c r="Y352" s="2774">
        <f t="shared" ca="1" si="233"/>
        <v>0</v>
      </c>
      <c r="Z352" s="10"/>
      <c r="AA352" s="675"/>
      <c r="AB352" s="10"/>
      <c r="AC352" s="1720"/>
      <c r="AD352" s="868"/>
    </row>
    <row r="353" spans="1:104" ht="54" hidden="1" customHeight="1" thickBot="1" x14ac:dyDescent="0.25">
      <c r="A353" s="4034"/>
      <c r="B353" s="4069"/>
      <c r="C353" s="3484">
        <v>5509</v>
      </c>
      <c r="D353" s="3746"/>
      <c r="E353" s="1948" t="s">
        <v>624</v>
      </c>
      <c r="F353" s="2421">
        <f t="shared" si="444"/>
        <v>0</v>
      </c>
      <c r="G353" s="2421">
        <f t="shared" si="444"/>
        <v>0</v>
      </c>
      <c r="H353" s="4137"/>
      <c r="I353" s="3328">
        <f>IF(F353=0,0,ROUND($F353*COEF!$J$27,0))</f>
        <v>0</v>
      </c>
      <c r="J353" s="3329">
        <f>IF(F353=0,0,ROUND($F353*COEF!$K$27,0))</f>
        <v>0</v>
      </c>
      <c r="K353" s="3329">
        <f>IF(F353=0,0,ROUND($F353*COEF!$L$27,0))</f>
        <v>0</v>
      </c>
      <c r="L353" s="3330">
        <f t="shared" ca="1" si="318"/>
        <v>0</v>
      </c>
      <c r="M353" s="3330">
        <f t="shared" ca="1" si="319"/>
        <v>0</v>
      </c>
      <c r="N353" s="3330">
        <f t="shared" ca="1" si="320"/>
        <v>0</v>
      </c>
      <c r="O353" s="860">
        <f t="shared" ref="O353" ca="1" si="445">I353+L353</f>
        <v>0</v>
      </c>
      <c r="P353" s="860">
        <f t="shared" ref="P353" ca="1" si="446">J353+M353</f>
        <v>0</v>
      </c>
      <c r="Q353" s="860">
        <f t="shared" ref="Q353" ca="1" si="447">K353+N353</f>
        <v>0</v>
      </c>
      <c r="R353" s="1969">
        <f t="shared" ref="R353" ca="1" si="448">SUM(O353:Q353)</f>
        <v>0</v>
      </c>
      <c r="S353" s="866"/>
      <c r="T353" s="856">
        <f t="shared" ca="1" si="241"/>
        <v>0</v>
      </c>
      <c r="U353" s="711">
        <f t="shared" ca="1" si="242"/>
        <v>0</v>
      </c>
      <c r="V353" s="711">
        <f t="shared" ca="1" si="243"/>
        <v>0</v>
      </c>
      <c r="W353" s="711">
        <f t="shared" ca="1" si="244"/>
        <v>0</v>
      </c>
      <c r="X353" s="2773">
        <f t="shared" si="232"/>
        <v>0</v>
      </c>
      <c r="Y353" s="2774">
        <f t="shared" ca="1" si="233"/>
        <v>0</v>
      </c>
      <c r="Z353" s="10"/>
      <c r="AA353" s="675"/>
      <c r="AB353" s="10"/>
      <c r="AC353" s="1720"/>
      <c r="AD353" s="868"/>
    </row>
    <row r="354" spans="1:104" ht="54" customHeight="1" thickBot="1" x14ac:dyDescent="0.25">
      <c r="A354" s="4034"/>
      <c r="B354" s="4069"/>
      <c r="C354" s="3173">
        <v>5558</v>
      </c>
      <c r="D354" s="3746"/>
      <c r="E354" s="3173" t="s">
        <v>65</v>
      </c>
      <c r="F354" s="3174">
        <f t="shared" si="444"/>
        <v>0</v>
      </c>
      <c r="G354" s="3174">
        <f t="shared" si="444"/>
        <v>0</v>
      </c>
      <c r="H354" s="4137"/>
      <c r="I354" s="3328">
        <f>IF(F354=0,0,ROUND($F354*COEF!$J$27,0))</f>
        <v>0</v>
      </c>
      <c r="J354" s="3329">
        <f>IF(F354=0,0,ROUND($F354*COEF!$K$27,0))</f>
        <v>0</v>
      </c>
      <c r="K354" s="3329">
        <f>IF(F354=0,0,ROUND($F354*COEF!$L$27,0))</f>
        <v>0</v>
      </c>
      <c r="L354" s="3330">
        <f t="shared" ref="L354:L378" ca="1" si="449">+ROUND(I354*I$395,0)</f>
        <v>0</v>
      </c>
      <c r="M354" s="3330">
        <f t="shared" ref="M354:M378" ca="1" si="450">+ROUND(J354*J$395,0)</f>
        <v>0</v>
      </c>
      <c r="N354" s="3330">
        <f t="shared" ref="N354:N378" ca="1" si="451">+ROUND(K354*K$395,0)</f>
        <v>0</v>
      </c>
      <c r="O354" s="860">
        <f t="shared" ref="O354:Q355" ca="1" si="452">I354+L354</f>
        <v>0</v>
      </c>
      <c r="P354" s="860">
        <f t="shared" ca="1" si="452"/>
        <v>0</v>
      </c>
      <c r="Q354" s="860">
        <f t="shared" ca="1" si="452"/>
        <v>0</v>
      </c>
      <c r="R354" s="1969">
        <f ca="1">SUM(O354:Q354)</f>
        <v>0</v>
      </c>
      <c r="S354" s="3328">
        <f ca="1">IF(P354=0,0,ROUND($F354*COEF!$J$27,0))</f>
        <v>0</v>
      </c>
      <c r="T354" s="856">
        <f t="shared" ca="1" si="241"/>
        <v>0</v>
      </c>
      <c r="U354" s="711">
        <f t="shared" ca="1" si="242"/>
        <v>0</v>
      </c>
      <c r="V354" s="711">
        <f t="shared" ca="1" si="243"/>
        <v>0</v>
      </c>
      <c r="W354" s="711">
        <f t="shared" ca="1" si="244"/>
        <v>0</v>
      </c>
      <c r="X354" s="2773">
        <f t="shared" si="232"/>
        <v>0</v>
      </c>
      <c r="Y354" s="2774">
        <f t="shared" ca="1" si="233"/>
        <v>0</v>
      </c>
      <c r="Z354" s="860">
        <f ca="1">T354+W354</f>
        <v>0</v>
      </c>
      <c r="AA354" s="860">
        <f ca="1">U354+X354</f>
        <v>0</v>
      </c>
      <c r="AB354" s="1969">
        <f ca="1">SUM(Y354:AA354)</f>
        <v>0</v>
      </c>
      <c r="AC354" s="3328">
        <f ca="1">IF(Z354=0,0,ROUND($F354*COEF!$J$27,0))</f>
        <v>0</v>
      </c>
      <c r="AD354" s="3329">
        <f ca="1">IF(Z354=0,0,ROUND($F354*COEF!$K$27,0))</f>
        <v>0</v>
      </c>
      <c r="AE354" s="3329">
        <f ca="1">IF(Z354=0,0,ROUND($F354*COEF!$L$27,0))</f>
        <v>0</v>
      </c>
      <c r="AF354" s="3330">
        <f ca="1">+ROUND(AC354*AC$395,0)</f>
        <v>0</v>
      </c>
      <c r="AG354" s="3330">
        <f ca="1">+ROUND(AD354*AD$395,0)</f>
        <v>0</v>
      </c>
      <c r="AH354" s="3330">
        <f ca="1">+ROUND(AE354*AE$395,0)</f>
        <v>0</v>
      </c>
      <c r="AI354" s="860">
        <f ca="1">AC354+AF354</f>
        <v>0</v>
      </c>
      <c r="AJ354" s="860">
        <f ca="1">AD354+AG354</f>
        <v>0</v>
      </c>
      <c r="AK354" s="860">
        <f ca="1">AE354+AH354</f>
        <v>0</v>
      </c>
      <c r="AL354" s="1969">
        <f ca="1">SUM(AI354:AK354)</f>
        <v>0</v>
      </c>
      <c r="AM354" s="3328">
        <f ca="1">IF(AJ354=0,0,ROUND($F354*COEF!$J$27,0))</f>
        <v>0</v>
      </c>
      <c r="AN354" s="3329">
        <f ca="1">IF(AJ354=0,0,ROUND($F354*COEF!$K$27,0))</f>
        <v>0</v>
      </c>
      <c r="AO354" s="3329">
        <f ca="1">IF(AJ354=0,0,ROUND($F354*COEF!$L$27,0))</f>
        <v>0</v>
      </c>
      <c r="AP354" s="3330">
        <f ca="1">+ROUND(AM354*AM$395,0)</f>
        <v>0</v>
      </c>
      <c r="AQ354" s="3330">
        <f ca="1">+ROUND(AN354*AN$395,0)</f>
        <v>0</v>
      </c>
      <c r="AR354" s="3330">
        <f ca="1">+ROUND(AO354*AO$395,0)</f>
        <v>0</v>
      </c>
      <c r="AS354" s="860">
        <f ca="1">AM354+AP354</f>
        <v>0</v>
      </c>
      <c r="AT354" s="860">
        <f ca="1">AN354+AQ354</f>
        <v>0</v>
      </c>
      <c r="AU354" s="860">
        <f ca="1">AO354+AR354</f>
        <v>0</v>
      </c>
      <c r="AV354" s="1969">
        <f ca="1">SUM(AS354:AU354)</f>
        <v>0</v>
      </c>
      <c r="AW354" s="3328">
        <f ca="1">IF(AT354=0,0,ROUND($F354*COEF!$J$27,0))</f>
        <v>0</v>
      </c>
      <c r="AX354" s="3329">
        <f ca="1">IF(AT354=0,0,ROUND($F354*COEF!$K$27,0))</f>
        <v>0</v>
      </c>
      <c r="AY354" s="3329">
        <f ca="1">IF(AT354=0,0,ROUND($F354*COEF!$L$27,0))</f>
        <v>0</v>
      </c>
      <c r="AZ354" s="3330">
        <f ca="1">+ROUND(AW354*AW$395,0)</f>
        <v>0</v>
      </c>
      <c r="BA354" s="3330">
        <f ca="1">+ROUND(AX354*AX$395,0)</f>
        <v>0</v>
      </c>
      <c r="BB354" s="3330">
        <f ca="1">+ROUND(AY354*AY$395,0)</f>
        <v>0</v>
      </c>
      <c r="BC354" s="860">
        <f ca="1">AW354+AZ354</f>
        <v>0</v>
      </c>
      <c r="BD354" s="860">
        <f ca="1">AX354+BA354</f>
        <v>0</v>
      </c>
      <c r="BE354" s="860">
        <f ca="1">AY354+BB354</f>
        <v>0</v>
      </c>
      <c r="BF354" s="1969">
        <f ca="1">SUM(BC354:BE354)</f>
        <v>0</v>
      </c>
      <c r="BG354" s="3328">
        <f ca="1">IF(BD354=0,0,ROUND($F354*COEF!$J$27,0))</f>
        <v>0</v>
      </c>
      <c r="BH354" s="3329">
        <f ca="1">IF(BD354=0,0,ROUND($F354*COEF!$K$27,0))</f>
        <v>0</v>
      </c>
      <c r="BI354" s="3329">
        <f ca="1">IF(BD354=0,0,ROUND($F354*COEF!$L$27,0))</f>
        <v>0</v>
      </c>
      <c r="BJ354" s="3330">
        <f ca="1">+ROUND(BG354*BG$395,0)</f>
        <v>0</v>
      </c>
      <c r="BK354" s="3330">
        <f ca="1">+ROUND(BH354*BH$395,0)</f>
        <v>0</v>
      </c>
      <c r="BL354" s="3330">
        <f ca="1">+ROUND(BI354*BI$395,0)</f>
        <v>0</v>
      </c>
      <c r="BM354" s="860">
        <f ca="1">BG354+BJ354</f>
        <v>0</v>
      </c>
      <c r="BN354" s="860">
        <f ca="1">BH354+BK354</f>
        <v>0</v>
      </c>
      <c r="BO354" s="860">
        <f ca="1">BI354+BL354</f>
        <v>0</v>
      </c>
      <c r="BP354" s="1969">
        <f ca="1">SUM(BM354:BO354)</f>
        <v>0</v>
      </c>
      <c r="BQ354" s="3328">
        <f ca="1">IF(BN354=0,0,ROUND($F354*COEF!$J$27,0))</f>
        <v>0</v>
      </c>
      <c r="BR354" s="3329">
        <f ca="1">IF(BN354=0,0,ROUND($F354*COEF!$K$27,0))</f>
        <v>0</v>
      </c>
      <c r="BS354" s="3329">
        <f ca="1">IF(BN354=0,0,ROUND($F354*COEF!$L$27,0))</f>
        <v>0</v>
      </c>
      <c r="BT354" s="3330">
        <f ca="1">+ROUND(BQ354*BQ$395,0)</f>
        <v>0</v>
      </c>
      <c r="BU354" s="3330">
        <f ca="1">+ROUND(BR354*BR$395,0)</f>
        <v>0</v>
      </c>
      <c r="BV354" s="3330">
        <f ca="1">+ROUND(BS354*BS$395,0)</f>
        <v>0</v>
      </c>
      <c r="BW354" s="860">
        <f ca="1">BQ354+BT354</f>
        <v>0</v>
      </c>
      <c r="BX354" s="860">
        <f ca="1">BR354+BU354</f>
        <v>0</v>
      </c>
      <c r="BY354" s="860">
        <f ca="1">BS354+BV354</f>
        <v>0</v>
      </c>
      <c r="BZ354" s="1969">
        <f ca="1">SUM(BW354:BY354)</f>
        <v>0</v>
      </c>
      <c r="CA354" s="3328">
        <f ca="1">IF(BX354=0,0,ROUND($F354*COEF!$J$27,0))</f>
        <v>0</v>
      </c>
      <c r="CB354" s="3329">
        <f ca="1">IF(BX354=0,0,ROUND($F354*COEF!$K$27,0))</f>
        <v>0</v>
      </c>
      <c r="CC354" s="3329">
        <f ca="1">IF(BX354=0,0,ROUND($F354*COEF!$L$27,0))</f>
        <v>0</v>
      </c>
      <c r="CD354" s="3330">
        <f ca="1">+ROUND(CA354*CA$395,0)</f>
        <v>0</v>
      </c>
      <c r="CE354" s="3330">
        <f ca="1">+ROUND(CB354*CB$395,0)</f>
        <v>0</v>
      </c>
      <c r="CF354" s="3330">
        <f ca="1">+ROUND(CC354*CC$395,0)</f>
        <v>0</v>
      </c>
      <c r="CG354" s="860">
        <f ca="1">CA354+CD354</f>
        <v>0</v>
      </c>
      <c r="CH354" s="860">
        <f ca="1">CB354+CE354</f>
        <v>0</v>
      </c>
      <c r="CI354" s="860">
        <f ca="1">CC354+CF354</f>
        <v>0</v>
      </c>
      <c r="CJ354" s="1969">
        <f ca="1">SUM(CG354:CI354)</f>
        <v>0</v>
      </c>
      <c r="CK354" s="3328">
        <f ca="1">IF(CH354=0,0,ROUND($F354*COEF!$J$27,0))</f>
        <v>0</v>
      </c>
      <c r="CL354" s="3329">
        <f ca="1">IF(CH354=0,0,ROUND($F354*COEF!$K$27,0))</f>
        <v>0</v>
      </c>
      <c r="CM354" s="3329">
        <f ca="1">IF(CH354=0,0,ROUND($F354*COEF!$L$27,0))</f>
        <v>0</v>
      </c>
      <c r="CN354" s="3330">
        <f ca="1">+ROUND(CK354*CK$395,0)</f>
        <v>0</v>
      </c>
      <c r="CO354" s="3330">
        <f ca="1">+ROUND(CL354*CL$395,0)</f>
        <v>0</v>
      </c>
      <c r="CP354" s="3330">
        <f ca="1">+ROUND(CM354*CM$395,0)</f>
        <v>0</v>
      </c>
      <c r="CQ354" s="860">
        <f ca="1">CK354+CN354</f>
        <v>0</v>
      </c>
      <c r="CR354" s="860">
        <f ca="1">CL354+CO354</f>
        <v>0</v>
      </c>
      <c r="CS354" s="860">
        <f ca="1">CM354+CP354</f>
        <v>0</v>
      </c>
      <c r="CT354" s="1969">
        <f ca="1">SUM(CQ354:CS354)</f>
        <v>0</v>
      </c>
      <c r="CU354" s="3328">
        <f ca="1">IF(CR354=0,0,ROUND($F354*COEF!$J$27,0))</f>
        <v>0</v>
      </c>
      <c r="CV354" s="3329">
        <f ca="1">IF(CR354=0,0,ROUND($F354*COEF!$K$27,0))</f>
        <v>0</v>
      </c>
      <c r="CW354" s="3329">
        <f ca="1">IF(CR354=0,0,ROUND($F354*COEF!$L$27,0))</f>
        <v>0</v>
      </c>
      <c r="CX354" s="3330">
        <f ca="1">+ROUND(CU354*CU$395,0)</f>
        <v>0</v>
      </c>
      <c r="CY354" s="3330">
        <f ca="1">+ROUND(CV354*CV$395,0)</f>
        <v>0</v>
      </c>
      <c r="CZ354" s="3330">
        <f ca="1">+ROUND(CW354*CW$395,0)</f>
        <v>0</v>
      </c>
    </row>
    <row r="355" spans="1:104" ht="54" hidden="1" customHeight="1" thickBot="1" x14ac:dyDescent="0.25">
      <c r="A355" s="4034"/>
      <c r="B355" s="4069"/>
      <c r="C355" s="3419">
        <v>5559</v>
      </c>
      <c r="D355" s="3752"/>
      <c r="E355" s="1949" t="s">
        <v>625</v>
      </c>
      <c r="F355" s="3174">
        <f t="shared" si="444"/>
        <v>0</v>
      </c>
      <c r="G355" s="3174">
        <f t="shared" si="444"/>
        <v>0</v>
      </c>
      <c r="H355" s="4137"/>
      <c r="I355" s="3328">
        <f>IF(F355=0,0,ROUND($F355*COEF!$J$27,0))</f>
        <v>0</v>
      </c>
      <c r="J355" s="3329">
        <f>IF(F355=0,0,ROUND($F355*COEF!$K$27,0))</f>
        <v>0</v>
      </c>
      <c r="K355" s="3329">
        <f>IF(F355=0,0,ROUND($F355*COEF!$L$27,0))</f>
        <v>0</v>
      </c>
      <c r="L355" s="3330">
        <f t="shared" ca="1" si="449"/>
        <v>0</v>
      </c>
      <c r="M355" s="3330">
        <f t="shared" ca="1" si="450"/>
        <v>0</v>
      </c>
      <c r="N355" s="3330">
        <f t="shared" ca="1" si="451"/>
        <v>0</v>
      </c>
      <c r="O355" s="860">
        <f t="shared" ca="1" si="452"/>
        <v>0</v>
      </c>
      <c r="P355" s="860">
        <f t="shared" ca="1" si="452"/>
        <v>0</v>
      </c>
      <c r="Q355" s="860">
        <f t="shared" ca="1" si="452"/>
        <v>0</v>
      </c>
      <c r="R355" s="1969">
        <f ca="1">SUM(O355:Q355)</f>
        <v>0</v>
      </c>
      <c r="S355" s="866"/>
      <c r="T355" s="856">
        <f t="shared" ca="1" si="241"/>
        <v>0</v>
      </c>
      <c r="U355" s="711">
        <f t="shared" ca="1" si="242"/>
        <v>0</v>
      </c>
      <c r="V355" s="711">
        <f t="shared" ca="1" si="243"/>
        <v>0</v>
      </c>
      <c r="W355" s="711">
        <f t="shared" ca="1" si="244"/>
        <v>0</v>
      </c>
      <c r="X355" s="2773">
        <f t="shared" si="232"/>
        <v>0</v>
      </c>
      <c r="Y355" s="2774">
        <f t="shared" ca="1" si="233"/>
        <v>0</v>
      </c>
      <c r="Z355" s="10"/>
      <c r="AA355" s="675"/>
      <c r="AB355" s="10"/>
      <c r="AC355" s="880"/>
      <c r="AD355" s="2424"/>
    </row>
    <row r="356" spans="1:104" ht="54" customHeight="1" thickBot="1" x14ac:dyDescent="0.25">
      <c r="A356" s="4034"/>
      <c r="B356" s="4069"/>
      <c r="C356" s="1948">
        <v>5575</v>
      </c>
      <c r="D356" s="3751" t="s">
        <v>1232</v>
      </c>
      <c r="E356" s="1948" t="s">
        <v>64</v>
      </c>
      <c r="F356" s="3174">
        <f t="shared" si="444"/>
        <v>0</v>
      </c>
      <c r="G356" s="3174">
        <f t="shared" si="444"/>
        <v>0</v>
      </c>
      <c r="H356" s="4137"/>
      <c r="I356" s="3328">
        <f>IF(F356=0,0,ROUND($F356*COEF!$J$27,0))</f>
        <v>0</v>
      </c>
      <c r="J356" s="3329">
        <f>IF(F356=0,0,ROUND($F356*COEF!$K$27,0))</f>
        <v>0</v>
      </c>
      <c r="K356" s="3329">
        <f>IF(F356=0,0,ROUND($F356*COEF!$L$27,0))</f>
        <v>0</v>
      </c>
      <c r="L356" s="3330">
        <f t="shared" ca="1" si="449"/>
        <v>0</v>
      </c>
      <c r="M356" s="3330">
        <f t="shared" ca="1" si="450"/>
        <v>0</v>
      </c>
      <c r="N356" s="3330">
        <f t="shared" ca="1" si="451"/>
        <v>0</v>
      </c>
      <c r="O356" s="860">
        <f t="shared" ref="O356:O360" ca="1" si="453">I356+L356</f>
        <v>0</v>
      </c>
      <c r="P356" s="860">
        <f t="shared" ref="P356:P360" ca="1" si="454">J356+M356</f>
        <v>0</v>
      </c>
      <c r="Q356" s="860">
        <f t="shared" ref="Q356:Q360" ca="1" si="455">K356+N356</f>
        <v>0</v>
      </c>
      <c r="R356" s="1969">
        <f t="shared" ref="R356:R360" ca="1" si="456">SUM(O356:Q356)</f>
        <v>0</v>
      </c>
      <c r="S356" s="866"/>
      <c r="T356" s="856">
        <f t="shared" ca="1" si="241"/>
        <v>0</v>
      </c>
      <c r="U356" s="711">
        <f t="shared" ca="1" si="242"/>
        <v>0</v>
      </c>
      <c r="V356" s="711">
        <f t="shared" ca="1" si="243"/>
        <v>0</v>
      </c>
      <c r="W356" s="711">
        <f t="shared" ca="1" si="244"/>
        <v>0</v>
      </c>
      <c r="X356" s="2773">
        <f t="shared" si="232"/>
        <v>0</v>
      </c>
      <c r="Y356" s="2774">
        <f t="shared" ca="1" si="233"/>
        <v>0</v>
      </c>
      <c r="Z356" s="10"/>
      <c r="AA356" s="675"/>
      <c r="AB356" s="10"/>
      <c r="AC356" s="880"/>
      <c r="AD356" s="2424"/>
    </row>
    <row r="357" spans="1:104" ht="54" customHeight="1" thickBot="1" x14ac:dyDescent="0.25">
      <c r="A357" s="4034"/>
      <c r="B357" s="4069"/>
      <c r="C357" s="3173">
        <v>5585</v>
      </c>
      <c r="D357" s="3747"/>
      <c r="E357" s="3173" t="s">
        <v>65</v>
      </c>
      <c r="F357" s="3174">
        <f t="shared" si="444"/>
        <v>0</v>
      </c>
      <c r="G357" s="3174">
        <f t="shared" si="444"/>
        <v>0</v>
      </c>
      <c r="H357" s="4137"/>
      <c r="I357" s="3328">
        <f>IF(F357=0,0,ROUND($F357*COEF!$J$27,0))</f>
        <v>0</v>
      </c>
      <c r="J357" s="3329">
        <f>IF(F357=0,0,ROUND($F357*COEF!$K$27,0))</f>
        <v>0</v>
      </c>
      <c r="K357" s="3329">
        <f>IF(F357=0,0,ROUND($F357*COEF!$L$27,0))</f>
        <v>0</v>
      </c>
      <c r="L357" s="3330">
        <f t="shared" ca="1" si="449"/>
        <v>0</v>
      </c>
      <c r="M357" s="3330">
        <f t="shared" ca="1" si="450"/>
        <v>0</v>
      </c>
      <c r="N357" s="3330">
        <f t="shared" ca="1" si="451"/>
        <v>0</v>
      </c>
      <c r="O357" s="860">
        <f t="shared" ca="1" si="453"/>
        <v>0</v>
      </c>
      <c r="P357" s="860">
        <f t="shared" ca="1" si="454"/>
        <v>0</v>
      </c>
      <c r="Q357" s="860">
        <f t="shared" ca="1" si="455"/>
        <v>0</v>
      </c>
      <c r="R357" s="1969">
        <f t="shared" ca="1" si="456"/>
        <v>0</v>
      </c>
      <c r="S357" s="866"/>
      <c r="T357" s="856">
        <f t="shared" ca="1" si="241"/>
        <v>0</v>
      </c>
      <c r="U357" s="711">
        <f t="shared" ca="1" si="242"/>
        <v>0</v>
      </c>
      <c r="V357" s="711">
        <f t="shared" ca="1" si="243"/>
        <v>0</v>
      </c>
      <c r="W357" s="711">
        <f t="shared" ca="1" si="244"/>
        <v>0</v>
      </c>
      <c r="X357" s="2773">
        <f t="shared" si="232"/>
        <v>0</v>
      </c>
      <c r="Y357" s="2774">
        <f t="shared" ca="1" si="233"/>
        <v>0</v>
      </c>
      <c r="Z357" s="10"/>
      <c r="AA357" s="675"/>
      <c r="AB357" s="10"/>
      <c r="AC357" s="880"/>
      <c r="AD357" s="2424"/>
    </row>
    <row r="358" spans="1:104" ht="54" customHeight="1" thickBot="1" x14ac:dyDescent="0.25">
      <c r="A358" s="4034"/>
      <c r="B358" s="4069"/>
      <c r="C358" s="1948">
        <v>5595</v>
      </c>
      <c r="D358" s="3745" t="s">
        <v>1233</v>
      </c>
      <c r="E358" s="1948" t="s">
        <v>64</v>
      </c>
      <c r="F358" s="3174">
        <f t="shared" si="444"/>
        <v>0</v>
      </c>
      <c r="G358" s="3174">
        <f t="shared" si="444"/>
        <v>0</v>
      </c>
      <c r="H358" s="4137"/>
      <c r="I358" s="3328">
        <f>IF(F358=0,0,ROUND($F358*COEF!$J$27,0))</f>
        <v>0</v>
      </c>
      <c r="J358" s="3329">
        <f>IF(F358=0,0,ROUND($F358*COEF!$K$27,0))</f>
        <v>0</v>
      </c>
      <c r="K358" s="3329">
        <f>IF(F358=0,0,ROUND($F358*COEF!$L$27,0))</f>
        <v>0</v>
      </c>
      <c r="L358" s="3330">
        <f t="shared" ca="1" si="449"/>
        <v>0</v>
      </c>
      <c r="M358" s="3330">
        <f t="shared" ca="1" si="450"/>
        <v>0</v>
      </c>
      <c r="N358" s="3330">
        <f t="shared" ca="1" si="451"/>
        <v>0</v>
      </c>
      <c r="O358" s="860">
        <f t="shared" ca="1" si="453"/>
        <v>0</v>
      </c>
      <c r="P358" s="860">
        <f t="shared" ca="1" si="454"/>
        <v>0</v>
      </c>
      <c r="Q358" s="860">
        <f t="shared" ca="1" si="455"/>
        <v>0</v>
      </c>
      <c r="R358" s="1969">
        <f t="shared" ca="1" si="456"/>
        <v>0</v>
      </c>
      <c r="S358" s="866"/>
      <c r="T358" s="856">
        <f t="shared" ca="1" si="241"/>
        <v>0</v>
      </c>
      <c r="U358" s="711">
        <f t="shared" ca="1" si="242"/>
        <v>0</v>
      </c>
      <c r="V358" s="711">
        <f t="shared" ca="1" si="243"/>
        <v>0</v>
      </c>
      <c r="W358" s="711">
        <f t="shared" ca="1" si="244"/>
        <v>0</v>
      </c>
      <c r="X358" s="2773">
        <f t="shared" ref="X358:X390" si="457">+SUM(I358:K358)</f>
        <v>0</v>
      </c>
      <c r="Y358" s="2774">
        <f t="shared" ref="Y358:Y390" ca="1" si="458">+SUM(L358:N358)</f>
        <v>0</v>
      </c>
      <c r="Z358" s="10"/>
      <c r="AA358" s="675"/>
      <c r="AB358" s="10"/>
      <c r="AC358" s="880"/>
      <c r="AD358" s="2424"/>
    </row>
    <row r="359" spans="1:104" ht="54" hidden="1" customHeight="1" thickBot="1" x14ac:dyDescent="0.25">
      <c r="A359" s="4034"/>
      <c r="B359" s="4069"/>
      <c r="C359" s="3484"/>
      <c r="D359" s="3746"/>
      <c r="E359" s="1948" t="s">
        <v>1352</v>
      </c>
      <c r="F359" s="3174">
        <f t="shared" si="444"/>
        <v>0</v>
      </c>
      <c r="G359" s="3174">
        <f t="shared" si="444"/>
        <v>0</v>
      </c>
      <c r="H359" s="4137"/>
      <c r="I359" s="3328">
        <f>IF(F359=0,0,ROUND($F359*COEF!$J$27,0))</f>
        <v>0</v>
      </c>
      <c r="J359" s="3329">
        <f>IF(F359=0,0,ROUND($F359*COEF!$K$27,0))</f>
        <v>0</v>
      </c>
      <c r="K359" s="3329">
        <f>IF(F359=0,0,ROUND($F359*COEF!$L$27,0))</f>
        <v>0</v>
      </c>
      <c r="L359" s="3330">
        <f t="shared" ca="1" si="449"/>
        <v>0</v>
      </c>
      <c r="M359" s="3330">
        <f t="shared" ca="1" si="450"/>
        <v>0</v>
      </c>
      <c r="N359" s="3330">
        <f t="shared" ca="1" si="451"/>
        <v>0</v>
      </c>
      <c r="O359" s="860">
        <f t="shared" ref="O359" ca="1" si="459">I359+L359</f>
        <v>0</v>
      </c>
      <c r="P359" s="860">
        <f t="shared" ref="P359" ca="1" si="460">J359+M359</f>
        <v>0</v>
      </c>
      <c r="Q359" s="860">
        <f t="shared" ref="Q359" ca="1" si="461">K359+N359</f>
        <v>0</v>
      </c>
      <c r="R359" s="1969">
        <f t="shared" ref="R359" ca="1" si="462">SUM(O359:Q359)</f>
        <v>0</v>
      </c>
      <c r="S359" s="866"/>
      <c r="T359" s="856">
        <f t="shared" ref="T359" ca="1" si="463">+SUM(L359:N359)</f>
        <v>0</v>
      </c>
      <c r="U359" s="711">
        <f t="shared" ref="U359" ca="1" si="464">L359</f>
        <v>0</v>
      </c>
      <c r="V359" s="711">
        <f t="shared" ref="V359" ca="1" si="465">M359</f>
        <v>0</v>
      </c>
      <c r="W359" s="711">
        <f t="shared" ref="W359" ca="1" si="466">N359</f>
        <v>0</v>
      </c>
      <c r="X359" s="2773">
        <f t="shared" ref="X359" si="467">+SUM(I359:K359)</f>
        <v>0</v>
      </c>
      <c r="Y359" s="2774">
        <f t="shared" ref="Y359" ca="1" si="468">+SUM(L359:N359)</f>
        <v>0</v>
      </c>
      <c r="Z359" s="10"/>
      <c r="AA359" s="675"/>
      <c r="AB359" s="10"/>
      <c r="AC359" s="880"/>
      <c r="AD359" s="2424"/>
    </row>
    <row r="360" spans="1:104" ht="54" customHeight="1" thickBot="1" x14ac:dyDescent="0.25">
      <c r="A360" s="4034"/>
      <c r="B360" s="4070"/>
      <c r="C360" s="3173">
        <v>5605</v>
      </c>
      <c r="D360" s="3746"/>
      <c r="E360" s="3173" t="s">
        <v>65</v>
      </c>
      <c r="F360" s="3174">
        <f t="shared" si="444"/>
        <v>0</v>
      </c>
      <c r="G360" s="3174">
        <f t="shared" si="444"/>
        <v>0</v>
      </c>
      <c r="H360" s="4137"/>
      <c r="I360" s="3328">
        <f>IF(F360=0,0,ROUND($F360*COEF!$J$27,0))</f>
        <v>0</v>
      </c>
      <c r="J360" s="3329">
        <f>IF(F360=0,0,ROUND($F360*COEF!$K$27,0))</f>
        <v>0</v>
      </c>
      <c r="K360" s="3329">
        <f>IF(F360=0,0,ROUND($F360*COEF!$L$27,0))</f>
        <v>0</v>
      </c>
      <c r="L360" s="3330">
        <f t="shared" ca="1" si="449"/>
        <v>0</v>
      </c>
      <c r="M360" s="3330">
        <f t="shared" ca="1" si="450"/>
        <v>0</v>
      </c>
      <c r="N360" s="3330">
        <f t="shared" ca="1" si="451"/>
        <v>0</v>
      </c>
      <c r="O360" s="860">
        <f t="shared" ca="1" si="453"/>
        <v>0</v>
      </c>
      <c r="P360" s="860">
        <f t="shared" ca="1" si="454"/>
        <v>0</v>
      </c>
      <c r="Q360" s="860">
        <f t="shared" ca="1" si="455"/>
        <v>0</v>
      </c>
      <c r="R360" s="1969">
        <f t="shared" ca="1" si="456"/>
        <v>0</v>
      </c>
      <c r="S360" s="866"/>
      <c r="T360" s="856">
        <f t="shared" ref="T360:T391" ca="1" si="469">+SUM(L360:N360)</f>
        <v>0</v>
      </c>
      <c r="U360" s="711">
        <f t="shared" ref="U360:U391" ca="1" si="470">L360</f>
        <v>0</v>
      </c>
      <c r="V360" s="711">
        <f t="shared" ref="V360:V391" ca="1" si="471">M360</f>
        <v>0</v>
      </c>
      <c r="W360" s="711">
        <f t="shared" ref="W360:W391" ca="1" si="472">N360</f>
        <v>0</v>
      </c>
      <c r="X360" s="2773">
        <f t="shared" si="457"/>
        <v>0</v>
      </c>
      <c r="Y360" s="2774">
        <f t="shared" ca="1" si="458"/>
        <v>0</v>
      </c>
      <c r="Z360" s="10"/>
      <c r="AA360" s="675"/>
      <c r="AB360" s="10"/>
      <c r="AC360" s="880"/>
      <c r="AD360" s="2424"/>
    </row>
    <row r="361" spans="1:104" ht="54" hidden="1" customHeight="1" thickBot="1" x14ac:dyDescent="0.25">
      <c r="A361" s="4034"/>
      <c r="B361" s="3491"/>
      <c r="C361" s="3515"/>
      <c r="D361" s="3747"/>
      <c r="E361" s="3173" t="s">
        <v>1328</v>
      </c>
      <c r="F361" s="3174">
        <f t="shared" si="444"/>
        <v>0</v>
      </c>
      <c r="G361" s="3174">
        <f t="shared" si="444"/>
        <v>0</v>
      </c>
      <c r="H361" s="4138"/>
      <c r="I361" s="3328">
        <f>IF(F361=0,0,ROUND($F361*COEF!$J$27,0))</f>
        <v>0</v>
      </c>
      <c r="J361" s="3329">
        <f>IF(F361=0,0,ROUND($F361*COEF!$K$27,0))</f>
        <v>0</v>
      </c>
      <c r="K361" s="3329">
        <f>IF(F361=0,0,ROUND($F361*COEF!$L$27,0))</f>
        <v>0</v>
      </c>
      <c r="L361" s="3330">
        <f t="shared" ca="1" si="449"/>
        <v>0</v>
      </c>
      <c r="M361" s="3330">
        <f t="shared" ca="1" si="450"/>
        <v>0</v>
      </c>
      <c r="N361" s="3330">
        <f t="shared" ca="1" si="451"/>
        <v>0</v>
      </c>
      <c r="O361" s="860">
        <f t="shared" ref="O361" ca="1" si="473">I361+L361</f>
        <v>0</v>
      </c>
      <c r="P361" s="860">
        <f t="shared" ref="P361" ca="1" si="474">J361+M361</f>
        <v>0</v>
      </c>
      <c r="Q361" s="860">
        <f t="shared" ref="Q361" ca="1" si="475">K361+N361</f>
        <v>0</v>
      </c>
      <c r="R361" s="1969">
        <f t="shared" ref="R361" ca="1" si="476">SUM(O361:Q361)</f>
        <v>0</v>
      </c>
      <c r="S361" s="866"/>
      <c r="T361" s="856">
        <f t="shared" ref="T361" ca="1" si="477">+SUM(L361:N361)</f>
        <v>0</v>
      </c>
      <c r="U361" s="711">
        <f t="shared" ref="U361" ca="1" si="478">L361</f>
        <v>0</v>
      </c>
      <c r="V361" s="711">
        <f t="shared" ref="V361" ca="1" si="479">M361</f>
        <v>0</v>
      </c>
      <c r="W361" s="711">
        <f t="shared" ref="W361" ca="1" si="480">N361</f>
        <v>0</v>
      </c>
      <c r="X361" s="2773">
        <f t="shared" ref="X361" si="481">+SUM(I361:K361)</f>
        <v>0</v>
      </c>
      <c r="Y361" s="2774">
        <f t="shared" ref="Y361" ca="1" si="482">+SUM(L361:N361)</f>
        <v>0</v>
      </c>
      <c r="Z361" s="10"/>
      <c r="AA361" s="675"/>
      <c r="AB361" s="10"/>
      <c r="AC361" s="880"/>
      <c r="AD361" s="2424"/>
    </row>
    <row r="362" spans="1:104" ht="54" customHeight="1" thickBot="1" x14ac:dyDescent="0.25">
      <c r="A362" s="4034"/>
      <c r="B362" s="4071" t="s">
        <v>67</v>
      </c>
      <c r="C362" s="3172">
        <v>5030</v>
      </c>
      <c r="D362" s="3758" t="s">
        <v>217</v>
      </c>
      <c r="E362" s="3758"/>
      <c r="F362" s="2421">
        <f t="shared" si="444"/>
        <v>0</v>
      </c>
      <c r="G362" s="2421">
        <f t="shared" si="444"/>
        <v>0</v>
      </c>
      <c r="H362" s="4139" t="s">
        <v>67</v>
      </c>
      <c r="I362" s="3328">
        <f>IF(F362=0,0,ROUND($F362*COEF!$J$27,0))</f>
        <v>0</v>
      </c>
      <c r="J362" s="3329">
        <f>IF(F362=0,0,ROUND($F362*COEF!$K$27,0))</f>
        <v>0</v>
      </c>
      <c r="K362" s="3329">
        <f>IF(F362=0,0,ROUND($F362*COEF!$L$27,0))</f>
        <v>0</v>
      </c>
      <c r="L362" s="3330">
        <f t="shared" ca="1" si="449"/>
        <v>0</v>
      </c>
      <c r="M362" s="3330">
        <f t="shared" ca="1" si="450"/>
        <v>0</v>
      </c>
      <c r="N362" s="3330">
        <f t="shared" ca="1" si="451"/>
        <v>0</v>
      </c>
      <c r="O362" s="860">
        <f t="shared" ca="1" si="237"/>
        <v>0</v>
      </c>
      <c r="P362" s="860">
        <f t="shared" ca="1" si="238"/>
        <v>0</v>
      </c>
      <c r="Q362" s="860">
        <f t="shared" ca="1" si="239"/>
        <v>0</v>
      </c>
      <c r="R362" s="1969">
        <f t="shared" ca="1" si="240"/>
        <v>0</v>
      </c>
      <c r="S362" s="866"/>
      <c r="T362" s="856">
        <f t="shared" ca="1" si="469"/>
        <v>0</v>
      </c>
      <c r="U362" s="711">
        <f t="shared" ca="1" si="470"/>
        <v>0</v>
      </c>
      <c r="V362" s="711">
        <f t="shared" ca="1" si="471"/>
        <v>0</v>
      </c>
      <c r="W362" s="711">
        <f t="shared" ca="1" si="472"/>
        <v>0</v>
      </c>
      <c r="X362" s="2773">
        <f t="shared" si="457"/>
        <v>0</v>
      </c>
      <c r="Y362" s="2774">
        <f t="shared" ca="1" si="458"/>
        <v>0</v>
      </c>
      <c r="Z362" s="10"/>
      <c r="AA362" s="675"/>
      <c r="AB362" s="10"/>
      <c r="AC362" s="880"/>
      <c r="AD362" s="885"/>
    </row>
    <row r="363" spans="1:104" ht="54" customHeight="1" thickBot="1" x14ac:dyDescent="0.25">
      <c r="A363" s="4034"/>
      <c r="B363" s="4072"/>
      <c r="C363" s="1954">
        <v>5040</v>
      </c>
      <c r="D363" s="3743" t="s">
        <v>218</v>
      </c>
      <c r="E363" s="3744"/>
      <c r="F363" s="2421">
        <f t="shared" si="444"/>
        <v>0</v>
      </c>
      <c r="G363" s="2421">
        <f t="shared" si="444"/>
        <v>0</v>
      </c>
      <c r="H363" s="4140"/>
      <c r="I363" s="3328">
        <f>IF(F363=0,0,ROUND($F363*COEF!$J$27,0))</f>
        <v>0</v>
      </c>
      <c r="J363" s="3329">
        <f>IF(F363=0,0,ROUND($F363*COEF!$K$27,0))</f>
        <v>0</v>
      </c>
      <c r="K363" s="3329">
        <f>IF(F363=0,0,ROUND($F363*COEF!$L$27,0))</f>
        <v>0</v>
      </c>
      <c r="L363" s="3330">
        <f t="shared" ca="1" si="449"/>
        <v>0</v>
      </c>
      <c r="M363" s="3330">
        <f t="shared" ca="1" si="450"/>
        <v>0</v>
      </c>
      <c r="N363" s="3330">
        <f t="shared" ca="1" si="451"/>
        <v>0</v>
      </c>
      <c r="O363" s="860">
        <f t="shared" ca="1" si="237"/>
        <v>0</v>
      </c>
      <c r="P363" s="860">
        <f t="shared" ca="1" si="238"/>
        <v>0</v>
      </c>
      <c r="Q363" s="860">
        <f t="shared" ca="1" si="239"/>
        <v>0</v>
      </c>
      <c r="R363" s="1969">
        <f t="shared" ca="1" si="240"/>
        <v>0</v>
      </c>
      <c r="S363" s="866"/>
      <c r="T363" s="856">
        <f t="shared" ca="1" si="469"/>
        <v>0</v>
      </c>
      <c r="U363" s="711">
        <f t="shared" ca="1" si="470"/>
        <v>0</v>
      </c>
      <c r="V363" s="711">
        <f t="shared" ca="1" si="471"/>
        <v>0</v>
      </c>
      <c r="W363" s="711">
        <f t="shared" ca="1" si="472"/>
        <v>0</v>
      </c>
      <c r="X363" s="2773">
        <f t="shared" si="457"/>
        <v>0</v>
      </c>
      <c r="Y363" s="2774">
        <f t="shared" ca="1" si="458"/>
        <v>0</v>
      </c>
      <c r="Z363" s="10"/>
      <c r="AA363" s="675"/>
      <c r="AB363" s="10"/>
      <c r="AC363" s="880"/>
      <c r="AD363" s="885"/>
    </row>
    <row r="364" spans="1:104" ht="54" hidden="1" customHeight="1" thickBot="1" x14ac:dyDescent="0.25">
      <c r="A364" s="4034"/>
      <c r="B364" s="4072"/>
      <c r="C364" s="1954">
        <v>5041</v>
      </c>
      <c r="D364" s="3743" t="s">
        <v>620</v>
      </c>
      <c r="E364" s="3744"/>
      <c r="F364" s="2421">
        <f t="shared" si="444"/>
        <v>0</v>
      </c>
      <c r="G364" s="2421">
        <f t="shared" si="444"/>
        <v>0</v>
      </c>
      <c r="H364" s="4140"/>
      <c r="I364" s="3328">
        <f>IF(F364=0,0,ROUND($F364*COEF!$J$27,0))</f>
        <v>0</v>
      </c>
      <c r="J364" s="3329">
        <f>IF(F364=0,0,ROUND($F364*COEF!$K$27,0))</f>
        <v>0</v>
      </c>
      <c r="K364" s="3329">
        <f>IF(F364=0,0,ROUND($F364*COEF!$L$27,0))</f>
        <v>0</v>
      </c>
      <c r="L364" s="3330">
        <f t="shared" ca="1" si="449"/>
        <v>0</v>
      </c>
      <c r="M364" s="3330">
        <f t="shared" ca="1" si="450"/>
        <v>0</v>
      </c>
      <c r="N364" s="3330">
        <f t="shared" ca="1" si="451"/>
        <v>0</v>
      </c>
      <c r="O364" s="860">
        <f t="shared" ref="O364" ca="1" si="483">I364+L364</f>
        <v>0</v>
      </c>
      <c r="P364" s="860">
        <f t="shared" ref="P364" ca="1" si="484">J364+M364</f>
        <v>0</v>
      </c>
      <c r="Q364" s="860">
        <f t="shared" ref="Q364" ca="1" si="485">K364+N364</f>
        <v>0</v>
      </c>
      <c r="R364" s="1969">
        <f t="shared" ref="R364" ca="1" si="486">SUM(O364:Q364)</f>
        <v>0</v>
      </c>
      <c r="S364" s="866"/>
      <c r="T364" s="856">
        <f t="shared" ca="1" si="469"/>
        <v>0</v>
      </c>
      <c r="U364" s="711">
        <f t="shared" ca="1" si="470"/>
        <v>0</v>
      </c>
      <c r="V364" s="711">
        <f t="shared" ca="1" si="471"/>
        <v>0</v>
      </c>
      <c r="W364" s="711">
        <f t="shared" ca="1" si="472"/>
        <v>0</v>
      </c>
      <c r="X364" s="2773">
        <f t="shared" si="457"/>
        <v>0</v>
      </c>
      <c r="Y364" s="2774">
        <f t="shared" ca="1" si="458"/>
        <v>0</v>
      </c>
      <c r="Z364" s="10"/>
      <c r="AA364" s="675"/>
      <c r="AB364" s="10"/>
      <c r="AC364" s="880"/>
      <c r="AD364" s="885"/>
    </row>
    <row r="365" spans="1:104" ht="60" customHeight="1" thickBot="1" x14ac:dyDescent="0.25">
      <c r="A365" s="4034"/>
      <c r="B365" s="4072"/>
      <c r="C365" s="1954">
        <v>5045</v>
      </c>
      <c r="D365" s="3743" t="s">
        <v>221</v>
      </c>
      <c r="E365" s="3744"/>
      <c r="F365" s="2421">
        <f>+F265+F266</f>
        <v>0</v>
      </c>
      <c r="G365" s="2421">
        <f>+G265+G266</f>
        <v>0</v>
      </c>
      <c r="H365" s="4140"/>
      <c r="I365" s="3328">
        <f>IF(F365=0,0,ROUND($F365*COEF!$J$27,0))</f>
        <v>0</v>
      </c>
      <c r="J365" s="3329">
        <f>IF(F365=0,0,ROUND($F365*COEF!$K$27,0))</f>
        <v>0</v>
      </c>
      <c r="K365" s="3329">
        <f>IF(F365=0,0,ROUND($F365*COEF!$L$27,0))</f>
        <v>0</v>
      </c>
      <c r="L365" s="3330">
        <f t="shared" ca="1" si="449"/>
        <v>0</v>
      </c>
      <c r="M365" s="3330">
        <f t="shared" ca="1" si="450"/>
        <v>0</v>
      </c>
      <c r="N365" s="3330">
        <f t="shared" ca="1" si="451"/>
        <v>0</v>
      </c>
      <c r="O365" s="860">
        <f t="shared" ca="1" si="237"/>
        <v>0</v>
      </c>
      <c r="P365" s="860">
        <f t="shared" ca="1" si="238"/>
        <v>0</v>
      </c>
      <c r="Q365" s="860">
        <f t="shared" ca="1" si="239"/>
        <v>0</v>
      </c>
      <c r="R365" s="1969">
        <f t="shared" ca="1" si="240"/>
        <v>0</v>
      </c>
      <c r="S365" s="866"/>
      <c r="T365" s="856">
        <f t="shared" ca="1" si="469"/>
        <v>0</v>
      </c>
      <c r="U365" s="711">
        <f t="shared" ca="1" si="470"/>
        <v>0</v>
      </c>
      <c r="V365" s="711">
        <f t="shared" ca="1" si="471"/>
        <v>0</v>
      </c>
      <c r="W365" s="711">
        <f t="shared" ca="1" si="472"/>
        <v>0</v>
      </c>
      <c r="X365" s="2773">
        <f t="shared" si="457"/>
        <v>0</v>
      </c>
      <c r="Y365" s="2774">
        <f t="shared" ca="1" si="458"/>
        <v>0</v>
      </c>
      <c r="Z365" s="10"/>
      <c r="AA365" s="675"/>
      <c r="AB365" s="10"/>
      <c r="AC365" s="880"/>
      <c r="AD365" s="885"/>
    </row>
    <row r="366" spans="1:104" ht="60" customHeight="1" thickBot="1" x14ac:dyDescent="0.25">
      <c r="A366" s="4034"/>
      <c r="B366" s="4072"/>
      <c r="C366" s="1955">
        <v>5050</v>
      </c>
      <c r="D366" s="3742" t="s">
        <v>219</v>
      </c>
      <c r="E366" s="3742"/>
      <c r="F366" s="2421">
        <f>+F267</f>
        <v>0</v>
      </c>
      <c r="G366" s="2421">
        <f>+G267</f>
        <v>0</v>
      </c>
      <c r="H366" s="4140"/>
      <c r="I366" s="3328">
        <f>IF(F366=0,0,ROUND($F366*COEF!$J$27,0))</f>
        <v>0</v>
      </c>
      <c r="J366" s="3329">
        <f>IF(F366=0,0,ROUND($F366*COEF!$K$27,0))</f>
        <v>0</v>
      </c>
      <c r="K366" s="3329">
        <f>IF(F366=0,0,ROUND($F366*COEF!$L$27,0))</f>
        <v>0</v>
      </c>
      <c r="L366" s="3330">
        <f t="shared" ca="1" si="449"/>
        <v>0</v>
      </c>
      <c r="M366" s="3330">
        <f t="shared" ca="1" si="450"/>
        <v>0</v>
      </c>
      <c r="N366" s="3330">
        <f t="shared" ca="1" si="451"/>
        <v>0</v>
      </c>
      <c r="O366" s="860">
        <f t="shared" ca="1" si="237"/>
        <v>0</v>
      </c>
      <c r="P366" s="860">
        <f t="shared" ca="1" si="238"/>
        <v>0</v>
      </c>
      <c r="Q366" s="860">
        <f t="shared" ca="1" si="239"/>
        <v>0</v>
      </c>
      <c r="R366" s="1969">
        <f t="shared" ca="1" si="240"/>
        <v>0</v>
      </c>
      <c r="S366" s="866"/>
      <c r="T366" s="856">
        <f t="shared" ca="1" si="469"/>
        <v>0</v>
      </c>
      <c r="U366" s="711">
        <f t="shared" ca="1" si="470"/>
        <v>0</v>
      </c>
      <c r="V366" s="711">
        <f t="shared" ca="1" si="471"/>
        <v>0</v>
      </c>
      <c r="W366" s="711">
        <f t="shared" ca="1" si="472"/>
        <v>0</v>
      </c>
      <c r="X366" s="2773">
        <f t="shared" si="457"/>
        <v>0</v>
      </c>
      <c r="Y366" s="2774">
        <f t="shared" ca="1" si="458"/>
        <v>0</v>
      </c>
      <c r="Z366" s="10"/>
      <c r="AA366" s="675"/>
      <c r="AB366" s="10"/>
      <c r="AC366" s="880"/>
      <c r="AD366" s="885"/>
    </row>
    <row r="367" spans="1:104" ht="60" hidden="1" customHeight="1" thickBot="1" x14ac:dyDescent="0.25">
      <c r="A367" s="4034"/>
      <c r="B367" s="4072"/>
      <c r="C367" s="1955">
        <v>5051</v>
      </c>
      <c r="D367" s="3742" t="s">
        <v>621</v>
      </c>
      <c r="E367" s="3742"/>
      <c r="F367" s="2421">
        <f>+F268</f>
        <v>0</v>
      </c>
      <c r="G367" s="2421">
        <f>+G268</f>
        <v>0</v>
      </c>
      <c r="H367" s="4140"/>
      <c r="I367" s="3328">
        <f>IF(F367=0,0,ROUND($F367*COEF!$J$27,0))</f>
        <v>0</v>
      </c>
      <c r="J367" s="3329">
        <f>IF(F367=0,0,ROUND($F367*COEF!$K$27,0))</f>
        <v>0</v>
      </c>
      <c r="K367" s="3329">
        <f>IF(F367=0,0,ROUND($F367*COEF!$L$27,0))</f>
        <v>0</v>
      </c>
      <c r="L367" s="3330">
        <f t="shared" ca="1" si="449"/>
        <v>0</v>
      </c>
      <c r="M367" s="3330">
        <f t="shared" ca="1" si="450"/>
        <v>0</v>
      </c>
      <c r="N367" s="3330">
        <f t="shared" ca="1" si="451"/>
        <v>0</v>
      </c>
      <c r="O367" s="860">
        <f t="shared" ref="O367" ca="1" si="487">I367+L367</f>
        <v>0</v>
      </c>
      <c r="P367" s="860">
        <f t="shared" ref="P367" ca="1" si="488">J367+M367</f>
        <v>0</v>
      </c>
      <c r="Q367" s="860">
        <f t="shared" ref="Q367" ca="1" si="489">K367+N367</f>
        <v>0</v>
      </c>
      <c r="R367" s="1969">
        <f t="shared" ref="R367" ca="1" si="490">SUM(O367:Q367)</f>
        <v>0</v>
      </c>
      <c r="S367" s="866"/>
      <c r="T367" s="856">
        <f t="shared" ca="1" si="469"/>
        <v>0</v>
      </c>
      <c r="U367" s="711">
        <f t="shared" ca="1" si="470"/>
        <v>0</v>
      </c>
      <c r="V367" s="711">
        <f t="shared" ca="1" si="471"/>
        <v>0</v>
      </c>
      <c r="W367" s="711">
        <f t="shared" ca="1" si="472"/>
        <v>0</v>
      </c>
      <c r="X367" s="2773">
        <f t="shared" si="457"/>
        <v>0</v>
      </c>
      <c r="Y367" s="2774">
        <f t="shared" ca="1" si="458"/>
        <v>0</v>
      </c>
      <c r="Z367" s="10"/>
      <c r="AA367" s="675"/>
      <c r="AB367" s="10"/>
      <c r="AC367" s="880"/>
      <c r="AD367" s="885"/>
    </row>
    <row r="368" spans="1:104" ht="54" customHeight="1" thickBot="1" x14ac:dyDescent="0.25">
      <c r="A368" s="4034"/>
      <c r="B368" s="4072"/>
      <c r="C368" s="1955">
        <v>5055</v>
      </c>
      <c r="D368" s="3742" t="s">
        <v>222</v>
      </c>
      <c r="E368" s="3742"/>
      <c r="F368" s="2421">
        <f>+F269+F270</f>
        <v>0</v>
      </c>
      <c r="G368" s="2421">
        <f>+G269+G270</f>
        <v>0</v>
      </c>
      <c r="H368" s="4140"/>
      <c r="I368" s="3328">
        <f>IF(F368=0,0,ROUND($F368*COEF!$J$27,0))</f>
        <v>0</v>
      </c>
      <c r="J368" s="3329">
        <f>IF(F368=0,0,ROUND($F368*COEF!$K$27,0))</f>
        <v>0</v>
      </c>
      <c r="K368" s="3329">
        <f>IF(F368=0,0,ROUND($F368*COEF!$L$27,0))</f>
        <v>0</v>
      </c>
      <c r="L368" s="3330">
        <f t="shared" ca="1" si="449"/>
        <v>0</v>
      </c>
      <c r="M368" s="3330">
        <f t="shared" ca="1" si="450"/>
        <v>0</v>
      </c>
      <c r="N368" s="3330">
        <f t="shared" ca="1" si="451"/>
        <v>0</v>
      </c>
      <c r="O368" s="860">
        <f t="shared" ca="1" si="237"/>
        <v>0</v>
      </c>
      <c r="P368" s="860">
        <f t="shared" ca="1" si="238"/>
        <v>0</v>
      </c>
      <c r="Q368" s="860">
        <f t="shared" ca="1" si="239"/>
        <v>0</v>
      </c>
      <c r="R368" s="1969">
        <f t="shared" ca="1" si="240"/>
        <v>0</v>
      </c>
      <c r="S368" s="866"/>
      <c r="T368" s="856">
        <f t="shared" ca="1" si="469"/>
        <v>0</v>
      </c>
      <c r="U368" s="711">
        <f t="shared" ca="1" si="470"/>
        <v>0</v>
      </c>
      <c r="V368" s="711">
        <f t="shared" ca="1" si="471"/>
        <v>0</v>
      </c>
      <c r="W368" s="711">
        <f t="shared" ca="1" si="472"/>
        <v>0</v>
      </c>
      <c r="X368" s="2773">
        <f t="shared" si="457"/>
        <v>0</v>
      </c>
      <c r="Y368" s="2774">
        <f t="shared" ca="1" si="458"/>
        <v>0</v>
      </c>
      <c r="Z368" s="10"/>
      <c r="AA368" s="675"/>
      <c r="AB368" s="10"/>
      <c r="AC368" s="867"/>
      <c r="AD368" s="890"/>
    </row>
    <row r="369" spans="1:30" ht="54" customHeight="1" thickBot="1" x14ac:dyDescent="0.25">
      <c r="A369" s="4034"/>
      <c r="B369" s="4072"/>
      <c r="C369" s="1948">
        <v>5510</v>
      </c>
      <c r="D369" s="3751" t="s">
        <v>1234</v>
      </c>
      <c r="E369" s="1948" t="s">
        <v>68</v>
      </c>
      <c r="F369" s="3374">
        <f t="shared" ref="F369:G382" si="491">+F271</f>
        <v>0</v>
      </c>
      <c r="G369" s="2421">
        <f t="shared" si="491"/>
        <v>0</v>
      </c>
      <c r="H369" s="4140"/>
      <c r="I369" s="3328">
        <f>IF(F369=0,0,ROUND($F369*COEF!$J$27,0))</f>
        <v>0</v>
      </c>
      <c r="J369" s="3329">
        <f>IF(F369=0,0,ROUND($F369*COEF!$K$27,0))</f>
        <v>0</v>
      </c>
      <c r="K369" s="3329">
        <f>IF(F369=0,0,ROUND($F369*COEF!$L$27,0))</f>
        <v>0</v>
      </c>
      <c r="L369" s="3330">
        <f t="shared" ca="1" si="449"/>
        <v>0</v>
      </c>
      <c r="M369" s="3330">
        <f t="shared" ca="1" si="450"/>
        <v>0</v>
      </c>
      <c r="N369" s="3330">
        <f t="shared" ca="1" si="451"/>
        <v>0</v>
      </c>
      <c r="O369" s="860">
        <f t="shared" ca="1" si="237"/>
        <v>0</v>
      </c>
      <c r="P369" s="860">
        <f t="shared" ref="P369" ca="1" si="492">J369+M369</f>
        <v>0</v>
      </c>
      <c r="Q369" s="860">
        <f t="shared" ref="Q369" ca="1" si="493">K369+N369</f>
        <v>0</v>
      </c>
      <c r="R369" s="1969">
        <f t="shared" ref="R369" ca="1" si="494">SUM(O369:Q369)</f>
        <v>0</v>
      </c>
      <c r="S369" s="866"/>
      <c r="T369" s="856">
        <f t="shared" ca="1" si="469"/>
        <v>0</v>
      </c>
      <c r="U369" s="711">
        <f t="shared" ca="1" si="470"/>
        <v>0</v>
      </c>
      <c r="V369" s="711">
        <f t="shared" ca="1" si="471"/>
        <v>0</v>
      </c>
      <c r="W369" s="711">
        <f t="shared" ca="1" si="472"/>
        <v>0</v>
      </c>
      <c r="X369" s="2773">
        <f t="shared" si="457"/>
        <v>0</v>
      </c>
      <c r="Y369" s="2774">
        <f t="shared" ca="1" si="458"/>
        <v>0</v>
      </c>
      <c r="Z369" s="10"/>
      <c r="AA369" s="675"/>
      <c r="AB369" s="10"/>
      <c r="AC369" s="1720"/>
      <c r="AD369" s="890"/>
    </row>
    <row r="370" spans="1:30" ht="54" hidden="1" customHeight="1" thickBot="1" x14ac:dyDescent="0.25">
      <c r="A370" s="4034"/>
      <c r="B370" s="4072"/>
      <c r="C370" s="1948">
        <v>5511</v>
      </c>
      <c r="D370" s="3746"/>
      <c r="E370" s="1948" t="s">
        <v>624</v>
      </c>
      <c r="F370" s="3374">
        <f t="shared" si="491"/>
        <v>0</v>
      </c>
      <c r="G370" s="2421">
        <f t="shared" si="491"/>
        <v>0</v>
      </c>
      <c r="H370" s="4140"/>
      <c r="I370" s="3328">
        <f>IF(F370=0,0,ROUND($F370*COEF!$J$27,0))</f>
        <v>0</v>
      </c>
      <c r="J370" s="3329">
        <f>IF(F370=0,0,ROUND($F370*COEF!$K$27,0))</f>
        <v>0</v>
      </c>
      <c r="K370" s="3329">
        <f>IF(F370=0,0,ROUND($F370*COEF!$L$27,0))</f>
        <v>0</v>
      </c>
      <c r="L370" s="3330">
        <f t="shared" ca="1" si="449"/>
        <v>0</v>
      </c>
      <c r="M370" s="3330">
        <f t="shared" ca="1" si="450"/>
        <v>0</v>
      </c>
      <c r="N370" s="3330">
        <f t="shared" ca="1" si="451"/>
        <v>0</v>
      </c>
      <c r="O370" s="860">
        <f t="shared" ref="O370" ca="1" si="495">I370+L370</f>
        <v>0</v>
      </c>
      <c r="P370" s="860">
        <f t="shared" ref="P370" ca="1" si="496">J370+M370</f>
        <v>0</v>
      </c>
      <c r="Q370" s="860">
        <f t="shared" ref="Q370" ca="1" si="497">K370+N370</f>
        <v>0</v>
      </c>
      <c r="R370" s="1969">
        <f t="shared" ref="R370" ca="1" si="498">SUM(O370:Q370)</f>
        <v>0</v>
      </c>
      <c r="S370" s="866"/>
      <c r="T370" s="856">
        <f t="shared" ref="T370" ca="1" si="499">+SUM(L370:N370)</f>
        <v>0</v>
      </c>
      <c r="U370" s="711">
        <f t="shared" ref="U370" ca="1" si="500">L370</f>
        <v>0</v>
      </c>
      <c r="V370" s="711">
        <f t="shared" ref="V370" ca="1" si="501">M370</f>
        <v>0</v>
      </c>
      <c r="W370" s="711">
        <f t="shared" ref="W370" ca="1" si="502">N370</f>
        <v>0</v>
      </c>
      <c r="X370" s="2773">
        <f t="shared" ref="X370" si="503">+SUM(I370:K370)</f>
        <v>0</v>
      </c>
      <c r="Y370" s="2774">
        <f t="shared" ref="Y370" ca="1" si="504">+SUM(L370:N370)</f>
        <v>0</v>
      </c>
      <c r="Z370" s="10"/>
      <c r="AA370" s="675"/>
      <c r="AB370" s="10"/>
      <c r="AC370" s="1720"/>
      <c r="AD370" s="890"/>
    </row>
    <row r="371" spans="1:30" ht="54" customHeight="1" thickBot="1" x14ac:dyDescent="0.25">
      <c r="A371" s="4034"/>
      <c r="B371" s="4072"/>
      <c r="C371" s="1949">
        <v>5560</v>
      </c>
      <c r="D371" s="3746"/>
      <c r="E371" s="1949" t="s">
        <v>69</v>
      </c>
      <c r="F371" s="3371">
        <f t="shared" si="491"/>
        <v>0</v>
      </c>
      <c r="G371" s="2421">
        <f t="shared" si="491"/>
        <v>0</v>
      </c>
      <c r="H371" s="4140"/>
      <c r="I371" s="3328">
        <f>IF(F371=0,0,ROUND($F371*COEF!$J$27,0))</f>
        <v>0</v>
      </c>
      <c r="J371" s="3329">
        <f>IF(F371=0,0,ROUND($F371*COEF!$K$27,0))</f>
        <v>0</v>
      </c>
      <c r="K371" s="3329">
        <f>IF(F371=0,0,ROUND($F371*COEF!$L$27,0))</f>
        <v>0</v>
      </c>
      <c r="L371" s="3330">
        <f t="shared" ca="1" si="449"/>
        <v>0</v>
      </c>
      <c r="M371" s="3330">
        <f t="shared" ca="1" si="450"/>
        <v>0</v>
      </c>
      <c r="N371" s="3330">
        <f t="shared" ca="1" si="451"/>
        <v>0</v>
      </c>
      <c r="O371" s="860">
        <f t="shared" ca="1" si="237"/>
        <v>0</v>
      </c>
      <c r="P371" s="860">
        <f t="shared" ca="1" si="238"/>
        <v>0</v>
      </c>
      <c r="Q371" s="860">
        <f t="shared" ca="1" si="239"/>
        <v>0</v>
      </c>
      <c r="R371" s="1969">
        <f t="shared" ca="1" si="240"/>
        <v>0</v>
      </c>
      <c r="S371" s="866"/>
      <c r="T371" s="856">
        <f t="shared" ca="1" si="469"/>
        <v>0</v>
      </c>
      <c r="U371" s="711">
        <f t="shared" ca="1" si="470"/>
        <v>0</v>
      </c>
      <c r="V371" s="711">
        <f t="shared" ca="1" si="471"/>
        <v>0</v>
      </c>
      <c r="W371" s="711">
        <f t="shared" ca="1" si="472"/>
        <v>0</v>
      </c>
      <c r="X371" s="2773">
        <f t="shared" si="457"/>
        <v>0</v>
      </c>
      <c r="Y371" s="2774">
        <f t="shared" ca="1" si="458"/>
        <v>0</v>
      </c>
      <c r="Z371" s="10"/>
      <c r="AA371" s="675"/>
      <c r="AB371" s="10"/>
      <c r="AC371" s="1720"/>
      <c r="AD371" s="890"/>
    </row>
    <row r="372" spans="1:30" ht="54" hidden="1" customHeight="1" thickBot="1" x14ac:dyDescent="0.25">
      <c r="A372" s="3365"/>
      <c r="B372" s="4072"/>
      <c r="C372" s="1949">
        <v>5561</v>
      </c>
      <c r="D372" s="3752"/>
      <c r="E372" s="1949" t="s">
        <v>625</v>
      </c>
      <c r="F372" s="3371">
        <f t="shared" si="491"/>
        <v>0</v>
      </c>
      <c r="G372" s="2421">
        <f t="shared" si="491"/>
        <v>0</v>
      </c>
      <c r="H372" s="4140"/>
      <c r="I372" s="3328">
        <f>IF(F372=0,0,ROUND($F372*COEF!$J$27,0))</f>
        <v>0</v>
      </c>
      <c r="J372" s="3329">
        <f>IF(F372=0,0,ROUND($F372*COEF!$K$27,0))</f>
        <v>0</v>
      </c>
      <c r="K372" s="3329">
        <f>IF(F372=0,0,ROUND($F372*COEF!$L$27,0))</f>
        <v>0</v>
      </c>
      <c r="L372" s="3330">
        <f t="shared" ca="1" si="449"/>
        <v>0</v>
      </c>
      <c r="M372" s="3330">
        <f t="shared" ca="1" si="450"/>
        <v>0</v>
      </c>
      <c r="N372" s="3330">
        <f t="shared" ca="1" si="451"/>
        <v>0</v>
      </c>
      <c r="O372" s="860">
        <f t="shared" ref="O372" ca="1" si="505">I372+L372</f>
        <v>0</v>
      </c>
      <c r="P372" s="860">
        <f t="shared" ref="P372" ca="1" si="506">J372+M372</f>
        <v>0</v>
      </c>
      <c r="Q372" s="860">
        <f t="shared" ref="Q372" ca="1" si="507">K372+N372</f>
        <v>0</v>
      </c>
      <c r="R372" s="1969">
        <f t="shared" ref="R372" ca="1" si="508">SUM(O372:Q372)</f>
        <v>0</v>
      </c>
      <c r="S372" s="866"/>
      <c r="T372" s="856">
        <f t="shared" ref="T372" ca="1" si="509">+SUM(L372:N372)</f>
        <v>0</v>
      </c>
      <c r="U372" s="711">
        <f t="shared" ref="U372" ca="1" si="510">L372</f>
        <v>0</v>
      </c>
      <c r="V372" s="711">
        <f t="shared" ref="V372" ca="1" si="511">M372</f>
        <v>0</v>
      </c>
      <c r="W372" s="711">
        <f t="shared" ref="W372" ca="1" si="512">N372</f>
        <v>0</v>
      </c>
      <c r="X372" s="2773">
        <f t="shared" ref="X372" si="513">+SUM(I372:K372)</f>
        <v>0</v>
      </c>
      <c r="Y372" s="2774">
        <f t="shared" ref="Y372" ca="1" si="514">+SUM(L372:N372)</f>
        <v>0</v>
      </c>
      <c r="Z372" s="10"/>
      <c r="AA372" s="675"/>
      <c r="AB372" s="10"/>
      <c r="AC372" s="1720"/>
      <c r="AD372" s="890"/>
    </row>
    <row r="373" spans="1:30" ht="54" customHeight="1" thickBot="1" x14ac:dyDescent="0.25">
      <c r="A373" s="3365"/>
      <c r="B373" s="4072"/>
      <c r="C373" s="1948">
        <v>5576</v>
      </c>
      <c r="D373" s="3751" t="s">
        <v>1232</v>
      </c>
      <c r="E373" s="1948" t="s">
        <v>68</v>
      </c>
      <c r="F373" s="3371">
        <f t="shared" si="491"/>
        <v>0</v>
      </c>
      <c r="G373" s="3171">
        <f t="shared" si="491"/>
        <v>0</v>
      </c>
      <c r="H373" s="4140"/>
      <c r="I373" s="3328">
        <f>IF(F373=0,0,ROUND($F373*COEF!$J$27,0))</f>
        <v>0</v>
      </c>
      <c r="J373" s="3329">
        <f>IF(F373=0,0,ROUND($F373*COEF!$K$27,0))</f>
        <v>0</v>
      </c>
      <c r="K373" s="3329">
        <f>IF(F373=0,0,ROUND($F373*COEF!$L$27,0))</f>
        <v>0</v>
      </c>
      <c r="L373" s="3330">
        <f t="shared" ca="1" si="449"/>
        <v>0</v>
      </c>
      <c r="M373" s="3330">
        <f t="shared" ca="1" si="450"/>
        <v>0</v>
      </c>
      <c r="N373" s="3330">
        <f t="shared" ca="1" si="451"/>
        <v>0</v>
      </c>
      <c r="O373" s="860">
        <f t="shared" ref="O373:O377" ca="1" si="515">I373+L373</f>
        <v>0</v>
      </c>
      <c r="P373" s="860">
        <f t="shared" ref="P373:P377" ca="1" si="516">J373+M373</f>
        <v>0</v>
      </c>
      <c r="Q373" s="860">
        <f t="shared" ref="Q373:Q377" ca="1" si="517">K373+N373</f>
        <v>0</v>
      </c>
      <c r="R373" s="1969">
        <f t="shared" ref="R373:R377" ca="1" si="518">SUM(O373:Q373)</f>
        <v>0</v>
      </c>
      <c r="S373" s="866"/>
      <c r="T373" s="856">
        <f t="shared" ca="1" si="469"/>
        <v>0</v>
      </c>
      <c r="U373" s="711">
        <f t="shared" ca="1" si="470"/>
        <v>0</v>
      </c>
      <c r="V373" s="711">
        <f t="shared" ca="1" si="471"/>
        <v>0</v>
      </c>
      <c r="W373" s="711">
        <f t="shared" ca="1" si="472"/>
        <v>0</v>
      </c>
      <c r="X373" s="2773">
        <f t="shared" si="457"/>
        <v>0</v>
      </c>
      <c r="Y373" s="2774">
        <f t="shared" ca="1" si="458"/>
        <v>0</v>
      </c>
      <c r="Z373" s="10"/>
      <c r="AA373" s="675"/>
      <c r="AB373" s="10"/>
      <c r="AC373" s="3372"/>
      <c r="AD373" s="3373"/>
    </row>
    <row r="374" spans="1:30" ht="54" customHeight="1" thickBot="1" x14ac:dyDescent="0.25">
      <c r="A374" s="3365"/>
      <c r="B374" s="4072"/>
      <c r="C374" s="1949">
        <v>5586</v>
      </c>
      <c r="D374" s="3747"/>
      <c r="E374" s="1949" t="s">
        <v>69</v>
      </c>
      <c r="F374" s="3371">
        <f t="shared" si="491"/>
        <v>0</v>
      </c>
      <c r="G374" s="3171">
        <f t="shared" si="491"/>
        <v>0</v>
      </c>
      <c r="H374" s="4140"/>
      <c r="I374" s="3328">
        <f>IF(F374=0,0,ROUND($F374*COEF!$J$27,0))</f>
        <v>0</v>
      </c>
      <c r="J374" s="3329">
        <f>IF(F374=0,0,ROUND($F374*COEF!$K$27,0))</f>
        <v>0</v>
      </c>
      <c r="K374" s="3329">
        <f>IF(F374=0,0,ROUND($F374*COEF!$L$27,0))</f>
        <v>0</v>
      </c>
      <c r="L374" s="3330">
        <f t="shared" ca="1" si="449"/>
        <v>0</v>
      </c>
      <c r="M374" s="3330">
        <f t="shared" ca="1" si="450"/>
        <v>0</v>
      </c>
      <c r="N374" s="3330">
        <f t="shared" ca="1" si="451"/>
        <v>0</v>
      </c>
      <c r="O374" s="860">
        <f t="shared" ca="1" si="515"/>
        <v>0</v>
      </c>
      <c r="P374" s="860">
        <f t="shared" ca="1" si="516"/>
        <v>0</v>
      </c>
      <c r="Q374" s="860">
        <f t="shared" ca="1" si="517"/>
        <v>0</v>
      </c>
      <c r="R374" s="1969">
        <f t="shared" ca="1" si="518"/>
        <v>0</v>
      </c>
      <c r="S374" s="866"/>
      <c r="T374" s="856">
        <f t="shared" ca="1" si="469"/>
        <v>0</v>
      </c>
      <c r="U374" s="711">
        <f t="shared" ca="1" si="470"/>
        <v>0</v>
      </c>
      <c r="V374" s="711">
        <f t="shared" ca="1" si="471"/>
        <v>0</v>
      </c>
      <c r="W374" s="711">
        <f t="shared" ca="1" si="472"/>
        <v>0</v>
      </c>
      <c r="X374" s="2773">
        <f t="shared" si="457"/>
        <v>0</v>
      </c>
      <c r="Y374" s="2774">
        <f t="shared" ca="1" si="458"/>
        <v>0</v>
      </c>
      <c r="Z374" s="10"/>
      <c r="AA374" s="675"/>
      <c r="AB374" s="10"/>
      <c r="AC374" s="3372"/>
      <c r="AD374" s="3373"/>
    </row>
    <row r="375" spans="1:30" ht="54" customHeight="1" thickBot="1" x14ac:dyDescent="0.25">
      <c r="A375" s="3365"/>
      <c r="B375" s="4072"/>
      <c r="C375" s="1948">
        <v>5596</v>
      </c>
      <c r="D375" s="3748" t="s">
        <v>1233</v>
      </c>
      <c r="E375" s="1948" t="s">
        <v>68</v>
      </c>
      <c r="F375" s="3371">
        <f t="shared" si="491"/>
        <v>0</v>
      </c>
      <c r="G375" s="3171">
        <f t="shared" si="491"/>
        <v>0</v>
      </c>
      <c r="H375" s="4140"/>
      <c r="I375" s="3328">
        <f>IF(F375=0,0,ROUND($F375*COEF!$J$27,0))</f>
        <v>0</v>
      </c>
      <c r="J375" s="3329">
        <f>IF(F375=0,0,ROUND($F375*COEF!$K$27,0))</f>
        <v>0</v>
      </c>
      <c r="K375" s="3329">
        <f>IF(F375=0,0,ROUND($F375*COEF!$L$27,0))</f>
        <v>0</v>
      </c>
      <c r="L375" s="3330">
        <f t="shared" ca="1" si="449"/>
        <v>0</v>
      </c>
      <c r="M375" s="3330">
        <f t="shared" ca="1" si="450"/>
        <v>0</v>
      </c>
      <c r="N375" s="3330">
        <f t="shared" ca="1" si="451"/>
        <v>0</v>
      </c>
      <c r="O375" s="860">
        <f t="shared" ca="1" si="515"/>
        <v>0</v>
      </c>
      <c r="P375" s="860">
        <f t="shared" ca="1" si="516"/>
        <v>0</v>
      </c>
      <c r="Q375" s="860">
        <f t="shared" ca="1" si="517"/>
        <v>0</v>
      </c>
      <c r="R375" s="1969">
        <f t="shared" ca="1" si="518"/>
        <v>0</v>
      </c>
      <c r="S375" s="866"/>
      <c r="T375" s="856">
        <f t="shared" ca="1" si="469"/>
        <v>0</v>
      </c>
      <c r="U375" s="711">
        <f t="shared" ca="1" si="470"/>
        <v>0</v>
      </c>
      <c r="V375" s="711">
        <f t="shared" ca="1" si="471"/>
        <v>0</v>
      </c>
      <c r="W375" s="711">
        <f t="shared" ca="1" si="472"/>
        <v>0</v>
      </c>
      <c r="X375" s="2773">
        <f t="shared" si="457"/>
        <v>0</v>
      </c>
      <c r="Y375" s="2774">
        <f t="shared" ca="1" si="458"/>
        <v>0</v>
      </c>
      <c r="Z375" s="10"/>
      <c r="AA375" s="675"/>
      <c r="AB375" s="10"/>
      <c r="AC375" s="3372"/>
      <c r="AD375" s="3373"/>
    </row>
    <row r="376" spans="1:30" ht="54" hidden="1" customHeight="1" thickBot="1" x14ac:dyDescent="0.25">
      <c r="A376" s="3365"/>
      <c r="B376" s="4072"/>
      <c r="C376" s="1948"/>
      <c r="D376" s="3749"/>
      <c r="E376" s="1948" t="s">
        <v>1348</v>
      </c>
      <c r="F376" s="3371">
        <f t="shared" si="491"/>
        <v>0</v>
      </c>
      <c r="G376" s="3171">
        <f t="shared" si="491"/>
        <v>0</v>
      </c>
      <c r="H376" s="4140"/>
      <c r="I376" s="3328">
        <f>IF(F376=0,0,ROUND($F376*COEF!$J$27,0))</f>
        <v>0</v>
      </c>
      <c r="J376" s="3329">
        <f>IF(F376=0,0,ROUND($F376*COEF!$K$27,0))</f>
        <v>0</v>
      </c>
      <c r="K376" s="3329">
        <f>IF(F376=0,0,ROUND($F376*COEF!$L$27,0))</f>
        <v>0</v>
      </c>
      <c r="L376" s="3330">
        <f t="shared" ca="1" si="449"/>
        <v>0</v>
      </c>
      <c r="M376" s="3330">
        <f t="shared" ca="1" si="450"/>
        <v>0</v>
      </c>
      <c r="N376" s="3330">
        <f t="shared" ca="1" si="451"/>
        <v>0</v>
      </c>
      <c r="O376" s="860">
        <f t="shared" ref="O376" ca="1" si="519">I376+L376</f>
        <v>0</v>
      </c>
      <c r="P376" s="860">
        <f t="shared" ref="P376" ca="1" si="520">J376+M376</f>
        <v>0</v>
      </c>
      <c r="Q376" s="860">
        <f t="shared" ref="Q376" ca="1" si="521">K376+N376</f>
        <v>0</v>
      </c>
      <c r="R376" s="1969">
        <f t="shared" ref="R376" ca="1" si="522">SUM(O376:Q376)</f>
        <v>0</v>
      </c>
      <c r="S376" s="866"/>
      <c r="T376" s="856">
        <f t="shared" ref="T376" ca="1" si="523">+SUM(L376:N376)</f>
        <v>0</v>
      </c>
      <c r="U376" s="711">
        <f t="shared" ref="U376" ca="1" si="524">L376</f>
        <v>0</v>
      </c>
      <c r="V376" s="711">
        <f t="shared" ref="V376" ca="1" si="525">M376</f>
        <v>0</v>
      </c>
      <c r="W376" s="711">
        <f t="shared" ref="W376" ca="1" si="526">N376</f>
        <v>0</v>
      </c>
      <c r="X376" s="2773">
        <f t="shared" ref="X376" si="527">+SUM(I376:K376)</f>
        <v>0</v>
      </c>
      <c r="Y376" s="2774">
        <f t="shared" ref="Y376" ca="1" si="528">+SUM(L376:N376)</f>
        <v>0</v>
      </c>
      <c r="Z376" s="10"/>
      <c r="AA376" s="675"/>
      <c r="AB376" s="10"/>
      <c r="AC376" s="3372"/>
      <c r="AD376" s="3373"/>
    </row>
    <row r="377" spans="1:30" ht="54" customHeight="1" thickBot="1" x14ac:dyDescent="0.25">
      <c r="A377" s="3365"/>
      <c r="B377" s="4073"/>
      <c r="C377" s="1949">
        <v>5606</v>
      </c>
      <c r="D377" s="3749"/>
      <c r="E377" s="1949" t="s">
        <v>69</v>
      </c>
      <c r="F377" s="3371">
        <f t="shared" si="491"/>
        <v>0</v>
      </c>
      <c r="G377" s="3171">
        <f t="shared" si="491"/>
        <v>0</v>
      </c>
      <c r="H377" s="4140"/>
      <c r="I377" s="3328">
        <f>IF(F377=0,0,ROUND($F377*COEF!$J$27,0))</f>
        <v>0</v>
      </c>
      <c r="J377" s="3329">
        <f>IF(F377=0,0,ROUND($F377*COEF!$K$27,0))</f>
        <v>0</v>
      </c>
      <c r="K377" s="3329">
        <f>IF(F377=0,0,ROUND($F377*COEF!$L$27,0))</f>
        <v>0</v>
      </c>
      <c r="L377" s="3330">
        <f t="shared" ca="1" si="449"/>
        <v>0</v>
      </c>
      <c r="M377" s="3330">
        <f t="shared" ca="1" si="450"/>
        <v>0</v>
      </c>
      <c r="N377" s="3330">
        <f t="shared" ca="1" si="451"/>
        <v>0</v>
      </c>
      <c r="O377" s="860">
        <f t="shared" ca="1" si="515"/>
        <v>0</v>
      </c>
      <c r="P377" s="860">
        <f t="shared" ca="1" si="516"/>
        <v>0</v>
      </c>
      <c r="Q377" s="860">
        <f t="shared" ca="1" si="517"/>
        <v>0</v>
      </c>
      <c r="R377" s="1969">
        <f t="shared" ca="1" si="518"/>
        <v>0</v>
      </c>
      <c r="S377" s="866"/>
      <c r="T377" s="856">
        <f t="shared" ca="1" si="469"/>
        <v>0</v>
      </c>
      <c r="U377" s="711">
        <f t="shared" ca="1" si="470"/>
        <v>0</v>
      </c>
      <c r="V377" s="711">
        <f t="shared" ca="1" si="471"/>
        <v>0</v>
      </c>
      <c r="W377" s="711">
        <f t="shared" ca="1" si="472"/>
        <v>0</v>
      </c>
      <c r="X377" s="2773">
        <f t="shared" si="457"/>
        <v>0</v>
      </c>
      <c r="Y377" s="2774">
        <f t="shared" ca="1" si="458"/>
        <v>0</v>
      </c>
      <c r="Z377" s="10"/>
      <c r="AA377" s="675"/>
      <c r="AB377" s="10"/>
      <c r="AC377" s="3372"/>
      <c r="AD377" s="3373"/>
    </row>
    <row r="378" spans="1:30" ht="54" hidden="1" customHeight="1" thickBot="1" x14ac:dyDescent="0.25">
      <c r="A378" s="3365"/>
      <c r="B378" s="3492"/>
      <c r="C378" s="3516"/>
      <c r="D378" s="3750"/>
      <c r="E378" s="1949" t="s">
        <v>1349</v>
      </c>
      <c r="F378" s="3371">
        <f t="shared" si="491"/>
        <v>0</v>
      </c>
      <c r="G378" s="3171">
        <f t="shared" si="491"/>
        <v>0</v>
      </c>
      <c r="H378" s="4141"/>
      <c r="I378" s="3328">
        <f>IF(F378=0,0,ROUND($F378*COEF!$J$27,0))</f>
        <v>0</v>
      </c>
      <c r="J378" s="3329">
        <f>IF(F378=0,0,ROUND($F378*COEF!$K$27,0))</f>
        <v>0</v>
      </c>
      <c r="K378" s="3329">
        <f>IF(F378=0,0,ROUND($F378*COEF!$L$27,0))</f>
        <v>0</v>
      </c>
      <c r="L378" s="3330">
        <f t="shared" ca="1" si="449"/>
        <v>0</v>
      </c>
      <c r="M378" s="3330">
        <f t="shared" ca="1" si="450"/>
        <v>0</v>
      </c>
      <c r="N378" s="3330">
        <f t="shared" ca="1" si="451"/>
        <v>0</v>
      </c>
      <c r="O378" s="860">
        <f t="shared" ref="O378" ca="1" si="529">I378+L378</f>
        <v>0</v>
      </c>
      <c r="P378" s="860">
        <f t="shared" ref="P378" ca="1" si="530">J378+M378</f>
        <v>0</v>
      </c>
      <c r="Q378" s="860">
        <f t="shared" ref="Q378" ca="1" si="531">K378+N378</f>
        <v>0</v>
      </c>
      <c r="R378" s="1969">
        <f t="shared" ref="R378" ca="1" si="532">SUM(O378:Q378)</f>
        <v>0</v>
      </c>
      <c r="S378" s="866"/>
      <c r="T378" s="856">
        <f t="shared" ref="T378" ca="1" si="533">+SUM(L378:N378)</f>
        <v>0</v>
      </c>
      <c r="U378" s="711">
        <f t="shared" ref="U378" ca="1" si="534">L378</f>
        <v>0</v>
      </c>
      <c r="V378" s="711">
        <f t="shared" ref="V378" ca="1" si="535">M378</f>
        <v>0</v>
      </c>
      <c r="W378" s="711">
        <f t="shared" ref="W378" ca="1" si="536">N378</f>
        <v>0</v>
      </c>
      <c r="X378" s="2773">
        <f t="shared" ref="X378" si="537">+SUM(I378:K378)</f>
        <v>0</v>
      </c>
      <c r="Y378" s="2774">
        <f t="shared" ref="Y378" ca="1" si="538">+SUM(L378:N378)</f>
        <v>0</v>
      </c>
      <c r="Z378" s="10"/>
      <c r="AA378" s="675"/>
      <c r="AB378" s="10"/>
      <c r="AC378" s="3372"/>
      <c r="AD378" s="3373"/>
    </row>
    <row r="379" spans="1:30" ht="71.25" customHeight="1" thickBot="1" x14ac:dyDescent="0.25">
      <c r="A379" s="4014" t="s">
        <v>186</v>
      </c>
      <c r="B379" s="4054" t="s">
        <v>21</v>
      </c>
      <c r="C379" s="3739" t="s">
        <v>187</v>
      </c>
      <c r="D379" s="3740"/>
      <c r="E379" s="3741"/>
      <c r="F379" s="3175">
        <f t="shared" si="491"/>
        <v>0</v>
      </c>
      <c r="G379" s="3175">
        <f t="shared" si="491"/>
        <v>0</v>
      </c>
      <c r="H379" s="3819" t="s">
        <v>21</v>
      </c>
      <c r="I379" s="3328">
        <f>IF(F379=0,0,ROUND($F379*COEF!$J$27,0))</f>
        <v>0</v>
      </c>
      <c r="J379" s="3329">
        <f>IF(F379=0,0,ROUND($F379*COEF!$K$27,0))</f>
        <v>0</v>
      </c>
      <c r="K379" s="3329">
        <f>IF(F379=0,0,ROUND($F379*COEF!$L$27,0))</f>
        <v>0</v>
      </c>
      <c r="L379" s="3330">
        <f t="shared" ref="L379:L391" ca="1" si="539">+ROUND(I379*I$395,0)</f>
        <v>0</v>
      </c>
      <c r="M379" s="3330">
        <f t="shared" ref="M379:M391" ca="1" si="540">+ROUND(J379*J$395,0)</f>
        <v>0</v>
      </c>
      <c r="N379" s="3330">
        <f t="shared" ref="N379:N391" ca="1" si="541">+ROUND(K379*K$395,0)</f>
        <v>0</v>
      </c>
      <c r="O379" s="860">
        <f t="shared" ca="1" si="237"/>
        <v>0</v>
      </c>
      <c r="P379" s="860">
        <f t="shared" ca="1" si="238"/>
        <v>0</v>
      </c>
      <c r="Q379" s="860">
        <f t="shared" ca="1" si="239"/>
        <v>0</v>
      </c>
      <c r="R379" s="1969">
        <f t="shared" ca="1" si="240"/>
        <v>0</v>
      </c>
      <c r="S379" s="866"/>
      <c r="T379" s="856">
        <f t="shared" ca="1" si="469"/>
        <v>0</v>
      </c>
      <c r="U379" s="711">
        <f t="shared" ca="1" si="470"/>
        <v>0</v>
      </c>
      <c r="V379" s="711">
        <f t="shared" ca="1" si="471"/>
        <v>0</v>
      </c>
      <c r="W379" s="711">
        <f t="shared" ca="1" si="472"/>
        <v>0</v>
      </c>
      <c r="X379" s="2773">
        <f t="shared" si="457"/>
        <v>0</v>
      </c>
      <c r="Y379" s="2774">
        <f t="shared" ca="1" si="458"/>
        <v>0</v>
      </c>
      <c r="Z379" s="10">
        <f t="shared" ref="Z379:Z381" si="542">IF(K379=0,0,W379/K379)</f>
        <v>0</v>
      </c>
      <c r="AA379" s="675">
        <f ca="1">R379-F379</f>
        <v>0</v>
      </c>
      <c r="AB379" s="10" t="e">
        <f ca="1">AA379/F379</f>
        <v>#DIV/0!</v>
      </c>
      <c r="AC379" s="10"/>
      <c r="AD379" s="10"/>
    </row>
    <row r="380" spans="1:30" ht="71.25" customHeight="1" thickBot="1" x14ac:dyDescent="0.25">
      <c r="A380" s="4015"/>
      <c r="B380" s="4055"/>
      <c r="C380" s="3739" t="s">
        <v>188</v>
      </c>
      <c r="D380" s="3740"/>
      <c r="E380" s="3741"/>
      <c r="F380" s="2428">
        <f t="shared" si="491"/>
        <v>0</v>
      </c>
      <c r="G380" s="2428">
        <f t="shared" si="491"/>
        <v>0</v>
      </c>
      <c r="H380" s="3820"/>
      <c r="I380" s="3328">
        <f>IF(F380=0,0,ROUND($F380*COEF!$J$27,0))</f>
        <v>0</v>
      </c>
      <c r="J380" s="3329">
        <f>IF(F380=0,0,ROUND($F380*COEF!$K$27,0))</f>
        <v>0</v>
      </c>
      <c r="K380" s="3329">
        <f>IF(F380=0,0,ROUND($F380*COEF!$L$27,0))</f>
        <v>0</v>
      </c>
      <c r="L380" s="3330">
        <f t="shared" ca="1" si="539"/>
        <v>0</v>
      </c>
      <c r="M380" s="3330">
        <f t="shared" ca="1" si="540"/>
        <v>0</v>
      </c>
      <c r="N380" s="3330">
        <f t="shared" ca="1" si="541"/>
        <v>0</v>
      </c>
      <c r="O380" s="860">
        <f t="shared" ca="1" si="237"/>
        <v>0</v>
      </c>
      <c r="P380" s="860">
        <f t="shared" ref="P380" ca="1" si="543">J380+M380</f>
        <v>0</v>
      </c>
      <c r="Q380" s="860">
        <f t="shared" ref="Q380" ca="1" si="544">K380+N380</f>
        <v>0</v>
      </c>
      <c r="R380" s="1969">
        <f t="shared" ref="R380" ca="1" si="545">SUM(O380:Q380)</f>
        <v>0</v>
      </c>
      <c r="S380" s="866"/>
      <c r="T380" s="856">
        <f t="shared" ca="1" si="469"/>
        <v>0</v>
      </c>
      <c r="U380" s="711">
        <f t="shared" ca="1" si="470"/>
        <v>0</v>
      </c>
      <c r="V380" s="711">
        <f t="shared" ca="1" si="471"/>
        <v>0</v>
      </c>
      <c r="W380" s="711">
        <f t="shared" ca="1" si="472"/>
        <v>0</v>
      </c>
      <c r="X380" s="2773">
        <f t="shared" si="457"/>
        <v>0</v>
      </c>
      <c r="Y380" s="2774">
        <f t="shared" ca="1" si="458"/>
        <v>0</v>
      </c>
      <c r="Z380" s="10"/>
      <c r="AA380" s="675"/>
      <c r="AB380" s="10"/>
      <c r="AC380" s="10"/>
      <c r="AD380" s="10"/>
    </row>
    <row r="381" spans="1:30" ht="65.25" customHeight="1" thickBot="1" x14ac:dyDescent="0.25">
      <c r="A381" s="4015"/>
      <c r="B381" s="3817" t="s">
        <v>71</v>
      </c>
      <c r="C381" s="3794" t="s">
        <v>224</v>
      </c>
      <c r="D381" s="3795"/>
      <c r="E381" s="3796"/>
      <c r="F381" s="2428">
        <f t="shared" si="491"/>
        <v>0</v>
      </c>
      <c r="G381" s="2428">
        <f t="shared" si="491"/>
        <v>0</v>
      </c>
      <c r="H381" s="3821" t="s">
        <v>71</v>
      </c>
      <c r="I381" s="3328">
        <f>IF(F381=0,0,ROUND($F381*COEF!$J$27,0))</f>
        <v>0</v>
      </c>
      <c r="J381" s="3329">
        <f>IF(F381=0,0,ROUND($F381*COEF!$K$27,0))</f>
        <v>0</v>
      </c>
      <c r="K381" s="3329">
        <f>IF(F381=0,0,ROUND($F381*COEF!$L$27,0))</f>
        <v>0</v>
      </c>
      <c r="L381" s="3330">
        <f t="shared" ca="1" si="539"/>
        <v>0</v>
      </c>
      <c r="M381" s="3330">
        <f t="shared" ca="1" si="540"/>
        <v>0</v>
      </c>
      <c r="N381" s="3330">
        <f t="shared" ca="1" si="541"/>
        <v>0</v>
      </c>
      <c r="O381" s="860">
        <f t="shared" ref="O381:O382" ca="1" si="546">I381+L381</f>
        <v>0</v>
      </c>
      <c r="P381" s="860">
        <f t="shared" ca="1" si="238"/>
        <v>0</v>
      </c>
      <c r="Q381" s="860">
        <f t="shared" ca="1" si="239"/>
        <v>0</v>
      </c>
      <c r="R381" s="1969">
        <f t="shared" ca="1" si="240"/>
        <v>0</v>
      </c>
      <c r="S381" s="866"/>
      <c r="T381" s="856">
        <f t="shared" ca="1" si="469"/>
        <v>0</v>
      </c>
      <c r="U381" s="711">
        <f t="shared" ca="1" si="470"/>
        <v>0</v>
      </c>
      <c r="V381" s="711">
        <f t="shared" ca="1" si="471"/>
        <v>0</v>
      </c>
      <c r="W381" s="711">
        <f t="shared" ca="1" si="472"/>
        <v>0</v>
      </c>
      <c r="X381" s="2773">
        <f t="shared" si="457"/>
        <v>0</v>
      </c>
      <c r="Y381" s="2774">
        <f t="shared" ca="1" si="458"/>
        <v>0</v>
      </c>
      <c r="Z381" s="10">
        <f t="shared" si="542"/>
        <v>0</v>
      </c>
      <c r="AA381" s="675">
        <f ca="1">R381-F381</f>
        <v>0</v>
      </c>
      <c r="AB381" s="10" t="e">
        <f ca="1">AA381/F381</f>
        <v>#DIV/0!</v>
      </c>
      <c r="AC381" s="10"/>
      <c r="AD381" s="10"/>
    </row>
    <row r="382" spans="1:30" ht="65.25" customHeight="1" thickBot="1" x14ac:dyDescent="0.25">
      <c r="A382" s="3176"/>
      <c r="B382" s="3818"/>
      <c r="C382" s="3794" t="s">
        <v>225</v>
      </c>
      <c r="D382" s="3795"/>
      <c r="E382" s="3796"/>
      <c r="F382" s="2428">
        <f t="shared" si="491"/>
        <v>0</v>
      </c>
      <c r="G382" s="2428">
        <f t="shared" si="491"/>
        <v>0</v>
      </c>
      <c r="H382" s="3822"/>
      <c r="I382" s="3328">
        <f>IF(F382=0,0,ROUND($F382*COEF!$J$27,0))</f>
        <v>0</v>
      </c>
      <c r="J382" s="3329">
        <f>IF(F382=0,0,ROUND($F382*COEF!$K$27,0))</f>
        <v>0</v>
      </c>
      <c r="K382" s="3329">
        <f>IF(F382=0,0,ROUND($F382*COEF!$L$27,0))</f>
        <v>0</v>
      </c>
      <c r="L382" s="3330">
        <f t="shared" ca="1" si="539"/>
        <v>0</v>
      </c>
      <c r="M382" s="3330">
        <f t="shared" ca="1" si="540"/>
        <v>0</v>
      </c>
      <c r="N382" s="3330">
        <f t="shared" ca="1" si="541"/>
        <v>0</v>
      </c>
      <c r="O382" s="860">
        <f t="shared" ca="1" si="546"/>
        <v>0</v>
      </c>
      <c r="P382" s="860">
        <f t="shared" ref="P382" ca="1" si="547">J382+M382</f>
        <v>0</v>
      </c>
      <c r="Q382" s="860">
        <f t="shared" ref="Q382" ca="1" si="548">K382+N382</f>
        <v>0</v>
      </c>
      <c r="R382" s="1969">
        <f t="shared" ref="R382" ca="1" si="549">SUM(O382:Q382)</f>
        <v>0</v>
      </c>
      <c r="S382" s="866"/>
      <c r="T382" s="856">
        <f t="shared" ca="1" si="469"/>
        <v>0</v>
      </c>
      <c r="U382" s="711">
        <f t="shared" ca="1" si="470"/>
        <v>0</v>
      </c>
      <c r="V382" s="711">
        <f t="shared" ca="1" si="471"/>
        <v>0</v>
      </c>
      <c r="W382" s="711">
        <f t="shared" ca="1" si="472"/>
        <v>0</v>
      </c>
      <c r="X382" s="2773">
        <f t="shared" si="457"/>
        <v>0</v>
      </c>
      <c r="Y382" s="2774">
        <f t="shared" ca="1" si="458"/>
        <v>0</v>
      </c>
      <c r="Z382" s="10"/>
      <c r="AA382" s="675"/>
      <c r="AB382" s="10"/>
      <c r="AC382" s="10"/>
      <c r="AD382" s="10"/>
    </row>
    <row r="383" spans="1:30" ht="65.25" customHeight="1" thickBot="1" x14ac:dyDescent="0.55000000000000004">
      <c r="A383" s="3730" t="s">
        <v>226</v>
      </c>
      <c r="B383" s="3727" t="s">
        <v>227</v>
      </c>
      <c r="C383" s="3694" t="s">
        <v>228</v>
      </c>
      <c r="D383" s="3695"/>
      <c r="E383" s="3696"/>
      <c r="F383" s="3179">
        <f ca="1">+'SUMIN -HOJA3'!U138</f>
        <v>0</v>
      </c>
      <c r="G383" s="2410">
        <f>+'SUMIN -HOJA3'!V138</f>
        <v>0</v>
      </c>
      <c r="H383" s="3730" t="s">
        <v>226</v>
      </c>
      <c r="I383" s="3328">
        <f ca="1">IF(F383=0,0,ROUND($F383*COEF!$J$27,0))</f>
        <v>0</v>
      </c>
      <c r="J383" s="3329">
        <f ca="1">IF(F383=0,0,ROUND($F383*COEF!$K$27,0))</f>
        <v>0</v>
      </c>
      <c r="K383" s="3329">
        <f ca="1">IF(F383=0,0,ROUND($F383*COEF!$L$27,0))</f>
        <v>0</v>
      </c>
      <c r="L383" s="3330">
        <f t="shared" ca="1" si="539"/>
        <v>0</v>
      </c>
      <c r="M383" s="3330">
        <f t="shared" ca="1" si="540"/>
        <v>0</v>
      </c>
      <c r="N383" s="3330">
        <f t="shared" ca="1" si="541"/>
        <v>0</v>
      </c>
      <c r="O383" s="860">
        <f t="shared" ref="O383:O391" ca="1" si="550">I383+L383</f>
        <v>0</v>
      </c>
      <c r="P383" s="860">
        <f t="shared" ref="P383:P391" ca="1" si="551">J383+M383</f>
        <v>0</v>
      </c>
      <c r="Q383" s="860">
        <f t="shared" ref="Q383:Q391" ca="1" si="552">K383+N383</f>
        <v>0</v>
      </c>
      <c r="R383" s="1969">
        <f t="shared" ref="R383:R391" ca="1" si="553">SUM(O383:Q383)</f>
        <v>0</v>
      </c>
      <c r="S383" s="866"/>
      <c r="T383" s="856">
        <f t="shared" ca="1" si="469"/>
        <v>0</v>
      </c>
      <c r="U383" s="711">
        <f t="shared" ca="1" si="470"/>
        <v>0</v>
      </c>
      <c r="V383" s="711">
        <f t="shared" ca="1" si="471"/>
        <v>0</v>
      </c>
      <c r="W383" s="711">
        <f t="shared" ca="1" si="472"/>
        <v>0</v>
      </c>
      <c r="X383" s="2773">
        <f t="shared" ca="1" si="457"/>
        <v>0</v>
      </c>
      <c r="Y383" s="2774">
        <f t="shared" ca="1" si="458"/>
        <v>0</v>
      </c>
      <c r="Z383" s="10"/>
      <c r="AA383" s="675"/>
      <c r="AB383" s="10"/>
      <c r="AC383" s="10"/>
      <c r="AD383" s="10"/>
    </row>
    <row r="384" spans="1:30" ht="65.25" customHeight="1" thickBot="1" x14ac:dyDescent="0.55000000000000004">
      <c r="A384" s="3731"/>
      <c r="B384" s="3728"/>
      <c r="C384" s="3694" t="s">
        <v>229</v>
      </c>
      <c r="D384" s="3695"/>
      <c r="E384" s="3696"/>
      <c r="F384" s="3170">
        <f ca="1">+'SUMIN -HOJA3'!U139</f>
        <v>0</v>
      </c>
      <c r="G384" s="2351">
        <f>+'SUMIN -HOJA3'!V139</f>
        <v>0</v>
      </c>
      <c r="H384" s="3731"/>
      <c r="I384" s="3328">
        <f ca="1">IF(F384=0,0,ROUND($F384*COEF!$J$27,0))</f>
        <v>0</v>
      </c>
      <c r="J384" s="3329">
        <f ca="1">IF(F384=0,0,ROUND($F384*COEF!$K$27,0))</f>
        <v>0</v>
      </c>
      <c r="K384" s="3329">
        <f ca="1">IF(F384=0,0,ROUND($F384*COEF!$L$27,0))</f>
        <v>0</v>
      </c>
      <c r="L384" s="3330">
        <f t="shared" ca="1" si="539"/>
        <v>0</v>
      </c>
      <c r="M384" s="3330">
        <f t="shared" ca="1" si="540"/>
        <v>0</v>
      </c>
      <c r="N384" s="3330">
        <f t="shared" ca="1" si="541"/>
        <v>0</v>
      </c>
      <c r="O384" s="860">
        <f t="shared" ca="1" si="550"/>
        <v>0</v>
      </c>
      <c r="P384" s="860">
        <f t="shared" ca="1" si="551"/>
        <v>0</v>
      </c>
      <c r="Q384" s="860">
        <f t="shared" ca="1" si="552"/>
        <v>0</v>
      </c>
      <c r="R384" s="1969">
        <f t="shared" ca="1" si="553"/>
        <v>0</v>
      </c>
      <c r="S384" s="866"/>
      <c r="T384" s="856">
        <f t="shared" ca="1" si="469"/>
        <v>0</v>
      </c>
      <c r="U384" s="711">
        <f t="shared" ca="1" si="470"/>
        <v>0</v>
      </c>
      <c r="V384" s="711">
        <f t="shared" ca="1" si="471"/>
        <v>0</v>
      </c>
      <c r="W384" s="711">
        <f t="shared" ca="1" si="472"/>
        <v>0</v>
      </c>
      <c r="X384" s="2773">
        <f t="shared" ca="1" si="457"/>
        <v>0</v>
      </c>
      <c r="Y384" s="2774">
        <f t="shared" ca="1" si="458"/>
        <v>0</v>
      </c>
      <c r="Z384" s="10"/>
      <c r="AA384" s="675"/>
      <c r="AB384" s="10"/>
      <c r="AC384" s="10"/>
      <c r="AD384" s="10"/>
    </row>
    <row r="385" spans="1:30" ht="65.25" customHeight="1" thickBot="1" x14ac:dyDescent="0.55000000000000004">
      <c r="A385" s="3731"/>
      <c r="B385" s="3728"/>
      <c r="C385" s="3694" t="s">
        <v>230</v>
      </c>
      <c r="D385" s="3695"/>
      <c r="E385" s="3696"/>
      <c r="F385" s="3170">
        <f ca="1">+'SUMIN -HOJA3'!U140</f>
        <v>0</v>
      </c>
      <c r="G385" s="2351">
        <f>+'SUMIN -HOJA3'!V140</f>
        <v>0</v>
      </c>
      <c r="H385" s="3731"/>
      <c r="I385" s="3328">
        <f ca="1">IF(F385=0,0,ROUND($F385*COEF!$J$27,0))</f>
        <v>0</v>
      </c>
      <c r="J385" s="3329">
        <f ca="1">IF(F385=0,0,ROUND($F385*COEF!$K$27,0))</f>
        <v>0</v>
      </c>
      <c r="K385" s="3329">
        <f ca="1">IF(F385=0,0,ROUND($F385*COEF!$L$27,0))</f>
        <v>0</v>
      </c>
      <c r="L385" s="3330">
        <f t="shared" ca="1" si="539"/>
        <v>0</v>
      </c>
      <c r="M385" s="3330">
        <f t="shared" ca="1" si="540"/>
        <v>0</v>
      </c>
      <c r="N385" s="3330">
        <f t="shared" ca="1" si="541"/>
        <v>0</v>
      </c>
      <c r="O385" s="860">
        <f t="shared" ca="1" si="550"/>
        <v>0</v>
      </c>
      <c r="P385" s="860">
        <f t="shared" ca="1" si="551"/>
        <v>0</v>
      </c>
      <c r="Q385" s="860">
        <f t="shared" ca="1" si="552"/>
        <v>0</v>
      </c>
      <c r="R385" s="1969">
        <f t="shared" ca="1" si="553"/>
        <v>0</v>
      </c>
      <c r="S385" s="866"/>
      <c r="T385" s="856">
        <f t="shared" ca="1" si="469"/>
        <v>0</v>
      </c>
      <c r="U385" s="711">
        <f t="shared" ca="1" si="470"/>
        <v>0</v>
      </c>
      <c r="V385" s="711">
        <f t="shared" ca="1" si="471"/>
        <v>0</v>
      </c>
      <c r="W385" s="711">
        <f t="shared" ca="1" si="472"/>
        <v>0</v>
      </c>
      <c r="X385" s="2773">
        <f t="shared" ca="1" si="457"/>
        <v>0</v>
      </c>
      <c r="Y385" s="2774">
        <f t="shared" ca="1" si="458"/>
        <v>0</v>
      </c>
      <c r="Z385" s="10"/>
      <c r="AA385" s="675"/>
      <c r="AB385" s="10"/>
      <c r="AC385" s="10"/>
      <c r="AD385" s="10"/>
    </row>
    <row r="386" spans="1:30" ht="65.25" customHeight="1" thickBot="1" x14ac:dyDescent="0.55000000000000004">
      <c r="A386" s="3731"/>
      <c r="B386" s="3728"/>
      <c r="C386" s="3694" t="s">
        <v>231</v>
      </c>
      <c r="D386" s="3695"/>
      <c r="E386" s="3696"/>
      <c r="F386" s="3170">
        <f ca="1">+'SUMIN -HOJA3'!U141</f>
        <v>0</v>
      </c>
      <c r="G386" s="2351">
        <f>+'SUMIN -HOJA3'!V141</f>
        <v>0</v>
      </c>
      <c r="H386" s="3731"/>
      <c r="I386" s="3328">
        <f ca="1">IF(F386=0,0,ROUND($F386*COEF!$J$27,0))</f>
        <v>0</v>
      </c>
      <c r="J386" s="3329">
        <f ca="1">IF(F386=0,0,ROUND($F386*COEF!$K$27,0))</f>
        <v>0</v>
      </c>
      <c r="K386" s="3329">
        <f ca="1">IF(F386=0,0,ROUND($F386*COEF!$L$27,0))</f>
        <v>0</v>
      </c>
      <c r="L386" s="3330">
        <f t="shared" ca="1" si="539"/>
        <v>0</v>
      </c>
      <c r="M386" s="3330">
        <f t="shared" ca="1" si="540"/>
        <v>0</v>
      </c>
      <c r="N386" s="3330">
        <f t="shared" ca="1" si="541"/>
        <v>0</v>
      </c>
      <c r="O386" s="860">
        <f t="shared" ca="1" si="550"/>
        <v>0</v>
      </c>
      <c r="P386" s="860">
        <f t="shared" ca="1" si="551"/>
        <v>0</v>
      </c>
      <c r="Q386" s="860">
        <f t="shared" ca="1" si="552"/>
        <v>0</v>
      </c>
      <c r="R386" s="1969">
        <f t="shared" ca="1" si="553"/>
        <v>0</v>
      </c>
      <c r="S386" s="866"/>
      <c r="T386" s="856">
        <f t="shared" ca="1" si="469"/>
        <v>0</v>
      </c>
      <c r="U386" s="711">
        <f t="shared" ca="1" si="470"/>
        <v>0</v>
      </c>
      <c r="V386" s="711">
        <f t="shared" ca="1" si="471"/>
        <v>0</v>
      </c>
      <c r="W386" s="711">
        <f t="shared" ca="1" si="472"/>
        <v>0</v>
      </c>
      <c r="X386" s="2773">
        <f t="shared" ca="1" si="457"/>
        <v>0</v>
      </c>
      <c r="Y386" s="2774">
        <f t="shared" ca="1" si="458"/>
        <v>0</v>
      </c>
      <c r="Z386" s="10"/>
      <c r="AA386" s="675"/>
      <c r="AB386" s="10"/>
      <c r="AC386" s="10"/>
      <c r="AD386" s="10"/>
    </row>
    <row r="387" spans="1:30" ht="65.25" customHeight="1" thickBot="1" x14ac:dyDescent="0.55000000000000004">
      <c r="A387" s="3731"/>
      <c r="B387" s="3729"/>
      <c r="C387" s="3694" t="s">
        <v>232</v>
      </c>
      <c r="D387" s="3695"/>
      <c r="E387" s="3696"/>
      <c r="F387" s="3170">
        <f ca="1">+'SUMIN -HOJA3'!U142</f>
        <v>0</v>
      </c>
      <c r="G387" s="2351">
        <f>+'SUMIN -HOJA3'!V142</f>
        <v>0</v>
      </c>
      <c r="H387" s="3731"/>
      <c r="I387" s="3328">
        <f ca="1">IF(F387=0,0,ROUND($F387*COEF!$J$27,0))</f>
        <v>0</v>
      </c>
      <c r="J387" s="3329">
        <f ca="1">IF(F387=0,0,ROUND($F387*COEF!$K$27,0))</f>
        <v>0</v>
      </c>
      <c r="K387" s="3329">
        <f ca="1">IF(F387=0,0,ROUND($F387*COEF!$L$27,0))</f>
        <v>0</v>
      </c>
      <c r="L387" s="3330">
        <f t="shared" ca="1" si="539"/>
        <v>0</v>
      </c>
      <c r="M387" s="3330">
        <f t="shared" ca="1" si="540"/>
        <v>0</v>
      </c>
      <c r="N387" s="3330">
        <f t="shared" ca="1" si="541"/>
        <v>0</v>
      </c>
      <c r="O387" s="860">
        <f t="shared" ca="1" si="550"/>
        <v>0</v>
      </c>
      <c r="P387" s="860">
        <f t="shared" ca="1" si="551"/>
        <v>0</v>
      </c>
      <c r="Q387" s="860">
        <f t="shared" ca="1" si="552"/>
        <v>0</v>
      </c>
      <c r="R387" s="1969">
        <f t="shared" ca="1" si="553"/>
        <v>0</v>
      </c>
      <c r="S387" s="866"/>
      <c r="T387" s="856">
        <f t="shared" ca="1" si="469"/>
        <v>0</v>
      </c>
      <c r="U387" s="711">
        <f t="shared" ca="1" si="470"/>
        <v>0</v>
      </c>
      <c r="V387" s="711">
        <f t="shared" ca="1" si="471"/>
        <v>0</v>
      </c>
      <c r="W387" s="711">
        <f t="shared" ca="1" si="472"/>
        <v>0</v>
      </c>
      <c r="X387" s="2773">
        <f t="shared" ca="1" si="457"/>
        <v>0</v>
      </c>
      <c r="Y387" s="2774">
        <f t="shared" ca="1" si="458"/>
        <v>0</v>
      </c>
      <c r="Z387" s="10"/>
      <c r="AA387" s="675"/>
      <c r="AB387" s="10"/>
      <c r="AC387" s="10"/>
      <c r="AD387" s="10"/>
    </row>
    <row r="388" spans="1:30" ht="65.25" customHeight="1" thickBot="1" x14ac:dyDescent="0.55000000000000004">
      <c r="A388" s="3731"/>
      <c r="B388" s="3727" t="s">
        <v>233</v>
      </c>
      <c r="C388" s="3694" t="s">
        <v>234</v>
      </c>
      <c r="D388" s="3695"/>
      <c r="E388" s="3696"/>
      <c r="F388" s="3170">
        <f ca="1">+'SUMIN -HOJA3'!U143</f>
        <v>0</v>
      </c>
      <c r="G388" s="2351">
        <f>+'SUMIN -HOJA3'!V143</f>
        <v>0</v>
      </c>
      <c r="H388" s="3731"/>
      <c r="I388" s="3328">
        <f ca="1">IF(F388=0,0,ROUND($F388*COEF!$J$27,0))</f>
        <v>0</v>
      </c>
      <c r="J388" s="3329">
        <f ca="1">IF(F388=0,0,ROUND($F388*COEF!$K$27,0))</f>
        <v>0</v>
      </c>
      <c r="K388" s="3329">
        <f ca="1">IF(F388=0,0,ROUND($F388*COEF!$L$27,0))</f>
        <v>0</v>
      </c>
      <c r="L388" s="3330">
        <f t="shared" ca="1" si="539"/>
        <v>0</v>
      </c>
      <c r="M388" s="3330">
        <f t="shared" ca="1" si="540"/>
        <v>0</v>
      </c>
      <c r="N388" s="3330">
        <f t="shared" ca="1" si="541"/>
        <v>0</v>
      </c>
      <c r="O388" s="860">
        <f t="shared" ca="1" si="550"/>
        <v>0</v>
      </c>
      <c r="P388" s="860">
        <f t="shared" ca="1" si="551"/>
        <v>0</v>
      </c>
      <c r="Q388" s="860">
        <f t="shared" ca="1" si="552"/>
        <v>0</v>
      </c>
      <c r="R388" s="1969">
        <f t="shared" ca="1" si="553"/>
        <v>0</v>
      </c>
      <c r="S388" s="866"/>
      <c r="T388" s="856">
        <f t="shared" ca="1" si="469"/>
        <v>0</v>
      </c>
      <c r="U388" s="711">
        <f t="shared" ca="1" si="470"/>
        <v>0</v>
      </c>
      <c r="V388" s="711">
        <f t="shared" ca="1" si="471"/>
        <v>0</v>
      </c>
      <c r="W388" s="711">
        <f t="shared" ca="1" si="472"/>
        <v>0</v>
      </c>
      <c r="X388" s="2773">
        <f t="shared" ca="1" si="457"/>
        <v>0</v>
      </c>
      <c r="Y388" s="2774">
        <f t="shared" ca="1" si="458"/>
        <v>0</v>
      </c>
      <c r="Z388" s="10"/>
      <c r="AA388" s="675"/>
      <c r="AB388" s="10"/>
      <c r="AC388" s="10"/>
      <c r="AD388" s="10"/>
    </row>
    <row r="389" spans="1:30" ht="65.25" customHeight="1" thickBot="1" x14ac:dyDescent="0.55000000000000004">
      <c r="A389" s="3731"/>
      <c r="B389" s="3728"/>
      <c r="C389" s="3694" t="s">
        <v>235</v>
      </c>
      <c r="D389" s="3695"/>
      <c r="E389" s="3696"/>
      <c r="F389" s="3170">
        <f ca="1">+'SUMIN -HOJA3'!U144</f>
        <v>0</v>
      </c>
      <c r="G389" s="2351">
        <f>+'SUMIN -HOJA3'!V144</f>
        <v>0</v>
      </c>
      <c r="H389" s="3731"/>
      <c r="I389" s="3328">
        <f ca="1">IF(F389=0,0,ROUND($F389*COEF!$J$27,0))</f>
        <v>0</v>
      </c>
      <c r="J389" s="3329">
        <f ca="1">IF(F389=0,0,ROUND($F389*COEF!$K$27,0))</f>
        <v>0</v>
      </c>
      <c r="K389" s="3329">
        <f ca="1">IF(F389=0,0,ROUND($F389*COEF!$L$27,0))</f>
        <v>0</v>
      </c>
      <c r="L389" s="3330">
        <f t="shared" ca="1" si="539"/>
        <v>0</v>
      </c>
      <c r="M389" s="3330">
        <f t="shared" ca="1" si="540"/>
        <v>0</v>
      </c>
      <c r="N389" s="3330">
        <f t="shared" ca="1" si="541"/>
        <v>0</v>
      </c>
      <c r="O389" s="860">
        <f t="shared" ca="1" si="550"/>
        <v>0</v>
      </c>
      <c r="P389" s="860">
        <f t="shared" ca="1" si="551"/>
        <v>0</v>
      </c>
      <c r="Q389" s="860">
        <f t="shared" ca="1" si="552"/>
        <v>0</v>
      </c>
      <c r="R389" s="1969">
        <f t="shared" ca="1" si="553"/>
        <v>0</v>
      </c>
      <c r="S389" s="866"/>
      <c r="T389" s="856">
        <f t="shared" ca="1" si="469"/>
        <v>0</v>
      </c>
      <c r="U389" s="711">
        <f t="shared" ca="1" si="470"/>
        <v>0</v>
      </c>
      <c r="V389" s="711">
        <f t="shared" ca="1" si="471"/>
        <v>0</v>
      </c>
      <c r="W389" s="711">
        <f t="shared" ca="1" si="472"/>
        <v>0</v>
      </c>
      <c r="X389" s="2773">
        <f t="shared" ca="1" si="457"/>
        <v>0</v>
      </c>
      <c r="Y389" s="2774">
        <f t="shared" ca="1" si="458"/>
        <v>0</v>
      </c>
      <c r="Z389" s="10"/>
      <c r="AA389" s="675"/>
      <c r="AB389" s="10"/>
      <c r="AC389" s="10"/>
      <c r="AD389" s="10"/>
    </row>
    <row r="390" spans="1:30" ht="65.25" customHeight="1" thickBot="1" x14ac:dyDescent="0.55000000000000004">
      <c r="A390" s="3731"/>
      <c r="B390" s="3728"/>
      <c r="C390" s="3694" t="s">
        <v>236</v>
      </c>
      <c r="D390" s="3695"/>
      <c r="E390" s="3696"/>
      <c r="F390" s="3170">
        <f ca="1">+'SUMIN -HOJA3'!U145</f>
        <v>0</v>
      </c>
      <c r="G390" s="2351">
        <f>+'SUMIN -HOJA3'!V145</f>
        <v>0</v>
      </c>
      <c r="H390" s="3731"/>
      <c r="I390" s="3328">
        <f ca="1">IF(F390=0,0,ROUND($F390*COEF!$J$27,0))</f>
        <v>0</v>
      </c>
      <c r="J390" s="3329">
        <f ca="1">IF(F390=0,0,ROUND($F390*COEF!$K$27,0))</f>
        <v>0</v>
      </c>
      <c r="K390" s="3329">
        <f ca="1">IF(F390=0,0,ROUND($F390*COEF!$L$27,0))</f>
        <v>0</v>
      </c>
      <c r="L390" s="3330">
        <f t="shared" ca="1" si="539"/>
        <v>0</v>
      </c>
      <c r="M390" s="3330">
        <f t="shared" ca="1" si="540"/>
        <v>0</v>
      </c>
      <c r="N390" s="3330">
        <f t="shared" ca="1" si="541"/>
        <v>0</v>
      </c>
      <c r="O390" s="860">
        <f t="shared" ca="1" si="550"/>
        <v>0</v>
      </c>
      <c r="P390" s="860">
        <f t="shared" ca="1" si="551"/>
        <v>0</v>
      </c>
      <c r="Q390" s="860">
        <f t="shared" ca="1" si="552"/>
        <v>0</v>
      </c>
      <c r="R390" s="1969">
        <f t="shared" ca="1" si="553"/>
        <v>0</v>
      </c>
      <c r="S390" s="866"/>
      <c r="T390" s="856">
        <f t="shared" ca="1" si="469"/>
        <v>0</v>
      </c>
      <c r="U390" s="711">
        <f t="shared" ca="1" si="470"/>
        <v>0</v>
      </c>
      <c r="V390" s="711">
        <f t="shared" ca="1" si="471"/>
        <v>0</v>
      </c>
      <c r="W390" s="711">
        <f t="shared" ca="1" si="472"/>
        <v>0</v>
      </c>
      <c r="X390" s="2773">
        <f t="shared" ca="1" si="457"/>
        <v>0</v>
      </c>
      <c r="Y390" s="2774">
        <f t="shared" ca="1" si="458"/>
        <v>0</v>
      </c>
      <c r="Z390" s="10"/>
      <c r="AA390" s="675"/>
      <c r="AB390" s="10"/>
      <c r="AC390" s="10"/>
      <c r="AD390" s="10"/>
    </row>
    <row r="391" spans="1:30" ht="65.25" customHeight="1" thickBot="1" x14ac:dyDescent="0.55000000000000004">
      <c r="A391" s="3732"/>
      <c r="B391" s="3729"/>
      <c r="C391" s="3694" t="s">
        <v>237</v>
      </c>
      <c r="D391" s="3695"/>
      <c r="E391" s="3696"/>
      <c r="F391" s="3180">
        <f ca="1">+'SUMIN -HOJA3'!U146</f>
        <v>0</v>
      </c>
      <c r="G391" s="2415">
        <f>+'SUMIN -HOJA3'!V146</f>
        <v>0</v>
      </c>
      <c r="H391" s="3732"/>
      <c r="I391" s="3328">
        <f ca="1">IF(F391=0,0,ROUND($F391*COEF!$J$27,0))</f>
        <v>0</v>
      </c>
      <c r="J391" s="3329">
        <f ca="1">IF(F391=0,0,ROUND($F391*COEF!$K$27,0))</f>
        <v>0</v>
      </c>
      <c r="K391" s="3329">
        <f ca="1">IF(F391=0,0,ROUND($F391*COEF!$L$27,0))</f>
        <v>0</v>
      </c>
      <c r="L391" s="3330">
        <f t="shared" ca="1" si="539"/>
        <v>0</v>
      </c>
      <c r="M391" s="3330">
        <f t="shared" ca="1" si="540"/>
        <v>0</v>
      </c>
      <c r="N391" s="3330">
        <f t="shared" ca="1" si="541"/>
        <v>0</v>
      </c>
      <c r="O391" s="860">
        <f t="shared" ca="1" si="550"/>
        <v>0</v>
      </c>
      <c r="P391" s="860">
        <f t="shared" ca="1" si="551"/>
        <v>0</v>
      </c>
      <c r="Q391" s="860">
        <f t="shared" ca="1" si="552"/>
        <v>0</v>
      </c>
      <c r="R391" s="1969">
        <f t="shared" ca="1" si="553"/>
        <v>0</v>
      </c>
      <c r="S391" s="866"/>
      <c r="T391" s="856">
        <f t="shared" ca="1" si="469"/>
        <v>0</v>
      </c>
      <c r="U391" s="711">
        <f t="shared" ca="1" si="470"/>
        <v>0</v>
      </c>
      <c r="V391" s="711">
        <f t="shared" ca="1" si="471"/>
        <v>0</v>
      </c>
      <c r="W391" s="711">
        <f t="shared" ca="1" si="472"/>
        <v>0</v>
      </c>
      <c r="X391" s="2773">
        <f t="shared" ref="X391:X392" ca="1" si="554">+SUM(I391:K391)</f>
        <v>0</v>
      </c>
      <c r="Y391" s="2774">
        <f t="shared" ref="Y391:Y392" ca="1" si="555">+SUM(L391:N391)</f>
        <v>0</v>
      </c>
      <c r="Z391" s="10"/>
      <c r="AA391" s="675"/>
      <c r="AB391" s="10"/>
      <c r="AC391" s="10"/>
      <c r="AD391" s="10"/>
    </row>
    <row r="392" spans="1:30" ht="65.25" customHeight="1" thickBot="1" x14ac:dyDescent="0.25">
      <c r="A392" s="3810" t="s">
        <v>238</v>
      </c>
      <c r="B392" s="3811"/>
      <c r="C392" s="3811"/>
      <c r="D392" s="3811"/>
      <c r="E392" s="3812"/>
      <c r="F392" s="3177">
        <f ca="1">SUM(F290:F391)</f>
        <v>0</v>
      </c>
      <c r="G392" s="3177">
        <f>SUM(G290:G391)</f>
        <v>0</v>
      </c>
      <c r="H392" s="3178"/>
      <c r="I392" s="3331">
        <f t="shared" ref="I392:R392" ca="1" si="556">SUM(I290:I391)</f>
        <v>0</v>
      </c>
      <c r="J392" s="3331">
        <f t="shared" ca="1" si="556"/>
        <v>0</v>
      </c>
      <c r="K392" s="3331">
        <f t="shared" ca="1" si="556"/>
        <v>0</v>
      </c>
      <c r="L392" s="3331">
        <f t="shared" ca="1" si="556"/>
        <v>0</v>
      </c>
      <c r="M392" s="3331">
        <f t="shared" ca="1" si="556"/>
        <v>0</v>
      </c>
      <c r="N392" s="3331">
        <f t="shared" ca="1" si="556"/>
        <v>0</v>
      </c>
      <c r="O392" s="3331">
        <f t="shared" ca="1" si="556"/>
        <v>0</v>
      </c>
      <c r="P392" s="3331">
        <f t="shared" ca="1" si="556"/>
        <v>0</v>
      </c>
      <c r="Q392" s="3331">
        <f t="shared" ca="1" si="556"/>
        <v>0</v>
      </c>
      <c r="R392" s="3331">
        <f t="shared" ca="1" si="556"/>
        <v>0</v>
      </c>
      <c r="S392" s="711">
        <f ca="1">+F392+F393</f>
        <v>0</v>
      </c>
      <c r="T392" s="2888">
        <f ca="1">SUM(T290:T381)</f>
        <v>0</v>
      </c>
      <c r="U392" s="2888">
        <f ca="1">SUM(U290:U381)</f>
        <v>0</v>
      </c>
      <c r="V392" s="2888">
        <f ca="1">SUM(V290:V381)</f>
        <v>0</v>
      </c>
      <c r="W392" s="2888">
        <f ca="1">SUM(W290:W381)</f>
        <v>0</v>
      </c>
      <c r="X392" s="2889">
        <f t="shared" ca="1" si="554"/>
        <v>0</v>
      </c>
      <c r="Y392" s="2890">
        <f t="shared" ca="1" si="555"/>
        <v>0</v>
      </c>
      <c r="Z392" s="10"/>
      <c r="AA392" s="675"/>
      <c r="AB392" s="10"/>
      <c r="AC392" s="10"/>
      <c r="AD392" s="10"/>
    </row>
    <row r="393" spans="1:30" ht="28.5" customHeight="1" x14ac:dyDescent="0.35">
      <c r="A393" s="536"/>
      <c r="B393" s="665"/>
      <c r="C393" s="3697" t="s">
        <v>239</v>
      </c>
      <c r="D393" s="3698"/>
      <c r="E393" s="3699"/>
      <c r="F393" s="2619"/>
      <c r="G393" s="895"/>
      <c r="H393" s="896"/>
      <c r="I393" s="3332">
        <f ca="1">(N78-SUM(I290:I391))</f>
        <v>0</v>
      </c>
      <c r="J393" s="3332">
        <f ca="1">(O78-SUM(J290:J391))</f>
        <v>0</v>
      </c>
      <c r="K393" s="3333">
        <f ca="1">(P78-SUM(K290:K391))</f>
        <v>0</v>
      </c>
      <c r="L393" s="900"/>
      <c r="M393" s="900"/>
      <c r="N393" s="900"/>
      <c r="O393" s="900"/>
      <c r="P393" s="900"/>
      <c r="Q393" s="900"/>
      <c r="R393" s="675"/>
      <c r="S393" s="675"/>
      <c r="T393" s="10"/>
      <c r="U393" s="866"/>
      <c r="V393" s="866"/>
      <c r="W393" s="866"/>
      <c r="X393" s="10" t="e">
        <f ca="1">U393/I393</f>
        <v>#DIV/0!</v>
      </c>
      <c r="Y393" s="10" t="e">
        <f ca="1">V393/J393</f>
        <v>#DIV/0!</v>
      </c>
      <c r="Z393" s="10" t="e">
        <f ca="1">W393/K393</f>
        <v>#DIV/0!</v>
      </c>
      <c r="AA393" s="675">
        <f>R393-F393</f>
        <v>0</v>
      </c>
      <c r="AB393" s="10" t="e">
        <f>AA393/F393</f>
        <v>#DIV/0!</v>
      </c>
      <c r="AC393" s="10"/>
      <c r="AD393" s="10"/>
    </row>
    <row r="394" spans="1:30" ht="38.25" customHeight="1" x14ac:dyDescent="0.25">
      <c r="A394" s="536"/>
      <c r="B394" s="897"/>
      <c r="C394" s="3674" t="s">
        <v>240</v>
      </c>
      <c r="D394" s="3675"/>
      <c r="E394" s="3676"/>
      <c r="F394" s="859">
        <f>+SUM(F290:F382)</f>
        <v>0</v>
      </c>
      <c r="G394" s="859">
        <f>+SUM(G290:G382)</f>
        <v>0</v>
      </c>
      <c r="H394" s="896"/>
      <c r="I394" s="2639">
        <f ca="1">+I392</f>
        <v>0</v>
      </c>
      <c r="J394" s="2639">
        <f t="shared" ref="J394:K394" ca="1" si="557">+J392</f>
        <v>0</v>
      </c>
      <c r="K394" s="2639">
        <f t="shared" ca="1" si="557"/>
        <v>0</v>
      </c>
      <c r="L394" s="900"/>
      <c r="M394" s="900"/>
      <c r="N394" s="900"/>
      <c r="O394" s="2634"/>
      <c r="P394" s="2634"/>
      <c r="Q394" s="2634"/>
      <c r="R394" s="675"/>
      <c r="S394" s="675"/>
      <c r="T394" s="10"/>
      <c r="U394" s="675"/>
      <c r="V394" s="675"/>
      <c r="W394" s="675"/>
      <c r="X394" s="10"/>
      <c r="Y394" s="10"/>
      <c r="Z394" s="10"/>
      <c r="AA394" s="10"/>
      <c r="AB394" s="10"/>
      <c r="AC394" s="10"/>
      <c r="AD394" s="10"/>
    </row>
    <row r="395" spans="1:30" ht="26.1" customHeight="1" x14ac:dyDescent="0.2">
      <c r="A395" s="536"/>
      <c r="B395" s="564"/>
      <c r="C395" s="3674" t="s">
        <v>241</v>
      </c>
      <c r="D395" s="3675"/>
      <c r="E395" s="3676"/>
      <c r="F395" s="540" t="str">
        <f>+IF((F394-F176)=0,"OK","VERIFICAR")</f>
        <v>OK</v>
      </c>
      <c r="G395" s="540"/>
      <c r="I395" s="2640">
        <f ca="1">+IF(I394=0,0,I393/I394)</f>
        <v>0</v>
      </c>
      <c r="J395" s="2641">
        <f ca="1">+IF(J394=0,0,J393/J394)</f>
        <v>0</v>
      </c>
      <c r="K395" s="2642">
        <f ca="1">+IF(K394=0,0,K393/K394)</f>
        <v>0</v>
      </c>
      <c r="L395" s="900"/>
      <c r="M395" s="900"/>
      <c r="N395" s="900"/>
      <c r="O395" s="2635"/>
      <c r="P395" s="2635"/>
      <c r="Q395" s="2635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</row>
    <row r="396" spans="1:30" ht="27" x14ac:dyDescent="0.2">
      <c r="A396" s="536"/>
      <c r="B396" s="567"/>
      <c r="C396" s="3783"/>
      <c r="D396" s="3784"/>
      <c r="E396" s="901"/>
      <c r="F396" s="540"/>
      <c r="I396" s="2643"/>
      <c r="J396" s="2644"/>
      <c r="K396" s="2645"/>
      <c r="L396" s="900"/>
      <c r="M396" s="900"/>
      <c r="N396" s="900"/>
      <c r="O396" s="2636"/>
      <c r="P396" s="2636"/>
      <c r="Q396" s="2636"/>
      <c r="R396" s="675"/>
      <c r="S396" s="675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</row>
    <row r="397" spans="1:30" ht="63.75" customHeight="1" thickBot="1" x14ac:dyDescent="0.85">
      <c r="A397" s="536"/>
      <c r="C397" s="3785" t="s">
        <v>242</v>
      </c>
      <c r="D397" s="3786"/>
      <c r="E397" s="3787"/>
      <c r="F397" s="2690">
        <f>IF(F10=0,0,(F10-F73-F74-F75-F76-SUM(F290:F391))/F10)</f>
        <v>0</v>
      </c>
      <c r="I397" s="2638" t="str">
        <f ca="1">IF(I393&lt;0,"ERROR",IF(COEF!J27&lt;0,"ERROR C.","O.K."))</f>
        <v>O.K.</v>
      </c>
      <c r="J397" s="2638" t="str">
        <f ca="1">IF(J393&lt;0,"ERROR",IF(COEF!K27&lt;0,"ERROR C,","O.K."))</f>
        <v>O.K.</v>
      </c>
      <c r="K397" s="2638" t="str">
        <f ca="1">IF(K393&lt;0,"ERROR",IF(COEF!L27&lt;0,"ERROR C","O.K."))</f>
        <v>O.K.</v>
      </c>
      <c r="O397" s="796"/>
      <c r="P397" s="796"/>
      <c r="Q397" s="796"/>
    </row>
    <row r="398" spans="1:30" ht="46.5" customHeight="1" x14ac:dyDescent="0.8">
      <c r="A398" s="536"/>
      <c r="C398" s="904"/>
      <c r="D398" s="905"/>
      <c r="E398" s="905"/>
      <c r="F398" s="2691"/>
      <c r="I398" s="2621"/>
      <c r="J398" s="2621"/>
      <c r="K398" s="2621"/>
      <c r="O398" s="2637"/>
      <c r="P398" s="2637"/>
      <c r="Q398" s="2637"/>
    </row>
    <row r="399" spans="1:30" ht="69" customHeight="1" thickBot="1" x14ac:dyDescent="0.45">
      <c r="A399" s="536"/>
      <c r="C399" s="904"/>
      <c r="D399" s="904"/>
      <c r="E399" s="904"/>
      <c r="F399" s="2657"/>
      <c r="G399" s="2446"/>
      <c r="H399" s="539"/>
      <c r="I399" s="539"/>
      <c r="M399" s="539"/>
      <c r="N399" s="539"/>
      <c r="O399" s="2633"/>
    </row>
    <row r="400" spans="1:30" ht="16.5" customHeight="1" x14ac:dyDescent="0.25">
      <c r="A400" s="536"/>
      <c r="C400" s="3777" t="s">
        <v>243</v>
      </c>
      <c r="D400" s="3778"/>
      <c r="E400" s="3778"/>
      <c r="F400" s="3778"/>
      <c r="G400" s="3778"/>
      <c r="H400" s="3778"/>
      <c r="I400" s="3778"/>
      <c r="J400" s="3779"/>
      <c r="M400" s="539"/>
      <c r="N400" s="539"/>
      <c r="O400" s="539"/>
    </row>
    <row r="401" spans="1:16" ht="16.5" customHeight="1" thickBot="1" x14ac:dyDescent="0.3">
      <c r="A401" s="536"/>
      <c r="C401" s="3780"/>
      <c r="D401" s="3781"/>
      <c r="E401" s="3781"/>
      <c r="F401" s="3781"/>
      <c r="G401" s="3781"/>
      <c r="H401" s="3781"/>
      <c r="I401" s="3781"/>
      <c r="J401" s="3782"/>
      <c r="M401" s="539"/>
      <c r="N401" s="539"/>
      <c r="O401" s="539"/>
    </row>
    <row r="402" spans="1:16" ht="16.5" thickBot="1" x14ac:dyDescent="0.3">
      <c r="A402" s="536"/>
      <c r="G402" s="539"/>
      <c r="H402" s="539"/>
      <c r="I402" s="539"/>
    </row>
    <row r="403" spans="1:16" ht="53.25" thickBot="1" x14ac:dyDescent="0.45">
      <c r="A403" s="536"/>
      <c r="C403" s="3774" t="s">
        <v>244</v>
      </c>
      <c r="D403" s="3775"/>
      <c r="E403" s="3776"/>
      <c r="F403" s="3291" t="s">
        <v>154</v>
      </c>
      <c r="G403" s="3291" t="s">
        <v>152</v>
      </c>
      <c r="H403" s="3291" t="s">
        <v>245</v>
      </c>
      <c r="I403" s="3292" t="s">
        <v>246</v>
      </c>
      <c r="J403" s="3293" t="s">
        <v>247</v>
      </c>
      <c r="K403" s="3753"/>
      <c r="L403" s="3753"/>
      <c r="M403" s="3753"/>
      <c r="N403" s="3753"/>
      <c r="O403" s="3753"/>
      <c r="P403" s="3753"/>
    </row>
    <row r="404" spans="1:16" ht="47.25" customHeight="1" x14ac:dyDescent="0.4">
      <c r="A404" s="536"/>
      <c r="C404" s="3771" t="s">
        <v>163</v>
      </c>
      <c r="D404" s="3310">
        <v>5030</v>
      </c>
      <c r="E404" s="3311" t="s">
        <v>248</v>
      </c>
      <c r="F404" s="911">
        <f>+F290+F305+F328+F345+F362</f>
        <v>0</v>
      </c>
      <c r="G404" s="912">
        <f ca="1">+T290+T305+T328+T345+T362</f>
        <v>0</v>
      </c>
      <c r="H404" s="912">
        <f ca="1">+F404+G404</f>
        <v>0</v>
      </c>
      <c r="I404" s="3296">
        <f>IF(F404=0,0,G404/H404)</f>
        <v>0</v>
      </c>
      <c r="J404" s="3297">
        <f>+IF(F404=0,0,G404/F404)</f>
        <v>0</v>
      </c>
      <c r="K404" s="913"/>
      <c r="L404" s="914"/>
      <c r="M404" s="914"/>
      <c r="N404" s="915"/>
      <c r="O404" s="542"/>
      <c r="P404" s="542"/>
    </row>
    <row r="405" spans="1:16" ht="47.25" customHeight="1" x14ac:dyDescent="0.4">
      <c r="A405" s="536"/>
      <c r="C405" s="3772"/>
      <c r="D405" s="3308">
        <v>5040</v>
      </c>
      <c r="E405" s="2000" t="s">
        <v>249</v>
      </c>
      <c r="F405" s="916">
        <f>+F291+F306+F329+F346+F363</f>
        <v>0</v>
      </c>
      <c r="G405" s="917">
        <f ca="1">+T291+T306+T329+T346+T363</f>
        <v>0</v>
      </c>
      <c r="H405" s="917">
        <f t="shared" ref="H405:H417" ca="1" si="558">+F405+G405</f>
        <v>0</v>
      </c>
      <c r="I405" s="1943">
        <f t="shared" ref="I405:I417" si="559">IF(F405=0,0,G405/H405)</f>
        <v>0</v>
      </c>
      <c r="J405" s="918">
        <f t="shared" ref="J405:J417" si="560">+IF(F405=0,0,G405/F405)</f>
        <v>0</v>
      </c>
      <c r="K405" s="913"/>
      <c r="L405" s="914"/>
      <c r="M405" s="914"/>
      <c r="N405" s="915"/>
      <c r="O405" s="542"/>
      <c r="P405" s="542"/>
    </row>
    <row r="406" spans="1:16" ht="47.25" hidden="1" customHeight="1" x14ac:dyDescent="0.4">
      <c r="A406" s="536"/>
      <c r="C406" s="3772"/>
      <c r="D406" s="1951">
        <v>5041</v>
      </c>
      <c r="E406" s="2000" t="s">
        <v>1247</v>
      </c>
      <c r="F406" s="916">
        <f>+F307+F330+F347+F364</f>
        <v>0</v>
      </c>
      <c r="G406" s="916">
        <f ca="1">+T307+T330+T347+T364</f>
        <v>0</v>
      </c>
      <c r="H406" s="917">
        <f t="shared" ca="1" si="558"/>
        <v>0</v>
      </c>
      <c r="I406" s="1943">
        <f t="shared" ref="I406" si="561">IF(F406=0,0,G406/H406)</f>
        <v>0</v>
      </c>
      <c r="J406" s="918">
        <f t="shared" ref="J406" si="562">+IF(F406=0,0,G406/F406)</f>
        <v>0</v>
      </c>
      <c r="K406" s="913"/>
      <c r="L406" s="914"/>
      <c r="M406" s="914"/>
      <c r="N406" s="915"/>
      <c r="O406" s="542"/>
      <c r="P406" s="542"/>
    </row>
    <row r="407" spans="1:16" ht="47.25" customHeight="1" x14ac:dyDescent="0.4">
      <c r="A407" s="536"/>
      <c r="C407" s="3772"/>
      <c r="D407" s="3308">
        <v>5045</v>
      </c>
      <c r="E407" s="2000" t="s">
        <v>250</v>
      </c>
      <c r="F407" s="916">
        <f>+F308+F331+F348+F365</f>
        <v>0</v>
      </c>
      <c r="G407" s="917">
        <f ca="1">+T308+T331+T348+T365</f>
        <v>0</v>
      </c>
      <c r="H407" s="917">
        <f t="shared" ca="1" si="558"/>
        <v>0</v>
      </c>
      <c r="I407" s="1943">
        <f t="shared" si="559"/>
        <v>0</v>
      </c>
      <c r="J407" s="918">
        <f t="shared" si="560"/>
        <v>0</v>
      </c>
      <c r="K407" s="913"/>
      <c r="L407" s="914"/>
      <c r="M407" s="914"/>
      <c r="N407" s="915"/>
      <c r="O407" s="542"/>
      <c r="P407" s="542"/>
    </row>
    <row r="408" spans="1:16" ht="47.25" customHeight="1" x14ac:dyDescent="0.4">
      <c r="A408" s="536"/>
      <c r="C408" s="3772"/>
      <c r="D408" s="3309">
        <v>5050</v>
      </c>
      <c r="E408" s="3294" t="s">
        <v>251</v>
      </c>
      <c r="F408" s="916">
        <f>+F292+F309+F332+F349+F366</f>
        <v>0</v>
      </c>
      <c r="G408" s="917">
        <f ca="1">+T292+T309+T332+T349+T366</f>
        <v>0</v>
      </c>
      <c r="H408" s="917">
        <f t="shared" ca="1" si="558"/>
        <v>0</v>
      </c>
      <c r="I408" s="1943">
        <f t="shared" si="559"/>
        <v>0</v>
      </c>
      <c r="J408" s="918">
        <f t="shared" si="560"/>
        <v>0</v>
      </c>
      <c r="K408" s="913"/>
      <c r="L408" s="914"/>
      <c r="M408" s="914"/>
      <c r="N408" s="915"/>
      <c r="O408" s="542"/>
      <c r="P408" s="542"/>
    </row>
    <row r="409" spans="1:16" ht="47.25" hidden="1" customHeight="1" x14ac:dyDescent="0.4">
      <c r="A409" s="536"/>
      <c r="C409" s="3772"/>
      <c r="D409" s="1952">
        <v>5051</v>
      </c>
      <c r="E409" s="2001" t="s">
        <v>1248</v>
      </c>
      <c r="F409" s="916">
        <f>+F310+F333+F350+F367</f>
        <v>0</v>
      </c>
      <c r="G409" s="916">
        <f ca="1">+T310+T333+T350+T367</f>
        <v>0</v>
      </c>
      <c r="H409" s="917">
        <f t="shared" ca="1" si="558"/>
        <v>0</v>
      </c>
      <c r="I409" s="1943">
        <f t="shared" ref="I409" si="563">IF(F409=0,0,G409/H409)</f>
        <v>0</v>
      </c>
      <c r="J409" s="918">
        <f t="shared" ref="J409" si="564">+IF(F409=0,0,G409/F409)</f>
        <v>0</v>
      </c>
      <c r="K409" s="913"/>
      <c r="L409" s="914"/>
      <c r="M409" s="914"/>
      <c r="N409" s="915"/>
      <c r="O409" s="542"/>
      <c r="P409" s="542"/>
    </row>
    <row r="410" spans="1:16" ht="47.25" customHeight="1" x14ac:dyDescent="0.4">
      <c r="A410" s="536"/>
      <c r="C410" s="3772"/>
      <c r="D410" s="3309">
        <v>5055</v>
      </c>
      <c r="E410" s="3294" t="s">
        <v>1372</v>
      </c>
      <c r="F410" s="916">
        <f>+F311+F334+F351+F368</f>
        <v>0</v>
      </c>
      <c r="G410" s="917">
        <f ca="1">+T311+T334+T351+T368</f>
        <v>0</v>
      </c>
      <c r="H410" s="917">
        <f t="shared" ca="1" si="558"/>
        <v>0</v>
      </c>
      <c r="I410" s="1943">
        <f t="shared" si="559"/>
        <v>0</v>
      </c>
      <c r="J410" s="918">
        <f t="shared" si="560"/>
        <v>0</v>
      </c>
      <c r="K410" s="913"/>
      <c r="L410" s="914"/>
      <c r="M410" s="914"/>
      <c r="N410" s="915"/>
      <c r="O410" s="542"/>
      <c r="P410" s="542"/>
    </row>
    <row r="411" spans="1:16" ht="47.25" customHeight="1" x14ac:dyDescent="0.4">
      <c r="A411" s="536"/>
      <c r="C411" s="3772"/>
      <c r="D411" s="3769" t="s">
        <v>253</v>
      </c>
      <c r="E411" s="3295" t="s">
        <v>254</v>
      </c>
      <c r="F411" s="916">
        <f>+F293+F294+F297+F298+F301+F302+F318+F319+F322+F323+F335+F336+F339+F341+F352+F353+F356+F358+F369+F370+F312+F313+F314+F373+F375+F376+F359+F342+F324</f>
        <v>0</v>
      </c>
      <c r="G411" s="916">
        <f ca="1">+T293+T294+T297+T298+T301+T302+T318+T319+T322+T323+T335+T336+T339+T341+T352+T353+T356+T358+T369+T370+T312+T313+T314</f>
        <v>0</v>
      </c>
      <c r="H411" s="917">
        <f t="shared" ca="1" si="558"/>
        <v>0</v>
      </c>
      <c r="I411" s="1943">
        <f t="shared" si="559"/>
        <v>0</v>
      </c>
      <c r="J411" s="918">
        <f t="shared" si="560"/>
        <v>0</v>
      </c>
      <c r="K411" s="913"/>
      <c r="L411" s="914"/>
      <c r="M411" s="914"/>
      <c r="N411" s="915"/>
      <c r="O411" s="542"/>
      <c r="P411" s="542"/>
    </row>
    <row r="412" spans="1:16" ht="47.25" customHeight="1" thickBot="1" x14ac:dyDescent="0.45">
      <c r="A412" s="536"/>
      <c r="C412" s="3773"/>
      <c r="D412" s="3770"/>
      <c r="E412" s="3312" t="s">
        <v>255</v>
      </c>
      <c r="F412" s="3298">
        <f>+F295+F296+F299+F300+F303+F304+F315+F316+F317+F320+F321+F325+F326+F337+F338+F340+F343+F354+F355+F357+F360+F371+F372+F374+F377+F378+F361+F344+F327</f>
        <v>0</v>
      </c>
      <c r="G412" s="3298">
        <f ca="1">+T295+T296+T299+T300+T303+T304+T315+T316+T317+T320+T321+T325+T326+T337+T338+T340+T343+T354+T355+T357+T360+T371+T372+T374+T377</f>
        <v>0</v>
      </c>
      <c r="H412" s="917">
        <f t="shared" ca="1" si="558"/>
        <v>0</v>
      </c>
      <c r="I412" s="1943">
        <f t="shared" ref="I412" si="565">IF(F412=0,0,G412/H412)</f>
        <v>0</v>
      </c>
      <c r="J412" s="918">
        <f t="shared" ref="J412" si="566">+IF(F412=0,0,G412/F412)</f>
        <v>0</v>
      </c>
      <c r="K412" s="542"/>
      <c r="L412" s="914"/>
      <c r="M412" s="914"/>
      <c r="N412" s="915"/>
      <c r="O412" s="542"/>
      <c r="P412" s="542"/>
    </row>
    <row r="413" spans="1:16" ht="36" customHeight="1" x14ac:dyDescent="0.4">
      <c r="A413" s="536"/>
      <c r="C413" s="4035" t="s">
        <v>186</v>
      </c>
      <c r="D413" s="3313" t="s">
        <v>21</v>
      </c>
      <c r="E413" s="3314" t="s">
        <v>233</v>
      </c>
      <c r="F413" s="911">
        <f>+F379+F380</f>
        <v>0</v>
      </c>
      <c r="G413" s="912">
        <f ca="1">+T379+T380</f>
        <v>0</v>
      </c>
      <c r="H413" s="912">
        <f t="shared" ca="1" si="558"/>
        <v>0</v>
      </c>
      <c r="I413" s="3296">
        <f t="shared" si="559"/>
        <v>0</v>
      </c>
      <c r="J413" s="3297">
        <f t="shared" si="560"/>
        <v>0</v>
      </c>
      <c r="K413" s="542"/>
      <c r="L413" s="542"/>
      <c r="M413" s="542"/>
      <c r="N413" s="542"/>
      <c r="O413" s="547"/>
      <c r="P413" s="547"/>
    </row>
    <row r="414" spans="1:16" ht="36" customHeight="1" thickBot="1" x14ac:dyDescent="0.45">
      <c r="A414" s="536"/>
      <c r="C414" s="4036"/>
      <c r="D414" s="3315" t="s">
        <v>71</v>
      </c>
      <c r="E414" s="3316" t="s">
        <v>233</v>
      </c>
      <c r="F414" s="3298">
        <f>+F381+F382</f>
        <v>0</v>
      </c>
      <c r="G414" s="3299">
        <f ca="1">+T381+T382</f>
        <v>0</v>
      </c>
      <c r="H414" s="3299">
        <f t="shared" ca="1" si="558"/>
        <v>0</v>
      </c>
      <c r="I414" s="3300">
        <f t="shared" si="559"/>
        <v>0</v>
      </c>
      <c r="J414" s="3301">
        <f t="shared" si="560"/>
        <v>0</v>
      </c>
      <c r="K414" s="542"/>
      <c r="L414" s="542"/>
      <c r="M414" s="542"/>
    </row>
    <row r="415" spans="1:16" ht="36" customHeight="1" thickBot="1" x14ac:dyDescent="0.45">
      <c r="A415" s="536"/>
      <c r="C415" s="3307" t="s">
        <v>256</v>
      </c>
      <c r="D415" s="3767" t="s">
        <v>22</v>
      </c>
      <c r="E415" s="3768"/>
      <c r="F415" s="3317">
        <f>+F67</f>
        <v>0</v>
      </c>
      <c r="G415" s="3318">
        <f>+T67</f>
        <v>0</v>
      </c>
      <c r="H415" s="3318">
        <f t="shared" si="558"/>
        <v>0</v>
      </c>
      <c r="I415" s="3319">
        <f t="shared" si="559"/>
        <v>0</v>
      </c>
      <c r="J415" s="3320">
        <f t="shared" si="560"/>
        <v>0</v>
      </c>
      <c r="K415" s="542"/>
      <c r="L415" s="542"/>
      <c r="M415" s="542"/>
    </row>
    <row r="416" spans="1:16" ht="36" customHeight="1" thickBot="1" x14ac:dyDescent="0.45">
      <c r="A416" s="536"/>
      <c r="C416" s="3771" t="s">
        <v>226</v>
      </c>
      <c r="D416" s="3700" t="s">
        <v>257</v>
      </c>
      <c r="E416" s="3061" t="s">
        <v>227</v>
      </c>
      <c r="F416" s="911">
        <f ca="1">+SUM(F383:F387)</f>
        <v>0</v>
      </c>
      <c r="G416" s="912">
        <f ca="1">+SUM(T383:T387)</f>
        <v>0</v>
      </c>
      <c r="H416" s="912">
        <f t="shared" ca="1" si="558"/>
        <v>0</v>
      </c>
      <c r="I416" s="3296">
        <f t="shared" ca="1" si="559"/>
        <v>0</v>
      </c>
      <c r="J416" s="3297">
        <f t="shared" ca="1" si="560"/>
        <v>0</v>
      </c>
      <c r="K416" s="542"/>
      <c r="L416" s="542"/>
      <c r="M416" s="542"/>
    </row>
    <row r="417" spans="1:28" ht="36" customHeight="1" thickBot="1" x14ac:dyDescent="0.45">
      <c r="A417" s="536"/>
      <c r="B417" s="3064"/>
      <c r="C417" s="3773"/>
      <c r="D417" s="3701"/>
      <c r="E417" s="3321" t="s">
        <v>233</v>
      </c>
      <c r="F417" s="3298">
        <f ca="1">+SUM(F388:F391)</f>
        <v>0</v>
      </c>
      <c r="G417" s="3299">
        <f ca="1">+SUM(T388:T391)</f>
        <v>0</v>
      </c>
      <c r="H417" s="3299">
        <f t="shared" ca="1" si="558"/>
        <v>0</v>
      </c>
      <c r="I417" s="3300">
        <f t="shared" ca="1" si="559"/>
        <v>0</v>
      </c>
      <c r="J417" s="3301">
        <f t="shared" ca="1" si="560"/>
        <v>0</v>
      </c>
      <c r="K417" s="542"/>
      <c r="L417" s="542"/>
      <c r="M417" s="542"/>
    </row>
    <row r="418" spans="1:28" ht="36" customHeight="1" thickBot="1" x14ac:dyDescent="0.45">
      <c r="A418" s="536"/>
      <c r="B418" s="25"/>
      <c r="C418" s="3307" t="s">
        <v>258</v>
      </c>
      <c r="D418" s="3761" t="s">
        <v>259</v>
      </c>
      <c r="E418" s="3762"/>
      <c r="F418" s="3317">
        <f>+F53</f>
        <v>0</v>
      </c>
      <c r="G418" s="3318">
        <f>+T53</f>
        <v>0</v>
      </c>
      <c r="H418" s="3318">
        <f t="shared" ref="H418" si="567">F418+G418</f>
        <v>0</v>
      </c>
      <c r="I418" s="3319">
        <f t="shared" ref="I418:I420" si="568">IF(F418=0,0,G418/H418)</f>
        <v>0</v>
      </c>
      <c r="J418" s="3320">
        <f t="shared" ref="J418:J420" si="569">+IF(F418=0,0,G418/F418)</f>
        <v>0</v>
      </c>
      <c r="K418" s="542"/>
      <c r="L418" s="542"/>
      <c r="M418" s="542"/>
    </row>
    <row r="419" spans="1:28" ht="36" customHeight="1" thickBot="1" x14ac:dyDescent="0.45">
      <c r="A419" s="536"/>
      <c r="C419" s="3307" t="s">
        <v>260</v>
      </c>
      <c r="D419" s="3761" t="s">
        <v>128</v>
      </c>
      <c r="E419" s="3762"/>
      <c r="F419" s="3317">
        <f>+F46</f>
        <v>0</v>
      </c>
      <c r="G419" s="3318">
        <f>+T46</f>
        <v>0</v>
      </c>
      <c r="H419" s="3318">
        <f t="shared" ref="H419:H420" si="570">F419+G419</f>
        <v>0</v>
      </c>
      <c r="I419" s="3319">
        <f t="shared" si="568"/>
        <v>0</v>
      </c>
      <c r="J419" s="3320">
        <f t="shared" si="569"/>
        <v>0</v>
      </c>
      <c r="K419" s="542"/>
      <c r="L419" s="542"/>
      <c r="M419" s="542"/>
    </row>
    <row r="420" spans="1:28" ht="36" customHeight="1" thickBot="1" x14ac:dyDescent="0.45">
      <c r="A420" s="536"/>
      <c r="C420" s="3307" t="s">
        <v>103</v>
      </c>
      <c r="D420" s="3761" t="s">
        <v>261</v>
      </c>
      <c r="E420" s="3762"/>
      <c r="F420" s="3317">
        <f ca="1">+F29</f>
        <v>0</v>
      </c>
      <c r="G420" s="3318">
        <f ca="1">+L29+M29+N29</f>
        <v>0</v>
      </c>
      <c r="H420" s="3318">
        <f t="shared" ca="1" si="570"/>
        <v>0</v>
      </c>
      <c r="I420" s="3319">
        <f t="shared" ca="1" si="568"/>
        <v>0</v>
      </c>
      <c r="J420" s="3320">
        <f t="shared" ca="1" si="569"/>
        <v>0</v>
      </c>
      <c r="K420" s="542"/>
      <c r="L420" s="542"/>
      <c r="M420" s="542"/>
    </row>
    <row r="421" spans="1:28" ht="36" customHeight="1" thickBot="1" x14ac:dyDescent="0.45">
      <c r="A421" s="536"/>
      <c r="C421" s="920"/>
      <c r="D421" s="3759"/>
      <c r="E421" s="3760"/>
      <c r="F421" s="3302"/>
      <c r="G421" s="3303"/>
      <c r="H421" s="3303"/>
      <c r="I421" s="3304"/>
      <c r="J421" s="3304"/>
    </row>
    <row r="422" spans="1:28" ht="36" customHeight="1" thickBot="1" x14ac:dyDescent="0.45">
      <c r="A422" s="536"/>
      <c r="C422" s="126"/>
      <c r="D422" s="3756" t="s">
        <v>262</v>
      </c>
      <c r="E422" s="3757"/>
      <c r="F422" s="3322">
        <f>F14</f>
        <v>0</v>
      </c>
      <c r="G422" s="3291"/>
      <c r="H422" s="3291"/>
      <c r="I422" s="3323"/>
      <c r="J422" s="3323"/>
    </row>
    <row r="423" spans="1:28" ht="36" customHeight="1" thickBot="1" x14ac:dyDescent="0.45">
      <c r="A423" s="536"/>
      <c r="C423" s="126"/>
      <c r="D423" s="3801" t="s">
        <v>154</v>
      </c>
      <c r="E423" s="3802"/>
      <c r="F423" s="3317">
        <f ca="1">SUM(F404:F422)</f>
        <v>0</v>
      </c>
      <c r="G423" s="3317">
        <f t="shared" ref="G423:H423" ca="1" si="571">SUM(G404:G422)</f>
        <v>0</v>
      </c>
      <c r="H423" s="3317">
        <f t="shared" ca="1" si="571"/>
        <v>0</v>
      </c>
      <c r="I423" s="3320">
        <f t="shared" ref="I423:I425" ca="1" si="572">IF(F423=0,0,G423/H423)</f>
        <v>0</v>
      </c>
      <c r="J423" s="3320">
        <f t="shared" ref="J423" ca="1" si="573">+IF(F423=0,0,G423/F423)</f>
        <v>0</v>
      </c>
    </row>
    <row r="424" spans="1:28" ht="36" customHeight="1" thickBot="1" x14ac:dyDescent="0.45">
      <c r="A424" s="536"/>
      <c r="C424" s="126"/>
      <c r="D424" s="3801" t="s">
        <v>245</v>
      </c>
      <c r="E424" s="3802"/>
      <c r="F424" s="3325">
        <f>+F10</f>
        <v>0</v>
      </c>
      <c r="G424" s="796"/>
      <c r="H424" s="804"/>
      <c r="I424" s="3324"/>
      <c r="J424" s="3356"/>
    </row>
    <row r="425" spans="1:28" ht="36" customHeight="1" thickBot="1" x14ac:dyDescent="0.45">
      <c r="A425" s="536"/>
      <c r="C425" s="126"/>
      <c r="D425" s="3803" t="s">
        <v>152</v>
      </c>
      <c r="E425" s="3804"/>
      <c r="F425" s="3317">
        <f ca="1">F424-F423</f>
        <v>0</v>
      </c>
      <c r="G425" s="3318">
        <f ca="1">SUM(G404:G421)</f>
        <v>0</v>
      </c>
      <c r="H425" s="3326">
        <f ca="1">SUM(H404:H421)</f>
        <v>0</v>
      </c>
      <c r="I425" s="3355">
        <f t="shared" ca="1" si="572"/>
        <v>0</v>
      </c>
      <c r="J425" s="3357"/>
    </row>
    <row r="426" spans="1:28" ht="55.5" customHeight="1" thickBot="1" x14ac:dyDescent="0.65">
      <c r="A426" s="536"/>
      <c r="C426" s="163"/>
      <c r="D426" s="3805" t="s">
        <v>263</v>
      </c>
      <c r="E426" s="3806"/>
      <c r="F426" s="3305">
        <f>IF(F424=0,0,+F425/F424)</f>
        <v>0</v>
      </c>
      <c r="G426" s="3306"/>
      <c r="H426" s="1196"/>
      <c r="I426" s="1196"/>
      <c r="J426" s="3358"/>
    </row>
    <row r="427" spans="1:28" ht="57.95" customHeight="1" x14ac:dyDescent="0.55000000000000004">
      <c r="A427" s="536"/>
      <c r="B427" s="1963" t="s">
        <v>264</v>
      </c>
      <c r="C427" s="556"/>
      <c r="D427" s="556"/>
      <c r="E427" s="556"/>
      <c r="G427" s="556"/>
      <c r="H427" s="556"/>
      <c r="I427" s="926"/>
      <c r="J427" s="556"/>
      <c r="K427" s="556"/>
      <c r="L427" s="556"/>
      <c r="M427" s="556"/>
      <c r="N427" s="556"/>
      <c r="O427" s="556"/>
      <c r="P427" s="556"/>
      <c r="Q427" s="556"/>
    </row>
    <row r="428" spans="1:28" ht="36" customHeight="1" x14ac:dyDescent="0.2">
      <c r="A428" s="536"/>
      <c r="B428" s="529"/>
      <c r="C428" s="10"/>
      <c r="D428" s="10"/>
      <c r="E428" s="10"/>
      <c r="F428" s="548"/>
      <c r="G428" s="10"/>
      <c r="H428" s="10"/>
      <c r="I428" s="15"/>
      <c r="J428" s="10"/>
      <c r="K428" s="10"/>
      <c r="L428" s="10"/>
      <c r="M428" s="10"/>
      <c r="N428" s="10"/>
      <c r="O428" s="10"/>
      <c r="P428" s="10"/>
      <c r="Q428" s="10"/>
    </row>
    <row r="429" spans="1:28" ht="36" customHeight="1" x14ac:dyDescent="0.2">
      <c r="A429" s="536"/>
      <c r="B429" s="16"/>
      <c r="C429" s="10"/>
      <c r="D429" s="10"/>
      <c r="E429" s="10"/>
      <c r="F429" s="548"/>
      <c r="G429" s="10"/>
      <c r="H429" s="10"/>
      <c r="I429" s="15"/>
      <c r="J429" s="10"/>
      <c r="K429" s="10"/>
      <c r="L429" s="10"/>
      <c r="M429" s="10"/>
      <c r="N429" s="10"/>
      <c r="O429" s="10"/>
      <c r="P429" s="10"/>
      <c r="Q429" s="10"/>
    </row>
    <row r="430" spans="1:28" ht="36" customHeight="1" x14ac:dyDescent="0.2">
      <c r="A430" s="536"/>
      <c r="B430" s="16"/>
      <c r="C430" s="10"/>
      <c r="D430" s="10"/>
      <c r="E430" s="10"/>
      <c r="F430" s="548"/>
      <c r="G430" s="10"/>
      <c r="H430" s="10"/>
      <c r="I430" s="15"/>
      <c r="J430" s="10"/>
      <c r="L430" s="10"/>
      <c r="M430" s="10"/>
      <c r="N430" s="10"/>
      <c r="O430" s="10"/>
      <c r="P430" s="10"/>
      <c r="Q430" s="10"/>
    </row>
    <row r="431" spans="1:28" ht="36" customHeight="1" x14ac:dyDescent="0.2">
      <c r="A431" s="536"/>
      <c r="B431" s="16"/>
      <c r="C431" s="10"/>
      <c r="D431" s="10"/>
      <c r="E431" s="10"/>
      <c r="F431" s="548"/>
      <c r="G431" s="10"/>
      <c r="H431" s="10"/>
      <c r="I431" s="15"/>
      <c r="J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</row>
    <row r="432" spans="1:28" ht="36" customHeight="1" x14ac:dyDescent="0.2">
      <c r="A432" s="536"/>
      <c r="B432" s="16"/>
      <c r="I432" s="17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</row>
    <row r="433" spans="1:28" ht="36" customHeight="1" x14ac:dyDescent="0.2">
      <c r="A433" s="536"/>
      <c r="B433" s="16"/>
      <c r="I433" s="17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</row>
    <row r="434" spans="1:28" ht="36" customHeight="1" x14ac:dyDescent="0.2">
      <c r="A434" s="536"/>
      <c r="B434" s="16"/>
      <c r="I434" s="17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</row>
    <row r="435" spans="1:28" ht="36" customHeight="1" x14ac:dyDescent="0.45">
      <c r="A435" s="536"/>
      <c r="B435" s="4075" t="s">
        <v>265</v>
      </c>
      <c r="C435" s="4076"/>
      <c r="D435" s="4076"/>
      <c r="E435" s="4076"/>
      <c r="F435" s="4076"/>
      <c r="G435" s="4076"/>
      <c r="H435" s="4076"/>
      <c r="I435" s="4077"/>
      <c r="J435" s="12"/>
      <c r="K435" s="12"/>
      <c r="L435" s="12"/>
      <c r="M435" s="12"/>
      <c r="N435" s="12"/>
      <c r="O435" s="12"/>
      <c r="P435" s="12"/>
      <c r="Q435" s="12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</row>
    <row r="436" spans="1:28" hidden="1" x14ac:dyDescent="0.2"/>
    <row r="437" spans="1:28" hidden="1" x14ac:dyDescent="0.2"/>
    <row r="438" spans="1:28" hidden="1" x14ac:dyDescent="0.2"/>
    <row r="439" spans="1:28" hidden="1" x14ac:dyDescent="0.2"/>
    <row r="440" spans="1:28" hidden="1" x14ac:dyDescent="0.2"/>
    <row r="441" spans="1:28" hidden="1" x14ac:dyDescent="0.2"/>
    <row r="442" spans="1:28" hidden="1" x14ac:dyDescent="0.2"/>
    <row r="443" spans="1:28" hidden="1" x14ac:dyDescent="0.2"/>
    <row r="444" spans="1:28" hidden="1" x14ac:dyDescent="0.2"/>
    <row r="445" spans="1:28" hidden="1" x14ac:dyDescent="0.2"/>
    <row r="446" spans="1:28" hidden="1" x14ac:dyDescent="0.2"/>
    <row r="447" spans="1:28" hidden="1" x14ac:dyDescent="0.2"/>
    <row r="448" spans="1:2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328" ht="30.95" customHeight="1" x14ac:dyDescent="0.2"/>
    <row r="1329" spans="6:6" ht="30.95" customHeight="1" x14ac:dyDescent="0.45">
      <c r="F1329" s="2620"/>
    </row>
  </sheetData>
  <sheetProtection algorithmName="SHA-512" hashValue="UB6+hEeaveS8wfsQLkg8BiJ0O2oxZfMMaIcTtr291WpOLLUiAh0bVQYI0IITLzsORf6aWYPXujvsDYkibWQwXA==" saltValue="fWv9yQnDiKtInJkt1M8New==" spinCount="100000" sheet="1" objects="1" scenarios="1"/>
  <mergeCells count="448">
    <mergeCell ref="J82:J83"/>
    <mergeCell ref="I80:J81"/>
    <mergeCell ref="K111:K112"/>
    <mergeCell ref="H305:H327"/>
    <mergeCell ref="H328:H344"/>
    <mergeCell ref="H345:H361"/>
    <mergeCell ref="H362:H378"/>
    <mergeCell ref="D240:E240"/>
    <mergeCell ref="D242:E242"/>
    <mergeCell ref="D170:E170"/>
    <mergeCell ref="D172:E172"/>
    <mergeCell ref="D188:E188"/>
    <mergeCell ref="D189:E189"/>
    <mergeCell ref="D311:E311"/>
    <mergeCell ref="C200:E200"/>
    <mergeCell ref="D328:E328"/>
    <mergeCell ref="D331:E331"/>
    <mergeCell ref="D190:E190"/>
    <mergeCell ref="D191:E191"/>
    <mergeCell ref="C192:C195"/>
    <mergeCell ref="I179:K179"/>
    <mergeCell ref="D165:E165"/>
    <mergeCell ref="G179:G180"/>
    <mergeCell ref="D163:E163"/>
    <mergeCell ref="C239:C242"/>
    <mergeCell ref="C252:C255"/>
    <mergeCell ref="D259:E259"/>
    <mergeCell ref="D261:E261"/>
    <mergeCell ref="C258:C261"/>
    <mergeCell ref="C271:C274"/>
    <mergeCell ref="D278:E278"/>
    <mergeCell ref="C277:C280"/>
    <mergeCell ref="D257:E257"/>
    <mergeCell ref="D258:E258"/>
    <mergeCell ref="D260:E260"/>
    <mergeCell ref="C275:C276"/>
    <mergeCell ref="D275:E275"/>
    <mergeCell ref="D276:E276"/>
    <mergeCell ref="C262:E262"/>
    <mergeCell ref="C263:E263"/>
    <mergeCell ref="C250:E250"/>
    <mergeCell ref="C269:E269"/>
    <mergeCell ref="D272:E272"/>
    <mergeCell ref="D274:E274"/>
    <mergeCell ref="C256:C257"/>
    <mergeCell ref="D256:E256"/>
    <mergeCell ref="B143:B157"/>
    <mergeCell ref="B128:B142"/>
    <mergeCell ref="B99:B127"/>
    <mergeCell ref="C120:C127"/>
    <mergeCell ref="D192:E192"/>
    <mergeCell ref="D193:E193"/>
    <mergeCell ref="D194:E194"/>
    <mergeCell ref="D195:E195"/>
    <mergeCell ref="D217:E217"/>
    <mergeCell ref="C188:C191"/>
    <mergeCell ref="D114:E114"/>
    <mergeCell ref="C114:C119"/>
    <mergeCell ref="D115:E115"/>
    <mergeCell ref="D116:E116"/>
    <mergeCell ref="D117:E117"/>
    <mergeCell ref="D118:E118"/>
    <mergeCell ref="D119:E119"/>
    <mergeCell ref="D123:E123"/>
    <mergeCell ref="D127:E127"/>
    <mergeCell ref="D140:E140"/>
    <mergeCell ref="D142:E142"/>
    <mergeCell ref="C139:C142"/>
    <mergeCell ref="D155:E155"/>
    <mergeCell ref="D157:E157"/>
    <mergeCell ref="C154:C157"/>
    <mergeCell ref="D150:E150"/>
    <mergeCell ref="C144:E144"/>
    <mergeCell ref="D136:E136"/>
    <mergeCell ref="C133:C136"/>
    <mergeCell ref="C145:E145"/>
    <mergeCell ref="B435:I435"/>
    <mergeCell ref="A288:E289"/>
    <mergeCell ref="A287:G287"/>
    <mergeCell ref="C198:E198"/>
    <mergeCell ref="C201:E201"/>
    <mergeCell ref="D206:E206"/>
    <mergeCell ref="D210:E210"/>
    <mergeCell ref="C203:C210"/>
    <mergeCell ref="C227:E227"/>
    <mergeCell ref="C230:E230"/>
    <mergeCell ref="C232:E232"/>
    <mergeCell ref="D234:E234"/>
    <mergeCell ref="D236:E236"/>
    <mergeCell ref="C245:E245"/>
    <mergeCell ref="C247:E247"/>
    <mergeCell ref="C249:E249"/>
    <mergeCell ref="C251:E251"/>
    <mergeCell ref="D253:E253"/>
    <mergeCell ref="D255:E255"/>
    <mergeCell ref="C264:E264"/>
    <mergeCell ref="C266:E266"/>
    <mergeCell ref="C268:E268"/>
    <mergeCell ref="C270:E270"/>
    <mergeCell ref="B290:B304"/>
    <mergeCell ref="B305:B326"/>
    <mergeCell ref="B328:B343"/>
    <mergeCell ref="B345:B360"/>
    <mergeCell ref="B362:B377"/>
    <mergeCell ref="D291:E291"/>
    <mergeCell ref="D307:E307"/>
    <mergeCell ref="D310:E310"/>
    <mergeCell ref="D312:D317"/>
    <mergeCell ref="D330:E330"/>
    <mergeCell ref="D333:E333"/>
    <mergeCell ref="D347:E347"/>
    <mergeCell ref="D350:E350"/>
    <mergeCell ref="D364:E364"/>
    <mergeCell ref="D367:E367"/>
    <mergeCell ref="D369:D372"/>
    <mergeCell ref="D352:D355"/>
    <mergeCell ref="D346:E346"/>
    <mergeCell ref="D373:D374"/>
    <mergeCell ref="D293:D296"/>
    <mergeCell ref="D297:D300"/>
    <mergeCell ref="D301:D304"/>
    <mergeCell ref="D318:D321"/>
    <mergeCell ref="D339:D340"/>
    <mergeCell ref="D356:D357"/>
    <mergeCell ref="H383:H391"/>
    <mergeCell ref="C413:C414"/>
    <mergeCell ref="C416:C417"/>
    <mergeCell ref="A62:E62"/>
    <mergeCell ref="L288:N288"/>
    <mergeCell ref="F288:F289"/>
    <mergeCell ref="D332:E332"/>
    <mergeCell ref="D273:E273"/>
    <mergeCell ref="I288:K288"/>
    <mergeCell ref="G288:G289"/>
    <mergeCell ref="H70:J70"/>
    <mergeCell ref="I82:I83"/>
    <mergeCell ref="C84:E84"/>
    <mergeCell ref="A82:E83"/>
    <mergeCell ref="D87:E87"/>
    <mergeCell ref="D187:E187"/>
    <mergeCell ref="D186:E186"/>
    <mergeCell ref="C283:E283"/>
    <mergeCell ref="A285:E285"/>
    <mergeCell ref="B379:B380"/>
    <mergeCell ref="H290:H304"/>
    <mergeCell ref="D362:E362"/>
    <mergeCell ref="D363:E363"/>
    <mergeCell ref="A173:A175"/>
    <mergeCell ref="A379:A381"/>
    <mergeCell ref="D306:E306"/>
    <mergeCell ref="C284:E284"/>
    <mergeCell ref="B196:B208"/>
    <mergeCell ref="C202:E202"/>
    <mergeCell ref="D185:E185"/>
    <mergeCell ref="D292:E292"/>
    <mergeCell ref="A181:A273"/>
    <mergeCell ref="C226:E226"/>
    <mergeCell ref="D205:E205"/>
    <mergeCell ref="D207:E207"/>
    <mergeCell ref="D208:E208"/>
    <mergeCell ref="C196:E196"/>
    <mergeCell ref="C244:E244"/>
    <mergeCell ref="D305:E305"/>
    <mergeCell ref="D334:E334"/>
    <mergeCell ref="C265:E265"/>
    <mergeCell ref="C281:E281"/>
    <mergeCell ref="D351:E351"/>
    <mergeCell ref="C243:E243"/>
    <mergeCell ref="D345:E345"/>
    <mergeCell ref="B262:B273"/>
    <mergeCell ref="B243:B254"/>
    <mergeCell ref="A290:A371"/>
    <mergeCell ref="L55:N55"/>
    <mergeCell ref="G55:I55"/>
    <mergeCell ref="J55:J56"/>
    <mergeCell ref="K55:K56"/>
    <mergeCell ref="A57:B58"/>
    <mergeCell ref="A59:B59"/>
    <mergeCell ref="A80:H81"/>
    <mergeCell ref="D110:E110"/>
    <mergeCell ref="C57:D57"/>
    <mergeCell ref="C58:D58"/>
    <mergeCell ref="K70:M70"/>
    <mergeCell ref="C59:D59"/>
    <mergeCell ref="C86:E86"/>
    <mergeCell ref="C91:C94"/>
    <mergeCell ref="D91:E91"/>
    <mergeCell ref="D92:E92"/>
    <mergeCell ref="D93:E93"/>
    <mergeCell ref="D94:E94"/>
    <mergeCell ref="C95:C98"/>
    <mergeCell ref="D95:E95"/>
    <mergeCell ref="D96:E96"/>
    <mergeCell ref="D97:E97"/>
    <mergeCell ref="D98:E98"/>
    <mergeCell ref="C104:E104"/>
    <mergeCell ref="B225:B235"/>
    <mergeCell ref="C246:E246"/>
    <mergeCell ref="B173:B174"/>
    <mergeCell ref="C159:E159"/>
    <mergeCell ref="D204:E204"/>
    <mergeCell ref="D154:E154"/>
    <mergeCell ref="D156:E156"/>
    <mergeCell ref="C146:E146"/>
    <mergeCell ref="C147:E147"/>
    <mergeCell ref="C148:C151"/>
    <mergeCell ref="D149:E149"/>
    <mergeCell ref="D151:E151"/>
    <mergeCell ref="C163:C166"/>
    <mergeCell ref="C160:E160"/>
    <mergeCell ref="C162:E162"/>
    <mergeCell ref="D164:E164"/>
    <mergeCell ref="D171:E171"/>
    <mergeCell ref="C169:C172"/>
    <mergeCell ref="B158:B172"/>
    <mergeCell ref="C217:C224"/>
    <mergeCell ref="D220:E220"/>
    <mergeCell ref="D224:E224"/>
    <mergeCell ref="C233:C236"/>
    <mergeCell ref="C175:E175"/>
    <mergeCell ref="L179:N179"/>
    <mergeCell ref="N70:Q70"/>
    <mergeCell ref="O179:Q179"/>
    <mergeCell ref="F82:F83"/>
    <mergeCell ref="O55:Q55"/>
    <mergeCell ref="B281:B282"/>
    <mergeCell ref="C282:E282"/>
    <mergeCell ref="C229:E229"/>
    <mergeCell ref="C248:E248"/>
    <mergeCell ref="C267:E267"/>
    <mergeCell ref="C197:E197"/>
    <mergeCell ref="D271:E271"/>
    <mergeCell ref="D235:E235"/>
    <mergeCell ref="A176:E176"/>
    <mergeCell ref="B181:B187"/>
    <mergeCell ref="C199:E199"/>
    <mergeCell ref="A281:A284"/>
    <mergeCell ref="B283:B284"/>
    <mergeCell ref="C225:E225"/>
    <mergeCell ref="C231:E231"/>
    <mergeCell ref="D112:E112"/>
    <mergeCell ref="D133:E133"/>
    <mergeCell ref="D252:E252"/>
    <mergeCell ref="D254:E254"/>
    <mergeCell ref="D52:E52"/>
    <mergeCell ref="D48:E48"/>
    <mergeCell ref="D50:E50"/>
    <mergeCell ref="D38:E38"/>
    <mergeCell ref="A48:A53"/>
    <mergeCell ref="D53:E53"/>
    <mergeCell ref="C181:E181"/>
    <mergeCell ref="C184:C187"/>
    <mergeCell ref="D184:E184"/>
    <mergeCell ref="C183:E183"/>
    <mergeCell ref="C182:E182"/>
    <mergeCell ref="C173:E173"/>
    <mergeCell ref="C174:E174"/>
    <mergeCell ref="A84:A165"/>
    <mergeCell ref="C131:E131"/>
    <mergeCell ref="D107:E107"/>
    <mergeCell ref="D88:E88"/>
    <mergeCell ref="D111:E111"/>
    <mergeCell ref="C48:C53"/>
    <mergeCell ref="D44:E44"/>
    <mergeCell ref="D106:E106"/>
    <mergeCell ref="C128:E128"/>
    <mergeCell ref="C101:E101"/>
    <mergeCell ref="C143:E143"/>
    <mergeCell ref="A36:A46"/>
    <mergeCell ref="AA14:AD14"/>
    <mergeCell ref="G22:I22"/>
    <mergeCell ref="D51:E51"/>
    <mergeCell ref="D49:E49"/>
    <mergeCell ref="L34:N34"/>
    <mergeCell ref="J34:J35"/>
    <mergeCell ref="D37:E37"/>
    <mergeCell ref="D45:E45"/>
    <mergeCell ref="K34:K35"/>
    <mergeCell ref="O34:Q34"/>
    <mergeCell ref="K22:K23"/>
    <mergeCell ref="C22:F23"/>
    <mergeCell ref="C40:C46"/>
    <mergeCell ref="D42:E42"/>
    <mergeCell ref="D43:E43"/>
    <mergeCell ref="D46:E46"/>
    <mergeCell ref="C34:E35"/>
    <mergeCell ref="C24:D24"/>
    <mergeCell ref="D41:E41"/>
    <mergeCell ref="H381:H382"/>
    <mergeCell ref="F8:I8"/>
    <mergeCell ref="F6:H6"/>
    <mergeCell ref="C8:E9"/>
    <mergeCell ref="C12:E13"/>
    <mergeCell ref="C29:E29"/>
    <mergeCell ref="AA1:AD1"/>
    <mergeCell ref="A1:K1"/>
    <mergeCell ref="J22:J23"/>
    <mergeCell ref="D40:E40"/>
    <mergeCell ref="C27:D27"/>
    <mergeCell ref="C14:E14"/>
    <mergeCell ref="C10:E10"/>
    <mergeCell ref="L17:M17"/>
    <mergeCell ref="D2:H2"/>
    <mergeCell ref="D36:E36"/>
    <mergeCell ref="A24:A29"/>
    <mergeCell ref="A32:R33"/>
    <mergeCell ref="S6:V6"/>
    <mergeCell ref="C36:C38"/>
    <mergeCell ref="G34:I34"/>
    <mergeCell ref="D3:H3"/>
    <mergeCell ref="G15:H15"/>
    <mergeCell ref="G12:I12"/>
    <mergeCell ref="F4:H4"/>
    <mergeCell ref="C103:E103"/>
    <mergeCell ref="D89:E89"/>
    <mergeCell ref="D90:E90"/>
    <mergeCell ref="D423:E423"/>
    <mergeCell ref="D424:E424"/>
    <mergeCell ref="D425:E425"/>
    <mergeCell ref="D426:E426"/>
    <mergeCell ref="D329:E329"/>
    <mergeCell ref="D348:E348"/>
    <mergeCell ref="D309:E309"/>
    <mergeCell ref="D203:E203"/>
    <mergeCell ref="D233:E233"/>
    <mergeCell ref="C228:E228"/>
    <mergeCell ref="A392:E392"/>
    <mergeCell ref="C381:E381"/>
    <mergeCell ref="F179:F180"/>
    <mergeCell ref="A179:E180"/>
    <mergeCell ref="B381:B382"/>
    <mergeCell ref="H379:H380"/>
    <mergeCell ref="D308:E308"/>
    <mergeCell ref="D419:E419"/>
    <mergeCell ref="C383:E383"/>
    <mergeCell ref="C384:E384"/>
    <mergeCell ref="K403:P403"/>
    <mergeCell ref="H82:H83"/>
    <mergeCell ref="D422:E422"/>
    <mergeCell ref="D290:E290"/>
    <mergeCell ref="D421:E421"/>
    <mergeCell ref="D420:E420"/>
    <mergeCell ref="O288:Q288"/>
    <mergeCell ref="C99:E99"/>
    <mergeCell ref="D418:E418"/>
    <mergeCell ref="D415:E415"/>
    <mergeCell ref="D411:D412"/>
    <mergeCell ref="C404:C412"/>
    <mergeCell ref="C403:E403"/>
    <mergeCell ref="C400:J401"/>
    <mergeCell ref="C380:E380"/>
    <mergeCell ref="C396:D396"/>
    <mergeCell ref="C397:E397"/>
    <mergeCell ref="D368:E368"/>
    <mergeCell ref="G82:G83"/>
    <mergeCell ref="C85:E85"/>
    <mergeCell ref="C100:E100"/>
    <mergeCell ref="C129:E129"/>
    <mergeCell ref="C394:E394"/>
    <mergeCell ref="C382:E382"/>
    <mergeCell ref="C385:E385"/>
    <mergeCell ref="C386:E386"/>
    <mergeCell ref="C387:E387"/>
    <mergeCell ref="C388:E388"/>
    <mergeCell ref="D277:E277"/>
    <mergeCell ref="D279:E279"/>
    <mergeCell ref="C379:E379"/>
    <mergeCell ref="D366:E366"/>
    <mergeCell ref="D349:E349"/>
    <mergeCell ref="D365:E365"/>
    <mergeCell ref="D280:E280"/>
    <mergeCell ref="D341:D344"/>
    <mergeCell ref="D358:D361"/>
    <mergeCell ref="D375:D378"/>
    <mergeCell ref="D322:D327"/>
    <mergeCell ref="D335:D338"/>
    <mergeCell ref="C389:E389"/>
    <mergeCell ref="C390:E390"/>
    <mergeCell ref="C393:E393"/>
    <mergeCell ref="C391:E391"/>
    <mergeCell ref="D416:D417"/>
    <mergeCell ref="L9:N9"/>
    <mergeCell ref="A20:R21"/>
    <mergeCell ref="L11:N11"/>
    <mergeCell ref="A64:Q64"/>
    <mergeCell ref="H65:J65"/>
    <mergeCell ref="K65:M65"/>
    <mergeCell ref="N65:P65"/>
    <mergeCell ref="F65:F66"/>
    <mergeCell ref="G65:G66"/>
    <mergeCell ref="A65:A67"/>
    <mergeCell ref="B65:E67"/>
    <mergeCell ref="B383:B387"/>
    <mergeCell ref="B388:B391"/>
    <mergeCell ref="A383:A391"/>
    <mergeCell ref="D108:E108"/>
    <mergeCell ref="D209:E209"/>
    <mergeCell ref="D135:E135"/>
    <mergeCell ref="C161:E161"/>
    <mergeCell ref="C158:E158"/>
    <mergeCell ref="C395:E395"/>
    <mergeCell ref="D166:E166"/>
    <mergeCell ref="D120:E120"/>
    <mergeCell ref="D121:E121"/>
    <mergeCell ref="D122:E122"/>
    <mergeCell ref="D124:E124"/>
    <mergeCell ref="D125:E125"/>
    <mergeCell ref="D126:E126"/>
    <mergeCell ref="C137:C138"/>
    <mergeCell ref="D137:E137"/>
    <mergeCell ref="D138:E138"/>
    <mergeCell ref="C211:C216"/>
    <mergeCell ref="D211:E211"/>
    <mergeCell ref="D212:E212"/>
    <mergeCell ref="D213:E213"/>
    <mergeCell ref="D214:E214"/>
    <mergeCell ref="D139:E139"/>
    <mergeCell ref="D141:E141"/>
    <mergeCell ref="C152:C153"/>
    <mergeCell ref="D152:E152"/>
    <mergeCell ref="D153:E153"/>
    <mergeCell ref="D148:E148"/>
    <mergeCell ref="D168:E168"/>
    <mergeCell ref="D169:E169"/>
    <mergeCell ref="B84:B98"/>
    <mergeCell ref="D239:E239"/>
    <mergeCell ref="D241:E241"/>
    <mergeCell ref="D215:E215"/>
    <mergeCell ref="D216:E216"/>
    <mergeCell ref="D218:E218"/>
    <mergeCell ref="D219:E219"/>
    <mergeCell ref="D221:E221"/>
    <mergeCell ref="D222:E222"/>
    <mergeCell ref="D223:E223"/>
    <mergeCell ref="C237:C238"/>
    <mergeCell ref="D237:E237"/>
    <mergeCell ref="D238:E238"/>
    <mergeCell ref="C167:C168"/>
    <mergeCell ref="D167:E167"/>
    <mergeCell ref="D109:E109"/>
    <mergeCell ref="C106:C113"/>
    <mergeCell ref="D113:E113"/>
    <mergeCell ref="C87:C90"/>
    <mergeCell ref="C102:E102"/>
    <mergeCell ref="C105:E105"/>
    <mergeCell ref="C130:E130"/>
    <mergeCell ref="C132:E132"/>
    <mergeCell ref="D134:E134"/>
  </mergeCells>
  <phoneticPr fontId="0" type="noConversion"/>
  <dataValidations count="2">
    <dataValidation type="list" allowBlank="1" showInputMessage="1" showErrorMessage="1" sqref="I6" xr:uid="{00000000-0002-0000-0200-000000000000}">
      <formula1>$BL$3:$BL$4</formula1>
    </dataValidation>
    <dataValidation type="list" allowBlank="1" showInputMessage="1" showErrorMessage="1" sqref="I17:I19" xr:uid="{00000000-0002-0000-0200-000001000000}">
      <formula1>$BI$2:$BI$5</formula1>
    </dataValidation>
  </dataValidations>
  <pageMargins left="0.19685039370078741" right="0.19685039370078741" top="0.59055118110236227" bottom="0.19685039370078741" header="0" footer="0"/>
  <pageSetup paperSize="9" scale="50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theme="8" tint="0.59999389629810485"/>
    <pageSetUpPr fitToPage="1"/>
  </sheetPr>
  <dimension ref="A1:AR18"/>
  <sheetViews>
    <sheetView showGridLines="0" topLeftCell="B5" zoomScale="89" zoomScaleNormal="89" workbookViewId="0">
      <selection activeCell="S9" sqref="S9"/>
    </sheetView>
  </sheetViews>
  <sheetFormatPr baseColWidth="10" defaultColWidth="11.42578125" defaultRowHeight="12.75" x14ac:dyDescent="0.2"/>
  <cols>
    <col min="1" max="1" width="42.42578125" hidden="1" customWidth="1"/>
    <col min="2" max="2" width="26.42578125" customWidth="1"/>
    <col min="3" max="4" width="20.42578125" customWidth="1"/>
    <col min="5" max="5" width="36.5703125" customWidth="1"/>
    <col min="6" max="6" width="21.85546875" customWidth="1"/>
    <col min="7" max="8" width="20.42578125" customWidth="1"/>
    <col min="9" max="9" width="11.42578125" style="214"/>
    <col min="10" max="13" width="15.140625" customWidth="1"/>
    <col min="16" max="16" width="19.5703125" customWidth="1"/>
    <col min="17" max="17" width="18.42578125" customWidth="1"/>
    <col min="18" max="18" width="20.5703125" customWidth="1"/>
    <col min="19" max="23" width="22.28515625" customWidth="1"/>
    <col min="24" max="24" width="19.85546875" customWidth="1"/>
    <col min="25" max="74" width="0" hidden="1" customWidth="1"/>
  </cols>
  <sheetData>
    <row r="1" spans="1:44" s="24" customFormat="1" ht="133.5" customHeight="1" x14ac:dyDescent="0.2">
      <c r="A1" s="4155" t="s">
        <v>266</v>
      </c>
      <c r="B1" s="4155"/>
      <c r="C1" s="4156"/>
      <c r="D1" s="4156"/>
      <c r="E1" s="4156"/>
      <c r="F1" s="4156"/>
      <c r="G1" s="4156"/>
      <c r="H1" s="4156"/>
      <c r="I1" s="4156"/>
      <c r="J1" s="4156"/>
      <c r="K1" s="4156"/>
      <c r="L1" s="4156"/>
      <c r="M1" s="4156"/>
      <c r="N1" s="4156"/>
      <c r="O1" s="4156"/>
      <c r="P1" s="4156"/>
      <c r="Q1" s="4156"/>
      <c r="R1" s="4156"/>
      <c r="S1" s="4156"/>
      <c r="T1" s="4156"/>
      <c r="U1" s="4156"/>
      <c r="V1" s="260"/>
      <c r="W1" s="260"/>
    </row>
    <row r="2" spans="1:44" ht="13.5" hidden="1" thickBot="1" x14ac:dyDescent="0.25">
      <c r="I2" s="12" t="s">
        <v>23</v>
      </c>
    </row>
    <row r="3" spans="1:44" ht="13.5" hidden="1" thickBot="1" x14ac:dyDescent="0.25">
      <c r="I3" s="3229" t="s">
        <v>24</v>
      </c>
    </row>
    <row r="4" spans="1:44" ht="30" x14ac:dyDescent="0.4">
      <c r="A4" s="18" t="s">
        <v>267</v>
      </c>
      <c r="B4" s="4163" t="s">
        <v>267</v>
      </c>
      <c r="C4" s="4163"/>
      <c r="D4" s="4163"/>
      <c r="E4" s="4163"/>
      <c r="F4" s="4163"/>
      <c r="G4" s="4163"/>
      <c r="H4" s="4163"/>
      <c r="I4" s="4163"/>
      <c r="J4" s="4163"/>
      <c r="K4" s="4163"/>
      <c r="L4" s="4163"/>
      <c r="M4" s="4163"/>
      <c r="N4" s="4163"/>
      <c r="O4" s="4163"/>
      <c r="P4" s="4163"/>
      <c r="Q4" s="4163"/>
      <c r="R4" s="4163"/>
      <c r="S4" s="4163"/>
      <c r="T4" s="4163"/>
      <c r="U4" s="4163"/>
      <c r="V4" s="4163"/>
      <c r="W4" s="4163"/>
      <c r="X4" s="4163"/>
    </row>
    <row r="5" spans="1:44" ht="15.75" x14ac:dyDescent="0.25">
      <c r="A5" s="18"/>
      <c r="B5" s="18"/>
      <c r="C5" s="9"/>
      <c r="D5" s="9"/>
      <c r="E5" s="9"/>
      <c r="F5" s="9"/>
      <c r="G5" s="9"/>
      <c r="H5" s="9"/>
      <c r="I5" s="12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44" ht="16.5" thickBot="1" x14ac:dyDescent="0.3">
      <c r="A6" s="18"/>
      <c r="B6" s="18"/>
      <c r="C6" s="9"/>
      <c r="D6" s="9"/>
      <c r="E6" s="9"/>
      <c r="F6" s="9"/>
      <c r="G6" s="9"/>
      <c r="H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44" x14ac:dyDescent="0.2">
      <c r="A7" s="4159" t="s">
        <v>268</v>
      </c>
      <c r="B7" s="4161" t="s">
        <v>269</v>
      </c>
      <c r="C7" s="4157" t="s">
        <v>270</v>
      </c>
      <c r="D7" s="4150" t="s">
        <v>271</v>
      </c>
      <c r="E7" s="4150" t="s">
        <v>272</v>
      </c>
      <c r="F7" s="4150" t="s">
        <v>273</v>
      </c>
      <c r="G7" s="4150" t="s">
        <v>274</v>
      </c>
      <c r="H7" s="4148" t="s">
        <v>275</v>
      </c>
      <c r="I7" s="4146" t="s">
        <v>276</v>
      </c>
      <c r="J7" s="4143" t="s">
        <v>277</v>
      </c>
      <c r="K7" s="4144"/>
      <c r="L7" s="4144"/>
      <c r="M7" s="4144"/>
      <c r="N7" s="4144"/>
      <c r="O7" s="4145"/>
      <c r="P7" s="4152" t="s">
        <v>278</v>
      </c>
      <c r="Q7" s="4153"/>
      <c r="R7" s="4153"/>
      <c r="S7" s="4154"/>
      <c r="T7" s="4164" t="s">
        <v>279</v>
      </c>
      <c r="U7" s="4165"/>
      <c r="V7" s="4165"/>
      <c r="W7" s="4165"/>
      <c r="X7" s="4166"/>
      <c r="AF7" s="4142" t="s">
        <v>280</v>
      </c>
      <c r="AG7" s="4142"/>
      <c r="AH7" s="4142"/>
      <c r="AI7" s="4142"/>
      <c r="AJ7" s="4142" t="s">
        <v>279</v>
      </c>
      <c r="AK7" s="4142"/>
      <c r="AL7" s="4142"/>
      <c r="AM7" s="4142"/>
      <c r="AO7" s="4142" t="s">
        <v>279</v>
      </c>
      <c r="AP7" s="4142"/>
      <c r="AQ7" s="4142"/>
      <c r="AR7" s="4142"/>
    </row>
    <row r="8" spans="1:44" ht="51" x14ac:dyDescent="0.2">
      <c r="A8" s="4160"/>
      <c r="B8" s="4162"/>
      <c r="C8" s="4158"/>
      <c r="D8" s="4151"/>
      <c r="E8" s="4151"/>
      <c r="F8" s="4151"/>
      <c r="G8" s="4151"/>
      <c r="H8" s="4149"/>
      <c r="I8" s="4147"/>
      <c r="J8" s="3221" t="s">
        <v>281</v>
      </c>
      <c r="K8" s="2741" t="s">
        <v>282</v>
      </c>
      <c r="L8" s="21" t="s">
        <v>283</v>
      </c>
      <c r="M8" s="2741" t="s">
        <v>284</v>
      </c>
      <c r="N8" s="21" t="s">
        <v>285</v>
      </c>
      <c r="O8" s="3222" t="s">
        <v>286</v>
      </c>
      <c r="P8" s="3209" t="s">
        <v>287</v>
      </c>
      <c r="Q8" s="22" t="s">
        <v>288</v>
      </c>
      <c r="R8" s="22" t="s">
        <v>289</v>
      </c>
      <c r="S8" s="3210" t="s">
        <v>290</v>
      </c>
      <c r="T8" s="3209" t="s">
        <v>291</v>
      </c>
      <c r="U8" s="22" t="s">
        <v>287</v>
      </c>
      <c r="V8" s="22" t="s">
        <v>288</v>
      </c>
      <c r="W8" s="22" t="s">
        <v>289</v>
      </c>
      <c r="X8" s="3210" t="s">
        <v>290</v>
      </c>
      <c r="AF8" s="22" t="s">
        <v>287</v>
      </c>
      <c r="AG8" s="22" t="s">
        <v>288</v>
      </c>
      <c r="AH8" s="22" t="s">
        <v>289</v>
      </c>
      <c r="AI8" s="22" t="s">
        <v>290</v>
      </c>
      <c r="AJ8" s="22" t="s">
        <v>287</v>
      </c>
      <c r="AK8" s="22" t="s">
        <v>288</v>
      </c>
      <c r="AL8" s="22" t="s">
        <v>289</v>
      </c>
      <c r="AM8" s="22" t="s">
        <v>290</v>
      </c>
      <c r="AO8" s="22" t="s">
        <v>287</v>
      </c>
      <c r="AP8" s="22" t="s">
        <v>288</v>
      </c>
      <c r="AQ8" s="22" t="s">
        <v>289</v>
      </c>
      <c r="AR8" s="22" t="s">
        <v>290</v>
      </c>
    </row>
    <row r="9" spans="1:44" ht="15.75" x14ac:dyDescent="0.25">
      <c r="A9" s="3235">
        <f>'CAMMESA-SECCION I'!$C$7</f>
        <v>0</v>
      </c>
      <c r="B9" s="3224"/>
      <c r="C9" s="3042"/>
      <c r="D9" s="3042"/>
      <c r="E9" s="3042"/>
      <c r="F9" s="3042"/>
      <c r="G9" s="3042"/>
      <c r="H9" s="3225"/>
      <c r="I9" s="3230"/>
      <c r="J9" s="3216"/>
      <c r="K9" s="3"/>
      <c r="L9" s="3"/>
      <c r="M9" s="3"/>
      <c r="N9" s="2742">
        <f>+IF(J9&gt;L9,J9,L9)</f>
        <v>0</v>
      </c>
      <c r="O9" s="3212">
        <f>+IF(K9&gt;M9,K9,M9)</f>
        <v>0</v>
      </c>
      <c r="P9" s="3216"/>
      <c r="Q9" s="3"/>
      <c r="R9" s="3"/>
      <c r="S9" s="3217">
        <f>SUM(P9:R9)</f>
        <v>0</v>
      </c>
      <c r="T9" s="3211">
        <f>+IF(I9="MT",'Compra -HOJA1'!M$18,IF(I9="BT",'Compra -HOJA1'!M$19,0))</f>
        <v>0</v>
      </c>
      <c r="U9" s="248">
        <f>+$T9*P9</f>
        <v>0</v>
      </c>
      <c r="V9" s="248">
        <f>+$T9*Q9</f>
        <v>0</v>
      </c>
      <c r="W9" s="248">
        <f>+$T9*R9</f>
        <v>0</v>
      </c>
      <c r="X9" s="3212">
        <f>SUM(U9:W9)</f>
        <v>0</v>
      </c>
      <c r="AF9" s="72">
        <f>+ROUND(P9,0)</f>
        <v>0</v>
      </c>
      <c r="AG9" s="72">
        <f t="shared" ref="AG9:AH18" si="0">+ROUND(Q9,0)</f>
        <v>0</v>
      </c>
      <c r="AH9" s="72">
        <f t="shared" si="0"/>
        <v>0</v>
      </c>
      <c r="AI9" s="2952">
        <f>SUM(AF9:AH9)</f>
        <v>0</v>
      </c>
      <c r="AJ9" s="100">
        <f>+ROUND(U9,0)</f>
        <v>0</v>
      </c>
      <c r="AK9" s="100">
        <f>+AM9-AJ9-AL9</f>
        <v>0</v>
      </c>
      <c r="AL9" s="100">
        <f>+ROUND(W9,0)</f>
        <v>0</v>
      </c>
      <c r="AM9" s="100">
        <f>+ROUND(X9,0)</f>
        <v>0</v>
      </c>
      <c r="AO9" s="100">
        <f>+INT(U9)</f>
        <v>0</v>
      </c>
      <c r="AP9" s="100">
        <f>+AR9-AO9-AQ9</f>
        <v>0</v>
      </c>
      <c r="AQ9" s="100">
        <f t="shared" ref="AQ9:AQ18" si="1">+INT(W9)</f>
        <v>0</v>
      </c>
      <c r="AR9" s="100">
        <f t="shared" ref="AR9:AR18" si="2">+INT(X9)</f>
        <v>0</v>
      </c>
    </row>
    <row r="10" spans="1:44" ht="15.75" x14ac:dyDescent="0.25">
      <c r="A10" s="3235">
        <f>'CAMMESA-SECCION I'!$C$7</f>
        <v>0</v>
      </c>
      <c r="B10" s="3224"/>
      <c r="C10" s="3042"/>
      <c r="D10" s="3042"/>
      <c r="E10" s="3042"/>
      <c r="F10" s="3042"/>
      <c r="G10" s="3042"/>
      <c r="H10" s="3225"/>
      <c r="I10" s="3230"/>
      <c r="J10" s="3216"/>
      <c r="K10" s="3"/>
      <c r="L10" s="3"/>
      <c r="M10" s="3"/>
      <c r="N10" s="2742">
        <f t="shared" ref="N10:N18" si="3">+IF(J10&gt;L10,J10,L10)</f>
        <v>0</v>
      </c>
      <c r="O10" s="3212">
        <f t="shared" ref="O10:O18" si="4">+IF(K10&gt;M10,K10,M10)</f>
        <v>0</v>
      </c>
      <c r="P10" s="3216"/>
      <c r="Q10" s="3"/>
      <c r="R10" s="3"/>
      <c r="S10" s="3217">
        <f t="shared" ref="S10:S18" si="5">SUM(P10:R10)</f>
        <v>0</v>
      </c>
      <c r="T10" s="3211">
        <f>+IF(I10="MT",'Compra -HOJA1'!M$18,IF(I10="BT",'Compra -HOJA1'!M$19,0))</f>
        <v>0</v>
      </c>
      <c r="U10" s="248">
        <f t="shared" ref="U10:U18" si="6">+$T10*P10</f>
        <v>0</v>
      </c>
      <c r="V10" s="248">
        <f t="shared" ref="V10:V18" si="7">+$T10*Q10</f>
        <v>0</v>
      </c>
      <c r="W10" s="248">
        <f t="shared" ref="W10:W18" si="8">+$T10*R10</f>
        <v>0</v>
      </c>
      <c r="X10" s="3212">
        <f t="shared" ref="X10:X18" si="9">SUM(U10:W10)</f>
        <v>0</v>
      </c>
      <c r="AF10" s="72">
        <f t="shared" ref="AF10:AF18" si="10">+ROUND(P10,0)</f>
        <v>0</v>
      </c>
      <c r="AG10" s="72">
        <f t="shared" si="0"/>
        <v>0</v>
      </c>
      <c r="AH10" s="72">
        <f t="shared" si="0"/>
        <v>0</v>
      </c>
      <c r="AI10" s="2952">
        <f t="shared" ref="AI10:AI18" si="11">SUM(AF10:AH10)</f>
        <v>0</v>
      </c>
      <c r="AJ10" s="100">
        <f t="shared" ref="AJ10:AJ18" si="12">+ROUND(U10,0)</f>
        <v>0</v>
      </c>
      <c r="AK10" s="100">
        <f t="shared" ref="AK10:AK18" si="13">+AM10-AJ10-AL10</f>
        <v>0</v>
      </c>
      <c r="AL10" s="100">
        <f t="shared" ref="AL10:AL18" si="14">+ROUND(W10,0)</f>
        <v>0</v>
      </c>
      <c r="AM10" s="100">
        <f t="shared" ref="AM10:AM18" si="15">+ROUND(X10,0)</f>
        <v>0</v>
      </c>
      <c r="AO10" s="100">
        <f t="shared" ref="AO10:AO18" si="16">+INT(U10)</f>
        <v>0</v>
      </c>
      <c r="AP10" s="100">
        <f t="shared" ref="AP10:AP18" si="17">+AR10-AO10-AQ10</f>
        <v>0</v>
      </c>
      <c r="AQ10" s="100">
        <f t="shared" si="1"/>
        <v>0</v>
      </c>
      <c r="AR10" s="100">
        <f t="shared" si="2"/>
        <v>0</v>
      </c>
    </row>
    <row r="11" spans="1:44" ht="15.75" x14ac:dyDescent="0.25">
      <c r="A11" s="3235">
        <f>'CAMMESA-SECCION I'!$C$7</f>
        <v>0</v>
      </c>
      <c r="B11" s="3224"/>
      <c r="C11" s="3042"/>
      <c r="D11" s="3042"/>
      <c r="E11" s="3042"/>
      <c r="F11" s="3042"/>
      <c r="G11" s="3042"/>
      <c r="H11" s="3225"/>
      <c r="I11" s="3230"/>
      <c r="J11" s="3216"/>
      <c r="K11" s="3"/>
      <c r="L11" s="3"/>
      <c r="M11" s="3"/>
      <c r="N11" s="2742">
        <f t="shared" si="3"/>
        <v>0</v>
      </c>
      <c r="O11" s="3212">
        <f t="shared" si="4"/>
        <v>0</v>
      </c>
      <c r="P11" s="3216"/>
      <c r="Q11" s="3"/>
      <c r="R11" s="3"/>
      <c r="S11" s="3217">
        <f t="shared" si="5"/>
        <v>0</v>
      </c>
      <c r="T11" s="3211">
        <f>+IF(I11="MT",'Compra -HOJA1'!M$18,IF(I11="BT",'Compra -HOJA1'!M$19,0))</f>
        <v>0</v>
      </c>
      <c r="U11" s="248">
        <f t="shared" si="6"/>
        <v>0</v>
      </c>
      <c r="V11" s="248">
        <f t="shared" si="7"/>
        <v>0</v>
      </c>
      <c r="W11" s="248">
        <f t="shared" si="8"/>
        <v>0</v>
      </c>
      <c r="X11" s="3212">
        <f t="shared" si="9"/>
        <v>0</v>
      </c>
      <c r="AF11" s="72">
        <f t="shared" si="10"/>
        <v>0</v>
      </c>
      <c r="AG11" s="72">
        <f t="shared" si="0"/>
        <v>0</v>
      </c>
      <c r="AH11" s="72">
        <f t="shared" si="0"/>
        <v>0</v>
      </c>
      <c r="AI11" s="2952">
        <f t="shared" si="11"/>
        <v>0</v>
      </c>
      <c r="AJ11" s="100">
        <f t="shared" si="12"/>
        <v>0</v>
      </c>
      <c r="AK11" s="100">
        <f t="shared" si="13"/>
        <v>0</v>
      </c>
      <c r="AL11" s="100">
        <f t="shared" si="14"/>
        <v>0</v>
      </c>
      <c r="AM11" s="100">
        <f t="shared" si="15"/>
        <v>0</v>
      </c>
      <c r="AO11" s="100">
        <f t="shared" si="16"/>
        <v>0</v>
      </c>
      <c r="AP11" s="100">
        <f t="shared" si="17"/>
        <v>0</v>
      </c>
      <c r="AQ11" s="100">
        <f t="shared" si="1"/>
        <v>0</v>
      </c>
      <c r="AR11" s="100">
        <f t="shared" si="2"/>
        <v>0</v>
      </c>
    </row>
    <row r="12" spans="1:44" ht="15.75" x14ac:dyDescent="0.25">
      <c r="A12" s="3235">
        <f>'CAMMESA-SECCION I'!$C$7</f>
        <v>0</v>
      </c>
      <c r="B12" s="3224"/>
      <c r="C12" s="3042"/>
      <c r="D12" s="3042"/>
      <c r="E12" s="3042"/>
      <c r="F12" s="3042"/>
      <c r="G12" s="3042"/>
      <c r="H12" s="3225"/>
      <c r="I12" s="3230"/>
      <c r="J12" s="3216"/>
      <c r="K12" s="3"/>
      <c r="L12" s="3"/>
      <c r="M12" s="3"/>
      <c r="N12" s="2742">
        <f t="shared" si="3"/>
        <v>0</v>
      </c>
      <c r="O12" s="3212">
        <f t="shared" si="4"/>
        <v>0</v>
      </c>
      <c r="P12" s="3216"/>
      <c r="Q12" s="3"/>
      <c r="R12" s="3"/>
      <c r="S12" s="3217">
        <f t="shared" si="5"/>
        <v>0</v>
      </c>
      <c r="T12" s="3211">
        <f>+IF(I12="MT",'Compra -HOJA1'!M$18,IF(I12="BT",'Compra -HOJA1'!M$19,0))</f>
        <v>0</v>
      </c>
      <c r="U12" s="248">
        <f t="shared" si="6"/>
        <v>0</v>
      </c>
      <c r="V12" s="248">
        <f t="shared" si="7"/>
        <v>0</v>
      </c>
      <c r="W12" s="248">
        <f t="shared" si="8"/>
        <v>0</v>
      </c>
      <c r="X12" s="3212">
        <f t="shared" si="9"/>
        <v>0</v>
      </c>
      <c r="AF12" s="72">
        <f t="shared" si="10"/>
        <v>0</v>
      </c>
      <c r="AG12" s="72">
        <f t="shared" si="0"/>
        <v>0</v>
      </c>
      <c r="AH12" s="72">
        <f t="shared" si="0"/>
        <v>0</v>
      </c>
      <c r="AI12" s="2952">
        <f t="shared" si="11"/>
        <v>0</v>
      </c>
      <c r="AJ12" s="100">
        <f t="shared" si="12"/>
        <v>0</v>
      </c>
      <c r="AK12" s="100">
        <f t="shared" si="13"/>
        <v>0</v>
      </c>
      <c r="AL12" s="100">
        <f t="shared" si="14"/>
        <v>0</v>
      </c>
      <c r="AM12" s="100">
        <f t="shared" si="15"/>
        <v>0</v>
      </c>
      <c r="AO12" s="100">
        <f t="shared" si="16"/>
        <v>0</v>
      </c>
      <c r="AP12" s="100">
        <f t="shared" si="17"/>
        <v>0</v>
      </c>
      <c r="AQ12" s="100">
        <f t="shared" si="1"/>
        <v>0</v>
      </c>
      <c r="AR12" s="100">
        <f t="shared" si="2"/>
        <v>0</v>
      </c>
    </row>
    <row r="13" spans="1:44" ht="15.75" x14ac:dyDescent="0.25">
      <c r="A13" s="3235">
        <f>'CAMMESA-SECCION I'!$C$7</f>
        <v>0</v>
      </c>
      <c r="B13" s="3224"/>
      <c r="C13" s="3042"/>
      <c r="D13" s="3042"/>
      <c r="E13" s="3042"/>
      <c r="F13" s="3042"/>
      <c r="G13" s="3042"/>
      <c r="H13" s="3225"/>
      <c r="I13" s="3230"/>
      <c r="J13" s="3216"/>
      <c r="K13" s="3"/>
      <c r="L13" s="3"/>
      <c r="M13" s="3"/>
      <c r="N13" s="2742">
        <f t="shared" si="3"/>
        <v>0</v>
      </c>
      <c r="O13" s="3212">
        <f t="shared" si="4"/>
        <v>0</v>
      </c>
      <c r="P13" s="3216"/>
      <c r="Q13" s="3"/>
      <c r="R13" s="3"/>
      <c r="S13" s="3217">
        <f t="shared" si="5"/>
        <v>0</v>
      </c>
      <c r="T13" s="3211">
        <f>+IF(I13="MT",'Compra -HOJA1'!M$18,IF(I13="BT",'Compra -HOJA1'!M$19,0))</f>
        <v>0</v>
      </c>
      <c r="U13" s="248">
        <f t="shared" si="6"/>
        <v>0</v>
      </c>
      <c r="V13" s="248">
        <f t="shared" si="7"/>
        <v>0</v>
      </c>
      <c r="W13" s="248">
        <f t="shared" si="8"/>
        <v>0</v>
      </c>
      <c r="X13" s="3212">
        <f t="shared" si="9"/>
        <v>0</v>
      </c>
      <c r="AF13" s="72">
        <f t="shared" si="10"/>
        <v>0</v>
      </c>
      <c r="AG13" s="72">
        <f t="shared" si="0"/>
        <v>0</v>
      </c>
      <c r="AH13" s="72">
        <f t="shared" si="0"/>
        <v>0</v>
      </c>
      <c r="AI13" s="2952">
        <f t="shared" si="11"/>
        <v>0</v>
      </c>
      <c r="AJ13" s="100">
        <f t="shared" si="12"/>
        <v>0</v>
      </c>
      <c r="AK13" s="100">
        <f t="shared" si="13"/>
        <v>0</v>
      </c>
      <c r="AL13" s="100">
        <f t="shared" si="14"/>
        <v>0</v>
      </c>
      <c r="AM13" s="100">
        <f t="shared" si="15"/>
        <v>0</v>
      </c>
      <c r="AO13" s="100">
        <f t="shared" si="16"/>
        <v>0</v>
      </c>
      <c r="AP13" s="100">
        <f t="shared" si="17"/>
        <v>0</v>
      </c>
      <c r="AQ13" s="100">
        <f t="shared" si="1"/>
        <v>0</v>
      </c>
      <c r="AR13" s="100">
        <f t="shared" si="2"/>
        <v>0</v>
      </c>
    </row>
    <row r="14" spans="1:44" ht="15.75" x14ac:dyDescent="0.25">
      <c r="A14" s="3235">
        <f>'CAMMESA-SECCION I'!$C$7</f>
        <v>0</v>
      </c>
      <c r="B14" s="3224"/>
      <c r="C14" s="3042"/>
      <c r="D14" s="3042"/>
      <c r="E14" s="3042"/>
      <c r="F14" s="3042"/>
      <c r="G14" s="3042"/>
      <c r="H14" s="3225"/>
      <c r="I14" s="3230"/>
      <c r="J14" s="3216"/>
      <c r="K14" s="3"/>
      <c r="L14" s="3"/>
      <c r="M14" s="3"/>
      <c r="N14" s="2742">
        <f t="shared" si="3"/>
        <v>0</v>
      </c>
      <c r="O14" s="3212">
        <f t="shared" si="4"/>
        <v>0</v>
      </c>
      <c r="P14" s="3216"/>
      <c r="Q14" s="3"/>
      <c r="R14" s="3"/>
      <c r="S14" s="3217">
        <f t="shared" si="5"/>
        <v>0</v>
      </c>
      <c r="T14" s="3211">
        <f>+IF(I14="MT",'Compra -HOJA1'!M$18,IF(I14="BT",'Compra -HOJA1'!M$19,0))</f>
        <v>0</v>
      </c>
      <c r="U14" s="248">
        <f t="shared" si="6"/>
        <v>0</v>
      </c>
      <c r="V14" s="248">
        <f t="shared" si="7"/>
        <v>0</v>
      </c>
      <c r="W14" s="248">
        <f t="shared" si="8"/>
        <v>0</v>
      </c>
      <c r="X14" s="3212">
        <f t="shared" si="9"/>
        <v>0</v>
      </c>
      <c r="AF14" s="72">
        <f t="shared" si="10"/>
        <v>0</v>
      </c>
      <c r="AG14" s="72">
        <f t="shared" si="0"/>
        <v>0</v>
      </c>
      <c r="AH14" s="72">
        <f t="shared" si="0"/>
        <v>0</v>
      </c>
      <c r="AI14" s="2952">
        <f t="shared" si="11"/>
        <v>0</v>
      </c>
      <c r="AJ14" s="100">
        <f t="shared" si="12"/>
        <v>0</v>
      </c>
      <c r="AK14" s="100">
        <f t="shared" si="13"/>
        <v>0</v>
      </c>
      <c r="AL14" s="100">
        <f t="shared" si="14"/>
        <v>0</v>
      </c>
      <c r="AM14" s="100">
        <f t="shared" si="15"/>
        <v>0</v>
      </c>
      <c r="AO14" s="100">
        <f t="shared" si="16"/>
        <v>0</v>
      </c>
      <c r="AP14" s="100">
        <f t="shared" si="17"/>
        <v>0</v>
      </c>
      <c r="AQ14" s="100">
        <f t="shared" si="1"/>
        <v>0</v>
      </c>
      <c r="AR14" s="100">
        <f t="shared" si="2"/>
        <v>0</v>
      </c>
    </row>
    <row r="15" spans="1:44" ht="15.75" x14ac:dyDescent="0.25">
      <c r="A15" s="3235">
        <f>'CAMMESA-SECCION I'!$C$7</f>
        <v>0</v>
      </c>
      <c r="B15" s="3224"/>
      <c r="C15" s="3042"/>
      <c r="D15" s="3042"/>
      <c r="E15" s="3042"/>
      <c r="F15" s="3042"/>
      <c r="G15" s="3042"/>
      <c r="H15" s="3225"/>
      <c r="I15" s="3230"/>
      <c r="J15" s="3216"/>
      <c r="K15" s="3"/>
      <c r="L15" s="3"/>
      <c r="M15" s="3"/>
      <c r="N15" s="2742">
        <f t="shared" si="3"/>
        <v>0</v>
      </c>
      <c r="O15" s="3212">
        <f t="shared" si="4"/>
        <v>0</v>
      </c>
      <c r="P15" s="3216"/>
      <c r="Q15" s="3"/>
      <c r="R15" s="3"/>
      <c r="S15" s="3217">
        <f t="shared" si="5"/>
        <v>0</v>
      </c>
      <c r="T15" s="3211">
        <f>+IF(I15="MT",'Compra -HOJA1'!M$18,IF(I15="BT",'Compra -HOJA1'!M$19,0))</f>
        <v>0</v>
      </c>
      <c r="U15" s="248">
        <f t="shared" si="6"/>
        <v>0</v>
      </c>
      <c r="V15" s="248">
        <f t="shared" si="7"/>
        <v>0</v>
      </c>
      <c r="W15" s="248">
        <f t="shared" si="8"/>
        <v>0</v>
      </c>
      <c r="X15" s="3212">
        <f t="shared" si="9"/>
        <v>0</v>
      </c>
      <c r="AF15" s="72">
        <f t="shared" si="10"/>
        <v>0</v>
      </c>
      <c r="AG15" s="72">
        <f t="shared" si="0"/>
        <v>0</v>
      </c>
      <c r="AH15" s="72">
        <f t="shared" si="0"/>
        <v>0</v>
      </c>
      <c r="AI15" s="2952">
        <f t="shared" si="11"/>
        <v>0</v>
      </c>
      <c r="AJ15" s="100">
        <f t="shared" si="12"/>
        <v>0</v>
      </c>
      <c r="AK15" s="100">
        <f t="shared" si="13"/>
        <v>0</v>
      </c>
      <c r="AL15" s="100">
        <f t="shared" si="14"/>
        <v>0</v>
      </c>
      <c r="AM15" s="100">
        <f t="shared" si="15"/>
        <v>0</v>
      </c>
      <c r="AO15" s="100">
        <f t="shared" si="16"/>
        <v>0</v>
      </c>
      <c r="AP15" s="100">
        <f t="shared" si="17"/>
        <v>0</v>
      </c>
      <c r="AQ15" s="100">
        <f t="shared" si="1"/>
        <v>0</v>
      </c>
      <c r="AR15" s="100">
        <f t="shared" si="2"/>
        <v>0</v>
      </c>
    </row>
    <row r="16" spans="1:44" ht="15.75" x14ac:dyDescent="0.25">
      <c r="A16" s="3235">
        <f>'CAMMESA-SECCION I'!$C$7</f>
        <v>0</v>
      </c>
      <c r="B16" s="3224"/>
      <c r="C16" s="3042"/>
      <c r="D16" s="3042"/>
      <c r="E16" s="3042"/>
      <c r="F16" s="3042"/>
      <c r="G16" s="3042"/>
      <c r="H16" s="3225"/>
      <c r="I16" s="3230"/>
      <c r="J16" s="3216"/>
      <c r="K16" s="3"/>
      <c r="L16" s="3"/>
      <c r="M16" s="3"/>
      <c r="N16" s="2742">
        <f t="shared" si="3"/>
        <v>0</v>
      </c>
      <c r="O16" s="3212">
        <f t="shared" si="4"/>
        <v>0</v>
      </c>
      <c r="P16" s="3216"/>
      <c r="Q16" s="3"/>
      <c r="R16" s="3"/>
      <c r="S16" s="3217">
        <f t="shared" si="5"/>
        <v>0</v>
      </c>
      <c r="T16" s="3211">
        <f>+IF(I16="MT",'Compra -HOJA1'!M$18,IF(I16="BT",'Compra -HOJA1'!M$19,0))</f>
        <v>0</v>
      </c>
      <c r="U16" s="248">
        <f t="shared" si="6"/>
        <v>0</v>
      </c>
      <c r="V16" s="248">
        <f t="shared" si="7"/>
        <v>0</v>
      </c>
      <c r="W16" s="248">
        <f t="shared" si="8"/>
        <v>0</v>
      </c>
      <c r="X16" s="3212">
        <f t="shared" si="9"/>
        <v>0</v>
      </c>
      <c r="AF16" s="72">
        <f t="shared" si="10"/>
        <v>0</v>
      </c>
      <c r="AG16" s="72">
        <f t="shared" si="0"/>
        <v>0</v>
      </c>
      <c r="AH16" s="72">
        <f t="shared" si="0"/>
        <v>0</v>
      </c>
      <c r="AI16" s="2952">
        <f t="shared" si="11"/>
        <v>0</v>
      </c>
      <c r="AJ16" s="100">
        <f t="shared" si="12"/>
        <v>0</v>
      </c>
      <c r="AK16" s="100">
        <f t="shared" si="13"/>
        <v>0</v>
      </c>
      <c r="AL16" s="100">
        <f t="shared" si="14"/>
        <v>0</v>
      </c>
      <c r="AM16" s="100">
        <f t="shared" si="15"/>
        <v>0</v>
      </c>
      <c r="AO16" s="100">
        <f t="shared" si="16"/>
        <v>0</v>
      </c>
      <c r="AP16" s="100">
        <f t="shared" si="17"/>
        <v>0</v>
      </c>
      <c r="AQ16" s="100">
        <f t="shared" si="1"/>
        <v>0</v>
      </c>
      <c r="AR16" s="100">
        <f t="shared" si="2"/>
        <v>0</v>
      </c>
    </row>
    <row r="17" spans="1:44" ht="15.75" x14ac:dyDescent="0.25">
      <c r="A17" s="3235">
        <f>'CAMMESA-SECCION I'!$C$7</f>
        <v>0</v>
      </c>
      <c r="B17" s="3224"/>
      <c r="C17" s="3042"/>
      <c r="D17" s="3042"/>
      <c r="E17" s="3042"/>
      <c r="F17" s="3042"/>
      <c r="G17" s="3042"/>
      <c r="H17" s="3225"/>
      <c r="I17" s="3230"/>
      <c r="J17" s="3216"/>
      <c r="K17" s="3"/>
      <c r="L17" s="3"/>
      <c r="M17" s="3"/>
      <c r="N17" s="2742">
        <f t="shared" si="3"/>
        <v>0</v>
      </c>
      <c r="O17" s="3212">
        <f t="shared" si="4"/>
        <v>0</v>
      </c>
      <c r="P17" s="3216"/>
      <c r="Q17" s="3"/>
      <c r="R17" s="3"/>
      <c r="S17" s="3217">
        <f t="shared" si="5"/>
        <v>0</v>
      </c>
      <c r="T17" s="3211">
        <f>+IF(I17="MT",'Compra -HOJA1'!M$18,IF(I17="BT",'Compra -HOJA1'!M$19,0))</f>
        <v>0</v>
      </c>
      <c r="U17" s="248">
        <f t="shared" si="6"/>
        <v>0</v>
      </c>
      <c r="V17" s="248">
        <f t="shared" si="7"/>
        <v>0</v>
      </c>
      <c r="W17" s="248">
        <f t="shared" si="8"/>
        <v>0</v>
      </c>
      <c r="X17" s="3212">
        <f t="shared" si="9"/>
        <v>0</v>
      </c>
      <c r="AF17" s="72">
        <f t="shared" si="10"/>
        <v>0</v>
      </c>
      <c r="AG17" s="72">
        <f t="shared" si="0"/>
        <v>0</v>
      </c>
      <c r="AH17" s="72">
        <f t="shared" si="0"/>
        <v>0</v>
      </c>
      <c r="AI17" s="2952">
        <f t="shared" si="11"/>
        <v>0</v>
      </c>
      <c r="AJ17" s="100">
        <f t="shared" si="12"/>
        <v>0</v>
      </c>
      <c r="AK17" s="100">
        <f t="shared" si="13"/>
        <v>0</v>
      </c>
      <c r="AL17" s="100">
        <f t="shared" si="14"/>
        <v>0</v>
      </c>
      <c r="AM17" s="100">
        <f t="shared" si="15"/>
        <v>0</v>
      </c>
      <c r="AO17" s="100">
        <f t="shared" si="16"/>
        <v>0</v>
      </c>
      <c r="AP17" s="100">
        <f t="shared" si="17"/>
        <v>0</v>
      </c>
      <c r="AQ17" s="100">
        <f t="shared" si="1"/>
        <v>0</v>
      </c>
      <c r="AR17" s="100">
        <f t="shared" si="2"/>
        <v>0</v>
      </c>
    </row>
    <row r="18" spans="1:44" ht="16.5" thickBot="1" x14ac:dyDescent="0.3">
      <c r="A18" s="3236">
        <f>'CAMMESA-SECCION I'!$C$7</f>
        <v>0</v>
      </c>
      <c r="B18" s="3226"/>
      <c r="C18" s="3227"/>
      <c r="D18" s="3227"/>
      <c r="E18" s="3227"/>
      <c r="F18" s="3227"/>
      <c r="G18" s="3227"/>
      <c r="H18" s="3228"/>
      <c r="I18" s="3237"/>
      <c r="J18" s="3218"/>
      <c r="K18" s="3219"/>
      <c r="L18" s="3219"/>
      <c r="M18" s="3219"/>
      <c r="N18" s="3223">
        <f t="shared" si="3"/>
        <v>0</v>
      </c>
      <c r="O18" s="3215">
        <f t="shared" si="4"/>
        <v>0</v>
      </c>
      <c r="P18" s="3218"/>
      <c r="Q18" s="3219"/>
      <c r="R18" s="3219"/>
      <c r="S18" s="3220">
        <f t="shared" si="5"/>
        <v>0</v>
      </c>
      <c r="T18" s="3213">
        <f>+IF(I18="MT",'Compra -HOJA1'!M$18,IF(I18="BT",'Compra -HOJA1'!M$19,0))</f>
        <v>0</v>
      </c>
      <c r="U18" s="3214">
        <f t="shared" si="6"/>
        <v>0</v>
      </c>
      <c r="V18" s="3214">
        <f t="shared" si="7"/>
        <v>0</v>
      </c>
      <c r="W18" s="3214">
        <f t="shared" si="8"/>
        <v>0</v>
      </c>
      <c r="X18" s="3215">
        <f t="shared" si="9"/>
        <v>0</v>
      </c>
      <c r="AF18" s="72">
        <f t="shared" si="10"/>
        <v>0</v>
      </c>
      <c r="AG18" s="72">
        <f t="shared" si="0"/>
        <v>0</v>
      </c>
      <c r="AH18" s="72">
        <f t="shared" si="0"/>
        <v>0</v>
      </c>
      <c r="AI18" s="2952">
        <f t="shared" si="11"/>
        <v>0</v>
      </c>
      <c r="AJ18" s="100">
        <f t="shared" si="12"/>
        <v>0</v>
      </c>
      <c r="AK18" s="100">
        <f t="shared" si="13"/>
        <v>0</v>
      </c>
      <c r="AL18" s="100">
        <f t="shared" si="14"/>
        <v>0</v>
      </c>
      <c r="AM18" s="100">
        <f t="shared" si="15"/>
        <v>0</v>
      </c>
      <c r="AO18" s="100">
        <f t="shared" si="16"/>
        <v>0</v>
      </c>
      <c r="AP18" s="100">
        <f t="shared" si="17"/>
        <v>0</v>
      </c>
      <c r="AQ18" s="100">
        <f t="shared" si="1"/>
        <v>0</v>
      </c>
      <c r="AR18" s="100">
        <f t="shared" si="2"/>
        <v>0</v>
      </c>
    </row>
  </sheetData>
  <sheetProtection algorithmName="SHA-512" hashValue="Hjhg4vvzQI2VNdf+HaeS1RFFqOnMqLDR2kuHuT97ui1zwbwEgVW/WVqymM1UikLXgEGJTbgVjZMoEzEqML9Jwg==" saltValue="+eNO61B4vfb02mU4EQFT8w==" spinCount="100000" sheet="1" objects="1" scenarios="1"/>
  <mergeCells count="17">
    <mergeCell ref="A1:U1"/>
    <mergeCell ref="AJ7:AM7"/>
    <mergeCell ref="F7:F8"/>
    <mergeCell ref="E7:E8"/>
    <mergeCell ref="D7:D8"/>
    <mergeCell ref="C7:C8"/>
    <mergeCell ref="A7:A8"/>
    <mergeCell ref="AF7:AI7"/>
    <mergeCell ref="B7:B8"/>
    <mergeCell ref="B4:X4"/>
    <mergeCell ref="T7:X7"/>
    <mergeCell ref="AO7:AR7"/>
    <mergeCell ref="J7:O7"/>
    <mergeCell ref="I7:I8"/>
    <mergeCell ref="H7:H8"/>
    <mergeCell ref="G7:G8"/>
    <mergeCell ref="P7:S7"/>
  </mergeCells>
  <phoneticPr fontId="7" type="noConversion"/>
  <dataValidations count="1">
    <dataValidation type="list" allowBlank="1" showInputMessage="1" showErrorMessage="1" sqref="I9:I18" xr:uid="{00000000-0002-0000-0300-000000000000}">
      <formula1>$I$2:$I$3</formula1>
    </dataValidation>
  </dataValidations>
  <pageMargins left="0.75" right="0.75" top="1" bottom="1" header="0" footer="0"/>
  <pageSetup paperSize="9" scale="40" orientation="landscape" horizontalDpi="300" verticalDpi="300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0.79998168889431442"/>
  </sheetPr>
  <dimension ref="A1:AL198"/>
  <sheetViews>
    <sheetView showGridLines="0" topLeftCell="D5" workbookViewId="0">
      <selection activeCell="G23" sqref="G23"/>
    </sheetView>
  </sheetViews>
  <sheetFormatPr baseColWidth="10" defaultColWidth="11.42578125" defaultRowHeight="15" x14ac:dyDescent="0.25"/>
  <cols>
    <col min="1" max="1" width="16.5703125" customWidth="1"/>
    <col min="2" max="2" width="13.5703125" customWidth="1"/>
    <col min="3" max="3" width="46.140625" bestFit="1" customWidth="1"/>
    <col min="4" max="4" width="29.85546875" customWidth="1"/>
    <col min="5" max="5" width="16.85546875" customWidth="1"/>
    <col min="6" max="6" width="21.85546875" customWidth="1"/>
    <col min="7" max="7" width="57.5703125" style="2718" customWidth="1"/>
    <col min="8" max="8" width="22.5703125" style="2718" customWidth="1"/>
    <col min="9" max="9" width="19.85546875" style="2718" customWidth="1"/>
    <col min="11" max="12" width="15" customWidth="1"/>
    <col min="13" max="13" width="11.85546875" hidden="1" customWidth="1"/>
    <col min="14" max="14" width="12.28515625" hidden="1" customWidth="1"/>
    <col min="15" max="15" width="11.85546875" hidden="1" customWidth="1"/>
    <col min="16" max="16" width="20.7109375" hidden="1" customWidth="1"/>
    <col min="17" max="22" width="10.85546875" hidden="1" customWidth="1"/>
    <col min="23" max="25" width="18.7109375" hidden="1" customWidth="1"/>
    <col min="26" max="38" width="10.85546875" hidden="1" customWidth="1"/>
    <col min="39" max="58" width="10.85546875" customWidth="1"/>
  </cols>
  <sheetData>
    <row r="1" spans="2:36" ht="27.75" customHeight="1" x14ac:dyDescent="0.5">
      <c r="B1" s="4171" t="s">
        <v>292</v>
      </c>
      <c r="C1" s="4172"/>
      <c r="D1" s="4172"/>
      <c r="E1" s="4172"/>
      <c r="F1" s="4172"/>
      <c r="G1" s="4172"/>
      <c r="H1" s="4172"/>
      <c r="I1" s="4172"/>
      <c r="J1" s="4172"/>
      <c r="K1" s="4173"/>
      <c r="L1" s="3138"/>
      <c r="AF1">
        <v>6000</v>
      </c>
      <c r="AG1" s="2719" t="s">
        <v>293</v>
      </c>
      <c r="AH1" t="s">
        <v>227</v>
      </c>
      <c r="AI1" t="str">
        <f>+CONCATENATE(AG1,"-",AH1)</f>
        <v>Electrodependientes-Residencial</v>
      </c>
      <c r="AJ1" s="2719" t="str">
        <f t="shared" ref="AJ1:AJ8" si="0">IF(ISNUMBER(SEARCH("No Residencial", AI1)), "No Residencial", IF(ISNUMBER(SEARCH("Residencial", AI1)), "Residencial", ""))</f>
        <v>Residencial</v>
      </c>
    </row>
    <row r="2" spans="2:36" x14ac:dyDescent="0.25">
      <c r="B2" s="210"/>
      <c r="G2"/>
      <c r="H2"/>
      <c r="I2"/>
      <c r="K2" s="211"/>
      <c r="AF2">
        <v>6000</v>
      </c>
      <c r="AG2" t="s">
        <v>294</v>
      </c>
      <c r="AH2" t="s">
        <v>227</v>
      </c>
      <c r="AI2" t="str">
        <f t="shared" ref="AI2:AI8" si="1">+CONCATENATE(AG2,"-",AH2)</f>
        <v>Bomberos Voluntarios-Residencial</v>
      </c>
      <c r="AJ2" s="2719" t="str">
        <f t="shared" si="0"/>
        <v>Residencial</v>
      </c>
    </row>
    <row r="3" spans="2:36" x14ac:dyDescent="0.25">
      <c r="B3" s="210"/>
      <c r="G3"/>
      <c r="H3"/>
      <c r="I3"/>
      <c r="K3" s="211"/>
      <c r="AF3">
        <v>6500</v>
      </c>
      <c r="AG3" t="s">
        <v>295</v>
      </c>
      <c r="AH3" t="s">
        <v>227</v>
      </c>
      <c r="AI3" t="str">
        <f t="shared" si="1"/>
        <v>Clubes de Barrio y Pueblo-Residencial</v>
      </c>
      <c r="AJ3" s="2719" t="str">
        <f t="shared" si="0"/>
        <v>Residencial</v>
      </c>
    </row>
    <row r="4" spans="2:36" x14ac:dyDescent="0.25">
      <c r="B4" s="210"/>
      <c r="G4"/>
      <c r="H4"/>
      <c r="I4"/>
      <c r="K4" s="211"/>
      <c r="AF4">
        <v>6500</v>
      </c>
      <c r="AG4" t="s">
        <v>295</v>
      </c>
      <c r="AH4" t="s">
        <v>233</v>
      </c>
      <c r="AI4" t="str">
        <f t="shared" si="1"/>
        <v>Clubes de Barrio y Pueblo-No Residencial</v>
      </c>
      <c r="AJ4" s="2719" t="str">
        <f t="shared" si="0"/>
        <v>No Residencial</v>
      </c>
    </row>
    <row r="5" spans="2:36" x14ac:dyDescent="0.25">
      <c r="B5" s="210"/>
      <c r="G5"/>
      <c r="H5"/>
      <c r="I5"/>
      <c r="K5" s="211"/>
      <c r="AF5">
        <v>6500</v>
      </c>
      <c r="AG5" t="s">
        <v>296</v>
      </c>
      <c r="AH5" t="s">
        <v>227</v>
      </c>
      <c r="AI5" t="str">
        <f t="shared" si="1"/>
        <v>Entidades de Bien Público-Residencial</v>
      </c>
      <c r="AJ5" s="2719" t="str">
        <f t="shared" si="0"/>
        <v>Residencial</v>
      </c>
    </row>
    <row r="6" spans="2:36" x14ac:dyDescent="0.25">
      <c r="B6" s="210"/>
      <c r="G6"/>
      <c r="H6"/>
      <c r="I6"/>
      <c r="K6" s="211"/>
      <c r="AF6">
        <v>6500</v>
      </c>
      <c r="AG6" t="s">
        <v>296</v>
      </c>
      <c r="AH6" t="s">
        <v>233</v>
      </c>
      <c r="AI6" t="str">
        <f t="shared" si="1"/>
        <v>Entidades de Bien Público-No Residencial</v>
      </c>
      <c r="AJ6" s="2719" t="str">
        <f t="shared" si="0"/>
        <v>No Residencial</v>
      </c>
    </row>
    <row r="7" spans="2:36" x14ac:dyDescent="0.25">
      <c r="B7" s="210"/>
      <c r="G7"/>
      <c r="H7"/>
      <c r="I7"/>
      <c r="K7" s="211"/>
      <c r="AF7" t="s">
        <v>297</v>
      </c>
      <c r="AG7" t="s">
        <v>298</v>
      </c>
      <c r="AH7" t="s">
        <v>227</v>
      </c>
      <c r="AI7" t="str">
        <f t="shared" si="1"/>
        <v>Medidores comunitarios de complejos habitacionales-Residencial</v>
      </c>
      <c r="AJ7" s="2719" t="str">
        <f t="shared" si="0"/>
        <v>Residencial</v>
      </c>
    </row>
    <row r="8" spans="2:36" ht="15.75" thickBot="1" x14ac:dyDescent="0.3">
      <c r="B8" s="1465"/>
      <c r="C8" s="2728"/>
      <c r="D8" s="2728"/>
      <c r="E8" s="2728"/>
      <c r="F8" s="2728"/>
      <c r="G8" s="2728"/>
      <c r="H8" s="2728"/>
      <c r="I8" s="2728"/>
      <c r="J8" s="2728"/>
      <c r="K8" s="1466"/>
      <c r="AF8" t="s">
        <v>297</v>
      </c>
      <c r="AG8" t="s">
        <v>299</v>
      </c>
      <c r="AH8" t="s">
        <v>227</v>
      </c>
      <c r="AI8" t="str">
        <f t="shared" si="1"/>
        <v>Asentamientos residenciales-Residencial</v>
      </c>
      <c r="AJ8" s="2719" t="str">
        <f t="shared" si="0"/>
        <v>Residencial</v>
      </c>
    </row>
    <row r="9" spans="2:36" x14ac:dyDescent="0.25">
      <c r="G9"/>
      <c r="H9"/>
      <c r="I9"/>
      <c r="AC9" s="2719"/>
    </row>
    <row r="10" spans="2:36" ht="23.1" customHeight="1" x14ac:dyDescent="0.4">
      <c r="B10" s="2730" t="s">
        <v>300</v>
      </c>
      <c r="AC10" s="2719"/>
    </row>
    <row r="11" spans="2:36" ht="20.25" x14ac:dyDescent="0.3">
      <c r="B11" s="3060" t="s">
        <v>301</v>
      </c>
      <c r="AC11" s="2719"/>
    </row>
    <row r="12" spans="2:36" ht="20.25" x14ac:dyDescent="0.3">
      <c r="B12" s="3060"/>
      <c r="AC12" s="2719"/>
    </row>
    <row r="13" spans="2:36" ht="14.85" customHeight="1" x14ac:dyDescent="0.3">
      <c r="B13" s="3060"/>
      <c r="G13" s="3192" t="s">
        <v>302</v>
      </c>
      <c r="H13" s="3192" t="s">
        <v>303</v>
      </c>
      <c r="AC13" s="2719"/>
    </row>
    <row r="14" spans="2:36" ht="14.85" customHeight="1" x14ac:dyDescent="0.3">
      <c r="B14" s="3060"/>
      <c r="G14" s="3193" t="s">
        <v>293</v>
      </c>
      <c r="H14" s="3193">
        <v>6000</v>
      </c>
      <c r="AC14" s="2719"/>
    </row>
    <row r="15" spans="2:36" ht="14.85" customHeight="1" x14ac:dyDescent="0.3">
      <c r="B15" s="3060"/>
      <c r="G15" s="3193" t="s">
        <v>294</v>
      </c>
      <c r="H15" s="3193">
        <v>6000</v>
      </c>
      <c r="AC15" s="2719"/>
    </row>
    <row r="16" spans="2:36" ht="14.85" customHeight="1" x14ac:dyDescent="0.3">
      <c r="B16" s="3060"/>
      <c r="G16" s="3193" t="s">
        <v>295</v>
      </c>
      <c r="H16" s="3193">
        <v>6500</v>
      </c>
      <c r="AC16" s="2719"/>
    </row>
    <row r="17" spans="1:32" ht="14.85" customHeight="1" x14ac:dyDescent="0.3">
      <c r="B17" s="3060"/>
      <c r="G17" s="3193" t="s">
        <v>296</v>
      </c>
      <c r="H17" s="3193">
        <v>6500</v>
      </c>
      <c r="AC17" s="2719"/>
    </row>
    <row r="18" spans="1:32" ht="14.85" customHeight="1" x14ac:dyDescent="0.3">
      <c r="B18" s="3060"/>
      <c r="G18" s="3193" t="s">
        <v>298</v>
      </c>
      <c r="H18" s="3193" t="s">
        <v>297</v>
      </c>
      <c r="AC18" s="2719"/>
    </row>
    <row r="19" spans="1:32" ht="14.85" customHeight="1" x14ac:dyDescent="0.3">
      <c r="B19" s="3060"/>
      <c r="G19" s="3193" t="s">
        <v>299</v>
      </c>
      <c r="H19" s="3193" t="s">
        <v>297</v>
      </c>
      <c r="AC19" s="2719"/>
    </row>
    <row r="20" spans="1:32" x14ac:dyDescent="0.25">
      <c r="AC20" s="2719"/>
    </row>
    <row r="21" spans="1:32" x14ac:dyDescent="0.25">
      <c r="M21" s="2720">
        <f ca="1">+COEF!J27</f>
        <v>0</v>
      </c>
      <c r="N21" s="2720">
        <f ca="1">+COEF!L27</f>
        <v>0</v>
      </c>
      <c r="O21">
        <f ca="1">+COEF!K27</f>
        <v>0</v>
      </c>
      <c r="Q21" s="2721">
        <f ca="1">+'Compra -HOJA1'!I395</f>
        <v>0</v>
      </c>
      <c r="R21" s="2721">
        <f ca="1">+'Compra -HOJA1'!K395</f>
        <v>0</v>
      </c>
      <c r="S21" s="2721">
        <f ca="1">+'Compra -HOJA1'!J395</f>
        <v>0</v>
      </c>
      <c r="Z21" s="4170" t="s">
        <v>304</v>
      </c>
      <c r="AA21" s="3612"/>
      <c r="AB21" s="3612"/>
      <c r="AC21" s="4170" t="s">
        <v>305</v>
      </c>
      <c r="AD21" s="3612"/>
      <c r="AE21" s="3612"/>
    </row>
    <row r="22" spans="1:32" s="2724" customFormat="1" ht="31.5" x14ac:dyDescent="0.25">
      <c r="A22" s="2722" t="s">
        <v>306</v>
      </c>
      <c r="B22" s="2722" t="s">
        <v>307</v>
      </c>
      <c r="C22" s="2722" t="s">
        <v>308</v>
      </c>
      <c r="D22" s="2722" t="s">
        <v>309</v>
      </c>
      <c r="E22" s="2722" t="s">
        <v>310</v>
      </c>
      <c r="F22" s="2722" t="s">
        <v>311</v>
      </c>
      <c r="G22" s="2722" t="s">
        <v>312</v>
      </c>
      <c r="H22" s="2722" t="s">
        <v>313</v>
      </c>
      <c r="I22" s="2722" t="s">
        <v>314</v>
      </c>
      <c r="J22" s="2722" t="s">
        <v>25</v>
      </c>
      <c r="K22" s="2722" t="s">
        <v>315</v>
      </c>
      <c r="L22" s="3124" t="s">
        <v>316</v>
      </c>
      <c r="M22" s="3137" t="s">
        <v>5</v>
      </c>
      <c r="N22" s="2723" t="s">
        <v>7</v>
      </c>
      <c r="O22" s="2723" t="s">
        <v>6</v>
      </c>
      <c r="P22" s="2723" t="s">
        <v>4</v>
      </c>
      <c r="Q22" s="2723" t="s">
        <v>5</v>
      </c>
      <c r="R22" s="2723" t="s">
        <v>7</v>
      </c>
      <c r="S22" s="2723" t="s">
        <v>6</v>
      </c>
      <c r="T22" s="2723" t="s">
        <v>4</v>
      </c>
      <c r="W22" s="2724" t="s">
        <v>313</v>
      </c>
      <c r="X22" s="2724" t="s">
        <v>317</v>
      </c>
      <c r="Z22" s="2772" t="s">
        <v>287</v>
      </c>
      <c r="AA22" s="2772" t="s">
        <v>289</v>
      </c>
      <c r="AB22" s="2772" t="s">
        <v>288</v>
      </c>
      <c r="AC22" s="2772" t="s">
        <v>287</v>
      </c>
      <c r="AD22" s="2772" t="s">
        <v>289</v>
      </c>
      <c r="AE22" s="2772" t="s">
        <v>288</v>
      </c>
      <c r="AF22" s="2724" t="s">
        <v>154</v>
      </c>
    </row>
    <row r="23" spans="1:32" x14ac:dyDescent="0.25">
      <c r="A23" s="3363"/>
      <c r="B23" s="3233"/>
      <c r="C23" s="3234"/>
      <c r="D23" s="3233"/>
      <c r="E23" s="3234"/>
      <c r="F23" s="3233"/>
      <c r="G23" s="3232"/>
      <c r="H23" s="3231" t="str">
        <f>IF(ISNUMBER(SEARCH("Electrodependientes-Residencial", G23)), "6000", IF(ISNUMBER(SEARCH("Bomberos Voluntarios-Residencial", G23)), "6000", IF(ISNUMBER(SEARCH("Clubes de Barrio y Pueblo-Residencial", G23)), "6500", IF(ISNUMBER(SEARCH("Clubes de Barrio y Pueblo-No Residencial", G23)), "6500", IF(ISNUMBER(SEARCH("Entidades de Bien Público-Residencial", G23)), "6500", IF(ISNUMBER(SEARCH("Entidades de Bien Público-No Residencial", G23)), "6500", IF(ISNUMBER(SEARCH("Medidores comunitarios de complejos habitacionales-Residencial", G23)), "N2", IF(ISNUMBER(SEARCH("Asentamientos residenciales-Residencial", G23)), "N2", ""))))))))</f>
        <v/>
      </c>
      <c r="I23" s="3231" t="str">
        <f>IF(ISNUMBER(SEARCH("No Residencial", G23)), "No Residencial", IF(ISNUMBER(SEARCH("Residencial", G23)), "Residencial", ""))</f>
        <v/>
      </c>
      <c r="J23" s="3232"/>
      <c r="K23" s="3231" t="str">
        <f>IF(I23="Residencial", IF(J23&lt;=150, "UR1", IF(AND(J23&gt;150, J23&lt;=500), "UR2", IF(AND(J23&gt;500, J23&lt;=700), "UR3", IF(AND(J23&gt;700, J23&lt;=1400), "UR4", IF(J23&gt;1400, "UR5", ""))))), IF(I23="No Residencial", IF(J23&lt;2000, "NR1", IF(AND(J23&gt;1999, J23&lt;3000), "NR2", IF(AND(J23&gt;=3000, J23&lt;=8999), "U30", IF(J23&gt;8999, "Gud", "")))), ""))</f>
        <v/>
      </c>
      <c r="L23" s="3231" t="str">
        <f>+CONCATENATE(H23,"-",K23)</f>
        <v>-</v>
      </c>
      <c r="M23" s="2727">
        <f ca="1">+ROUND($J23*M$21,0)</f>
        <v>0</v>
      </c>
      <c r="N23" s="2727">
        <f ca="1">+ROUND($J23*N$21,0)</f>
        <v>0</v>
      </c>
      <c r="O23" s="2727">
        <f ca="1">+J23-M23-N23</f>
        <v>0</v>
      </c>
      <c r="P23" s="72">
        <f ca="1">SUM(M23:O23)</f>
        <v>0</v>
      </c>
      <c r="Q23">
        <f ca="1">+ROUND(M23*Q$21,0)</f>
        <v>0</v>
      </c>
      <c r="R23">
        <f ca="1">+ROUND(N23*R$21,0)</f>
        <v>0</v>
      </c>
      <c r="S23">
        <f ca="1">+T23-Q23-R23</f>
        <v>0</v>
      </c>
      <c r="T23">
        <f ca="1">+ROUND(P23*Q$21,0)</f>
        <v>0</v>
      </c>
      <c r="U23">
        <f ca="1">SUM(Q23:S23)</f>
        <v>0</v>
      </c>
      <c r="W23" s="487" t="str">
        <f>+L23</f>
        <v>-</v>
      </c>
      <c r="X23" s="2719" t="str">
        <f t="shared" ref="X23:X34" si="2">+K23</f>
        <v/>
      </c>
      <c r="Y23" s="2719"/>
      <c r="Z23" s="72">
        <f ca="1">+ROUND(M23,0)</f>
        <v>0</v>
      </c>
      <c r="AA23" s="72">
        <f ca="1">+ROUND(N23,0)</f>
        <v>0</v>
      </c>
      <c r="AB23" s="72">
        <f ca="1">+AF23-Z23-AA23</f>
        <v>0</v>
      </c>
      <c r="AC23" s="72">
        <f ca="1">+ROUND(Q23,0)</f>
        <v>0</v>
      </c>
      <c r="AD23" s="72">
        <f ca="1">+ROUND(R23,0)</f>
        <v>0</v>
      </c>
      <c r="AE23" s="72">
        <f ca="1">+ROUND(S23,0)</f>
        <v>0</v>
      </c>
      <c r="AF23">
        <f>+ROUND(J23,0)</f>
        <v>0</v>
      </c>
    </row>
    <row r="24" spans="1:32" x14ac:dyDescent="0.25">
      <c r="A24" s="3363"/>
      <c r="B24" s="3233"/>
      <c r="C24" s="3234"/>
      <c r="D24" s="3233"/>
      <c r="E24" s="3234"/>
      <c r="F24" s="3233"/>
      <c r="G24" s="3232"/>
      <c r="H24" s="3231" t="str">
        <f t="shared" ref="H24:H87" si="3">IF(ISNUMBER(SEARCH("Electrodependientes-Residencial", G24)), "6000", IF(ISNUMBER(SEARCH("Bomberos Voluntarios-Residencial", G24)), "6000", IF(ISNUMBER(SEARCH("Clubes de Barrio y Pueblo-Residencial", G24)), "6500", IF(ISNUMBER(SEARCH("Clubes de Barrio y Pueblo-No Residencial", G24)), "6500", IF(ISNUMBER(SEARCH("Entidades de Bien Público-Residencial", G24)), "6500", IF(ISNUMBER(SEARCH("Entidades de Bien Público-No Residencial", G24)), "6500", IF(ISNUMBER(SEARCH("Medidores comunitarios de complejos habitacionales-Residencial", G24)), "N2", IF(ISNUMBER(SEARCH("Asentamientos residenciales-Residencial", G24)), "N2", ""))))))))</f>
        <v/>
      </c>
      <c r="I24" s="3231" t="str">
        <f t="shared" ref="I24:I87" si="4">IF(ISNUMBER(SEARCH("No Residencial", G24)), "No Residencial", IF(ISNUMBER(SEARCH("Residencial", G24)), "Residencial", ""))</f>
        <v/>
      </c>
      <c r="J24" s="3232"/>
      <c r="K24" s="3231" t="str">
        <f t="shared" ref="K24:K87" si="5">IF(I24="Residencial", IF(J24&lt;=150, "UR1", IF(AND(J24&gt;150, J24&lt;=500), "UR2", IF(AND(J24&gt;500, J24&lt;=700), "UR3", IF(AND(J24&gt;700, J24&lt;=1400), "UR4", IF(J24&gt;1400, "UR5", ""))))), IF(I24="No Residencial", IF(J24&lt;2000, "NR1", IF(AND(J24&gt;1999, J24&lt;3000), "NR2", IF(AND(J24&gt;=3000, J24&lt;=8999), "U30", IF(J24&gt;8999, "Gud", "")))), ""))</f>
        <v/>
      </c>
      <c r="L24" s="3231" t="str">
        <f t="shared" ref="L24:L34" si="6">+CONCATENATE(H24,"-",K24)</f>
        <v>-</v>
      </c>
      <c r="M24" s="2727">
        <f t="shared" ref="M24:N39" ca="1" si="7">+ROUND($J24*M$21,0)</f>
        <v>0</v>
      </c>
      <c r="N24" s="2727">
        <f t="shared" ca="1" si="7"/>
        <v>0</v>
      </c>
      <c r="O24" s="2727">
        <f t="shared" ref="O24:O34" ca="1" si="8">+J24-M24-N24</f>
        <v>0</v>
      </c>
      <c r="P24" s="72">
        <f t="shared" ref="P24:P34" ca="1" si="9">SUM(M24:O24)</f>
        <v>0</v>
      </c>
      <c r="Q24">
        <f t="shared" ref="Q24:Q34" ca="1" si="10">+ROUND(M24*Q$21,0)</f>
        <v>0</v>
      </c>
      <c r="R24">
        <f t="shared" ref="R24:R34" ca="1" si="11">+ROUND(N24*R$21,0)</f>
        <v>0</v>
      </c>
      <c r="S24">
        <f t="shared" ref="S24:S34" ca="1" si="12">+T24-Q24-R24</f>
        <v>0</v>
      </c>
      <c r="T24">
        <f t="shared" ref="T24:T34" ca="1" si="13">+ROUND(P24*Q$21,0)</f>
        <v>0</v>
      </c>
      <c r="U24">
        <f t="shared" ref="U24:U34" ca="1" si="14">SUM(Q24:S24)</f>
        <v>0</v>
      </c>
      <c r="W24" s="487" t="str">
        <f t="shared" ref="W24:W34" si="15">+L24</f>
        <v>-</v>
      </c>
      <c r="X24" s="2719" t="str">
        <f t="shared" si="2"/>
        <v/>
      </c>
      <c r="Y24" s="2719"/>
      <c r="Z24" s="72">
        <f t="shared" ref="Z24:Z34" ca="1" si="16">+ROUND(M24,0)</f>
        <v>0</v>
      </c>
      <c r="AA24" s="72">
        <f t="shared" ref="AA24:AA34" ca="1" si="17">+ROUND(N24,0)</f>
        <v>0</v>
      </c>
      <c r="AB24" s="72">
        <f t="shared" ref="AB24:AB34" ca="1" si="18">+AF24-Z24-AA24</f>
        <v>0</v>
      </c>
      <c r="AC24" s="72">
        <f t="shared" ref="AC24:AC34" ca="1" si="19">+ROUND(Q24,0)</f>
        <v>0</v>
      </c>
      <c r="AD24" s="72">
        <f t="shared" ref="AD24:AD34" ca="1" si="20">+ROUND(R24,0)</f>
        <v>0</v>
      </c>
      <c r="AE24" s="72">
        <f t="shared" ref="AE24:AE34" ca="1" si="21">+ROUND(S24,0)</f>
        <v>0</v>
      </c>
      <c r="AF24">
        <f t="shared" ref="AF24:AF34" si="22">+ROUND(J24,0)</f>
        <v>0</v>
      </c>
    </row>
    <row r="25" spans="1:32" x14ac:dyDescent="0.25">
      <c r="A25" s="3363"/>
      <c r="B25" s="3233"/>
      <c r="C25" s="3234"/>
      <c r="D25" s="3233"/>
      <c r="E25" s="3234"/>
      <c r="F25" s="3233"/>
      <c r="G25" s="3232"/>
      <c r="H25" s="3231" t="str">
        <f t="shared" si="3"/>
        <v/>
      </c>
      <c r="I25" s="3231" t="str">
        <f t="shared" si="4"/>
        <v/>
      </c>
      <c r="J25" s="3232"/>
      <c r="K25" s="3231" t="str">
        <f t="shared" si="5"/>
        <v/>
      </c>
      <c r="L25" s="3231" t="str">
        <f t="shared" si="6"/>
        <v>-</v>
      </c>
      <c r="M25" s="2727">
        <f t="shared" ca="1" si="7"/>
        <v>0</v>
      </c>
      <c r="N25" s="2727">
        <f t="shared" ca="1" si="7"/>
        <v>0</v>
      </c>
      <c r="O25" s="2727">
        <f t="shared" ca="1" si="8"/>
        <v>0</v>
      </c>
      <c r="P25" s="72">
        <f t="shared" ca="1" si="9"/>
        <v>0</v>
      </c>
      <c r="Q25">
        <f t="shared" ca="1" si="10"/>
        <v>0</v>
      </c>
      <c r="R25">
        <f t="shared" ca="1" si="11"/>
        <v>0</v>
      </c>
      <c r="S25">
        <f t="shared" ca="1" si="12"/>
        <v>0</v>
      </c>
      <c r="T25">
        <f t="shared" ca="1" si="13"/>
        <v>0</v>
      </c>
      <c r="U25">
        <f t="shared" ca="1" si="14"/>
        <v>0</v>
      </c>
      <c r="W25" s="487" t="str">
        <f t="shared" si="15"/>
        <v>-</v>
      </c>
      <c r="X25" s="2719" t="str">
        <f t="shared" si="2"/>
        <v/>
      </c>
      <c r="Y25" s="2719"/>
      <c r="Z25" s="72">
        <f t="shared" ca="1" si="16"/>
        <v>0</v>
      </c>
      <c r="AA25" s="72">
        <f t="shared" ca="1" si="17"/>
        <v>0</v>
      </c>
      <c r="AB25" s="72">
        <f t="shared" ca="1" si="18"/>
        <v>0</v>
      </c>
      <c r="AC25" s="72">
        <f t="shared" ca="1" si="19"/>
        <v>0</v>
      </c>
      <c r="AD25" s="72">
        <f t="shared" ca="1" si="20"/>
        <v>0</v>
      </c>
      <c r="AE25" s="72">
        <f t="shared" ca="1" si="21"/>
        <v>0</v>
      </c>
      <c r="AF25">
        <f t="shared" si="22"/>
        <v>0</v>
      </c>
    </row>
    <row r="26" spans="1:32" x14ac:dyDescent="0.25">
      <c r="A26" s="3363"/>
      <c r="B26" s="3233"/>
      <c r="C26" s="3234"/>
      <c r="D26" s="3233"/>
      <c r="E26" s="3234"/>
      <c r="F26" s="3233"/>
      <c r="G26" s="3232"/>
      <c r="H26" s="3231" t="str">
        <f t="shared" si="3"/>
        <v/>
      </c>
      <c r="I26" s="3231" t="str">
        <f t="shared" si="4"/>
        <v/>
      </c>
      <c r="J26" s="3232"/>
      <c r="K26" s="3231" t="str">
        <f t="shared" si="5"/>
        <v/>
      </c>
      <c r="L26" s="3231" t="str">
        <f t="shared" si="6"/>
        <v>-</v>
      </c>
      <c r="M26" s="2727">
        <f t="shared" ca="1" si="7"/>
        <v>0</v>
      </c>
      <c r="N26" s="2727">
        <f t="shared" ca="1" si="7"/>
        <v>0</v>
      </c>
      <c r="O26" s="2727">
        <f t="shared" ca="1" si="8"/>
        <v>0</v>
      </c>
      <c r="P26" s="72">
        <f t="shared" ca="1" si="9"/>
        <v>0</v>
      </c>
      <c r="Q26">
        <f t="shared" ca="1" si="10"/>
        <v>0</v>
      </c>
      <c r="R26">
        <f t="shared" ca="1" si="11"/>
        <v>0</v>
      </c>
      <c r="S26">
        <f t="shared" ca="1" si="12"/>
        <v>0</v>
      </c>
      <c r="T26">
        <f t="shared" ca="1" si="13"/>
        <v>0</v>
      </c>
      <c r="U26">
        <f t="shared" ca="1" si="14"/>
        <v>0</v>
      </c>
      <c r="W26" s="487" t="str">
        <f t="shared" si="15"/>
        <v>-</v>
      </c>
      <c r="X26" s="2719" t="str">
        <f t="shared" si="2"/>
        <v/>
      </c>
      <c r="Y26" s="2719"/>
      <c r="Z26" s="72">
        <f t="shared" ca="1" si="16"/>
        <v>0</v>
      </c>
      <c r="AA26" s="72">
        <f t="shared" ca="1" si="17"/>
        <v>0</v>
      </c>
      <c r="AB26" s="72">
        <f t="shared" ca="1" si="18"/>
        <v>0</v>
      </c>
      <c r="AC26" s="72">
        <f t="shared" ca="1" si="19"/>
        <v>0</v>
      </c>
      <c r="AD26" s="72">
        <f t="shared" ca="1" si="20"/>
        <v>0</v>
      </c>
      <c r="AE26" s="72">
        <f t="shared" ca="1" si="21"/>
        <v>0</v>
      </c>
      <c r="AF26">
        <f t="shared" si="22"/>
        <v>0</v>
      </c>
    </row>
    <row r="27" spans="1:32" x14ac:dyDescent="0.25">
      <c r="A27" s="3363"/>
      <c r="B27" s="3233"/>
      <c r="C27" s="3234"/>
      <c r="D27" s="3233"/>
      <c r="E27" s="3234"/>
      <c r="F27" s="3233"/>
      <c r="G27" s="3232"/>
      <c r="H27" s="3231" t="str">
        <f t="shared" si="3"/>
        <v/>
      </c>
      <c r="I27" s="3231" t="str">
        <f t="shared" si="4"/>
        <v/>
      </c>
      <c r="J27" s="3232"/>
      <c r="K27" s="3231" t="str">
        <f t="shared" si="5"/>
        <v/>
      </c>
      <c r="L27" s="3231" t="str">
        <f t="shared" si="6"/>
        <v>-</v>
      </c>
      <c r="M27" s="2727">
        <f t="shared" ca="1" si="7"/>
        <v>0</v>
      </c>
      <c r="N27" s="2727">
        <f t="shared" ca="1" si="7"/>
        <v>0</v>
      </c>
      <c r="O27" s="2727">
        <f t="shared" ca="1" si="8"/>
        <v>0</v>
      </c>
      <c r="P27" s="72">
        <f t="shared" ca="1" si="9"/>
        <v>0</v>
      </c>
      <c r="Q27">
        <f t="shared" ca="1" si="10"/>
        <v>0</v>
      </c>
      <c r="R27">
        <f t="shared" ca="1" si="11"/>
        <v>0</v>
      </c>
      <c r="S27">
        <f t="shared" ca="1" si="12"/>
        <v>0</v>
      </c>
      <c r="T27">
        <f t="shared" ca="1" si="13"/>
        <v>0</v>
      </c>
      <c r="U27">
        <f t="shared" ca="1" si="14"/>
        <v>0</v>
      </c>
      <c r="W27" s="487" t="str">
        <f t="shared" si="15"/>
        <v>-</v>
      </c>
      <c r="X27" s="2719" t="str">
        <f t="shared" si="2"/>
        <v/>
      </c>
      <c r="Y27" s="2719"/>
      <c r="Z27" s="72">
        <f t="shared" ca="1" si="16"/>
        <v>0</v>
      </c>
      <c r="AA27" s="72">
        <f t="shared" ca="1" si="17"/>
        <v>0</v>
      </c>
      <c r="AB27" s="72">
        <f t="shared" ca="1" si="18"/>
        <v>0</v>
      </c>
      <c r="AC27" s="72">
        <f t="shared" ca="1" si="19"/>
        <v>0</v>
      </c>
      <c r="AD27" s="72">
        <f t="shared" ca="1" si="20"/>
        <v>0</v>
      </c>
      <c r="AE27" s="72">
        <f t="shared" ca="1" si="21"/>
        <v>0</v>
      </c>
      <c r="AF27">
        <f t="shared" si="22"/>
        <v>0</v>
      </c>
    </row>
    <row r="28" spans="1:32" x14ac:dyDescent="0.25">
      <c r="A28" s="3363"/>
      <c r="B28" s="3233"/>
      <c r="C28" s="3234"/>
      <c r="D28" s="3233"/>
      <c r="E28" s="3234"/>
      <c r="F28" s="3233"/>
      <c r="G28" s="3232"/>
      <c r="H28" s="3231" t="str">
        <f t="shared" si="3"/>
        <v/>
      </c>
      <c r="I28" s="3231" t="str">
        <f t="shared" si="4"/>
        <v/>
      </c>
      <c r="J28" s="3232"/>
      <c r="K28" s="3231" t="str">
        <f t="shared" si="5"/>
        <v/>
      </c>
      <c r="L28" s="3231" t="str">
        <f t="shared" si="6"/>
        <v>-</v>
      </c>
      <c r="M28" s="2727">
        <f t="shared" ca="1" si="7"/>
        <v>0</v>
      </c>
      <c r="N28" s="2727">
        <f t="shared" ca="1" si="7"/>
        <v>0</v>
      </c>
      <c r="O28" s="2727">
        <f t="shared" ca="1" si="8"/>
        <v>0</v>
      </c>
      <c r="P28" s="72">
        <f t="shared" ca="1" si="9"/>
        <v>0</v>
      </c>
      <c r="Q28">
        <f t="shared" ca="1" si="10"/>
        <v>0</v>
      </c>
      <c r="R28">
        <f t="shared" ca="1" si="11"/>
        <v>0</v>
      </c>
      <c r="S28">
        <f t="shared" ca="1" si="12"/>
        <v>0</v>
      </c>
      <c r="T28">
        <f t="shared" ca="1" si="13"/>
        <v>0</v>
      </c>
      <c r="U28">
        <f t="shared" ca="1" si="14"/>
        <v>0</v>
      </c>
      <c r="W28" s="487" t="str">
        <f t="shared" si="15"/>
        <v>-</v>
      </c>
      <c r="X28" s="2719" t="str">
        <f t="shared" si="2"/>
        <v/>
      </c>
      <c r="Y28" s="2719"/>
      <c r="Z28" s="72">
        <f t="shared" ca="1" si="16"/>
        <v>0</v>
      </c>
      <c r="AA28" s="72">
        <f t="shared" ca="1" si="17"/>
        <v>0</v>
      </c>
      <c r="AB28" s="72">
        <f t="shared" ca="1" si="18"/>
        <v>0</v>
      </c>
      <c r="AC28" s="72">
        <f t="shared" ca="1" si="19"/>
        <v>0</v>
      </c>
      <c r="AD28" s="72">
        <f t="shared" ca="1" si="20"/>
        <v>0</v>
      </c>
      <c r="AE28" s="72">
        <f t="shared" ca="1" si="21"/>
        <v>0</v>
      </c>
      <c r="AF28">
        <f t="shared" si="22"/>
        <v>0</v>
      </c>
    </row>
    <row r="29" spans="1:32" x14ac:dyDescent="0.25">
      <c r="A29" s="3363"/>
      <c r="B29" s="3233"/>
      <c r="C29" s="3234"/>
      <c r="D29" s="3233"/>
      <c r="E29" s="3234"/>
      <c r="F29" s="3233"/>
      <c r="G29" s="3232"/>
      <c r="H29" s="3231" t="str">
        <f t="shared" si="3"/>
        <v/>
      </c>
      <c r="I29" s="3231" t="str">
        <f t="shared" si="4"/>
        <v/>
      </c>
      <c r="J29" s="3232"/>
      <c r="K29" s="3231" t="str">
        <f t="shared" si="5"/>
        <v/>
      </c>
      <c r="L29" s="3231" t="str">
        <f t="shared" si="6"/>
        <v>-</v>
      </c>
      <c r="M29" s="2727">
        <f t="shared" ca="1" si="7"/>
        <v>0</v>
      </c>
      <c r="N29" s="2727">
        <f t="shared" ca="1" si="7"/>
        <v>0</v>
      </c>
      <c r="O29" s="2727">
        <f t="shared" ca="1" si="8"/>
        <v>0</v>
      </c>
      <c r="P29" s="72">
        <f t="shared" ca="1" si="9"/>
        <v>0</v>
      </c>
      <c r="Q29">
        <f t="shared" ca="1" si="10"/>
        <v>0</v>
      </c>
      <c r="R29">
        <f t="shared" ca="1" si="11"/>
        <v>0</v>
      </c>
      <c r="S29">
        <f t="shared" ca="1" si="12"/>
        <v>0</v>
      </c>
      <c r="T29">
        <f t="shared" ca="1" si="13"/>
        <v>0</v>
      </c>
      <c r="U29">
        <f t="shared" ca="1" si="14"/>
        <v>0</v>
      </c>
      <c r="W29" s="487" t="str">
        <f t="shared" si="15"/>
        <v>-</v>
      </c>
      <c r="X29" s="2719" t="str">
        <f t="shared" si="2"/>
        <v/>
      </c>
      <c r="Y29" s="2719"/>
      <c r="Z29" s="72">
        <f t="shared" ca="1" si="16"/>
        <v>0</v>
      </c>
      <c r="AA29" s="72">
        <f t="shared" ca="1" si="17"/>
        <v>0</v>
      </c>
      <c r="AB29" s="72">
        <f t="shared" ca="1" si="18"/>
        <v>0</v>
      </c>
      <c r="AC29" s="72">
        <f t="shared" ca="1" si="19"/>
        <v>0</v>
      </c>
      <c r="AD29" s="72">
        <f t="shared" ca="1" si="20"/>
        <v>0</v>
      </c>
      <c r="AE29" s="72">
        <f t="shared" ca="1" si="21"/>
        <v>0</v>
      </c>
      <c r="AF29">
        <f t="shared" si="22"/>
        <v>0</v>
      </c>
    </row>
    <row r="30" spans="1:32" x14ac:dyDescent="0.25">
      <c r="A30" s="3363"/>
      <c r="B30" s="3233"/>
      <c r="C30" s="3234"/>
      <c r="D30" s="3233"/>
      <c r="E30" s="3234"/>
      <c r="F30" s="3233"/>
      <c r="G30" s="3232"/>
      <c r="H30" s="3231" t="str">
        <f t="shared" si="3"/>
        <v/>
      </c>
      <c r="I30" s="3231" t="str">
        <f t="shared" si="4"/>
        <v/>
      </c>
      <c r="J30" s="3232"/>
      <c r="K30" s="3231" t="str">
        <f t="shared" si="5"/>
        <v/>
      </c>
      <c r="L30" s="3231" t="str">
        <f t="shared" si="6"/>
        <v>-</v>
      </c>
      <c r="M30" s="2727">
        <f t="shared" ca="1" si="7"/>
        <v>0</v>
      </c>
      <c r="N30" s="2727">
        <f t="shared" ca="1" si="7"/>
        <v>0</v>
      </c>
      <c r="O30" s="2727">
        <f t="shared" ca="1" si="8"/>
        <v>0</v>
      </c>
      <c r="P30" s="72">
        <f t="shared" ca="1" si="9"/>
        <v>0</v>
      </c>
      <c r="Q30">
        <f t="shared" ca="1" si="10"/>
        <v>0</v>
      </c>
      <c r="R30">
        <f t="shared" ca="1" si="11"/>
        <v>0</v>
      </c>
      <c r="S30">
        <f t="shared" ca="1" si="12"/>
        <v>0</v>
      </c>
      <c r="T30">
        <f t="shared" ca="1" si="13"/>
        <v>0</v>
      </c>
      <c r="U30">
        <f t="shared" ca="1" si="14"/>
        <v>0</v>
      </c>
      <c r="W30" s="487" t="str">
        <f t="shared" si="15"/>
        <v>-</v>
      </c>
      <c r="X30" s="2719" t="str">
        <f t="shared" si="2"/>
        <v/>
      </c>
      <c r="Y30" s="2719"/>
      <c r="Z30" s="72">
        <f t="shared" ca="1" si="16"/>
        <v>0</v>
      </c>
      <c r="AA30" s="72">
        <f t="shared" ca="1" si="17"/>
        <v>0</v>
      </c>
      <c r="AB30" s="72">
        <f t="shared" ca="1" si="18"/>
        <v>0</v>
      </c>
      <c r="AC30" s="72">
        <f t="shared" ca="1" si="19"/>
        <v>0</v>
      </c>
      <c r="AD30" s="72">
        <f t="shared" ca="1" si="20"/>
        <v>0</v>
      </c>
      <c r="AE30" s="72">
        <f t="shared" ca="1" si="21"/>
        <v>0</v>
      </c>
      <c r="AF30">
        <f t="shared" si="22"/>
        <v>0</v>
      </c>
    </row>
    <row r="31" spans="1:32" x14ac:dyDescent="0.25">
      <c r="A31" s="3363"/>
      <c r="B31" s="3233"/>
      <c r="C31" s="3234"/>
      <c r="D31" s="3233"/>
      <c r="E31" s="3234"/>
      <c r="F31" s="3233"/>
      <c r="G31" s="3232"/>
      <c r="H31" s="3231" t="str">
        <f t="shared" si="3"/>
        <v/>
      </c>
      <c r="I31" s="3231" t="str">
        <f t="shared" si="4"/>
        <v/>
      </c>
      <c r="J31" s="3232"/>
      <c r="K31" s="3231" t="str">
        <f t="shared" si="5"/>
        <v/>
      </c>
      <c r="L31" s="3231" t="str">
        <f t="shared" si="6"/>
        <v>-</v>
      </c>
      <c r="M31" s="2727">
        <f t="shared" ca="1" si="7"/>
        <v>0</v>
      </c>
      <c r="N31" s="2727">
        <f t="shared" ca="1" si="7"/>
        <v>0</v>
      </c>
      <c r="O31" s="2727">
        <f t="shared" ca="1" si="8"/>
        <v>0</v>
      </c>
      <c r="P31" s="72">
        <f t="shared" ca="1" si="9"/>
        <v>0</v>
      </c>
      <c r="Q31">
        <f t="shared" ca="1" si="10"/>
        <v>0</v>
      </c>
      <c r="R31">
        <f t="shared" ca="1" si="11"/>
        <v>0</v>
      </c>
      <c r="S31">
        <f t="shared" ca="1" si="12"/>
        <v>0</v>
      </c>
      <c r="T31">
        <f t="shared" ca="1" si="13"/>
        <v>0</v>
      </c>
      <c r="U31">
        <f t="shared" ca="1" si="14"/>
        <v>0</v>
      </c>
      <c r="W31" s="487" t="str">
        <f t="shared" si="15"/>
        <v>-</v>
      </c>
      <c r="X31" s="2719" t="str">
        <f t="shared" si="2"/>
        <v/>
      </c>
      <c r="Y31" s="2719"/>
      <c r="Z31" s="72">
        <f t="shared" ca="1" si="16"/>
        <v>0</v>
      </c>
      <c r="AA31" s="72">
        <f t="shared" ca="1" si="17"/>
        <v>0</v>
      </c>
      <c r="AB31" s="72">
        <f t="shared" ca="1" si="18"/>
        <v>0</v>
      </c>
      <c r="AC31" s="72">
        <f t="shared" ca="1" si="19"/>
        <v>0</v>
      </c>
      <c r="AD31" s="72">
        <f t="shared" ca="1" si="20"/>
        <v>0</v>
      </c>
      <c r="AE31" s="72">
        <f t="shared" ca="1" si="21"/>
        <v>0</v>
      </c>
      <c r="AF31">
        <f t="shared" si="22"/>
        <v>0</v>
      </c>
    </row>
    <row r="32" spans="1:32" x14ac:dyDescent="0.25">
      <c r="A32" s="3363"/>
      <c r="B32" s="3233"/>
      <c r="C32" s="3234"/>
      <c r="D32" s="3233"/>
      <c r="E32" s="3234"/>
      <c r="F32" s="3233"/>
      <c r="G32" s="3232"/>
      <c r="H32" s="3231" t="str">
        <f t="shared" si="3"/>
        <v/>
      </c>
      <c r="I32" s="3231" t="str">
        <f t="shared" si="4"/>
        <v/>
      </c>
      <c r="J32" s="3232"/>
      <c r="K32" s="3231" t="str">
        <f t="shared" si="5"/>
        <v/>
      </c>
      <c r="L32" s="3231" t="str">
        <f t="shared" si="6"/>
        <v>-</v>
      </c>
      <c r="M32" s="2727">
        <f t="shared" ca="1" si="7"/>
        <v>0</v>
      </c>
      <c r="N32" s="2727">
        <f t="shared" ca="1" si="7"/>
        <v>0</v>
      </c>
      <c r="O32" s="2727">
        <f t="shared" ca="1" si="8"/>
        <v>0</v>
      </c>
      <c r="P32" s="72">
        <f t="shared" ca="1" si="9"/>
        <v>0</v>
      </c>
      <c r="Q32">
        <f t="shared" ca="1" si="10"/>
        <v>0</v>
      </c>
      <c r="R32">
        <f t="shared" ca="1" si="11"/>
        <v>0</v>
      </c>
      <c r="S32">
        <f t="shared" ca="1" si="12"/>
        <v>0</v>
      </c>
      <c r="T32">
        <f t="shared" ca="1" si="13"/>
        <v>0</v>
      </c>
      <c r="U32">
        <f t="shared" ca="1" si="14"/>
        <v>0</v>
      </c>
      <c r="W32" s="487" t="str">
        <f t="shared" si="15"/>
        <v>-</v>
      </c>
      <c r="X32" s="2719" t="str">
        <f t="shared" si="2"/>
        <v/>
      </c>
      <c r="Y32" s="2719"/>
      <c r="Z32" s="72">
        <f t="shared" ca="1" si="16"/>
        <v>0</v>
      </c>
      <c r="AA32" s="72">
        <f t="shared" ca="1" si="17"/>
        <v>0</v>
      </c>
      <c r="AB32" s="72">
        <f t="shared" ca="1" si="18"/>
        <v>0</v>
      </c>
      <c r="AC32" s="72">
        <f t="shared" ca="1" si="19"/>
        <v>0</v>
      </c>
      <c r="AD32" s="72">
        <f t="shared" ca="1" si="20"/>
        <v>0</v>
      </c>
      <c r="AE32" s="72">
        <f t="shared" ca="1" si="21"/>
        <v>0</v>
      </c>
      <c r="AF32">
        <f t="shared" si="22"/>
        <v>0</v>
      </c>
    </row>
    <row r="33" spans="1:32" x14ac:dyDescent="0.25">
      <c r="A33" s="3363"/>
      <c r="B33" s="3233"/>
      <c r="C33" s="3234"/>
      <c r="D33" s="3233"/>
      <c r="E33" s="3234"/>
      <c r="F33" s="3233"/>
      <c r="G33" s="3232"/>
      <c r="H33" s="3231" t="str">
        <f t="shared" si="3"/>
        <v/>
      </c>
      <c r="I33" s="3231" t="str">
        <f t="shared" si="4"/>
        <v/>
      </c>
      <c r="J33" s="3232"/>
      <c r="K33" s="3231" t="str">
        <f t="shared" si="5"/>
        <v/>
      </c>
      <c r="L33" s="3231" t="str">
        <f t="shared" si="6"/>
        <v>-</v>
      </c>
      <c r="M33" s="2727">
        <f t="shared" ca="1" si="7"/>
        <v>0</v>
      </c>
      <c r="N33" s="2727">
        <f t="shared" ca="1" si="7"/>
        <v>0</v>
      </c>
      <c r="O33" s="2727">
        <f t="shared" ca="1" si="8"/>
        <v>0</v>
      </c>
      <c r="P33" s="72">
        <f t="shared" ca="1" si="9"/>
        <v>0</v>
      </c>
      <c r="Q33">
        <f t="shared" ca="1" si="10"/>
        <v>0</v>
      </c>
      <c r="R33">
        <f t="shared" ca="1" si="11"/>
        <v>0</v>
      </c>
      <c r="S33">
        <f t="shared" ca="1" si="12"/>
        <v>0</v>
      </c>
      <c r="T33">
        <f t="shared" ca="1" si="13"/>
        <v>0</v>
      </c>
      <c r="U33">
        <f t="shared" ca="1" si="14"/>
        <v>0</v>
      </c>
      <c r="W33" s="487" t="str">
        <f t="shared" si="15"/>
        <v>-</v>
      </c>
      <c r="X33" s="2719" t="str">
        <f t="shared" si="2"/>
        <v/>
      </c>
      <c r="Y33" s="2719"/>
      <c r="Z33" s="72">
        <f t="shared" ca="1" si="16"/>
        <v>0</v>
      </c>
      <c r="AA33" s="72">
        <f t="shared" ca="1" si="17"/>
        <v>0</v>
      </c>
      <c r="AB33" s="72">
        <f t="shared" ca="1" si="18"/>
        <v>0</v>
      </c>
      <c r="AC33" s="72">
        <f t="shared" ca="1" si="19"/>
        <v>0</v>
      </c>
      <c r="AD33" s="72">
        <f t="shared" ca="1" si="20"/>
        <v>0</v>
      </c>
      <c r="AE33" s="72">
        <f t="shared" ca="1" si="21"/>
        <v>0</v>
      </c>
      <c r="AF33">
        <f t="shared" si="22"/>
        <v>0</v>
      </c>
    </row>
    <row r="34" spans="1:32" x14ac:dyDescent="0.25">
      <c r="A34" s="3364"/>
      <c r="B34" s="3233"/>
      <c r="C34" s="3234"/>
      <c r="D34" s="3233"/>
      <c r="E34" s="3234"/>
      <c r="F34" s="3233"/>
      <c r="G34" s="3232"/>
      <c r="H34" s="3231" t="str">
        <f t="shared" si="3"/>
        <v/>
      </c>
      <c r="I34" s="3231" t="str">
        <f t="shared" si="4"/>
        <v/>
      </c>
      <c r="J34" s="3232"/>
      <c r="K34" s="3231" t="str">
        <f t="shared" si="5"/>
        <v/>
      </c>
      <c r="L34" s="3231" t="str">
        <f t="shared" si="6"/>
        <v>-</v>
      </c>
      <c r="M34" s="2727">
        <f t="shared" ca="1" si="7"/>
        <v>0</v>
      </c>
      <c r="N34" s="2727">
        <f t="shared" ca="1" si="7"/>
        <v>0</v>
      </c>
      <c r="O34" s="2727">
        <f t="shared" ca="1" si="8"/>
        <v>0</v>
      </c>
      <c r="P34" s="72">
        <f t="shared" ca="1" si="9"/>
        <v>0</v>
      </c>
      <c r="Q34">
        <f t="shared" ca="1" si="10"/>
        <v>0</v>
      </c>
      <c r="R34">
        <f t="shared" ca="1" si="11"/>
        <v>0</v>
      </c>
      <c r="S34">
        <f t="shared" ca="1" si="12"/>
        <v>0</v>
      </c>
      <c r="T34">
        <f t="shared" ca="1" si="13"/>
        <v>0</v>
      </c>
      <c r="U34">
        <f t="shared" ca="1" si="14"/>
        <v>0</v>
      </c>
      <c r="W34" s="487" t="str">
        <f t="shared" si="15"/>
        <v>-</v>
      </c>
      <c r="X34" s="2719" t="str">
        <f t="shared" si="2"/>
        <v/>
      </c>
      <c r="Y34" s="2719"/>
      <c r="Z34" s="72">
        <f t="shared" ca="1" si="16"/>
        <v>0</v>
      </c>
      <c r="AA34" s="72">
        <f t="shared" ca="1" si="17"/>
        <v>0</v>
      </c>
      <c r="AB34" s="72">
        <f t="shared" ca="1" si="18"/>
        <v>0</v>
      </c>
      <c r="AC34" s="72">
        <f t="shared" ca="1" si="19"/>
        <v>0</v>
      </c>
      <c r="AD34" s="72">
        <f t="shared" ca="1" si="20"/>
        <v>0</v>
      </c>
      <c r="AE34" s="72">
        <f t="shared" ca="1" si="21"/>
        <v>0</v>
      </c>
      <c r="AF34">
        <f t="shared" si="22"/>
        <v>0</v>
      </c>
    </row>
    <row r="35" spans="1:32" x14ac:dyDescent="0.25">
      <c r="A35" s="3364"/>
      <c r="B35" s="3233"/>
      <c r="C35" s="3234"/>
      <c r="D35" s="3233"/>
      <c r="E35" s="3234"/>
      <c r="F35" s="3233"/>
      <c r="G35" s="3232"/>
      <c r="H35" s="3231" t="str">
        <f t="shared" si="3"/>
        <v/>
      </c>
      <c r="I35" s="3231" t="str">
        <f t="shared" si="4"/>
        <v/>
      </c>
      <c r="J35" s="3232"/>
      <c r="K35" s="3231" t="str">
        <f t="shared" si="5"/>
        <v/>
      </c>
      <c r="L35" s="3231" t="str">
        <f t="shared" ref="L35:L98" si="23">+CONCATENATE(H35,"-",K35)</f>
        <v>-</v>
      </c>
      <c r="M35" s="2727">
        <f t="shared" ca="1" si="7"/>
        <v>0</v>
      </c>
      <c r="N35" s="2727">
        <f t="shared" ca="1" si="7"/>
        <v>0</v>
      </c>
      <c r="O35" s="2727">
        <f t="shared" ref="O35:O98" ca="1" si="24">+J35-M35-N35</f>
        <v>0</v>
      </c>
      <c r="P35" s="72">
        <f t="shared" ref="P35:P98" ca="1" si="25">SUM(M35:O35)</f>
        <v>0</v>
      </c>
      <c r="Q35">
        <f t="shared" ref="Q35:Q98" ca="1" si="26">+ROUND(M35*Q$21,0)</f>
        <v>0</v>
      </c>
      <c r="R35">
        <f t="shared" ref="R35:R98" ca="1" si="27">+ROUND(N35*R$21,0)</f>
        <v>0</v>
      </c>
      <c r="S35">
        <f t="shared" ref="S35:S98" ca="1" si="28">+T35-Q35-R35</f>
        <v>0</v>
      </c>
      <c r="T35">
        <f t="shared" ref="T35:T98" ca="1" si="29">+ROUND(P35*Q$21,0)</f>
        <v>0</v>
      </c>
      <c r="U35">
        <f t="shared" ref="U35:U98" ca="1" si="30">SUM(Q35:S35)</f>
        <v>0</v>
      </c>
      <c r="W35" s="487" t="str">
        <f t="shared" ref="W35:W98" si="31">+L35</f>
        <v>-</v>
      </c>
      <c r="X35" s="2719" t="str">
        <f t="shared" ref="X35:X98" si="32">+K35</f>
        <v/>
      </c>
      <c r="Y35" s="2719"/>
      <c r="Z35" s="72">
        <f t="shared" ref="Z35:Z98" ca="1" si="33">+ROUND(M35,0)</f>
        <v>0</v>
      </c>
      <c r="AA35" s="72">
        <f t="shared" ref="AA35:AA98" ca="1" si="34">+ROUND(N35,0)</f>
        <v>0</v>
      </c>
      <c r="AB35" s="72">
        <f t="shared" ref="AB35:AB98" ca="1" si="35">+AF35-Z35-AA35</f>
        <v>0</v>
      </c>
      <c r="AC35" s="72">
        <f t="shared" ref="AC35:AC98" ca="1" si="36">+ROUND(Q35,0)</f>
        <v>0</v>
      </c>
      <c r="AD35" s="72">
        <f t="shared" ref="AD35:AD98" ca="1" si="37">+ROUND(R35,0)</f>
        <v>0</v>
      </c>
      <c r="AE35" s="72">
        <f t="shared" ref="AE35:AE98" ca="1" si="38">+ROUND(S35,0)</f>
        <v>0</v>
      </c>
      <c r="AF35">
        <f t="shared" ref="AF35:AF98" si="39">+ROUND(J35,0)</f>
        <v>0</v>
      </c>
    </row>
    <row r="36" spans="1:32" x14ac:dyDescent="0.25">
      <c r="A36" s="3363"/>
      <c r="B36" s="3233"/>
      <c r="C36" s="3234"/>
      <c r="D36" s="3233"/>
      <c r="E36" s="3234"/>
      <c r="F36" s="3233"/>
      <c r="G36" s="3232"/>
      <c r="H36" s="3231" t="str">
        <f t="shared" si="3"/>
        <v/>
      </c>
      <c r="I36" s="3231" t="str">
        <f t="shared" si="4"/>
        <v/>
      </c>
      <c r="J36" s="3232"/>
      <c r="K36" s="3231" t="str">
        <f t="shared" si="5"/>
        <v/>
      </c>
      <c r="L36" s="3231" t="str">
        <f t="shared" si="23"/>
        <v>-</v>
      </c>
      <c r="M36" s="2727">
        <f t="shared" ca="1" si="7"/>
        <v>0</v>
      </c>
      <c r="N36" s="2727">
        <f t="shared" ca="1" si="7"/>
        <v>0</v>
      </c>
      <c r="O36" s="2727">
        <f t="shared" ca="1" si="24"/>
        <v>0</v>
      </c>
      <c r="P36" s="72">
        <f t="shared" ca="1" si="25"/>
        <v>0</v>
      </c>
      <c r="Q36">
        <f t="shared" ca="1" si="26"/>
        <v>0</v>
      </c>
      <c r="R36">
        <f t="shared" ca="1" si="27"/>
        <v>0</v>
      </c>
      <c r="S36">
        <f t="shared" ca="1" si="28"/>
        <v>0</v>
      </c>
      <c r="T36">
        <f t="shared" ca="1" si="29"/>
        <v>0</v>
      </c>
      <c r="U36">
        <f t="shared" ca="1" si="30"/>
        <v>0</v>
      </c>
      <c r="W36" s="487" t="str">
        <f t="shared" si="31"/>
        <v>-</v>
      </c>
      <c r="X36" s="2719" t="str">
        <f t="shared" si="32"/>
        <v/>
      </c>
      <c r="Y36" s="2719"/>
      <c r="Z36" s="72">
        <f t="shared" ca="1" si="33"/>
        <v>0</v>
      </c>
      <c r="AA36" s="72">
        <f t="shared" ca="1" si="34"/>
        <v>0</v>
      </c>
      <c r="AB36" s="72">
        <f t="shared" ca="1" si="35"/>
        <v>0</v>
      </c>
      <c r="AC36" s="72">
        <f t="shared" ca="1" si="36"/>
        <v>0</v>
      </c>
      <c r="AD36" s="72">
        <f t="shared" ca="1" si="37"/>
        <v>0</v>
      </c>
      <c r="AE36" s="72">
        <f t="shared" ca="1" si="38"/>
        <v>0</v>
      </c>
      <c r="AF36">
        <f t="shared" si="39"/>
        <v>0</v>
      </c>
    </row>
    <row r="37" spans="1:32" x14ac:dyDescent="0.25">
      <c r="A37" s="3363"/>
      <c r="B37" s="3233"/>
      <c r="C37" s="3234"/>
      <c r="D37" s="3233"/>
      <c r="E37" s="3234"/>
      <c r="F37" s="3233"/>
      <c r="G37" s="3232"/>
      <c r="H37" s="3231" t="str">
        <f t="shared" si="3"/>
        <v/>
      </c>
      <c r="I37" s="3231" t="str">
        <f t="shared" si="4"/>
        <v/>
      </c>
      <c r="J37" s="3232"/>
      <c r="K37" s="3231" t="str">
        <f t="shared" si="5"/>
        <v/>
      </c>
      <c r="L37" s="3231" t="str">
        <f t="shared" si="23"/>
        <v>-</v>
      </c>
      <c r="M37" s="2727">
        <f t="shared" ca="1" si="7"/>
        <v>0</v>
      </c>
      <c r="N37" s="2727">
        <f t="shared" ca="1" si="7"/>
        <v>0</v>
      </c>
      <c r="O37" s="2727">
        <f t="shared" ca="1" si="24"/>
        <v>0</v>
      </c>
      <c r="P37" s="72">
        <f t="shared" ca="1" si="25"/>
        <v>0</v>
      </c>
      <c r="Q37">
        <f t="shared" ca="1" si="26"/>
        <v>0</v>
      </c>
      <c r="R37">
        <f t="shared" ca="1" si="27"/>
        <v>0</v>
      </c>
      <c r="S37">
        <f t="shared" ca="1" si="28"/>
        <v>0</v>
      </c>
      <c r="T37">
        <f t="shared" ca="1" si="29"/>
        <v>0</v>
      </c>
      <c r="U37">
        <f t="shared" ca="1" si="30"/>
        <v>0</v>
      </c>
      <c r="W37" s="487" t="str">
        <f t="shared" si="31"/>
        <v>-</v>
      </c>
      <c r="X37" s="2719" t="str">
        <f t="shared" si="32"/>
        <v/>
      </c>
      <c r="Y37" s="2719"/>
      <c r="Z37" s="72">
        <f t="shared" ca="1" si="33"/>
        <v>0</v>
      </c>
      <c r="AA37" s="72">
        <f t="shared" ca="1" si="34"/>
        <v>0</v>
      </c>
      <c r="AB37" s="72">
        <f t="shared" ca="1" si="35"/>
        <v>0</v>
      </c>
      <c r="AC37" s="72">
        <f t="shared" ca="1" si="36"/>
        <v>0</v>
      </c>
      <c r="AD37" s="72">
        <f t="shared" ca="1" si="37"/>
        <v>0</v>
      </c>
      <c r="AE37" s="72">
        <f t="shared" ca="1" si="38"/>
        <v>0</v>
      </c>
      <c r="AF37">
        <f t="shared" si="39"/>
        <v>0</v>
      </c>
    </row>
    <row r="38" spans="1:32" x14ac:dyDescent="0.25">
      <c r="A38" s="3363"/>
      <c r="B38" s="3233"/>
      <c r="C38" s="3234"/>
      <c r="D38" s="3233"/>
      <c r="E38" s="3234"/>
      <c r="F38" s="3233"/>
      <c r="G38" s="3232"/>
      <c r="H38" s="3231" t="str">
        <f t="shared" si="3"/>
        <v/>
      </c>
      <c r="I38" s="3231" t="str">
        <f t="shared" si="4"/>
        <v/>
      </c>
      <c r="J38" s="3232"/>
      <c r="K38" s="3231" t="str">
        <f t="shared" si="5"/>
        <v/>
      </c>
      <c r="L38" s="3231" t="str">
        <f t="shared" si="23"/>
        <v>-</v>
      </c>
      <c r="M38" s="2727">
        <f t="shared" ca="1" si="7"/>
        <v>0</v>
      </c>
      <c r="N38" s="2727">
        <f t="shared" ca="1" si="7"/>
        <v>0</v>
      </c>
      <c r="O38" s="2727">
        <f t="shared" ca="1" si="24"/>
        <v>0</v>
      </c>
      <c r="P38" s="72">
        <f t="shared" ca="1" si="25"/>
        <v>0</v>
      </c>
      <c r="Q38">
        <f t="shared" ca="1" si="26"/>
        <v>0</v>
      </c>
      <c r="R38">
        <f t="shared" ca="1" si="27"/>
        <v>0</v>
      </c>
      <c r="S38">
        <f t="shared" ca="1" si="28"/>
        <v>0</v>
      </c>
      <c r="T38">
        <f t="shared" ca="1" si="29"/>
        <v>0</v>
      </c>
      <c r="U38">
        <f t="shared" ca="1" si="30"/>
        <v>0</v>
      </c>
      <c r="W38" s="487" t="str">
        <f t="shared" si="31"/>
        <v>-</v>
      </c>
      <c r="X38" s="2719" t="str">
        <f t="shared" si="32"/>
        <v/>
      </c>
      <c r="Y38" s="2719"/>
      <c r="Z38" s="72">
        <f t="shared" ca="1" si="33"/>
        <v>0</v>
      </c>
      <c r="AA38" s="72">
        <f t="shared" ca="1" si="34"/>
        <v>0</v>
      </c>
      <c r="AB38" s="72">
        <f t="shared" ca="1" si="35"/>
        <v>0</v>
      </c>
      <c r="AC38" s="72">
        <f t="shared" ca="1" si="36"/>
        <v>0</v>
      </c>
      <c r="AD38" s="72">
        <f t="shared" ca="1" si="37"/>
        <v>0</v>
      </c>
      <c r="AE38" s="72">
        <f t="shared" ca="1" si="38"/>
        <v>0</v>
      </c>
      <c r="AF38">
        <f t="shared" si="39"/>
        <v>0</v>
      </c>
    </row>
    <row r="39" spans="1:32" x14ac:dyDescent="0.25">
      <c r="A39" s="3363"/>
      <c r="B39" s="3233"/>
      <c r="C39" s="3234"/>
      <c r="D39" s="3233"/>
      <c r="E39" s="3234"/>
      <c r="F39" s="3233"/>
      <c r="G39" s="3232"/>
      <c r="H39" s="3231" t="str">
        <f t="shared" si="3"/>
        <v/>
      </c>
      <c r="I39" s="3231" t="str">
        <f t="shared" si="4"/>
        <v/>
      </c>
      <c r="J39" s="3232"/>
      <c r="K39" s="3231" t="str">
        <f t="shared" si="5"/>
        <v/>
      </c>
      <c r="L39" s="3231" t="str">
        <f t="shared" si="23"/>
        <v>-</v>
      </c>
      <c r="M39" s="2727">
        <f t="shared" ca="1" si="7"/>
        <v>0</v>
      </c>
      <c r="N39" s="2727">
        <f t="shared" ca="1" si="7"/>
        <v>0</v>
      </c>
      <c r="O39" s="2727">
        <f t="shared" ca="1" si="24"/>
        <v>0</v>
      </c>
      <c r="P39" s="72">
        <f t="shared" ca="1" si="25"/>
        <v>0</v>
      </c>
      <c r="Q39">
        <f t="shared" ca="1" si="26"/>
        <v>0</v>
      </c>
      <c r="R39">
        <f t="shared" ca="1" si="27"/>
        <v>0</v>
      </c>
      <c r="S39">
        <f t="shared" ca="1" si="28"/>
        <v>0</v>
      </c>
      <c r="T39">
        <f t="shared" ca="1" si="29"/>
        <v>0</v>
      </c>
      <c r="U39">
        <f t="shared" ca="1" si="30"/>
        <v>0</v>
      </c>
      <c r="W39" s="487" t="str">
        <f t="shared" si="31"/>
        <v>-</v>
      </c>
      <c r="X39" s="2719" t="str">
        <f t="shared" si="32"/>
        <v/>
      </c>
      <c r="Y39" s="2719"/>
      <c r="Z39" s="72">
        <f t="shared" ca="1" si="33"/>
        <v>0</v>
      </c>
      <c r="AA39" s="72">
        <f t="shared" ca="1" si="34"/>
        <v>0</v>
      </c>
      <c r="AB39" s="72">
        <f t="shared" ca="1" si="35"/>
        <v>0</v>
      </c>
      <c r="AC39" s="72">
        <f t="shared" ca="1" si="36"/>
        <v>0</v>
      </c>
      <c r="AD39" s="72">
        <f t="shared" ca="1" si="37"/>
        <v>0</v>
      </c>
      <c r="AE39" s="72">
        <f t="shared" ca="1" si="38"/>
        <v>0</v>
      </c>
      <c r="AF39">
        <f t="shared" si="39"/>
        <v>0</v>
      </c>
    </row>
    <row r="40" spans="1:32" x14ac:dyDescent="0.25">
      <c r="A40" s="3363"/>
      <c r="B40" s="3233"/>
      <c r="C40" s="3234"/>
      <c r="D40" s="3233"/>
      <c r="E40" s="3234"/>
      <c r="F40" s="3233"/>
      <c r="G40" s="3232"/>
      <c r="H40" s="3231" t="str">
        <f t="shared" si="3"/>
        <v/>
      </c>
      <c r="I40" s="3231" t="str">
        <f t="shared" si="4"/>
        <v/>
      </c>
      <c r="J40" s="3232"/>
      <c r="K40" s="3231" t="str">
        <f t="shared" si="5"/>
        <v/>
      </c>
      <c r="L40" s="3231" t="str">
        <f t="shared" si="23"/>
        <v>-</v>
      </c>
      <c r="M40" s="2727">
        <f t="shared" ref="M40:N103" ca="1" si="40">+ROUND($J40*M$21,0)</f>
        <v>0</v>
      </c>
      <c r="N40" s="2727">
        <f t="shared" ca="1" si="40"/>
        <v>0</v>
      </c>
      <c r="O40" s="2727">
        <f t="shared" ca="1" si="24"/>
        <v>0</v>
      </c>
      <c r="P40" s="72">
        <f t="shared" ca="1" si="25"/>
        <v>0</v>
      </c>
      <c r="Q40">
        <f t="shared" ca="1" si="26"/>
        <v>0</v>
      </c>
      <c r="R40">
        <f t="shared" ca="1" si="27"/>
        <v>0</v>
      </c>
      <c r="S40">
        <f t="shared" ca="1" si="28"/>
        <v>0</v>
      </c>
      <c r="T40">
        <f t="shared" ca="1" si="29"/>
        <v>0</v>
      </c>
      <c r="U40">
        <f t="shared" ca="1" si="30"/>
        <v>0</v>
      </c>
      <c r="W40" s="487" t="str">
        <f t="shared" si="31"/>
        <v>-</v>
      </c>
      <c r="X40" s="2719" t="str">
        <f t="shared" si="32"/>
        <v/>
      </c>
      <c r="Y40" s="2719"/>
      <c r="Z40" s="72">
        <f t="shared" ca="1" si="33"/>
        <v>0</v>
      </c>
      <c r="AA40" s="72">
        <f t="shared" ca="1" si="34"/>
        <v>0</v>
      </c>
      <c r="AB40" s="72">
        <f t="shared" ca="1" si="35"/>
        <v>0</v>
      </c>
      <c r="AC40" s="72">
        <f t="shared" ca="1" si="36"/>
        <v>0</v>
      </c>
      <c r="AD40" s="72">
        <f t="shared" ca="1" si="37"/>
        <v>0</v>
      </c>
      <c r="AE40" s="72">
        <f t="shared" ca="1" si="38"/>
        <v>0</v>
      </c>
      <c r="AF40">
        <f t="shared" si="39"/>
        <v>0</v>
      </c>
    </row>
    <row r="41" spans="1:32" x14ac:dyDescent="0.25">
      <c r="A41" s="3363"/>
      <c r="B41" s="3233"/>
      <c r="C41" s="3234"/>
      <c r="D41" s="3233"/>
      <c r="E41" s="3234"/>
      <c r="F41" s="3233"/>
      <c r="G41" s="3232"/>
      <c r="H41" s="3231" t="str">
        <f t="shared" si="3"/>
        <v/>
      </c>
      <c r="I41" s="3231" t="str">
        <f t="shared" si="4"/>
        <v/>
      </c>
      <c r="J41" s="3232"/>
      <c r="K41" s="3231" t="str">
        <f t="shared" si="5"/>
        <v/>
      </c>
      <c r="L41" s="3231" t="str">
        <f t="shared" si="23"/>
        <v>-</v>
      </c>
      <c r="M41" s="2727">
        <f t="shared" ca="1" si="40"/>
        <v>0</v>
      </c>
      <c r="N41" s="2727">
        <f t="shared" ca="1" si="40"/>
        <v>0</v>
      </c>
      <c r="O41" s="2727">
        <f t="shared" ca="1" si="24"/>
        <v>0</v>
      </c>
      <c r="P41" s="72">
        <f t="shared" ca="1" si="25"/>
        <v>0</v>
      </c>
      <c r="Q41">
        <f t="shared" ca="1" si="26"/>
        <v>0</v>
      </c>
      <c r="R41">
        <f t="shared" ca="1" si="27"/>
        <v>0</v>
      </c>
      <c r="S41">
        <f t="shared" ca="1" si="28"/>
        <v>0</v>
      </c>
      <c r="T41">
        <f t="shared" ca="1" si="29"/>
        <v>0</v>
      </c>
      <c r="U41">
        <f t="shared" ca="1" si="30"/>
        <v>0</v>
      </c>
      <c r="W41" s="487" t="str">
        <f t="shared" si="31"/>
        <v>-</v>
      </c>
      <c r="X41" s="2719" t="str">
        <f t="shared" si="32"/>
        <v/>
      </c>
      <c r="Y41" s="2719"/>
      <c r="Z41" s="72">
        <f t="shared" ca="1" si="33"/>
        <v>0</v>
      </c>
      <c r="AA41" s="72">
        <f t="shared" ca="1" si="34"/>
        <v>0</v>
      </c>
      <c r="AB41" s="72">
        <f t="shared" ca="1" si="35"/>
        <v>0</v>
      </c>
      <c r="AC41" s="72">
        <f t="shared" ca="1" si="36"/>
        <v>0</v>
      </c>
      <c r="AD41" s="72">
        <f t="shared" ca="1" si="37"/>
        <v>0</v>
      </c>
      <c r="AE41" s="72">
        <f t="shared" ca="1" si="38"/>
        <v>0</v>
      </c>
      <c r="AF41">
        <f t="shared" si="39"/>
        <v>0</v>
      </c>
    </row>
    <row r="42" spans="1:32" x14ac:dyDescent="0.25">
      <c r="A42" s="3363"/>
      <c r="B42" s="3233"/>
      <c r="C42" s="3234"/>
      <c r="D42" s="3233"/>
      <c r="E42" s="3234"/>
      <c r="F42" s="3233"/>
      <c r="G42" s="3232"/>
      <c r="H42" s="3231" t="str">
        <f t="shared" si="3"/>
        <v/>
      </c>
      <c r="I42" s="3231" t="str">
        <f t="shared" si="4"/>
        <v/>
      </c>
      <c r="J42" s="3232"/>
      <c r="K42" s="3231" t="str">
        <f t="shared" si="5"/>
        <v/>
      </c>
      <c r="L42" s="3231" t="str">
        <f t="shared" si="23"/>
        <v>-</v>
      </c>
      <c r="M42" s="2727">
        <f t="shared" ca="1" si="40"/>
        <v>0</v>
      </c>
      <c r="N42" s="2727">
        <f t="shared" ca="1" si="40"/>
        <v>0</v>
      </c>
      <c r="O42" s="2727">
        <f t="shared" ca="1" si="24"/>
        <v>0</v>
      </c>
      <c r="P42" s="72">
        <f t="shared" ca="1" si="25"/>
        <v>0</v>
      </c>
      <c r="Q42">
        <f t="shared" ca="1" si="26"/>
        <v>0</v>
      </c>
      <c r="R42">
        <f t="shared" ca="1" si="27"/>
        <v>0</v>
      </c>
      <c r="S42">
        <f t="shared" ca="1" si="28"/>
        <v>0</v>
      </c>
      <c r="T42">
        <f t="shared" ca="1" si="29"/>
        <v>0</v>
      </c>
      <c r="U42">
        <f t="shared" ca="1" si="30"/>
        <v>0</v>
      </c>
      <c r="W42" s="487" t="str">
        <f t="shared" si="31"/>
        <v>-</v>
      </c>
      <c r="X42" s="2719" t="str">
        <f t="shared" si="32"/>
        <v/>
      </c>
      <c r="Y42" s="2719"/>
      <c r="Z42" s="72">
        <f t="shared" ca="1" si="33"/>
        <v>0</v>
      </c>
      <c r="AA42" s="72">
        <f t="shared" ca="1" si="34"/>
        <v>0</v>
      </c>
      <c r="AB42" s="72">
        <f t="shared" ca="1" si="35"/>
        <v>0</v>
      </c>
      <c r="AC42" s="72">
        <f t="shared" ca="1" si="36"/>
        <v>0</v>
      </c>
      <c r="AD42" s="72">
        <f t="shared" ca="1" si="37"/>
        <v>0</v>
      </c>
      <c r="AE42" s="72">
        <f t="shared" ca="1" si="38"/>
        <v>0</v>
      </c>
      <c r="AF42">
        <f t="shared" si="39"/>
        <v>0</v>
      </c>
    </row>
    <row r="43" spans="1:32" x14ac:dyDescent="0.25">
      <c r="A43" s="3363"/>
      <c r="B43" s="3233"/>
      <c r="C43" s="3234"/>
      <c r="D43" s="3233"/>
      <c r="E43" s="3234"/>
      <c r="F43" s="3233"/>
      <c r="G43" s="3232"/>
      <c r="H43" s="3231" t="str">
        <f t="shared" si="3"/>
        <v/>
      </c>
      <c r="I43" s="3231" t="str">
        <f t="shared" si="4"/>
        <v/>
      </c>
      <c r="J43" s="3232"/>
      <c r="K43" s="3231" t="str">
        <f t="shared" si="5"/>
        <v/>
      </c>
      <c r="L43" s="3231" t="str">
        <f t="shared" si="23"/>
        <v>-</v>
      </c>
      <c r="M43" s="2727">
        <f t="shared" ca="1" si="40"/>
        <v>0</v>
      </c>
      <c r="N43" s="2727">
        <f t="shared" ca="1" si="40"/>
        <v>0</v>
      </c>
      <c r="O43" s="2727">
        <f t="shared" ca="1" si="24"/>
        <v>0</v>
      </c>
      <c r="P43" s="72">
        <f t="shared" ca="1" si="25"/>
        <v>0</v>
      </c>
      <c r="Q43">
        <f t="shared" ca="1" si="26"/>
        <v>0</v>
      </c>
      <c r="R43">
        <f t="shared" ca="1" si="27"/>
        <v>0</v>
      </c>
      <c r="S43">
        <f t="shared" ca="1" si="28"/>
        <v>0</v>
      </c>
      <c r="T43">
        <f t="shared" ca="1" si="29"/>
        <v>0</v>
      </c>
      <c r="U43">
        <f t="shared" ca="1" si="30"/>
        <v>0</v>
      </c>
      <c r="W43" s="487" t="str">
        <f t="shared" si="31"/>
        <v>-</v>
      </c>
      <c r="X43" s="2719" t="str">
        <f t="shared" si="32"/>
        <v/>
      </c>
      <c r="Y43" s="2719"/>
      <c r="Z43" s="72">
        <f t="shared" ca="1" si="33"/>
        <v>0</v>
      </c>
      <c r="AA43" s="72">
        <f t="shared" ca="1" si="34"/>
        <v>0</v>
      </c>
      <c r="AB43" s="72">
        <f t="shared" ca="1" si="35"/>
        <v>0</v>
      </c>
      <c r="AC43" s="72">
        <f t="shared" ca="1" si="36"/>
        <v>0</v>
      </c>
      <c r="AD43" s="72">
        <f t="shared" ca="1" si="37"/>
        <v>0</v>
      </c>
      <c r="AE43" s="72">
        <f t="shared" ca="1" si="38"/>
        <v>0</v>
      </c>
      <c r="AF43">
        <f t="shared" si="39"/>
        <v>0</v>
      </c>
    </row>
    <row r="44" spans="1:32" x14ac:dyDescent="0.25">
      <c r="A44" s="3363"/>
      <c r="B44" s="3233"/>
      <c r="C44" s="3234"/>
      <c r="D44" s="3233"/>
      <c r="E44" s="3234"/>
      <c r="F44" s="3233"/>
      <c r="G44" s="3232"/>
      <c r="H44" s="3231" t="str">
        <f t="shared" si="3"/>
        <v/>
      </c>
      <c r="I44" s="3231" t="str">
        <f t="shared" si="4"/>
        <v/>
      </c>
      <c r="J44" s="3232"/>
      <c r="K44" s="3231" t="str">
        <f t="shared" si="5"/>
        <v/>
      </c>
      <c r="L44" s="3231" t="str">
        <f t="shared" si="23"/>
        <v>-</v>
      </c>
      <c r="M44" s="2727">
        <f t="shared" ca="1" si="40"/>
        <v>0</v>
      </c>
      <c r="N44" s="2727">
        <f t="shared" ca="1" si="40"/>
        <v>0</v>
      </c>
      <c r="O44" s="2727">
        <f t="shared" ca="1" si="24"/>
        <v>0</v>
      </c>
      <c r="P44" s="72">
        <f t="shared" ca="1" si="25"/>
        <v>0</v>
      </c>
      <c r="Q44">
        <f t="shared" ca="1" si="26"/>
        <v>0</v>
      </c>
      <c r="R44">
        <f t="shared" ca="1" si="27"/>
        <v>0</v>
      </c>
      <c r="S44">
        <f t="shared" ca="1" si="28"/>
        <v>0</v>
      </c>
      <c r="T44">
        <f t="shared" ca="1" si="29"/>
        <v>0</v>
      </c>
      <c r="U44">
        <f t="shared" ca="1" si="30"/>
        <v>0</v>
      </c>
      <c r="W44" s="487" t="str">
        <f t="shared" si="31"/>
        <v>-</v>
      </c>
      <c r="X44" s="2719" t="str">
        <f t="shared" si="32"/>
        <v/>
      </c>
      <c r="Y44" s="2719"/>
      <c r="Z44" s="72">
        <f t="shared" ca="1" si="33"/>
        <v>0</v>
      </c>
      <c r="AA44" s="72">
        <f t="shared" ca="1" si="34"/>
        <v>0</v>
      </c>
      <c r="AB44" s="72">
        <f t="shared" ca="1" si="35"/>
        <v>0</v>
      </c>
      <c r="AC44" s="72">
        <f t="shared" ca="1" si="36"/>
        <v>0</v>
      </c>
      <c r="AD44" s="72">
        <f t="shared" ca="1" si="37"/>
        <v>0</v>
      </c>
      <c r="AE44" s="72">
        <f t="shared" ca="1" si="38"/>
        <v>0</v>
      </c>
      <c r="AF44">
        <f t="shared" si="39"/>
        <v>0</v>
      </c>
    </row>
    <row r="45" spans="1:32" x14ac:dyDescent="0.25">
      <c r="A45" s="3363"/>
      <c r="B45" s="3233"/>
      <c r="C45" s="3234"/>
      <c r="D45" s="3233"/>
      <c r="E45" s="3234"/>
      <c r="F45" s="3233"/>
      <c r="G45" s="3232"/>
      <c r="H45" s="3231" t="str">
        <f t="shared" si="3"/>
        <v/>
      </c>
      <c r="I45" s="3231" t="str">
        <f t="shared" si="4"/>
        <v/>
      </c>
      <c r="J45" s="3232"/>
      <c r="K45" s="3231" t="str">
        <f t="shared" si="5"/>
        <v/>
      </c>
      <c r="L45" s="3231" t="str">
        <f t="shared" si="23"/>
        <v>-</v>
      </c>
      <c r="M45" s="2727">
        <f t="shared" ca="1" si="40"/>
        <v>0</v>
      </c>
      <c r="N45" s="2727">
        <f t="shared" ca="1" si="40"/>
        <v>0</v>
      </c>
      <c r="O45" s="2727">
        <f t="shared" ca="1" si="24"/>
        <v>0</v>
      </c>
      <c r="P45" s="72">
        <f t="shared" ca="1" si="25"/>
        <v>0</v>
      </c>
      <c r="Q45">
        <f t="shared" ca="1" si="26"/>
        <v>0</v>
      </c>
      <c r="R45">
        <f t="shared" ca="1" si="27"/>
        <v>0</v>
      </c>
      <c r="S45">
        <f t="shared" ca="1" si="28"/>
        <v>0</v>
      </c>
      <c r="T45">
        <f t="shared" ca="1" si="29"/>
        <v>0</v>
      </c>
      <c r="U45">
        <f t="shared" ca="1" si="30"/>
        <v>0</v>
      </c>
      <c r="W45" s="487" t="str">
        <f t="shared" si="31"/>
        <v>-</v>
      </c>
      <c r="X45" s="2719" t="str">
        <f t="shared" si="32"/>
        <v/>
      </c>
      <c r="Y45" s="2719"/>
      <c r="Z45" s="72">
        <f t="shared" ca="1" si="33"/>
        <v>0</v>
      </c>
      <c r="AA45" s="72">
        <f t="shared" ca="1" si="34"/>
        <v>0</v>
      </c>
      <c r="AB45" s="72">
        <f t="shared" ca="1" si="35"/>
        <v>0</v>
      </c>
      <c r="AC45" s="72">
        <f t="shared" ca="1" si="36"/>
        <v>0</v>
      </c>
      <c r="AD45" s="72">
        <f t="shared" ca="1" si="37"/>
        <v>0</v>
      </c>
      <c r="AE45" s="72">
        <f t="shared" ca="1" si="38"/>
        <v>0</v>
      </c>
      <c r="AF45">
        <f t="shared" si="39"/>
        <v>0</v>
      </c>
    </row>
    <row r="46" spans="1:32" x14ac:dyDescent="0.25">
      <c r="A46" s="3363"/>
      <c r="B46" s="3233"/>
      <c r="C46" s="3234"/>
      <c r="D46" s="3233"/>
      <c r="E46" s="3234"/>
      <c r="F46" s="3233"/>
      <c r="G46" s="3232"/>
      <c r="H46" s="3231" t="str">
        <f t="shared" si="3"/>
        <v/>
      </c>
      <c r="I46" s="3231" t="str">
        <f t="shared" si="4"/>
        <v/>
      </c>
      <c r="J46" s="3232"/>
      <c r="K46" s="3231" t="str">
        <f t="shared" si="5"/>
        <v/>
      </c>
      <c r="L46" s="3231" t="str">
        <f t="shared" si="23"/>
        <v>-</v>
      </c>
      <c r="M46" s="2727">
        <f t="shared" ca="1" si="40"/>
        <v>0</v>
      </c>
      <c r="N46" s="2727">
        <f t="shared" ca="1" si="40"/>
        <v>0</v>
      </c>
      <c r="O46" s="2727">
        <f t="shared" ca="1" si="24"/>
        <v>0</v>
      </c>
      <c r="P46" s="72">
        <f t="shared" ca="1" si="25"/>
        <v>0</v>
      </c>
      <c r="Q46">
        <f t="shared" ca="1" si="26"/>
        <v>0</v>
      </c>
      <c r="R46">
        <f t="shared" ca="1" si="27"/>
        <v>0</v>
      </c>
      <c r="S46">
        <f t="shared" ca="1" si="28"/>
        <v>0</v>
      </c>
      <c r="T46">
        <f t="shared" ca="1" si="29"/>
        <v>0</v>
      </c>
      <c r="U46">
        <f t="shared" ca="1" si="30"/>
        <v>0</v>
      </c>
      <c r="W46" s="487" t="str">
        <f t="shared" si="31"/>
        <v>-</v>
      </c>
      <c r="X46" s="2719" t="str">
        <f t="shared" si="32"/>
        <v/>
      </c>
      <c r="Y46" s="2719"/>
      <c r="Z46" s="72">
        <f t="shared" ca="1" si="33"/>
        <v>0</v>
      </c>
      <c r="AA46" s="72">
        <f t="shared" ca="1" si="34"/>
        <v>0</v>
      </c>
      <c r="AB46" s="72">
        <f t="shared" ca="1" si="35"/>
        <v>0</v>
      </c>
      <c r="AC46" s="72">
        <f t="shared" ca="1" si="36"/>
        <v>0</v>
      </c>
      <c r="AD46" s="72">
        <f t="shared" ca="1" si="37"/>
        <v>0</v>
      </c>
      <c r="AE46" s="72">
        <f t="shared" ca="1" si="38"/>
        <v>0</v>
      </c>
      <c r="AF46">
        <f t="shared" si="39"/>
        <v>0</v>
      </c>
    </row>
    <row r="47" spans="1:32" x14ac:dyDescent="0.25">
      <c r="A47" s="3363"/>
      <c r="B47" s="3233"/>
      <c r="C47" s="3234"/>
      <c r="D47" s="3233"/>
      <c r="E47" s="3234"/>
      <c r="F47" s="3233"/>
      <c r="G47" s="3232"/>
      <c r="H47" s="3231" t="str">
        <f t="shared" si="3"/>
        <v/>
      </c>
      <c r="I47" s="3231" t="str">
        <f t="shared" si="4"/>
        <v/>
      </c>
      <c r="J47" s="3232"/>
      <c r="K47" s="3231" t="str">
        <f t="shared" si="5"/>
        <v/>
      </c>
      <c r="L47" s="3231" t="str">
        <f t="shared" si="23"/>
        <v>-</v>
      </c>
      <c r="M47" s="2727">
        <f t="shared" ca="1" si="40"/>
        <v>0</v>
      </c>
      <c r="N47" s="2727">
        <f t="shared" ca="1" si="40"/>
        <v>0</v>
      </c>
      <c r="O47" s="2727">
        <f t="shared" ca="1" si="24"/>
        <v>0</v>
      </c>
      <c r="P47" s="72">
        <f t="shared" ca="1" si="25"/>
        <v>0</v>
      </c>
      <c r="Q47">
        <f t="shared" ca="1" si="26"/>
        <v>0</v>
      </c>
      <c r="R47">
        <f t="shared" ca="1" si="27"/>
        <v>0</v>
      </c>
      <c r="S47">
        <f t="shared" ca="1" si="28"/>
        <v>0</v>
      </c>
      <c r="T47">
        <f t="shared" ca="1" si="29"/>
        <v>0</v>
      </c>
      <c r="U47">
        <f t="shared" ca="1" si="30"/>
        <v>0</v>
      </c>
      <c r="W47" s="487" t="str">
        <f t="shared" si="31"/>
        <v>-</v>
      </c>
      <c r="X47" s="2719" t="str">
        <f t="shared" si="32"/>
        <v/>
      </c>
      <c r="Y47" s="2719"/>
      <c r="Z47" s="72">
        <f t="shared" ca="1" si="33"/>
        <v>0</v>
      </c>
      <c r="AA47" s="72">
        <f t="shared" ca="1" si="34"/>
        <v>0</v>
      </c>
      <c r="AB47" s="72">
        <f t="shared" ca="1" si="35"/>
        <v>0</v>
      </c>
      <c r="AC47" s="72">
        <f t="shared" ca="1" si="36"/>
        <v>0</v>
      </c>
      <c r="AD47" s="72">
        <f t="shared" ca="1" si="37"/>
        <v>0</v>
      </c>
      <c r="AE47" s="72">
        <f t="shared" ca="1" si="38"/>
        <v>0</v>
      </c>
      <c r="AF47">
        <f t="shared" si="39"/>
        <v>0</v>
      </c>
    </row>
    <row r="48" spans="1:32" x14ac:dyDescent="0.25">
      <c r="A48" s="3363"/>
      <c r="B48" s="3233"/>
      <c r="C48" s="3234"/>
      <c r="D48" s="3233"/>
      <c r="E48" s="3234"/>
      <c r="F48" s="3233"/>
      <c r="G48" s="3232"/>
      <c r="H48" s="3231" t="str">
        <f t="shared" si="3"/>
        <v/>
      </c>
      <c r="I48" s="3231" t="str">
        <f t="shared" si="4"/>
        <v/>
      </c>
      <c r="J48" s="3232"/>
      <c r="K48" s="3231" t="str">
        <f t="shared" si="5"/>
        <v/>
      </c>
      <c r="L48" s="3231" t="str">
        <f t="shared" si="23"/>
        <v>-</v>
      </c>
      <c r="M48" s="2727">
        <f t="shared" ca="1" si="40"/>
        <v>0</v>
      </c>
      <c r="N48" s="2727">
        <f t="shared" ca="1" si="40"/>
        <v>0</v>
      </c>
      <c r="O48" s="2727">
        <f t="shared" ca="1" si="24"/>
        <v>0</v>
      </c>
      <c r="P48" s="72">
        <f t="shared" ca="1" si="25"/>
        <v>0</v>
      </c>
      <c r="Q48">
        <f t="shared" ca="1" si="26"/>
        <v>0</v>
      </c>
      <c r="R48">
        <f t="shared" ca="1" si="27"/>
        <v>0</v>
      </c>
      <c r="S48">
        <f t="shared" ca="1" si="28"/>
        <v>0</v>
      </c>
      <c r="T48">
        <f t="shared" ca="1" si="29"/>
        <v>0</v>
      </c>
      <c r="U48">
        <f t="shared" ca="1" si="30"/>
        <v>0</v>
      </c>
      <c r="W48" s="487" t="str">
        <f t="shared" si="31"/>
        <v>-</v>
      </c>
      <c r="X48" s="2719" t="str">
        <f t="shared" si="32"/>
        <v/>
      </c>
      <c r="Y48" s="2719"/>
      <c r="Z48" s="72">
        <f t="shared" ca="1" si="33"/>
        <v>0</v>
      </c>
      <c r="AA48" s="72">
        <f t="shared" ca="1" si="34"/>
        <v>0</v>
      </c>
      <c r="AB48" s="72">
        <f t="shared" ca="1" si="35"/>
        <v>0</v>
      </c>
      <c r="AC48" s="72">
        <f t="shared" ca="1" si="36"/>
        <v>0</v>
      </c>
      <c r="AD48" s="72">
        <f t="shared" ca="1" si="37"/>
        <v>0</v>
      </c>
      <c r="AE48" s="72">
        <f t="shared" ca="1" si="38"/>
        <v>0</v>
      </c>
      <c r="AF48">
        <f t="shared" si="39"/>
        <v>0</v>
      </c>
    </row>
    <row r="49" spans="1:32" x14ac:dyDescent="0.25">
      <c r="A49" s="3363"/>
      <c r="B49" s="3233"/>
      <c r="C49" s="3234"/>
      <c r="D49" s="3233"/>
      <c r="E49" s="3234"/>
      <c r="F49" s="3233"/>
      <c r="G49" s="3232"/>
      <c r="H49" s="3231" t="str">
        <f t="shared" si="3"/>
        <v/>
      </c>
      <c r="I49" s="3231" t="str">
        <f t="shared" si="4"/>
        <v/>
      </c>
      <c r="J49" s="3232"/>
      <c r="K49" s="3231" t="str">
        <f t="shared" si="5"/>
        <v/>
      </c>
      <c r="L49" s="3231" t="str">
        <f t="shared" si="23"/>
        <v>-</v>
      </c>
      <c r="M49" s="2727">
        <f t="shared" ca="1" si="40"/>
        <v>0</v>
      </c>
      <c r="N49" s="2727">
        <f t="shared" ca="1" si="40"/>
        <v>0</v>
      </c>
      <c r="O49" s="2727">
        <f t="shared" ca="1" si="24"/>
        <v>0</v>
      </c>
      <c r="P49" s="72">
        <f t="shared" ca="1" si="25"/>
        <v>0</v>
      </c>
      <c r="Q49">
        <f t="shared" ca="1" si="26"/>
        <v>0</v>
      </c>
      <c r="R49">
        <f t="shared" ca="1" si="27"/>
        <v>0</v>
      </c>
      <c r="S49">
        <f t="shared" ca="1" si="28"/>
        <v>0</v>
      </c>
      <c r="T49">
        <f t="shared" ca="1" si="29"/>
        <v>0</v>
      </c>
      <c r="U49">
        <f t="shared" ca="1" si="30"/>
        <v>0</v>
      </c>
      <c r="W49" s="487" t="str">
        <f t="shared" si="31"/>
        <v>-</v>
      </c>
      <c r="X49" s="2719" t="str">
        <f t="shared" si="32"/>
        <v/>
      </c>
      <c r="Y49" s="2719"/>
      <c r="Z49" s="72">
        <f t="shared" ca="1" si="33"/>
        <v>0</v>
      </c>
      <c r="AA49" s="72">
        <f t="shared" ca="1" si="34"/>
        <v>0</v>
      </c>
      <c r="AB49" s="72">
        <f t="shared" ca="1" si="35"/>
        <v>0</v>
      </c>
      <c r="AC49" s="72">
        <f t="shared" ca="1" si="36"/>
        <v>0</v>
      </c>
      <c r="AD49" s="72">
        <f t="shared" ca="1" si="37"/>
        <v>0</v>
      </c>
      <c r="AE49" s="72">
        <f t="shared" ca="1" si="38"/>
        <v>0</v>
      </c>
      <c r="AF49">
        <f t="shared" si="39"/>
        <v>0</v>
      </c>
    </row>
    <row r="50" spans="1:32" x14ac:dyDescent="0.25">
      <c r="A50" s="3363"/>
      <c r="B50" s="3233"/>
      <c r="C50" s="3234"/>
      <c r="D50" s="3233"/>
      <c r="E50" s="3234"/>
      <c r="F50" s="3233"/>
      <c r="G50" s="3232"/>
      <c r="H50" s="3231" t="str">
        <f t="shared" si="3"/>
        <v/>
      </c>
      <c r="I50" s="3231" t="str">
        <f t="shared" si="4"/>
        <v/>
      </c>
      <c r="J50" s="3232"/>
      <c r="K50" s="3231" t="str">
        <f t="shared" si="5"/>
        <v/>
      </c>
      <c r="L50" s="3231" t="str">
        <f t="shared" si="23"/>
        <v>-</v>
      </c>
      <c r="M50" s="2727">
        <f t="shared" ca="1" si="40"/>
        <v>0</v>
      </c>
      <c r="N50" s="2727">
        <f t="shared" ca="1" si="40"/>
        <v>0</v>
      </c>
      <c r="O50" s="2727">
        <f t="shared" ca="1" si="24"/>
        <v>0</v>
      </c>
      <c r="P50" s="72">
        <f t="shared" ca="1" si="25"/>
        <v>0</v>
      </c>
      <c r="Q50">
        <f t="shared" ca="1" si="26"/>
        <v>0</v>
      </c>
      <c r="R50">
        <f t="shared" ca="1" si="27"/>
        <v>0</v>
      </c>
      <c r="S50">
        <f t="shared" ca="1" si="28"/>
        <v>0</v>
      </c>
      <c r="T50">
        <f t="shared" ca="1" si="29"/>
        <v>0</v>
      </c>
      <c r="U50">
        <f t="shared" ca="1" si="30"/>
        <v>0</v>
      </c>
      <c r="W50" s="487" t="str">
        <f t="shared" si="31"/>
        <v>-</v>
      </c>
      <c r="X50" s="2719" t="str">
        <f t="shared" si="32"/>
        <v/>
      </c>
      <c r="Y50" s="2719"/>
      <c r="Z50" s="72">
        <f t="shared" ca="1" si="33"/>
        <v>0</v>
      </c>
      <c r="AA50" s="72">
        <f t="shared" ca="1" si="34"/>
        <v>0</v>
      </c>
      <c r="AB50" s="72">
        <f t="shared" ca="1" si="35"/>
        <v>0</v>
      </c>
      <c r="AC50" s="72">
        <f t="shared" ca="1" si="36"/>
        <v>0</v>
      </c>
      <c r="AD50" s="72">
        <f t="shared" ca="1" si="37"/>
        <v>0</v>
      </c>
      <c r="AE50" s="72">
        <f t="shared" ca="1" si="38"/>
        <v>0</v>
      </c>
      <c r="AF50">
        <f t="shared" si="39"/>
        <v>0</v>
      </c>
    </row>
    <row r="51" spans="1:32" x14ac:dyDescent="0.25">
      <c r="A51" s="3363"/>
      <c r="B51" s="3233"/>
      <c r="C51" s="3234"/>
      <c r="D51" s="3233"/>
      <c r="E51" s="3234"/>
      <c r="F51" s="3233"/>
      <c r="G51" s="3232"/>
      <c r="H51" s="3231" t="str">
        <f t="shared" si="3"/>
        <v/>
      </c>
      <c r="I51" s="3231" t="str">
        <f t="shared" si="4"/>
        <v/>
      </c>
      <c r="J51" s="3232"/>
      <c r="K51" s="3231" t="str">
        <f t="shared" si="5"/>
        <v/>
      </c>
      <c r="L51" s="3231" t="str">
        <f t="shared" si="23"/>
        <v>-</v>
      </c>
      <c r="M51" s="2727">
        <f t="shared" ca="1" si="40"/>
        <v>0</v>
      </c>
      <c r="N51" s="2727">
        <f t="shared" ca="1" si="40"/>
        <v>0</v>
      </c>
      <c r="O51" s="2727">
        <f t="shared" ca="1" si="24"/>
        <v>0</v>
      </c>
      <c r="P51" s="72">
        <f t="shared" ca="1" si="25"/>
        <v>0</v>
      </c>
      <c r="Q51">
        <f t="shared" ca="1" si="26"/>
        <v>0</v>
      </c>
      <c r="R51">
        <f t="shared" ca="1" si="27"/>
        <v>0</v>
      </c>
      <c r="S51">
        <f t="shared" ca="1" si="28"/>
        <v>0</v>
      </c>
      <c r="T51">
        <f t="shared" ca="1" si="29"/>
        <v>0</v>
      </c>
      <c r="U51">
        <f t="shared" ca="1" si="30"/>
        <v>0</v>
      </c>
      <c r="W51" s="487" t="str">
        <f t="shared" si="31"/>
        <v>-</v>
      </c>
      <c r="X51" s="2719" t="str">
        <f t="shared" si="32"/>
        <v/>
      </c>
      <c r="Y51" s="2719"/>
      <c r="Z51" s="72">
        <f t="shared" ca="1" si="33"/>
        <v>0</v>
      </c>
      <c r="AA51" s="72">
        <f t="shared" ca="1" si="34"/>
        <v>0</v>
      </c>
      <c r="AB51" s="72">
        <f t="shared" ca="1" si="35"/>
        <v>0</v>
      </c>
      <c r="AC51" s="72">
        <f t="shared" ca="1" si="36"/>
        <v>0</v>
      </c>
      <c r="AD51" s="72">
        <f t="shared" ca="1" si="37"/>
        <v>0</v>
      </c>
      <c r="AE51" s="72">
        <f t="shared" ca="1" si="38"/>
        <v>0</v>
      </c>
      <c r="AF51">
        <f t="shared" si="39"/>
        <v>0</v>
      </c>
    </row>
    <row r="52" spans="1:32" x14ac:dyDescent="0.25">
      <c r="A52" s="3363"/>
      <c r="B52" s="3233"/>
      <c r="C52" s="3234"/>
      <c r="D52" s="3233"/>
      <c r="E52" s="3234"/>
      <c r="F52" s="3233"/>
      <c r="G52" s="3232"/>
      <c r="H52" s="3231" t="str">
        <f t="shared" si="3"/>
        <v/>
      </c>
      <c r="I52" s="3231" t="str">
        <f t="shared" si="4"/>
        <v/>
      </c>
      <c r="J52" s="3232"/>
      <c r="K52" s="3231" t="str">
        <f t="shared" si="5"/>
        <v/>
      </c>
      <c r="L52" s="3231" t="str">
        <f t="shared" si="23"/>
        <v>-</v>
      </c>
      <c r="M52" s="2727">
        <f t="shared" ca="1" si="40"/>
        <v>0</v>
      </c>
      <c r="N52" s="2727">
        <f t="shared" ca="1" si="40"/>
        <v>0</v>
      </c>
      <c r="O52" s="2727">
        <f t="shared" ca="1" si="24"/>
        <v>0</v>
      </c>
      <c r="P52" s="72">
        <f t="shared" ca="1" si="25"/>
        <v>0</v>
      </c>
      <c r="Q52">
        <f t="shared" ca="1" si="26"/>
        <v>0</v>
      </c>
      <c r="R52">
        <f t="shared" ca="1" si="27"/>
        <v>0</v>
      </c>
      <c r="S52">
        <f t="shared" ca="1" si="28"/>
        <v>0</v>
      </c>
      <c r="T52">
        <f t="shared" ca="1" si="29"/>
        <v>0</v>
      </c>
      <c r="U52">
        <f t="shared" ca="1" si="30"/>
        <v>0</v>
      </c>
      <c r="W52" s="487" t="str">
        <f t="shared" si="31"/>
        <v>-</v>
      </c>
      <c r="X52" s="2719" t="str">
        <f t="shared" si="32"/>
        <v/>
      </c>
      <c r="Y52" s="2719"/>
      <c r="Z52" s="72">
        <f t="shared" ca="1" si="33"/>
        <v>0</v>
      </c>
      <c r="AA52" s="72">
        <f t="shared" ca="1" si="34"/>
        <v>0</v>
      </c>
      <c r="AB52" s="72">
        <f t="shared" ca="1" si="35"/>
        <v>0</v>
      </c>
      <c r="AC52" s="72">
        <f t="shared" ca="1" si="36"/>
        <v>0</v>
      </c>
      <c r="AD52" s="72">
        <f t="shared" ca="1" si="37"/>
        <v>0</v>
      </c>
      <c r="AE52" s="72">
        <f t="shared" ca="1" si="38"/>
        <v>0</v>
      </c>
      <c r="AF52">
        <f t="shared" si="39"/>
        <v>0</v>
      </c>
    </row>
    <row r="53" spans="1:32" x14ac:dyDescent="0.25">
      <c r="A53" s="3363"/>
      <c r="B53" s="3233"/>
      <c r="C53" s="3234"/>
      <c r="D53" s="3233"/>
      <c r="E53" s="3234"/>
      <c r="F53" s="3233"/>
      <c r="G53" s="3232"/>
      <c r="H53" s="3231" t="str">
        <f t="shared" si="3"/>
        <v/>
      </c>
      <c r="I53" s="3231" t="str">
        <f t="shared" si="4"/>
        <v/>
      </c>
      <c r="J53" s="3232"/>
      <c r="K53" s="3231" t="str">
        <f t="shared" si="5"/>
        <v/>
      </c>
      <c r="L53" s="3231" t="str">
        <f t="shared" si="23"/>
        <v>-</v>
      </c>
      <c r="M53" s="2727">
        <f t="shared" ca="1" si="40"/>
        <v>0</v>
      </c>
      <c r="N53" s="2727">
        <f t="shared" ca="1" si="40"/>
        <v>0</v>
      </c>
      <c r="O53" s="2727">
        <f t="shared" ca="1" si="24"/>
        <v>0</v>
      </c>
      <c r="P53" s="72">
        <f t="shared" ca="1" si="25"/>
        <v>0</v>
      </c>
      <c r="Q53">
        <f t="shared" ca="1" si="26"/>
        <v>0</v>
      </c>
      <c r="R53">
        <f t="shared" ca="1" si="27"/>
        <v>0</v>
      </c>
      <c r="S53">
        <f t="shared" ca="1" si="28"/>
        <v>0</v>
      </c>
      <c r="T53">
        <f t="shared" ca="1" si="29"/>
        <v>0</v>
      </c>
      <c r="U53">
        <f t="shared" ca="1" si="30"/>
        <v>0</v>
      </c>
      <c r="W53" s="487" t="str">
        <f t="shared" si="31"/>
        <v>-</v>
      </c>
      <c r="X53" s="2719" t="str">
        <f t="shared" si="32"/>
        <v/>
      </c>
      <c r="Y53" s="2719"/>
      <c r="Z53" s="72">
        <f t="shared" ca="1" si="33"/>
        <v>0</v>
      </c>
      <c r="AA53" s="72">
        <f t="shared" ca="1" si="34"/>
        <v>0</v>
      </c>
      <c r="AB53" s="72">
        <f t="shared" ca="1" si="35"/>
        <v>0</v>
      </c>
      <c r="AC53" s="72">
        <f t="shared" ca="1" si="36"/>
        <v>0</v>
      </c>
      <c r="AD53" s="72">
        <f t="shared" ca="1" si="37"/>
        <v>0</v>
      </c>
      <c r="AE53" s="72">
        <f t="shared" ca="1" si="38"/>
        <v>0</v>
      </c>
      <c r="AF53">
        <f t="shared" si="39"/>
        <v>0</v>
      </c>
    </row>
    <row r="54" spans="1:32" x14ac:dyDescent="0.25">
      <c r="A54" s="3363"/>
      <c r="B54" s="3233"/>
      <c r="C54" s="3234"/>
      <c r="D54" s="3233"/>
      <c r="E54" s="3234"/>
      <c r="F54" s="3233"/>
      <c r="G54" s="3232"/>
      <c r="H54" s="3231" t="str">
        <f t="shared" si="3"/>
        <v/>
      </c>
      <c r="I54" s="3231" t="str">
        <f t="shared" si="4"/>
        <v/>
      </c>
      <c r="J54" s="3232"/>
      <c r="K54" s="3231" t="str">
        <f t="shared" si="5"/>
        <v/>
      </c>
      <c r="L54" s="3231" t="str">
        <f t="shared" si="23"/>
        <v>-</v>
      </c>
      <c r="M54" s="2727">
        <f t="shared" ca="1" si="40"/>
        <v>0</v>
      </c>
      <c r="N54" s="2727">
        <f t="shared" ca="1" si="40"/>
        <v>0</v>
      </c>
      <c r="O54" s="2727">
        <f t="shared" ca="1" si="24"/>
        <v>0</v>
      </c>
      <c r="P54" s="72">
        <f t="shared" ca="1" si="25"/>
        <v>0</v>
      </c>
      <c r="Q54">
        <f t="shared" ca="1" si="26"/>
        <v>0</v>
      </c>
      <c r="R54">
        <f t="shared" ca="1" si="27"/>
        <v>0</v>
      </c>
      <c r="S54">
        <f t="shared" ca="1" si="28"/>
        <v>0</v>
      </c>
      <c r="T54">
        <f t="shared" ca="1" si="29"/>
        <v>0</v>
      </c>
      <c r="U54">
        <f t="shared" ca="1" si="30"/>
        <v>0</v>
      </c>
      <c r="W54" s="487" t="str">
        <f t="shared" si="31"/>
        <v>-</v>
      </c>
      <c r="X54" s="2719" t="str">
        <f t="shared" si="32"/>
        <v/>
      </c>
      <c r="Y54" s="2719"/>
      <c r="Z54" s="72">
        <f t="shared" ca="1" si="33"/>
        <v>0</v>
      </c>
      <c r="AA54" s="72">
        <f t="shared" ca="1" si="34"/>
        <v>0</v>
      </c>
      <c r="AB54" s="72">
        <f t="shared" ca="1" si="35"/>
        <v>0</v>
      </c>
      <c r="AC54" s="72">
        <f t="shared" ca="1" si="36"/>
        <v>0</v>
      </c>
      <c r="AD54" s="72">
        <f t="shared" ca="1" si="37"/>
        <v>0</v>
      </c>
      <c r="AE54" s="72">
        <f t="shared" ca="1" si="38"/>
        <v>0</v>
      </c>
      <c r="AF54">
        <f t="shared" si="39"/>
        <v>0</v>
      </c>
    </row>
    <row r="55" spans="1:32" x14ac:dyDescent="0.25">
      <c r="A55" s="3363"/>
      <c r="B55" s="3233"/>
      <c r="C55" s="3234"/>
      <c r="D55" s="3233"/>
      <c r="E55" s="3234"/>
      <c r="F55" s="3233"/>
      <c r="G55" s="3232"/>
      <c r="H55" s="3231" t="str">
        <f t="shared" si="3"/>
        <v/>
      </c>
      <c r="I55" s="3231" t="str">
        <f t="shared" si="4"/>
        <v/>
      </c>
      <c r="J55" s="3232"/>
      <c r="K55" s="3231" t="str">
        <f t="shared" si="5"/>
        <v/>
      </c>
      <c r="L55" s="3231" t="str">
        <f t="shared" si="23"/>
        <v>-</v>
      </c>
      <c r="M55" s="2727">
        <f t="shared" ca="1" si="40"/>
        <v>0</v>
      </c>
      <c r="N55" s="2727">
        <f t="shared" ca="1" si="40"/>
        <v>0</v>
      </c>
      <c r="O55" s="2727">
        <f t="shared" ca="1" si="24"/>
        <v>0</v>
      </c>
      <c r="P55" s="72">
        <f t="shared" ca="1" si="25"/>
        <v>0</v>
      </c>
      <c r="Q55">
        <f t="shared" ca="1" si="26"/>
        <v>0</v>
      </c>
      <c r="R55">
        <f t="shared" ca="1" si="27"/>
        <v>0</v>
      </c>
      <c r="S55">
        <f t="shared" ca="1" si="28"/>
        <v>0</v>
      </c>
      <c r="T55">
        <f t="shared" ca="1" si="29"/>
        <v>0</v>
      </c>
      <c r="U55">
        <f t="shared" ca="1" si="30"/>
        <v>0</v>
      </c>
      <c r="W55" s="487" t="str">
        <f t="shared" si="31"/>
        <v>-</v>
      </c>
      <c r="X55" s="2719" t="str">
        <f t="shared" si="32"/>
        <v/>
      </c>
      <c r="Y55" s="2719"/>
      <c r="Z55" s="72">
        <f t="shared" ca="1" si="33"/>
        <v>0</v>
      </c>
      <c r="AA55" s="72">
        <f t="shared" ca="1" si="34"/>
        <v>0</v>
      </c>
      <c r="AB55" s="72">
        <f t="shared" ca="1" si="35"/>
        <v>0</v>
      </c>
      <c r="AC55" s="72">
        <f t="shared" ca="1" si="36"/>
        <v>0</v>
      </c>
      <c r="AD55" s="72">
        <f t="shared" ca="1" si="37"/>
        <v>0</v>
      </c>
      <c r="AE55" s="72">
        <f t="shared" ca="1" si="38"/>
        <v>0</v>
      </c>
      <c r="AF55">
        <f t="shared" si="39"/>
        <v>0</v>
      </c>
    </row>
    <row r="56" spans="1:32" x14ac:dyDescent="0.25">
      <c r="A56" s="3363"/>
      <c r="B56" s="3233"/>
      <c r="C56" s="3234"/>
      <c r="D56" s="3233"/>
      <c r="E56" s="3234"/>
      <c r="F56" s="3233"/>
      <c r="G56" s="3232"/>
      <c r="H56" s="3231" t="str">
        <f t="shared" si="3"/>
        <v/>
      </c>
      <c r="I56" s="3231" t="str">
        <f t="shared" si="4"/>
        <v/>
      </c>
      <c r="J56" s="3232"/>
      <c r="K56" s="3231" t="str">
        <f t="shared" si="5"/>
        <v/>
      </c>
      <c r="L56" s="3231" t="str">
        <f t="shared" si="23"/>
        <v>-</v>
      </c>
      <c r="M56" s="2727">
        <f t="shared" ca="1" si="40"/>
        <v>0</v>
      </c>
      <c r="N56" s="2727">
        <f t="shared" ca="1" si="40"/>
        <v>0</v>
      </c>
      <c r="O56" s="2727">
        <f t="shared" ca="1" si="24"/>
        <v>0</v>
      </c>
      <c r="P56" s="72">
        <f t="shared" ca="1" si="25"/>
        <v>0</v>
      </c>
      <c r="Q56">
        <f t="shared" ca="1" si="26"/>
        <v>0</v>
      </c>
      <c r="R56">
        <f t="shared" ca="1" si="27"/>
        <v>0</v>
      </c>
      <c r="S56">
        <f t="shared" ca="1" si="28"/>
        <v>0</v>
      </c>
      <c r="T56">
        <f t="shared" ca="1" si="29"/>
        <v>0</v>
      </c>
      <c r="U56">
        <f t="shared" ca="1" si="30"/>
        <v>0</v>
      </c>
      <c r="W56" s="487" t="str">
        <f t="shared" si="31"/>
        <v>-</v>
      </c>
      <c r="X56" s="2719" t="str">
        <f t="shared" si="32"/>
        <v/>
      </c>
      <c r="Y56" s="2719"/>
      <c r="Z56" s="72">
        <f t="shared" ca="1" si="33"/>
        <v>0</v>
      </c>
      <c r="AA56" s="72">
        <f t="shared" ca="1" si="34"/>
        <v>0</v>
      </c>
      <c r="AB56" s="72">
        <f t="shared" ca="1" si="35"/>
        <v>0</v>
      </c>
      <c r="AC56" s="72">
        <f t="shared" ca="1" si="36"/>
        <v>0</v>
      </c>
      <c r="AD56" s="72">
        <f t="shared" ca="1" si="37"/>
        <v>0</v>
      </c>
      <c r="AE56" s="72">
        <f t="shared" ca="1" si="38"/>
        <v>0</v>
      </c>
      <c r="AF56">
        <f t="shared" si="39"/>
        <v>0</v>
      </c>
    </row>
    <row r="57" spans="1:32" x14ac:dyDescent="0.25">
      <c r="A57" s="3363"/>
      <c r="B57" s="3233"/>
      <c r="C57" s="3234"/>
      <c r="D57" s="3233"/>
      <c r="E57" s="3234"/>
      <c r="F57" s="3233"/>
      <c r="G57" s="3232"/>
      <c r="H57" s="3231" t="str">
        <f t="shared" si="3"/>
        <v/>
      </c>
      <c r="I57" s="3231" t="str">
        <f t="shared" si="4"/>
        <v/>
      </c>
      <c r="J57" s="3232"/>
      <c r="K57" s="3231" t="str">
        <f t="shared" si="5"/>
        <v/>
      </c>
      <c r="L57" s="3231" t="str">
        <f t="shared" si="23"/>
        <v>-</v>
      </c>
      <c r="M57" s="2727">
        <f t="shared" ca="1" si="40"/>
        <v>0</v>
      </c>
      <c r="N57" s="2727">
        <f t="shared" ca="1" si="40"/>
        <v>0</v>
      </c>
      <c r="O57" s="2727">
        <f t="shared" ca="1" si="24"/>
        <v>0</v>
      </c>
      <c r="P57" s="72">
        <f t="shared" ca="1" si="25"/>
        <v>0</v>
      </c>
      <c r="Q57">
        <f t="shared" ca="1" si="26"/>
        <v>0</v>
      </c>
      <c r="R57">
        <f t="shared" ca="1" si="27"/>
        <v>0</v>
      </c>
      <c r="S57">
        <f t="shared" ca="1" si="28"/>
        <v>0</v>
      </c>
      <c r="T57">
        <f t="shared" ca="1" si="29"/>
        <v>0</v>
      </c>
      <c r="U57">
        <f t="shared" ca="1" si="30"/>
        <v>0</v>
      </c>
      <c r="W57" s="487" t="str">
        <f t="shared" si="31"/>
        <v>-</v>
      </c>
      <c r="X57" s="2719" t="str">
        <f t="shared" si="32"/>
        <v/>
      </c>
      <c r="Y57" s="2719"/>
      <c r="Z57" s="72">
        <f t="shared" ca="1" si="33"/>
        <v>0</v>
      </c>
      <c r="AA57" s="72">
        <f t="shared" ca="1" si="34"/>
        <v>0</v>
      </c>
      <c r="AB57" s="72">
        <f t="shared" ca="1" si="35"/>
        <v>0</v>
      </c>
      <c r="AC57" s="72">
        <f t="shared" ca="1" si="36"/>
        <v>0</v>
      </c>
      <c r="AD57" s="72">
        <f t="shared" ca="1" si="37"/>
        <v>0</v>
      </c>
      <c r="AE57" s="72">
        <f t="shared" ca="1" si="38"/>
        <v>0</v>
      </c>
      <c r="AF57">
        <f t="shared" si="39"/>
        <v>0</v>
      </c>
    </row>
    <row r="58" spans="1:32" x14ac:dyDescent="0.25">
      <c r="A58" s="3363"/>
      <c r="B58" s="3233"/>
      <c r="C58" s="3234"/>
      <c r="D58" s="3233"/>
      <c r="E58" s="3234"/>
      <c r="F58" s="3233"/>
      <c r="G58" s="3232"/>
      <c r="H58" s="3231" t="str">
        <f t="shared" si="3"/>
        <v/>
      </c>
      <c r="I58" s="3231" t="str">
        <f t="shared" si="4"/>
        <v/>
      </c>
      <c r="J58" s="3232"/>
      <c r="K58" s="3231" t="str">
        <f t="shared" si="5"/>
        <v/>
      </c>
      <c r="L58" s="3231" t="str">
        <f t="shared" si="23"/>
        <v>-</v>
      </c>
      <c r="M58" s="2727">
        <f t="shared" ca="1" si="40"/>
        <v>0</v>
      </c>
      <c r="N58" s="2727">
        <f t="shared" ca="1" si="40"/>
        <v>0</v>
      </c>
      <c r="O58" s="2727">
        <f t="shared" ca="1" si="24"/>
        <v>0</v>
      </c>
      <c r="P58" s="72">
        <f t="shared" ca="1" si="25"/>
        <v>0</v>
      </c>
      <c r="Q58">
        <f t="shared" ca="1" si="26"/>
        <v>0</v>
      </c>
      <c r="R58">
        <f t="shared" ca="1" si="27"/>
        <v>0</v>
      </c>
      <c r="S58">
        <f t="shared" ca="1" si="28"/>
        <v>0</v>
      </c>
      <c r="T58">
        <f t="shared" ca="1" si="29"/>
        <v>0</v>
      </c>
      <c r="U58">
        <f t="shared" ca="1" si="30"/>
        <v>0</v>
      </c>
      <c r="W58" s="487" t="str">
        <f t="shared" si="31"/>
        <v>-</v>
      </c>
      <c r="X58" s="2719" t="str">
        <f t="shared" si="32"/>
        <v/>
      </c>
      <c r="Y58" s="2719"/>
      <c r="Z58" s="72">
        <f t="shared" ca="1" si="33"/>
        <v>0</v>
      </c>
      <c r="AA58" s="72">
        <f t="shared" ca="1" si="34"/>
        <v>0</v>
      </c>
      <c r="AB58" s="72">
        <f t="shared" ca="1" si="35"/>
        <v>0</v>
      </c>
      <c r="AC58" s="72">
        <f t="shared" ca="1" si="36"/>
        <v>0</v>
      </c>
      <c r="AD58" s="72">
        <f t="shared" ca="1" si="37"/>
        <v>0</v>
      </c>
      <c r="AE58" s="72">
        <f t="shared" ca="1" si="38"/>
        <v>0</v>
      </c>
      <c r="AF58">
        <f t="shared" si="39"/>
        <v>0</v>
      </c>
    </row>
    <row r="59" spans="1:32" x14ac:dyDescent="0.25">
      <c r="A59" s="3363"/>
      <c r="B59" s="3233"/>
      <c r="C59" s="3234"/>
      <c r="D59" s="3233"/>
      <c r="E59" s="3234"/>
      <c r="F59" s="3233"/>
      <c r="G59" s="3232"/>
      <c r="H59" s="3231" t="str">
        <f t="shared" si="3"/>
        <v/>
      </c>
      <c r="I59" s="3231" t="str">
        <f t="shared" si="4"/>
        <v/>
      </c>
      <c r="J59" s="3232"/>
      <c r="K59" s="3231" t="str">
        <f t="shared" si="5"/>
        <v/>
      </c>
      <c r="L59" s="3231" t="str">
        <f t="shared" si="23"/>
        <v>-</v>
      </c>
      <c r="M59" s="2727">
        <f t="shared" ca="1" si="40"/>
        <v>0</v>
      </c>
      <c r="N59" s="2727">
        <f t="shared" ca="1" si="40"/>
        <v>0</v>
      </c>
      <c r="O59" s="2727">
        <f t="shared" ca="1" si="24"/>
        <v>0</v>
      </c>
      <c r="P59" s="72">
        <f t="shared" ca="1" si="25"/>
        <v>0</v>
      </c>
      <c r="Q59">
        <f t="shared" ca="1" si="26"/>
        <v>0</v>
      </c>
      <c r="R59">
        <f t="shared" ca="1" si="27"/>
        <v>0</v>
      </c>
      <c r="S59">
        <f t="shared" ca="1" si="28"/>
        <v>0</v>
      </c>
      <c r="T59">
        <f t="shared" ca="1" si="29"/>
        <v>0</v>
      </c>
      <c r="U59">
        <f t="shared" ca="1" si="30"/>
        <v>0</v>
      </c>
      <c r="W59" s="487" t="str">
        <f t="shared" si="31"/>
        <v>-</v>
      </c>
      <c r="X59" s="2719" t="str">
        <f t="shared" si="32"/>
        <v/>
      </c>
      <c r="Y59" s="2719"/>
      <c r="Z59" s="72">
        <f t="shared" ca="1" si="33"/>
        <v>0</v>
      </c>
      <c r="AA59" s="72">
        <f t="shared" ca="1" si="34"/>
        <v>0</v>
      </c>
      <c r="AB59" s="72">
        <f t="shared" ca="1" si="35"/>
        <v>0</v>
      </c>
      <c r="AC59" s="72">
        <f t="shared" ca="1" si="36"/>
        <v>0</v>
      </c>
      <c r="AD59" s="72">
        <f t="shared" ca="1" si="37"/>
        <v>0</v>
      </c>
      <c r="AE59" s="72">
        <f t="shared" ca="1" si="38"/>
        <v>0</v>
      </c>
      <c r="AF59">
        <f t="shared" si="39"/>
        <v>0</v>
      </c>
    </row>
    <row r="60" spans="1:32" x14ac:dyDescent="0.25">
      <c r="A60" s="3363"/>
      <c r="B60" s="3233"/>
      <c r="C60" s="3234"/>
      <c r="D60" s="3233"/>
      <c r="E60" s="3234"/>
      <c r="F60" s="3233"/>
      <c r="G60" s="3232"/>
      <c r="H60" s="3231" t="str">
        <f t="shared" si="3"/>
        <v/>
      </c>
      <c r="I60" s="3231" t="str">
        <f t="shared" si="4"/>
        <v/>
      </c>
      <c r="J60" s="3232"/>
      <c r="K60" s="3231" t="str">
        <f t="shared" si="5"/>
        <v/>
      </c>
      <c r="L60" s="3231" t="str">
        <f t="shared" si="23"/>
        <v>-</v>
      </c>
      <c r="M60" s="2727">
        <f t="shared" ca="1" si="40"/>
        <v>0</v>
      </c>
      <c r="N60" s="2727">
        <f t="shared" ca="1" si="40"/>
        <v>0</v>
      </c>
      <c r="O60" s="2727">
        <f t="shared" ca="1" si="24"/>
        <v>0</v>
      </c>
      <c r="P60" s="72">
        <f t="shared" ca="1" si="25"/>
        <v>0</v>
      </c>
      <c r="Q60">
        <f t="shared" ca="1" si="26"/>
        <v>0</v>
      </c>
      <c r="R60">
        <f t="shared" ca="1" si="27"/>
        <v>0</v>
      </c>
      <c r="S60">
        <f t="shared" ca="1" si="28"/>
        <v>0</v>
      </c>
      <c r="T60">
        <f t="shared" ca="1" si="29"/>
        <v>0</v>
      </c>
      <c r="U60">
        <f t="shared" ca="1" si="30"/>
        <v>0</v>
      </c>
      <c r="W60" s="487" t="str">
        <f t="shared" si="31"/>
        <v>-</v>
      </c>
      <c r="X60" s="2719" t="str">
        <f t="shared" si="32"/>
        <v/>
      </c>
      <c r="Y60" s="2719"/>
      <c r="Z60" s="72">
        <f t="shared" ca="1" si="33"/>
        <v>0</v>
      </c>
      <c r="AA60" s="72">
        <f t="shared" ca="1" si="34"/>
        <v>0</v>
      </c>
      <c r="AB60" s="72">
        <f t="shared" ca="1" si="35"/>
        <v>0</v>
      </c>
      <c r="AC60" s="72">
        <f t="shared" ca="1" si="36"/>
        <v>0</v>
      </c>
      <c r="AD60" s="72">
        <f t="shared" ca="1" si="37"/>
        <v>0</v>
      </c>
      <c r="AE60" s="72">
        <f t="shared" ca="1" si="38"/>
        <v>0</v>
      </c>
      <c r="AF60">
        <f t="shared" si="39"/>
        <v>0</v>
      </c>
    </row>
    <row r="61" spans="1:32" x14ac:dyDescent="0.25">
      <c r="A61" s="3363"/>
      <c r="B61" s="3233"/>
      <c r="C61" s="3234"/>
      <c r="D61" s="3233"/>
      <c r="E61" s="3234"/>
      <c r="F61" s="3233"/>
      <c r="G61" s="3232"/>
      <c r="H61" s="3231" t="str">
        <f t="shared" si="3"/>
        <v/>
      </c>
      <c r="I61" s="3231" t="str">
        <f t="shared" si="4"/>
        <v/>
      </c>
      <c r="J61" s="3232"/>
      <c r="K61" s="3231" t="str">
        <f t="shared" si="5"/>
        <v/>
      </c>
      <c r="L61" s="3231" t="str">
        <f t="shared" si="23"/>
        <v>-</v>
      </c>
      <c r="M61" s="2727">
        <f t="shared" ca="1" si="40"/>
        <v>0</v>
      </c>
      <c r="N61" s="2727">
        <f t="shared" ca="1" si="40"/>
        <v>0</v>
      </c>
      <c r="O61" s="2727">
        <f t="shared" ca="1" si="24"/>
        <v>0</v>
      </c>
      <c r="P61" s="72">
        <f t="shared" ca="1" si="25"/>
        <v>0</v>
      </c>
      <c r="Q61">
        <f t="shared" ca="1" si="26"/>
        <v>0</v>
      </c>
      <c r="R61">
        <f t="shared" ca="1" si="27"/>
        <v>0</v>
      </c>
      <c r="S61">
        <f t="shared" ca="1" si="28"/>
        <v>0</v>
      </c>
      <c r="T61">
        <f t="shared" ca="1" si="29"/>
        <v>0</v>
      </c>
      <c r="U61">
        <f t="shared" ca="1" si="30"/>
        <v>0</v>
      </c>
      <c r="W61" s="487" t="str">
        <f t="shared" si="31"/>
        <v>-</v>
      </c>
      <c r="X61" s="2719" t="str">
        <f t="shared" si="32"/>
        <v/>
      </c>
      <c r="Y61" s="2719"/>
      <c r="Z61" s="72">
        <f t="shared" ca="1" si="33"/>
        <v>0</v>
      </c>
      <c r="AA61" s="72">
        <f t="shared" ca="1" si="34"/>
        <v>0</v>
      </c>
      <c r="AB61" s="72">
        <f t="shared" ca="1" si="35"/>
        <v>0</v>
      </c>
      <c r="AC61" s="72">
        <f t="shared" ca="1" si="36"/>
        <v>0</v>
      </c>
      <c r="AD61" s="72">
        <f t="shared" ca="1" si="37"/>
        <v>0</v>
      </c>
      <c r="AE61" s="72">
        <f t="shared" ca="1" si="38"/>
        <v>0</v>
      </c>
      <c r="AF61">
        <f t="shared" si="39"/>
        <v>0</v>
      </c>
    </row>
    <row r="62" spans="1:32" x14ac:dyDescent="0.25">
      <c r="A62" s="3363"/>
      <c r="B62" s="3233"/>
      <c r="C62" s="3234"/>
      <c r="D62" s="3233"/>
      <c r="E62" s="3234"/>
      <c r="F62" s="3233"/>
      <c r="G62" s="3232"/>
      <c r="H62" s="3231" t="str">
        <f t="shared" si="3"/>
        <v/>
      </c>
      <c r="I62" s="3231" t="str">
        <f t="shared" si="4"/>
        <v/>
      </c>
      <c r="J62" s="3232"/>
      <c r="K62" s="3231" t="str">
        <f t="shared" si="5"/>
        <v/>
      </c>
      <c r="L62" s="3231" t="str">
        <f t="shared" si="23"/>
        <v>-</v>
      </c>
      <c r="M62" s="2727">
        <f t="shared" ca="1" si="40"/>
        <v>0</v>
      </c>
      <c r="N62" s="2727">
        <f t="shared" ca="1" si="40"/>
        <v>0</v>
      </c>
      <c r="O62" s="2727">
        <f t="shared" ca="1" si="24"/>
        <v>0</v>
      </c>
      <c r="P62" s="72">
        <f t="shared" ca="1" si="25"/>
        <v>0</v>
      </c>
      <c r="Q62">
        <f t="shared" ca="1" si="26"/>
        <v>0</v>
      </c>
      <c r="R62">
        <f t="shared" ca="1" si="27"/>
        <v>0</v>
      </c>
      <c r="S62">
        <f t="shared" ca="1" si="28"/>
        <v>0</v>
      </c>
      <c r="T62">
        <f t="shared" ca="1" si="29"/>
        <v>0</v>
      </c>
      <c r="U62">
        <f t="shared" ca="1" si="30"/>
        <v>0</v>
      </c>
      <c r="W62" s="487" t="str">
        <f t="shared" si="31"/>
        <v>-</v>
      </c>
      <c r="X62" s="2719" t="str">
        <f t="shared" si="32"/>
        <v/>
      </c>
      <c r="Y62" s="2719"/>
      <c r="Z62" s="72">
        <f t="shared" ca="1" si="33"/>
        <v>0</v>
      </c>
      <c r="AA62" s="72">
        <f t="shared" ca="1" si="34"/>
        <v>0</v>
      </c>
      <c r="AB62" s="72">
        <f t="shared" ca="1" si="35"/>
        <v>0</v>
      </c>
      <c r="AC62" s="72">
        <f t="shared" ca="1" si="36"/>
        <v>0</v>
      </c>
      <c r="AD62" s="72">
        <f t="shared" ca="1" si="37"/>
        <v>0</v>
      </c>
      <c r="AE62" s="72">
        <f t="shared" ca="1" si="38"/>
        <v>0</v>
      </c>
      <c r="AF62">
        <f t="shared" si="39"/>
        <v>0</v>
      </c>
    </row>
    <row r="63" spans="1:32" x14ac:dyDescent="0.25">
      <c r="A63" s="3363"/>
      <c r="B63" s="3233"/>
      <c r="C63" s="3234"/>
      <c r="D63" s="3233"/>
      <c r="E63" s="3234"/>
      <c r="F63" s="3233"/>
      <c r="G63" s="3232"/>
      <c r="H63" s="3231" t="str">
        <f t="shared" si="3"/>
        <v/>
      </c>
      <c r="I63" s="3231" t="str">
        <f t="shared" si="4"/>
        <v/>
      </c>
      <c r="J63" s="3232"/>
      <c r="K63" s="3231" t="str">
        <f t="shared" si="5"/>
        <v/>
      </c>
      <c r="L63" s="3231" t="str">
        <f t="shared" si="23"/>
        <v>-</v>
      </c>
      <c r="M63" s="2727">
        <f t="shared" ca="1" si="40"/>
        <v>0</v>
      </c>
      <c r="N63" s="2727">
        <f t="shared" ca="1" si="40"/>
        <v>0</v>
      </c>
      <c r="O63" s="2727">
        <f t="shared" ca="1" si="24"/>
        <v>0</v>
      </c>
      <c r="P63" s="72">
        <f t="shared" ca="1" si="25"/>
        <v>0</v>
      </c>
      <c r="Q63">
        <f t="shared" ca="1" si="26"/>
        <v>0</v>
      </c>
      <c r="R63">
        <f t="shared" ca="1" si="27"/>
        <v>0</v>
      </c>
      <c r="S63">
        <f t="shared" ca="1" si="28"/>
        <v>0</v>
      </c>
      <c r="T63">
        <f t="shared" ca="1" si="29"/>
        <v>0</v>
      </c>
      <c r="U63">
        <f t="shared" ca="1" si="30"/>
        <v>0</v>
      </c>
      <c r="W63" s="487" t="str">
        <f t="shared" si="31"/>
        <v>-</v>
      </c>
      <c r="X63" s="2719" t="str">
        <f t="shared" si="32"/>
        <v/>
      </c>
      <c r="Y63" s="2719"/>
      <c r="Z63" s="72">
        <f t="shared" ca="1" si="33"/>
        <v>0</v>
      </c>
      <c r="AA63" s="72">
        <f t="shared" ca="1" si="34"/>
        <v>0</v>
      </c>
      <c r="AB63" s="72">
        <f t="shared" ca="1" si="35"/>
        <v>0</v>
      </c>
      <c r="AC63" s="72">
        <f t="shared" ca="1" si="36"/>
        <v>0</v>
      </c>
      <c r="AD63" s="72">
        <f t="shared" ca="1" si="37"/>
        <v>0</v>
      </c>
      <c r="AE63" s="72">
        <f t="shared" ca="1" si="38"/>
        <v>0</v>
      </c>
      <c r="AF63">
        <f t="shared" si="39"/>
        <v>0</v>
      </c>
    </row>
    <row r="64" spans="1:32" x14ac:dyDescent="0.25">
      <c r="A64" s="3363"/>
      <c r="B64" s="3233"/>
      <c r="C64" s="3234"/>
      <c r="D64" s="3233"/>
      <c r="E64" s="3234"/>
      <c r="F64" s="3233"/>
      <c r="G64" s="3232"/>
      <c r="H64" s="3231" t="str">
        <f t="shared" si="3"/>
        <v/>
      </c>
      <c r="I64" s="3231" t="str">
        <f t="shared" si="4"/>
        <v/>
      </c>
      <c r="J64" s="3232"/>
      <c r="K64" s="3231" t="str">
        <f t="shared" si="5"/>
        <v/>
      </c>
      <c r="L64" s="3231" t="str">
        <f t="shared" si="23"/>
        <v>-</v>
      </c>
      <c r="M64" s="2727">
        <f t="shared" ca="1" si="40"/>
        <v>0</v>
      </c>
      <c r="N64" s="2727">
        <f t="shared" ca="1" si="40"/>
        <v>0</v>
      </c>
      <c r="O64" s="2727">
        <f t="shared" ca="1" si="24"/>
        <v>0</v>
      </c>
      <c r="P64" s="72">
        <f t="shared" ca="1" si="25"/>
        <v>0</v>
      </c>
      <c r="Q64">
        <f t="shared" ca="1" si="26"/>
        <v>0</v>
      </c>
      <c r="R64">
        <f t="shared" ca="1" si="27"/>
        <v>0</v>
      </c>
      <c r="S64">
        <f t="shared" ca="1" si="28"/>
        <v>0</v>
      </c>
      <c r="T64">
        <f t="shared" ca="1" si="29"/>
        <v>0</v>
      </c>
      <c r="U64">
        <f t="shared" ca="1" si="30"/>
        <v>0</v>
      </c>
      <c r="W64" s="487" t="str">
        <f t="shared" si="31"/>
        <v>-</v>
      </c>
      <c r="X64" s="2719" t="str">
        <f t="shared" si="32"/>
        <v/>
      </c>
      <c r="Y64" s="2719"/>
      <c r="Z64" s="72">
        <f t="shared" ca="1" si="33"/>
        <v>0</v>
      </c>
      <c r="AA64" s="72">
        <f t="shared" ca="1" si="34"/>
        <v>0</v>
      </c>
      <c r="AB64" s="72">
        <f t="shared" ca="1" si="35"/>
        <v>0</v>
      </c>
      <c r="AC64" s="72">
        <f t="shared" ca="1" si="36"/>
        <v>0</v>
      </c>
      <c r="AD64" s="72">
        <f t="shared" ca="1" si="37"/>
        <v>0</v>
      </c>
      <c r="AE64" s="72">
        <f t="shared" ca="1" si="38"/>
        <v>0</v>
      </c>
      <c r="AF64">
        <f t="shared" si="39"/>
        <v>0</v>
      </c>
    </row>
    <row r="65" spans="1:32" x14ac:dyDescent="0.25">
      <c r="A65" s="3363"/>
      <c r="B65" s="3233"/>
      <c r="C65" s="3234"/>
      <c r="D65" s="3233"/>
      <c r="E65" s="3234"/>
      <c r="F65" s="3233"/>
      <c r="G65" s="3232"/>
      <c r="H65" s="3231" t="str">
        <f t="shared" si="3"/>
        <v/>
      </c>
      <c r="I65" s="3231" t="str">
        <f t="shared" si="4"/>
        <v/>
      </c>
      <c r="J65" s="3232"/>
      <c r="K65" s="3231" t="str">
        <f t="shared" si="5"/>
        <v/>
      </c>
      <c r="L65" s="3231" t="str">
        <f t="shared" si="23"/>
        <v>-</v>
      </c>
      <c r="M65" s="2727">
        <f t="shared" ca="1" si="40"/>
        <v>0</v>
      </c>
      <c r="N65" s="2727">
        <f t="shared" ca="1" si="40"/>
        <v>0</v>
      </c>
      <c r="O65" s="2727">
        <f t="shared" ca="1" si="24"/>
        <v>0</v>
      </c>
      <c r="P65" s="72">
        <f t="shared" ca="1" si="25"/>
        <v>0</v>
      </c>
      <c r="Q65">
        <f t="shared" ca="1" si="26"/>
        <v>0</v>
      </c>
      <c r="R65">
        <f t="shared" ca="1" si="27"/>
        <v>0</v>
      </c>
      <c r="S65">
        <f t="shared" ca="1" si="28"/>
        <v>0</v>
      </c>
      <c r="T65">
        <f t="shared" ca="1" si="29"/>
        <v>0</v>
      </c>
      <c r="U65">
        <f t="shared" ca="1" si="30"/>
        <v>0</v>
      </c>
      <c r="W65" s="487" t="str">
        <f t="shared" si="31"/>
        <v>-</v>
      </c>
      <c r="X65" s="2719" t="str">
        <f t="shared" si="32"/>
        <v/>
      </c>
      <c r="Y65" s="2719"/>
      <c r="Z65" s="72">
        <f t="shared" ca="1" si="33"/>
        <v>0</v>
      </c>
      <c r="AA65" s="72">
        <f t="shared" ca="1" si="34"/>
        <v>0</v>
      </c>
      <c r="AB65" s="72">
        <f t="shared" ca="1" si="35"/>
        <v>0</v>
      </c>
      <c r="AC65" s="72">
        <f t="shared" ca="1" si="36"/>
        <v>0</v>
      </c>
      <c r="AD65" s="72">
        <f t="shared" ca="1" si="37"/>
        <v>0</v>
      </c>
      <c r="AE65" s="72">
        <f t="shared" ca="1" si="38"/>
        <v>0</v>
      </c>
      <c r="AF65">
        <f t="shared" si="39"/>
        <v>0</v>
      </c>
    </row>
    <row r="66" spans="1:32" x14ac:dyDescent="0.25">
      <c r="A66" s="3363"/>
      <c r="B66" s="3233"/>
      <c r="C66" s="3234"/>
      <c r="D66" s="3233"/>
      <c r="E66" s="3234"/>
      <c r="F66" s="3233"/>
      <c r="G66" s="3232"/>
      <c r="H66" s="3231" t="str">
        <f t="shared" si="3"/>
        <v/>
      </c>
      <c r="I66" s="3231" t="str">
        <f t="shared" si="4"/>
        <v/>
      </c>
      <c r="J66" s="3232"/>
      <c r="K66" s="3231" t="str">
        <f t="shared" si="5"/>
        <v/>
      </c>
      <c r="L66" s="3231" t="str">
        <f t="shared" si="23"/>
        <v>-</v>
      </c>
      <c r="M66" s="2727">
        <f t="shared" ca="1" si="40"/>
        <v>0</v>
      </c>
      <c r="N66" s="2727">
        <f t="shared" ca="1" si="40"/>
        <v>0</v>
      </c>
      <c r="O66" s="2727">
        <f t="shared" ca="1" si="24"/>
        <v>0</v>
      </c>
      <c r="P66" s="72">
        <f t="shared" ca="1" si="25"/>
        <v>0</v>
      </c>
      <c r="Q66">
        <f t="shared" ca="1" si="26"/>
        <v>0</v>
      </c>
      <c r="R66">
        <f t="shared" ca="1" si="27"/>
        <v>0</v>
      </c>
      <c r="S66">
        <f t="shared" ca="1" si="28"/>
        <v>0</v>
      </c>
      <c r="T66">
        <f t="shared" ca="1" si="29"/>
        <v>0</v>
      </c>
      <c r="U66">
        <f t="shared" ca="1" si="30"/>
        <v>0</v>
      </c>
      <c r="W66" s="487" t="str">
        <f t="shared" si="31"/>
        <v>-</v>
      </c>
      <c r="X66" s="2719" t="str">
        <f t="shared" si="32"/>
        <v/>
      </c>
      <c r="Y66" s="2719"/>
      <c r="Z66" s="72">
        <f t="shared" ca="1" si="33"/>
        <v>0</v>
      </c>
      <c r="AA66" s="72">
        <f t="shared" ca="1" si="34"/>
        <v>0</v>
      </c>
      <c r="AB66" s="72">
        <f t="shared" ca="1" si="35"/>
        <v>0</v>
      </c>
      <c r="AC66" s="72">
        <f t="shared" ca="1" si="36"/>
        <v>0</v>
      </c>
      <c r="AD66" s="72">
        <f t="shared" ca="1" si="37"/>
        <v>0</v>
      </c>
      <c r="AE66" s="72">
        <f t="shared" ca="1" si="38"/>
        <v>0</v>
      </c>
      <c r="AF66">
        <f t="shared" si="39"/>
        <v>0</v>
      </c>
    </row>
    <row r="67" spans="1:32" x14ac:dyDescent="0.25">
      <c r="A67" s="3363"/>
      <c r="B67" s="3233"/>
      <c r="C67" s="3234"/>
      <c r="D67" s="3233"/>
      <c r="E67" s="3234"/>
      <c r="F67" s="3233"/>
      <c r="G67" s="3232"/>
      <c r="H67" s="3231" t="str">
        <f t="shared" si="3"/>
        <v/>
      </c>
      <c r="I67" s="3231" t="str">
        <f t="shared" si="4"/>
        <v/>
      </c>
      <c r="J67" s="3232"/>
      <c r="K67" s="3231" t="str">
        <f t="shared" si="5"/>
        <v/>
      </c>
      <c r="L67" s="3231" t="str">
        <f t="shared" si="23"/>
        <v>-</v>
      </c>
      <c r="M67" s="2727">
        <f t="shared" ca="1" si="40"/>
        <v>0</v>
      </c>
      <c r="N67" s="2727">
        <f t="shared" ca="1" si="40"/>
        <v>0</v>
      </c>
      <c r="O67" s="2727">
        <f t="shared" ca="1" si="24"/>
        <v>0</v>
      </c>
      <c r="P67" s="72">
        <f t="shared" ca="1" si="25"/>
        <v>0</v>
      </c>
      <c r="Q67">
        <f t="shared" ca="1" si="26"/>
        <v>0</v>
      </c>
      <c r="R67">
        <f t="shared" ca="1" si="27"/>
        <v>0</v>
      </c>
      <c r="S67">
        <f t="shared" ca="1" si="28"/>
        <v>0</v>
      </c>
      <c r="T67">
        <f t="shared" ca="1" si="29"/>
        <v>0</v>
      </c>
      <c r="U67">
        <f t="shared" ca="1" si="30"/>
        <v>0</v>
      </c>
      <c r="W67" s="487" t="str">
        <f t="shared" si="31"/>
        <v>-</v>
      </c>
      <c r="X67" s="2719" t="str">
        <f t="shared" si="32"/>
        <v/>
      </c>
      <c r="Y67" s="2719"/>
      <c r="Z67" s="72">
        <f t="shared" ca="1" si="33"/>
        <v>0</v>
      </c>
      <c r="AA67" s="72">
        <f t="shared" ca="1" si="34"/>
        <v>0</v>
      </c>
      <c r="AB67" s="72">
        <f t="shared" ca="1" si="35"/>
        <v>0</v>
      </c>
      <c r="AC67" s="72">
        <f t="shared" ca="1" si="36"/>
        <v>0</v>
      </c>
      <c r="AD67" s="72">
        <f t="shared" ca="1" si="37"/>
        <v>0</v>
      </c>
      <c r="AE67" s="72">
        <f t="shared" ca="1" si="38"/>
        <v>0</v>
      </c>
      <c r="AF67">
        <f t="shared" si="39"/>
        <v>0</v>
      </c>
    </row>
    <row r="68" spans="1:32" x14ac:dyDescent="0.25">
      <c r="A68" s="3363"/>
      <c r="B68" s="3233"/>
      <c r="C68" s="3234"/>
      <c r="D68" s="3233"/>
      <c r="E68" s="3234"/>
      <c r="F68" s="3233"/>
      <c r="G68" s="3232"/>
      <c r="H68" s="3231" t="str">
        <f t="shared" si="3"/>
        <v/>
      </c>
      <c r="I68" s="3231" t="str">
        <f t="shared" si="4"/>
        <v/>
      </c>
      <c r="J68" s="3232"/>
      <c r="K68" s="3231" t="str">
        <f t="shared" si="5"/>
        <v/>
      </c>
      <c r="L68" s="3231" t="str">
        <f t="shared" si="23"/>
        <v>-</v>
      </c>
      <c r="M68" s="2727">
        <f t="shared" ca="1" si="40"/>
        <v>0</v>
      </c>
      <c r="N68" s="2727">
        <f t="shared" ca="1" si="40"/>
        <v>0</v>
      </c>
      <c r="O68" s="2727">
        <f t="shared" ca="1" si="24"/>
        <v>0</v>
      </c>
      <c r="P68" s="72">
        <f t="shared" ca="1" si="25"/>
        <v>0</v>
      </c>
      <c r="Q68">
        <f t="shared" ca="1" si="26"/>
        <v>0</v>
      </c>
      <c r="R68">
        <f t="shared" ca="1" si="27"/>
        <v>0</v>
      </c>
      <c r="S68">
        <f t="shared" ca="1" si="28"/>
        <v>0</v>
      </c>
      <c r="T68">
        <f t="shared" ca="1" si="29"/>
        <v>0</v>
      </c>
      <c r="U68">
        <f t="shared" ca="1" si="30"/>
        <v>0</v>
      </c>
      <c r="W68" s="487" t="str">
        <f t="shared" si="31"/>
        <v>-</v>
      </c>
      <c r="X68" s="2719" t="str">
        <f t="shared" si="32"/>
        <v/>
      </c>
      <c r="Y68" s="2719"/>
      <c r="Z68" s="72">
        <f t="shared" ca="1" si="33"/>
        <v>0</v>
      </c>
      <c r="AA68" s="72">
        <f t="shared" ca="1" si="34"/>
        <v>0</v>
      </c>
      <c r="AB68" s="72">
        <f t="shared" ca="1" si="35"/>
        <v>0</v>
      </c>
      <c r="AC68" s="72">
        <f t="shared" ca="1" si="36"/>
        <v>0</v>
      </c>
      <c r="AD68" s="72">
        <f t="shared" ca="1" si="37"/>
        <v>0</v>
      </c>
      <c r="AE68" s="72">
        <f t="shared" ca="1" si="38"/>
        <v>0</v>
      </c>
      <c r="AF68">
        <f t="shared" si="39"/>
        <v>0</v>
      </c>
    </row>
    <row r="69" spans="1:32" x14ac:dyDescent="0.25">
      <c r="A69" s="3363"/>
      <c r="B69" s="3233"/>
      <c r="C69" s="3234"/>
      <c r="D69" s="3233"/>
      <c r="E69" s="3234"/>
      <c r="F69" s="3233"/>
      <c r="G69" s="3232"/>
      <c r="H69" s="3231" t="str">
        <f t="shared" si="3"/>
        <v/>
      </c>
      <c r="I69" s="3231" t="str">
        <f t="shared" si="4"/>
        <v/>
      </c>
      <c r="J69" s="3232"/>
      <c r="K69" s="3231" t="str">
        <f t="shared" si="5"/>
        <v/>
      </c>
      <c r="L69" s="3231" t="str">
        <f t="shared" si="23"/>
        <v>-</v>
      </c>
      <c r="M69" s="2727">
        <f t="shared" ca="1" si="40"/>
        <v>0</v>
      </c>
      <c r="N69" s="2727">
        <f t="shared" ca="1" si="40"/>
        <v>0</v>
      </c>
      <c r="O69" s="2727">
        <f t="shared" ca="1" si="24"/>
        <v>0</v>
      </c>
      <c r="P69" s="72">
        <f t="shared" ca="1" si="25"/>
        <v>0</v>
      </c>
      <c r="Q69">
        <f t="shared" ca="1" si="26"/>
        <v>0</v>
      </c>
      <c r="R69">
        <f t="shared" ca="1" si="27"/>
        <v>0</v>
      </c>
      <c r="S69">
        <f t="shared" ca="1" si="28"/>
        <v>0</v>
      </c>
      <c r="T69">
        <f t="shared" ca="1" si="29"/>
        <v>0</v>
      </c>
      <c r="U69">
        <f t="shared" ca="1" si="30"/>
        <v>0</v>
      </c>
      <c r="W69" s="487" t="str">
        <f t="shared" si="31"/>
        <v>-</v>
      </c>
      <c r="X69" s="2719" t="str">
        <f t="shared" si="32"/>
        <v/>
      </c>
      <c r="Y69" s="2719"/>
      <c r="Z69" s="72">
        <f t="shared" ca="1" si="33"/>
        <v>0</v>
      </c>
      <c r="AA69" s="72">
        <f t="shared" ca="1" si="34"/>
        <v>0</v>
      </c>
      <c r="AB69" s="72">
        <f t="shared" ca="1" si="35"/>
        <v>0</v>
      </c>
      <c r="AC69" s="72">
        <f t="shared" ca="1" si="36"/>
        <v>0</v>
      </c>
      <c r="AD69" s="72">
        <f t="shared" ca="1" si="37"/>
        <v>0</v>
      </c>
      <c r="AE69" s="72">
        <f t="shared" ca="1" si="38"/>
        <v>0</v>
      </c>
      <c r="AF69">
        <f t="shared" si="39"/>
        <v>0</v>
      </c>
    </row>
    <row r="70" spans="1:32" x14ac:dyDescent="0.25">
      <c r="A70" s="3363"/>
      <c r="B70" s="3233"/>
      <c r="C70" s="3234"/>
      <c r="D70" s="3233"/>
      <c r="E70" s="3234"/>
      <c r="F70" s="3233"/>
      <c r="G70" s="3232"/>
      <c r="H70" s="3231" t="str">
        <f t="shared" si="3"/>
        <v/>
      </c>
      <c r="I70" s="3231" t="str">
        <f t="shared" si="4"/>
        <v/>
      </c>
      <c r="J70" s="3232"/>
      <c r="K70" s="3231" t="str">
        <f t="shared" si="5"/>
        <v/>
      </c>
      <c r="L70" s="3231" t="str">
        <f t="shared" si="23"/>
        <v>-</v>
      </c>
      <c r="M70" s="2727">
        <f t="shared" ca="1" si="40"/>
        <v>0</v>
      </c>
      <c r="N70" s="2727">
        <f t="shared" ca="1" si="40"/>
        <v>0</v>
      </c>
      <c r="O70" s="2727">
        <f t="shared" ca="1" si="24"/>
        <v>0</v>
      </c>
      <c r="P70" s="72">
        <f t="shared" ca="1" si="25"/>
        <v>0</v>
      </c>
      <c r="Q70">
        <f t="shared" ca="1" si="26"/>
        <v>0</v>
      </c>
      <c r="R70">
        <f t="shared" ca="1" si="27"/>
        <v>0</v>
      </c>
      <c r="S70">
        <f t="shared" ca="1" si="28"/>
        <v>0</v>
      </c>
      <c r="T70">
        <f t="shared" ca="1" si="29"/>
        <v>0</v>
      </c>
      <c r="U70">
        <f t="shared" ca="1" si="30"/>
        <v>0</v>
      </c>
      <c r="W70" s="487" t="str">
        <f t="shared" si="31"/>
        <v>-</v>
      </c>
      <c r="X70" s="2719" t="str">
        <f t="shared" si="32"/>
        <v/>
      </c>
      <c r="Y70" s="2719"/>
      <c r="Z70" s="72">
        <f t="shared" ca="1" si="33"/>
        <v>0</v>
      </c>
      <c r="AA70" s="72">
        <f t="shared" ca="1" si="34"/>
        <v>0</v>
      </c>
      <c r="AB70" s="72">
        <f t="shared" ca="1" si="35"/>
        <v>0</v>
      </c>
      <c r="AC70" s="72">
        <f t="shared" ca="1" si="36"/>
        <v>0</v>
      </c>
      <c r="AD70" s="72">
        <f t="shared" ca="1" si="37"/>
        <v>0</v>
      </c>
      <c r="AE70" s="72">
        <f t="shared" ca="1" si="38"/>
        <v>0</v>
      </c>
      <c r="AF70">
        <f t="shared" si="39"/>
        <v>0</v>
      </c>
    </row>
    <row r="71" spans="1:32" x14ac:dyDescent="0.25">
      <c r="A71" s="3363"/>
      <c r="B71" s="3233"/>
      <c r="C71" s="3234"/>
      <c r="D71" s="3233"/>
      <c r="E71" s="3234"/>
      <c r="F71" s="3233"/>
      <c r="G71" s="3232"/>
      <c r="H71" s="3231" t="str">
        <f t="shared" si="3"/>
        <v/>
      </c>
      <c r="I71" s="3231" t="str">
        <f t="shared" si="4"/>
        <v/>
      </c>
      <c r="J71" s="3232"/>
      <c r="K71" s="3231" t="str">
        <f t="shared" si="5"/>
        <v/>
      </c>
      <c r="L71" s="3231" t="str">
        <f t="shared" si="23"/>
        <v>-</v>
      </c>
      <c r="M71" s="2727">
        <f t="shared" ca="1" si="40"/>
        <v>0</v>
      </c>
      <c r="N71" s="2727">
        <f t="shared" ca="1" si="40"/>
        <v>0</v>
      </c>
      <c r="O71" s="2727">
        <f t="shared" ca="1" si="24"/>
        <v>0</v>
      </c>
      <c r="P71" s="72">
        <f t="shared" ca="1" si="25"/>
        <v>0</v>
      </c>
      <c r="Q71">
        <f t="shared" ca="1" si="26"/>
        <v>0</v>
      </c>
      <c r="R71">
        <f t="shared" ca="1" si="27"/>
        <v>0</v>
      </c>
      <c r="S71">
        <f t="shared" ca="1" si="28"/>
        <v>0</v>
      </c>
      <c r="T71">
        <f t="shared" ca="1" si="29"/>
        <v>0</v>
      </c>
      <c r="U71">
        <f t="shared" ca="1" si="30"/>
        <v>0</v>
      </c>
      <c r="W71" s="487" t="str">
        <f t="shared" si="31"/>
        <v>-</v>
      </c>
      <c r="X71" s="2719" t="str">
        <f t="shared" si="32"/>
        <v/>
      </c>
      <c r="Y71" s="2719"/>
      <c r="Z71" s="72">
        <f t="shared" ca="1" si="33"/>
        <v>0</v>
      </c>
      <c r="AA71" s="72">
        <f t="shared" ca="1" si="34"/>
        <v>0</v>
      </c>
      <c r="AB71" s="72">
        <f t="shared" ca="1" si="35"/>
        <v>0</v>
      </c>
      <c r="AC71" s="72">
        <f t="shared" ca="1" si="36"/>
        <v>0</v>
      </c>
      <c r="AD71" s="72">
        <f t="shared" ca="1" si="37"/>
        <v>0</v>
      </c>
      <c r="AE71" s="72">
        <f t="shared" ca="1" si="38"/>
        <v>0</v>
      </c>
      <c r="AF71">
        <f t="shared" si="39"/>
        <v>0</v>
      </c>
    </row>
    <row r="72" spans="1:32" x14ac:dyDescent="0.25">
      <c r="A72" s="3363"/>
      <c r="B72" s="3233"/>
      <c r="C72" s="3234"/>
      <c r="D72" s="3233"/>
      <c r="E72" s="3234"/>
      <c r="F72" s="3233"/>
      <c r="G72" s="3232"/>
      <c r="H72" s="3231" t="str">
        <f t="shared" si="3"/>
        <v/>
      </c>
      <c r="I72" s="3231" t="str">
        <f t="shared" si="4"/>
        <v/>
      </c>
      <c r="J72" s="3232"/>
      <c r="K72" s="3231" t="str">
        <f t="shared" si="5"/>
        <v/>
      </c>
      <c r="L72" s="3231" t="str">
        <f t="shared" si="23"/>
        <v>-</v>
      </c>
      <c r="M72" s="2727">
        <f t="shared" ca="1" si="40"/>
        <v>0</v>
      </c>
      <c r="N72" s="2727">
        <f t="shared" ca="1" si="40"/>
        <v>0</v>
      </c>
      <c r="O72" s="2727">
        <f t="shared" ca="1" si="24"/>
        <v>0</v>
      </c>
      <c r="P72" s="72">
        <f t="shared" ca="1" si="25"/>
        <v>0</v>
      </c>
      <c r="Q72">
        <f t="shared" ca="1" si="26"/>
        <v>0</v>
      </c>
      <c r="R72">
        <f t="shared" ca="1" si="27"/>
        <v>0</v>
      </c>
      <c r="S72">
        <f t="shared" ca="1" si="28"/>
        <v>0</v>
      </c>
      <c r="T72">
        <f t="shared" ca="1" si="29"/>
        <v>0</v>
      </c>
      <c r="U72">
        <f t="shared" ca="1" si="30"/>
        <v>0</v>
      </c>
      <c r="W72" s="487" t="str">
        <f t="shared" si="31"/>
        <v>-</v>
      </c>
      <c r="X72" s="2719" t="str">
        <f t="shared" si="32"/>
        <v/>
      </c>
      <c r="Y72" s="2719"/>
      <c r="Z72" s="72">
        <f t="shared" ca="1" si="33"/>
        <v>0</v>
      </c>
      <c r="AA72" s="72">
        <f t="shared" ca="1" si="34"/>
        <v>0</v>
      </c>
      <c r="AB72" s="72">
        <f t="shared" ca="1" si="35"/>
        <v>0</v>
      </c>
      <c r="AC72" s="72">
        <f t="shared" ca="1" si="36"/>
        <v>0</v>
      </c>
      <c r="AD72" s="72">
        <f t="shared" ca="1" si="37"/>
        <v>0</v>
      </c>
      <c r="AE72" s="72">
        <f t="shared" ca="1" si="38"/>
        <v>0</v>
      </c>
      <c r="AF72">
        <f t="shared" si="39"/>
        <v>0</v>
      </c>
    </row>
    <row r="73" spans="1:32" x14ac:dyDescent="0.25">
      <c r="A73" s="3363"/>
      <c r="B73" s="3233"/>
      <c r="C73" s="3234"/>
      <c r="D73" s="3233"/>
      <c r="E73" s="3234"/>
      <c r="F73" s="3233"/>
      <c r="G73" s="3232"/>
      <c r="H73" s="3231" t="str">
        <f t="shared" si="3"/>
        <v/>
      </c>
      <c r="I73" s="3231" t="str">
        <f t="shared" si="4"/>
        <v/>
      </c>
      <c r="J73" s="3232"/>
      <c r="K73" s="3231" t="str">
        <f t="shared" si="5"/>
        <v/>
      </c>
      <c r="L73" s="3231" t="str">
        <f t="shared" si="23"/>
        <v>-</v>
      </c>
      <c r="M73" s="2727">
        <f t="shared" ca="1" si="40"/>
        <v>0</v>
      </c>
      <c r="N73" s="2727">
        <f t="shared" ca="1" si="40"/>
        <v>0</v>
      </c>
      <c r="O73" s="2727">
        <f t="shared" ca="1" si="24"/>
        <v>0</v>
      </c>
      <c r="P73" s="72">
        <f t="shared" ca="1" si="25"/>
        <v>0</v>
      </c>
      <c r="Q73">
        <f t="shared" ca="1" si="26"/>
        <v>0</v>
      </c>
      <c r="R73">
        <f t="shared" ca="1" si="27"/>
        <v>0</v>
      </c>
      <c r="S73">
        <f t="shared" ca="1" si="28"/>
        <v>0</v>
      </c>
      <c r="T73">
        <f t="shared" ca="1" si="29"/>
        <v>0</v>
      </c>
      <c r="U73">
        <f t="shared" ca="1" si="30"/>
        <v>0</v>
      </c>
      <c r="W73" s="487" t="str">
        <f t="shared" si="31"/>
        <v>-</v>
      </c>
      <c r="X73" s="2719" t="str">
        <f t="shared" si="32"/>
        <v/>
      </c>
      <c r="Y73" s="2719"/>
      <c r="Z73" s="72">
        <f t="shared" ca="1" si="33"/>
        <v>0</v>
      </c>
      <c r="AA73" s="72">
        <f t="shared" ca="1" si="34"/>
        <v>0</v>
      </c>
      <c r="AB73" s="72">
        <f t="shared" ca="1" si="35"/>
        <v>0</v>
      </c>
      <c r="AC73" s="72">
        <f t="shared" ca="1" si="36"/>
        <v>0</v>
      </c>
      <c r="AD73" s="72">
        <f t="shared" ca="1" si="37"/>
        <v>0</v>
      </c>
      <c r="AE73" s="72">
        <f t="shared" ca="1" si="38"/>
        <v>0</v>
      </c>
      <c r="AF73">
        <f t="shared" si="39"/>
        <v>0</v>
      </c>
    </row>
    <row r="74" spans="1:32" x14ac:dyDescent="0.25">
      <c r="A74" s="3363"/>
      <c r="B74" s="3233"/>
      <c r="C74" s="3234"/>
      <c r="D74" s="3233"/>
      <c r="E74" s="3234"/>
      <c r="F74" s="3233"/>
      <c r="G74" s="3232"/>
      <c r="H74" s="3231" t="str">
        <f t="shared" si="3"/>
        <v/>
      </c>
      <c r="I74" s="3231" t="str">
        <f t="shared" si="4"/>
        <v/>
      </c>
      <c r="J74" s="3232"/>
      <c r="K74" s="3231" t="str">
        <f t="shared" si="5"/>
        <v/>
      </c>
      <c r="L74" s="3231" t="str">
        <f t="shared" si="23"/>
        <v>-</v>
      </c>
      <c r="M74" s="2727">
        <f t="shared" ca="1" si="40"/>
        <v>0</v>
      </c>
      <c r="N74" s="2727">
        <f t="shared" ca="1" si="40"/>
        <v>0</v>
      </c>
      <c r="O74" s="2727">
        <f t="shared" ca="1" si="24"/>
        <v>0</v>
      </c>
      <c r="P74" s="72">
        <f t="shared" ca="1" si="25"/>
        <v>0</v>
      </c>
      <c r="Q74">
        <f t="shared" ca="1" si="26"/>
        <v>0</v>
      </c>
      <c r="R74">
        <f t="shared" ca="1" si="27"/>
        <v>0</v>
      </c>
      <c r="S74">
        <f t="shared" ca="1" si="28"/>
        <v>0</v>
      </c>
      <c r="T74">
        <f t="shared" ca="1" si="29"/>
        <v>0</v>
      </c>
      <c r="U74">
        <f t="shared" ca="1" si="30"/>
        <v>0</v>
      </c>
      <c r="W74" s="487" t="str">
        <f t="shared" si="31"/>
        <v>-</v>
      </c>
      <c r="X74" s="2719" t="str">
        <f t="shared" si="32"/>
        <v/>
      </c>
      <c r="Y74" s="2719"/>
      <c r="Z74" s="72">
        <f t="shared" ca="1" si="33"/>
        <v>0</v>
      </c>
      <c r="AA74" s="72">
        <f t="shared" ca="1" si="34"/>
        <v>0</v>
      </c>
      <c r="AB74" s="72">
        <f t="shared" ca="1" si="35"/>
        <v>0</v>
      </c>
      <c r="AC74" s="72">
        <f t="shared" ca="1" si="36"/>
        <v>0</v>
      </c>
      <c r="AD74" s="72">
        <f t="shared" ca="1" si="37"/>
        <v>0</v>
      </c>
      <c r="AE74" s="72">
        <f t="shared" ca="1" si="38"/>
        <v>0</v>
      </c>
      <c r="AF74">
        <f t="shared" si="39"/>
        <v>0</v>
      </c>
    </row>
    <row r="75" spans="1:32" x14ac:dyDescent="0.25">
      <c r="A75" s="3363"/>
      <c r="B75" s="3233"/>
      <c r="C75" s="3234"/>
      <c r="D75" s="3233"/>
      <c r="E75" s="3234"/>
      <c r="F75" s="3233"/>
      <c r="G75" s="3232"/>
      <c r="H75" s="3231" t="str">
        <f t="shared" si="3"/>
        <v/>
      </c>
      <c r="I75" s="3231" t="str">
        <f t="shared" si="4"/>
        <v/>
      </c>
      <c r="J75" s="3232"/>
      <c r="K75" s="3231" t="str">
        <f t="shared" si="5"/>
        <v/>
      </c>
      <c r="L75" s="3231" t="str">
        <f t="shared" si="23"/>
        <v>-</v>
      </c>
      <c r="M75" s="2727">
        <f t="shared" ca="1" si="40"/>
        <v>0</v>
      </c>
      <c r="N75" s="2727">
        <f t="shared" ca="1" si="40"/>
        <v>0</v>
      </c>
      <c r="O75" s="2727">
        <f t="shared" ca="1" si="24"/>
        <v>0</v>
      </c>
      <c r="P75" s="72">
        <f t="shared" ca="1" si="25"/>
        <v>0</v>
      </c>
      <c r="Q75">
        <f t="shared" ca="1" si="26"/>
        <v>0</v>
      </c>
      <c r="R75">
        <f t="shared" ca="1" si="27"/>
        <v>0</v>
      </c>
      <c r="S75">
        <f t="shared" ca="1" si="28"/>
        <v>0</v>
      </c>
      <c r="T75">
        <f t="shared" ca="1" si="29"/>
        <v>0</v>
      </c>
      <c r="U75">
        <f t="shared" ca="1" si="30"/>
        <v>0</v>
      </c>
      <c r="W75" s="487" t="str">
        <f t="shared" si="31"/>
        <v>-</v>
      </c>
      <c r="X75" s="2719" t="str">
        <f t="shared" si="32"/>
        <v/>
      </c>
      <c r="Y75" s="2719"/>
      <c r="Z75" s="72">
        <f t="shared" ca="1" si="33"/>
        <v>0</v>
      </c>
      <c r="AA75" s="72">
        <f t="shared" ca="1" si="34"/>
        <v>0</v>
      </c>
      <c r="AB75" s="72">
        <f t="shared" ca="1" si="35"/>
        <v>0</v>
      </c>
      <c r="AC75" s="72">
        <f t="shared" ca="1" si="36"/>
        <v>0</v>
      </c>
      <c r="AD75" s="72">
        <f t="shared" ca="1" si="37"/>
        <v>0</v>
      </c>
      <c r="AE75" s="72">
        <f t="shared" ca="1" si="38"/>
        <v>0</v>
      </c>
      <c r="AF75">
        <f t="shared" si="39"/>
        <v>0</v>
      </c>
    </row>
    <row r="76" spans="1:32" x14ac:dyDescent="0.25">
      <c r="A76" s="3363"/>
      <c r="B76" s="3233"/>
      <c r="C76" s="3234"/>
      <c r="D76" s="3233"/>
      <c r="E76" s="3234"/>
      <c r="F76" s="3233"/>
      <c r="G76" s="3232"/>
      <c r="H76" s="3231" t="str">
        <f t="shared" si="3"/>
        <v/>
      </c>
      <c r="I76" s="3231" t="str">
        <f t="shared" si="4"/>
        <v/>
      </c>
      <c r="J76" s="3232"/>
      <c r="K76" s="3231" t="str">
        <f t="shared" si="5"/>
        <v/>
      </c>
      <c r="L76" s="3231" t="str">
        <f t="shared" si="23"/>
        <v>-</v>
      </c>
      <c r="M76" s="2727">
        <f t="shared" ca="1" si="40"/>
        <v>0</v>
      </c>
      <c r="N76" s="2727">
        <f t="shared" ca="1" si="40"/>
        <v>0</v>
      </c>
      <c r="O76" s="2727">
        <f t="shared" ca="1" si="24"/>
        <v>0</v>
      </c>
      <c r="P76" s="72">
        <f t="shared" ca="1" si="25"/>
        <v>0</v>
      </c>
      <c r="Q76">
        <f t="shared" ca="1" si="26"/>
        <v>0</v>
      </c>
      <c r="R76">
        <f t="shared" ca="1" si="27"/>
        <v>0</v>
      </c>
      <c r="S76">
        <f t="shared" ca="1" si="28"/>
        <v>0</v>
      </c>
      <c r="T76">
        <f t="shared" ca="1" si="29"/>
        <v>0</v>
      </c>
      <c r="U76">
        <f t="shared" ca="1" si="30"/>
        <v>0</v>
      </c>
      <c r="W76" s="487" t="str">
        <f t="shared" si="31"/>
        <v>-</v>
      </c>
      <c r="X76" s="2719" t="str">
        <f t="shared" si="32"/>
        <v/>
      </c>
      <c r="Y76" s="2719"/>
      <c r="Z76" s="72">
        <f t="shared" ca="1" si="33"/>
        <v>0</v>
      </c>
      <c r="AA76" s="72">
        <f t="shared" ca="1" si="34"/>
        <v>0</v>
      </c>
      <c r="AB76" s="72">
        <f t="shared" ca="1" si="35"/>
        <v>0</v>
      </c>
      <c r="AC76" s="72">
        <f t="shared" ca="1" si="36"/>
        <v>0</v>
      </c>
      <c r="AD76" s="72">
        <f t="shared" ca="1" si="37"/>
        <v>0</v>
      </c>
      <c r="AE76" s="72">
        <f t="shared" ca="1" si="38"/>
        <v>0</v>
      </c>
      <c r="AF76">
        <f t="shared" si="39"/>
        <v>0</v>
      </c>
    </row>
    <row r="77" spans="1:32" x14ac:dyDescent="0.25">
      <c r="A77" s="3363"/>
      <c r="B77" s="3233"/>
      <c r="C77" s="3234"/>
      <c r="D77" s="3233"/>
      <c r="E77" s="3234"/>
      <c r="F77" s="3233"/>
      <c r="G77" s="3232"/>
      <c r="H77" s="3231" t="str">
        <f t="shared" si="3"/>
        <v/>
      </c>
      <c r="I77" s="3231" t="str">
        <f t="shared" si="4"/>
        <v/>
      </c>
      <c r="J77" s="3232"/>
      <c r="K77" s="3231" t="str">
        <f t="shared" si="5"/>
        <v/>
      </c>
      <c r="L77" s="3231" t="str">
        <f t="shared" si="23"/>
        <v>-</v>
      </c>
      <c r="M77" s="2727">
        <f t="shared" ca="1" si="40"/>
        <v>0</v>
      </c>
      <c r="N77" s="2727">
        <f t="shared" ca="1" si="40"/>
        <v>0</v>
      </c>
      <c r="O77" s="2727">
        <f t="shared" ca="1" si="24"/>
        <v>0</v>
      </c>
      <c r="P77" s="72">
        <f t="shared" ca="1" si="25"/>
        <v>0</v>
      </c>
      <c r="Q77">
        <f t="shared" ca="1" si="26"/>
        <v>0</v>
      </c>
      <c r="R77">
        <f t="shared" ca="1" si="27"/>
        <v>0</v>
      </c>
      <c r="S77">
        <f t="shared" ca="1" si="28"/>
        <v>0</v>
      </c>
      <c r="T77">
        <f t="shared" ca="1" si="29"/>
        <v>0</v>
      </c>
      <c r="U77">
        <f t="shared" ca="1" si="30"/>
        <v>0</v>
      </c>
      <c r="W77" s="487" t="str">
        <f t="shared" si="31"/>
        <v>-</v>
      </c>
      <c r="X77" s="2719" t="str">
        <f t="shared" si="32"/>
        <v/>
      </c>
      <c r="Y77" s="2719"/>
      <c r="Z77" s="72">
        <f t="shared" ca="1" si="33"/>
        <v>0</v>
      </c>
      <c r="AA77" s="72">
        <f t="shared" ca="1" si="34"/>
        <v>0</v>
      </c>
      <c r="AB77" s="72">
        <f t="shared" ca="1" si="35"/>
        <v>0</v>
      </c>
      <c r="AC77" s="72">
        <f t="shared" ca="1" si="36"/>
        <v>0</v>
      </c>
      <c r="AD77" s="72">
        <f t="shared" ca="1" si="37"/>
        <v>0</v>
      </c>
      <c r="AE77" s="72">
        <f t="shared" ca="1" si="38"/>
        <v>0</v>
      </c>
      <c r="AF77">
        <f t="shared" si="39"/>
        <v>0</v>
      </c>
    </row>
    <row r="78" spans="1:32" x14ac:dyDescent="0.25">
      <c r="A78" s="3363"/>
      <c r="B78" s="3233"/>
      <c r="C78" s="3234"/>
      <c r="D78" s="3233"/>
      <c r="E78" s="3234"/>
      <c r="F78" s="3233"/>
      <c r="G78" s="3232"/>
      <c r="H78" s="3231" t="str">
        <f t="shared" si="3"/>
        <v/>
      </c>
      <c r="I78" s="3231" t="str">
        <f t="shared" si="4"/>
        <v/>
      </c>
      <c r="J78" s="3232"/>
      <c r="K78" s="3231" t="str">
        <f t="shared" si="5"/>
        <v/>
      </c>
      <c r="L78" s="3231" t="str">
        <f t="shared" si="23"/>
        <v>-</v>
      </c>
      <c r="M78" s="2727">
        <f t="shared" ca="1" si="40"/>
        <v>0</v>
      </c>
      <c r="N78" s="2727">
        <f t="shared" ca="1" si="40"/>
        <v>0</v>
      </c>
      <c r="O78" s="2727">
        <f t="shared" ca="1" si="24"/>
        <v>0</v>
      </c>
      <c r="P78" s="72">
        <f t="shared" ca="1" si="25"/>
        <v>0</v>
      </c>
      <c r="Q78">
        <f t="shared" ca="1" si="26"/>
        <v>0</v>
      </c>
      <c r="R78">
        <f t="shared" ca="1" si="27"/>
        <v>0</v>
      </c>
      <c r="S78">
        <f t="shared" ca="1" si="28"/>
        <v>0</v>
      </c>
      <c r="T78">
        <f t="shared" ca="1" si="29"/>
        <v>0</v>
      </c>
      <c r="U78">
        <f t="shared" ca="1" si="30"/>
        <v>0</v>
      </c>
      <c r="W78" s="487" t="str">
        <f t="shared" si="31"/>
        <v>-</v>
      </c>
      <c r="X78" s="2719" t="str">
        <f t="shared" si="32"/>
        <v/>
      </c>
      <c r="Y78" s="2719"/>
      <c r="Z78" s="72">
        <f t="shared" ca="1" si="33"/>
        <v>0</v>
      </c>
      <c r="AA78" s="72">
        <f t="shared" ca="1" si="34"/>
        <v>0</v>
      </c>
      <c r="AB78" s="72">
        <f t="shared" ca="1" si="35"/>
        <v>0</v>
      </c>
      <c r="AC78" s="72">
        <f t="shared" ca="1" si="36"/>
        <v>0</v>
      </c>
      <c r="AD78" s="72">
        <f t="shared" ca="1" si="37"/>
        <v>0</v>
      </c>
      <c r="AE78" s="72">
        <f t="shared" ca="1" si="38"/>
        <v>0</v>
      </c>
      <c r="AF78">
        <f t="shared" si="39"/>
        <v>0</v>
      </c>
    </row>
    <row r="79" spans="1:32" x14ac:dyDescent="0.25">
      <c r="A79" s="3363"/>
      <c r="B79" s="3233"/>
      <c r="C79" s="3234"/>
      <c r="D79" s="3233"/>
      <c r="E79" s="3234"/>
      <c r="F79" s="3233"/>
      <c r="G79" s="3232"/>
      <c r="H79" s="3231" t="str">
        <f t="shared" si="3"/>
        <v/>
      </c>
      <c r="I79" s="3231" t="str">
        <f t="shared" si="4"/>
        <v/>
      </c>
      <c r="J79" s="3232"/>
      <c r="K79" s="3231" t="str">
        <f t="shared" si="5"/>
        <v/>
      </c>
      <c r="L79" s="3231" t="str">
        <f t="shared" si="23"/>
        <v>-</v>
      </c>
      <c r="M79" s="2727">
        <f t="shared" ca="1" si="40"/>
        <v>0</v>
      </c>
      <c r="N79" s="2727">
        <f t="shared" ca="1" si="40"/>
        <v>0</v>
      </c>
      <c r="O79" s="2727">
        <f t="shared" ca="1" si="24"/>
        <v>0</v>
      </c>
      <c r="P79" s="72">
        <f t="shared" ca="1" si="25"/>
        <v>0</v>
      </c>
      <c r="Q79">
        <f t="shared" ca="1" si="26"/>
        <v>0</v>
      </c>
      <c r="R79">
        <f t="shared" ca="1" si="27"/>
        <v>0</v>
      </c>
      <c r="S79">
        <f t="shared" ca="1" si="28"/>
        <v>0</v>
      </c>
      <c r="T79">
        <f t="shared" ca="1" si="29"/>
        <v>0</v>
      </c>
      <c r="U79">
        <f t="shared" ca="1" si="30"/>
        <v>0</v>
      </c>
      <c r="W79" s="487" t="str">
        <f t="shared" si="31"/>
        <v>-</v>
      </c>
      <c r="X79" s="2719" t="str">
        <f t="shared" si="32"/>
        <v/>
      </c>
      <c r="Y79" s="2719"/>
      <c r="Z79" s="72">
        <f t="shared" ca="1" si="33"/>
        <v>0</v>
      </c>
      <c r="AA79" s="72">
        <f t="shared" ca="1" si="34"/>
        <v>0</v>
      </c>
      <c r="AB79" s="72">
        <f t="shared" ca="1" si="35"/>
        <v>0</v>
      </c>
      <c r="AC79" s="72">
        <f t="shared" ca="1" si="36"/>
        <v>0</v>
      </c>
      <c r="AD79" s="72">
        <f t="shared" ca="1" si="37"/>
        <v>0</v>
      </c>
      <c r="AE79" s="72">
        <f t="shared" ca="1" si="38"/>
        <v>0</v>
      </c>
      <c r="AF79">
        <f t="shared" si="39"/>
        <v>0</v>
      </c>
    </row>
    <row r="80" spans="1:32" x14ac:dyDescent="0.25">
      <c r="A80" s="3363"/>
      <c r="B80" s="3233"/>
      <c r="C80" s="3234"/>
      <c r="D80" s="3233"/>
      <c r="E80" s="3234"/>
      <c r="F80" s="3233"/>
      <c r="G80" s="3232"/>
      <c r="H80" s="3231" t="str">
        <f t="shared" si="3"/>
        <v/>
      </c>
      <c r="I80" s="3231" t="str">
        <f t="shared" si="4"/>
        <v/>
      </c>
      <c r="J80" s="3232"/>
      <c r="K80" s="3231" t="str">
        <f t="shared" si="5"/>
        <v/>
      </c>
      <c r="L80" s="3231" t="str">
        <f t="shared" si="23"/>
        <v>-</v>
      </c>
      <c r="M80" s="2727">
        <f t="shared" ca="1" si="40"/>
        <v>0</v>
      </c>
      <c r="N80" s="2727">
        <f t="shared" ca="1" si="40"/>
        <v>0</v>
      </c>
      <c r="O80" s="2727">
        <f t="shared" ca="1" si="24"/>
        <v>0</v>
      </c>
      <c r="P80" s="72">
        <f t="shared" ca="1" si="25"/>
        <v>0</v>
      </c>
      <c r="Q80">
        <f t="shared" ca="1" si="26"/>
        <v>0</v>
      </c>
      <c r="R80">
        <f t="shared" ca="1" si="27"/>
        <v>0</v>
      </c>
      <c r="S80">
        <f t="shared" ca="1" si="28"/>
        <v>0</v>
      </c>
      <c r="T80">
        <f t="shared" ca="1" si="29"/>
        <v>0</v>
      </c>
      <c r="U80">
        <f t="shared" ca="1" si="30"/>
        <v>0</v>
      </c>
      <c r="W80" s="487" t="str">
        <f t="shared" si="31"/>
        <v>-</v>
      </c>
      <c r="X80" s="2719" t="str">
        <f t="shared" si="32"/>
        <v/>
      </c>
      <c r="Y80" s="2719"/>
      <c r="Z80" s="72">
        <f t="shared" ca="1" si="33"/>
        <v>0</v>
      </c>
      <c r="AA80" s="72">
        <f t="shared" ca="1" si="34"/>
        <v>0</v>
      </c>
      <c r="AB80" s="72">
        <f t="shared" ca="1" si="35"/>
        <v>0</v>
      </c>
      <c r="AC80" s="72">
        <f t="shared" ca="1" si="36"/>
        <v>0</v>
      </c>
      <c r="AD80" s="72">
        <f t="shared" ca="1" si="37"/>
        <v>0</v>
      </c>
      <c r="AE80" s="72">
        <f t="shared" ca="1" si="38"/>
        <v>0</v>
      </c>
      <c r="AF80">
        <f t="shared" si="39"/>
        <v>0</v>
      </c>
    </row>
    <row r="81" spans="1:32" x14ac:dyDescent="0.25">
      <c r="A81" s="3363"/>
      <c r="B81" s="3233"/>
      <c r="C81" s="3234"/>
      <c r="D81" s="3233"/>
      <c r="E81" s="3234"/>
      <c r="F81" s="3233"/>
      <c r="G81" s="3232"/>
      <c r="H81" s="3231" t="str">
        <f t="shared" si="3"/>
        <v/>
      </c>
      <c r="I81" s="3231" t="str">
        <f t="shared" si="4"/>
        <v/>
      </c>
      <c r="J81" s="3232"/>
      <c r="K81" s="3231" t="str">
        <f t="shared" si="5"/>
        <v/>
      </c>
      <c r="L81" s="3231" t="str">
        <f t="shared" si="23"/>
        <v>-</v>
      </c>
      <c r="M81" s="2727">
        <f t="shared" ca="1" si="40"/>
        <v>0</v>
      </c>
      <c r="N81" s="2727">
        <f t="shared" ca="1" si="40"/>
        <v>0</v>
      </c>
      <c r="O81" s="2727">
        <f t="shared" ca="1" si="24"/>
        <v>0</v>
      </c>
      <c r="P81" s="72">
        <f t="shared" ca="1" si="25"/>
        <v>0</v>
      </c>
      <c r="Q81">
        <f t="shared" ca="1" si="26"/>
        <v>0</v>
      </c>
      <c r="R81">
        <f t="shared" ca="1" si="27"/>
        <v>0</v>
      </c>
      <c r="S81">
        <f t="shared" ca="1" si="28"/>
        <v>0</v>
      </c>
      <c r="T81">
        <f t="shared" ca="1" si="29"/>
        <v>0</v>
      </c>
      <c r="U81">
        <f t="shared" ca="1" si="30"/>
        <v>0</v>
      </c>
      <c r="W81" s="487" t="str">
        <f t="shared" si="31"/>
        <v>-</v>
      </c>
      <c r="X81" s="2719" t="str">
        <f t="shared" si="32"/>
        <v/>
      </c>
      <c r="Y81" s="2719"/>
      <c r="Z81" s="72">
        <f t="shared" ca="1" si="33"/>
        <v>0</v>
      </c>
      <c r="AA81" s="72">
        <f t="shared" ca="1" si="34"/>
        <v>0</v>
      </c>
      <c r="AB81" s="72">
        <f t="shared" ca="1" si="35"/>
        <v>0</v>
      </c>
      <c r="AC81" s="72">
        <f t="shared" ca="1" si="36"/>
        <v>0</v>
      </c>
      <c r="AD81" s="72">
        <f t="shared" ca="1" si="37"/>
        <v>0</v>
      </c>
      <c r="AE81" s="72">
        <f t="shared" ca="1" si="38"/>
        <v>0</v>
      </c>
      <c r="AF81">
        <f t="shared" si="39"/>
        <v>0</v>
      </c>
    </row>
    <row r="82" spans="1:32" x14ac:dyDescent="0.25">
      <c r="A82" s="3363"/>
      <c r="B82" s="3233"/>
      <c r="C82" s="3234"/>
      <c r="D82" s="3233"/>
      <c r="E82" s="3234"/>
      <c r="F82" s="3233"/>
      <c r="G82" s="3232"/>
      <c r="H82" s="3231" t="str">
        <f t="shared" si="3"/>
        <v/>
      </c>
      <c r="I82" s="3231" t="str">
        <f t="shared" si="4"/>
        <v/>
      </c>
      <c r="J82" s="3232"/>
      <c r="K82" s="3231" t="str">
        <f t="shared" si="5"/>
        <v/>
      </c>
      <c r="L82" s="3231" t="str">
        <f t="shared" si="23"/>
        <v>-</v>
      </c>
      <c r="M82" s="2727">
        <f t="shared" ca="1" si="40"/>
        <v>0</v>
      </c>
      <c r="N82" s="2727">
        <f t="shared" ca="1" si="40"/>
        <v>0</v>
      </c>
      <c r="O82" s="2727">
        <f t="shared" ca="1" si="24"/>
        <v>0</v>
      </c>
      <c r="P82" s="72">
        <f t="shared" ca="1" si="25"/>
        <v>0</v>
      </c>
      <c r="Q82">
        <f t="shared" ca="1" si="26"/>
        <v>0</v>
      </c>
      <c r="R82">
        <f t="shared" ca="1" si="27"/>
        <v>0</v>
      </c>
      <c r="S82">
        <f t="shared" ca="1" si="28"/>
        <v>0</v>
      </c>
      <c r="T82">
        <f t="shared" ca="1" si="29"/>
        <v>0</v>
      </c>
      <c r="U82">
        <f t="shared" ca="1" si="30"/>
        <v>0</v>
      </c>
      <c r="W82" s="487" t="str">
        <f t="shared" si="31"/>
        <v>-</v>
      </c>
      <c r="X82" s="2719" t="str">
        <f t="shared" si="32"/>
        <v/>
      </c>
      <c r="Y82" s="2719"/>
      <c r="Z82" s="72">
        <f t="shared" ca="1" si="33"/>
        <v>0</v>
      </c>
      <c r="AA82" s="72">
        <f t="shared" ca="1" si="34"/>
        <v>0</v>
      </c>
      <c r="AB82" s="72">
        <f t="shared" ca="1" si="35"/>
        <v>0</v>
      </c>
      <c r="AC82" s="72">
        <f t="shared" ca="1" si="36"/>
        <v>0</v>
      </c>
      <c r="AD82" s="72">
        <f t="shared" ca="1" si="37"/>
        <v>0</v>
      </c>
      <c r="AE82" s="72">
        <f t="shared" ca="1" si="38"/>
        <v>0</v>
      </c>
      <c r="AF82">
        <f t="shared" si="39"/>
        <v>0</v>
      </c>
    </row>
    <row r="83" spans="1:32" x14ac:dyDescent="0.25">
      <c r="A83" s="3363"/>
      <c r="B83" s="3233"/>
      <c r="C83" s="3234"/>
      <c r="D83" s="3233"/>
      <c r="E83" s="3234"/>
      <c r="F83" s="3233"/>
      <c r="G83" s="3232"/>
      <c r="H83" s="3231" t="str">
        <f t="shared" si="3"/>
        <v/>
      </c>
      <c r="I83" s="3231" t="str">
        <f t="shared" si="4"/>
        <v/>
      </c>
      <c r="J83" s="3232"/>
      <c r="K83" s="3231" t="str">
        <f t="shared" si="5"/>
        <v/>
      </c>
      <c r="L83" s="3231" t="str">
        <f t="shared" si="23"/>
        <v>-</v>
      </c>
      <c r="M83" s="2727">
        <f t="shared" ca="1" si="40"/>
        <v>0</v>
      </c>
      <c r="N83" s="2727">
        <f t="shared" ca="1" si="40"/>
        <v>0</v>
      </c>
      <c r="O83" s="2727">
        <f t="shared" ca="1" si="24"/>
        <v>0</v>
      </c>
      <c r="P83" s="72">
        <f t="shared" ca="1" si="25"/>
        <v>0</v>
      </c>
      <c r="Q83">
        <f t="shared" ca="1" si="26"/>
        <v>0</v>
      </c>
      <c r="R83">
        <f t="shared" ca="1" si="27"/>
        <v>0</v>
      </c>
      <c r="S83">
        <f t="shared" ca="1" si="28"/>
        <v>0</v>
      </c>
      <c r="T83">
        <f t="shared" ca="1" si="29"/>
        <v>0</v>
      </c>
      <c r="U83">
        <f t="shared" ca="1" si="30"/>
        <v>0</v>
      </c>
      <c r="W83" s="487" t="str">
        <f t="shared" si="31"/>
        <v>-</v>
      </c>
      <c r="X83" s="2719" t="str">
        <f t="shared" si="32"/>
        <v/>
      </c>
      <c r="Y83" s="2719"/>
      <c r="Z83" s="72">
        <f t="shared" ca="1" si="33"/>
        <v>0</v>
      </c>
      <c r="AA83" s="72">
        <f t="shared" ca="1" si="34"/>
        <v>0</v>
      </c>
      <c r="AB83" s="72">
        <f t="shared" ca="1" si="35"/>
        <v>0</v>
      </c>
      <c r="AC83" s="72">
        <f t="shared" ca="1" si="36"/>
        <v>0</v>
      </c>
      <c r="AD83" s="72">
        <f t="shared" ca="1" si="37"/>
        <v>0</v>
      </c>
      <c r="AE83" s="72">
        <f t="shared" ca="1" si="38"/>
        <v>0</v>
      </c>
      <c r="AF83">
        <f t="shared" si="39"/>
        <v>0</v>
      </c>
    </row>
    <row r="84" spans="1:32" x14ac:dyDescent="0.25">
      <c r="A84" s="3363"/>
      <c r="B84" s="3233"/>
      <c r="C84" s="3234"/>
      <c r="D84" s="3233"/>
      <c r="E84" s="3234"/>
      <c r="F84" s="3233"/>
      <c r="G84" s="3232"/>
      <c r="H84" s="3231" t="str">
        <f t="shared" si="3"/>
        <v/>
      </c>
      <c r="I84" s="3231" t="str">
        <f t="shared" si="4"/>
        <v/>
      </c>
      <c r="J84" s="3232"/>
      <c r="K84" s="3231" t="str">
        <f t="shared" si="5"/>
        <v/>
      </c>
      <c r="L84" s="3231" t="str">
        <f t="shared" si="23"/>
        <v>-</v>
      </c>
      <c r="M84" s="2727">
        <f t="shared" ca="1" si="40"/>
        <v>0</v>
      </c>
      <c r="N84" s="2727">
        <f t="shared" ca="1" si="40"/>
        <v>0</v>
      </c>
      <c r="O84" s="2727">
        <f t="shared" ca="1" si="24"/>
        <v>0</v>
      </c>
      <c r="P84" s="72">
        <f t="shared" ca="1" si="25"/>
        <v>0</v>
      </c>
      <c r="Q84">
        <f t="shared" ca="1" si="26"/>
        <v>0</v>
      </c>
      <c r="R84">
        <f t="shared" ca="1" si="27"/>
        <v>0</v>
      </c>
      <c r="S84">
        <f t="shared" ca="1" si="28"/>
        <v>0</v>
      </c>
      <c r="T84">
        <f t="shared" ca="1" si="29"/>
        <v>0</v>
      </c>
      <c r="U84">
        <f t="shared" ca="1" si="30"/>
        <v>0</v>
      </c>
      <c r="W84" s="487" t="str">
        <f t="shared" si="31"/>
        <v>-</v>
      </c>
      <c r="X84" s="2719" t="str">
        <f t="shared" si="32"/>
        <v/>
      </c>
      <c r="Y84" s="2719"/>
      <c r="Z84" s="72">
        <f t="shared" ca="1" si="33"/>
        <v>0</v>
      </c>
      <c r="AA84" s="72">
        <f t="shared" ca="1" si="34"/>
        <v>0</v>
      </c>
      <c r="AB84" s="72">
        <f t="shared" ca="1" si="35"/>
        <v>0</v>
      </c>
      <c r="AC84" s="72">
        <f t="shared" ca="1" si="36"/>
        <v>0</v>
      </c>
      <c r="AD84" s="72">
        <f t="shared" ca="1" si="37"/>
        <v>0</v>
      </c>
      <c r="AE84" s="72">
        <f t="shared" ca="1" si="38"/>
        <v>0</v>
      </c>
      <c r="AF84">
        <f t="shared" si="39"/>
        <v>0</v>
      </c>
    </row>
    <row r="85" spans="1:32" x14ac:dyDescent="0.25">
      <c r="A85" s="3363"/>
      <c r="B85" s="3233"/>
      <c r="C85" s="3234"/>
      <c r="D85" s="3233"/>
      <c r="E85" s="3234"/>
      <c r="F85" s="3233"/>
      <c r="G85" s="3232"/>
      <c r="H85" s="3231" t="str">
        <f t="shared" si="3"/>
        <v/>
      </c>
      <c r="I85" s="3231" t="str">
        <f t="shared" si="4"/>
        <v/>
      </c>
      <c r="J85" s="3232"/>
      <c r="K85" s="3231" t="str">
        <f t="shared" si="5"/>
        <v/>
      </c>
      <c r="L85" s="3231" t="str">
        <f t="shared" si="23"/>
        <v>-</v>
      </c>
      <c r="M85" s="2727">
        <f t="shared" ca="1" si="40"/>
        <v>0</v>
      </c>
      <c r="N85" s="2727">
        <f t="shared" ca="1" si="40"/>
        <v>0</v>
      </c>
      <c r="O85" s="2727">
        <f t="shared" ca="1" si="24"/>
        <v>0</v>
      </c>
      <c r="P85" s="72">
        <f t="shared" ca="1" si="25"/>
        <v>0</v>
      </c>
      <c r="Q85">
        <f t="shared" ca="1" si="26"/>
        <v>0</v>
      </c>
      <c r="R85">
        <f t="shared" ca="1" si="27"/>
        <v>0</v>
      </c>
      <c r="S85">
        <f t="shared" ca="1" si="28"/>
        <v>0</v>
      </c>
      <c r="T85">
        <f t="shared" ca="1" si="29"/>
        <v>0</v>
      </c>
      <c r="U85">
        <f t="shared" ca="1" si="30"/>
        <v>0</v>
      </c>
      <c r="W85" s="487" t="str">
        <f t="shared" si="31"/>
        <v>-</v>
      </c>
      <c r="X85" s="2719" t="str">
        <f t="shared" si="32"/>
        <v/>
      </c>
      <c r="Y85" s="2719"/>
      <c r="Z85" s="72">
        <f t="shared" ca="1" si="33"/>
        <v>0</v>
      </c>
      <c r="AA85" s="72">
        <f t="shared" ca="1" si="34"/>
        <v>0</v>
      </c>
      <c r="AB85" s="72">
        <f t="shared" ca="1" si="35"/>
        <v>0</v>
      </c>
      <c r="AC85" s="72">
        <f t="shared" ca="1" si="36"/>
        <v>0</v>
      </c>
      <c r="AD85" s="72">
        <f t="shared" ca="1" si="37"/>
        <v>0</v>
      </c>
      <c r="AE85" s="72">
        <f t="shared" ca="1" si="38"/>
        <v>0</v>
      </c>
      <c r="AF85">
        <f t="shared" si="39"/>
        <v>0</v>
      </c>
    </row>
    <row r="86" spans="1:32" x14ac:dyDescent="0.25">
      <c r="A86" s="3363"/>
      <c r="B86" s="3233"/>
      <c r="C86" s="3234"/>
      <c r="D86" s="3233"/>
      <c r="E86" s="3234"/>
      <c r="F86" s="3233"/>
      <c r="G86" s="3232"/>
      <c r="H86" s="3231" t="str">
        <f t="shared" si="3"/>
        <v/>
      </c>
      <c r="I86" s="3231" t="str">
        <f t="shared" si="4"/>
        <v/>
      </c>
      <c r="J86" s="3232"/>
      <c r="K86" s="3231" t="str">
        <f t="shared" si="5"/>
        <v/>
      </c>
      <c r="L86" s="3231" t="str">
        <f t="shared" si="23"/>
        <v>-</v>
      </c>
      <c r="M86" s="2727">
        <f t="shared" ca="1" si="40"/>
        <v>0</v>
      </c>
      <c r="N86" s="2727">
        <f t="shared" ca="1" si="40"/>
        <v>0</v>
      </c>
      <c r="O86" s="2727">
        <f t="shared" ca="1" si="24"/>
        <v>0</v>
      </c>
      <c r="P86" s="72">
        <f t="shared" ca="1" si="25"/>
        <v>0</v>
      </c>
      <c r="Q86">
        <f t="shared" ca="1" si="26"/>
        <v>0</v>
      </c>
      <c r="R86">
        <f t="shared" ca="1" si="27"/>
        <v>0</v>
      </c>
      <c r="S86">
        <f t="shared" ca="1" si="28"/>
        <v>0</v>
      </c>
      <c r="T86">
        <f t="shared" ca="1" si="29"/>
        <v>0</v>
      </c>
      <c r="U86">
        <f t="shared" ca="1" si="30"/>
        <v>0</v>
      </c>
      <c r="W86" s="487" t="str">
        <f t="shared" si="31"/>
        <v>-</v>
      </c>
      <c r="X86" s="2719" t="str">
        <f t="shared" si="32"/>
        <v/>
      </c>
      <c r="Y86" s="2719"/>
      <c r="Z86" s="72">
        <f t="shared" ca="1" si="33"/>
        <v>0</v>
      </c>
      <c r="AA86" s="72">
        <f t="shared" ca="1" si="34"/>
        <v>0</v>
      </c>
      <c r="AB86" s="72">
        <f t="shared" ca="1" si="35"/>
        <v>0</v>
      </c>
      <c r="AC86" s="72">
        <f t="shared" ca="1" si="36"/>
        <v>0</v>
      </c>
      <c r="AD86" s="72">
        <f t="shared" ca="1" si="37"/>
        <v>0</v>
      </c>
      <c r="AE86" s="72">
        <f t="shared" ca="1" si="38"/>
        <v>0</v>
      </c>
      <c r="AF86">
        <f t="shared" si="39"/>
        <v>0</v>
      </c>
    </row>
    <row r="87" spans="1:32" x14ac:dyDescent="0.25">
      <c r="A87" s="3363"/>
      <c r="B87" s="3233"/>
      <c r="C87" s="3234"/>
      <c r="D87" s="3233"/>
      <c r="E87" s="3234"/>
      <c r="F87" s="3233"/>
      <c r="G87" s="3232"/>
      <c r="H87" s="3231" t="str">
        <f t="shared" si="3"/>
        <v/>
      </c>
      <c r="I87" s="3231" t="str">
        <f t="shared" si="4"/>
        <v/>
      </c>
      <c r="J87" s="3232"/>
      <c r="K87" s="3231" t="str">
        <f t="shared" si="5"/>
        <v/>
      </c>
      <c r="L87" s="3231" t="str">
        <f t="shared" si="23"/>
        <v>-</v>
      </c>
      <c r="M87" s="2727">
        <f t="shared" ca="1" si="40"/>
        <v>0</v>
      </c>
      <c r="N87" s="2727">
        <f t="shared" ca="1" si="40"/>
        <v>0</v>
      </c>
      <c r="O87" s="2727">
        <f t="shared" ca="1" si="24"/>
        <v>0</v>
      </c>
      <c r="P87" s="72">
        <f t="shared" ca="1" si="25"/>
        <v>0</v>
      </c>
      <c r="Q87">
        <f t="shared" ca="1" si="26"/>
        <v>0</v>
      </c>
      <c r="R87">
        <f t="shared" ca="1" si="27"/>
        <v>0</v>
      </c>
      <c r="S87">
        <f t="shared" ca="1" si="28"/>
        <v>0</v>
      </c>
      <c r="T87">
        <f t="shared" ca="1" si="29"/>
        <v>0</v>
      </c>
      <c r="U87">
        <f t="shared" ca="1" si="30"/>
        <v>0</v>
      </c>
      <c r="W87" s="487" t="str">
        <f t="shared" si="31"/>
        <v>-</v>
      </c>
      <c r="X87" s="2719" t="str">
        <f t="shared" si="32"/>
        <v/>
      </c>
      <c r="Y87" s="2719"/>
      <c r="Z87" s="72">
        <f t="shared" ca="1" si="33"/>
        <v>0</v>
      </c>
      <c r="AA87" s="72">
        <f t="shared" ca="1" si="34"/>
        <v>0</v>
      </c>
      <c r="AB87" s="72">
        <f t="shared" ca="1" si="35"/>
        <v>0</v>
      </c>
      <c r="AC87" s="72">
        <f t="shared" ca="1" si="36"/>
        <v>0</v>
      </c>
      <c r="AD87" s="72">
        <f t="shared" ca="1" si="37"/>
        <v>0</v>
      </c>
      <c r="AE87" s="72">
        <f t="shared" ca="1" si="38"/>
        <v>0</v>
      </c>
      <c r="AF87">
        <f t="shared" si="39"/>
        <v>0</v>
      </c>
    </row>
    <row r="88" spans="1:32" x14ac:dyDescent="0.25">
      <c r="A88" s="3363"/>
      <c r="B88" s="3233"/>
      <c r="C88" s="3234"/>
      <c r="D88" s="3233"/>
      <c r="E88" s="3234"/>
      <c r="F88" s="3233"/>
      <c r="G88" s="3232"/>
      <c r="H88" s="3231" t="str">
        <f t="shared" ref="H88:H132" si="41">IF(ISNUMBER(SEARCH("Electrodependientes-Residencial", G88)), "6000", IF(ISNUMBER(SEARCH("Bomberos Voluntarios-Residencial", G88)), "6000", IF(ISNUMBER(SEARCH("Clubes de Barrio y Pueblo-Residencial", G88)), "6500", IF(ISNUMBER(SEARCH("Clubes de Barrio y Pueblo-No Residencial", G88)), "6500", IF(ISNUMBER(SEARCH("Entidades de Bien Público-Residencial", G88)), "6500", IF(ISNUMBER(SEARCH("Entidades de Bien Público-No Residencial", G88)), "6500", IF(ISNUMBER(SEARCH("Medidores comunitarios de complejos habitacionales-Residencial", G88)), "N2", IF(ISNUMBER(SEARCH("Asentamientos residenciales-Residencial", G88)), "N2", ""))))))))</f>
        <v/>
      </c>
      <c r="I88" s="3231" t="str">
        <f t="shared" ref="I88:I132" si="42">IF(ISNUMBER(SEARCH("No Residencial", G88)), "No Residencial", IF(ISNUMBER(SEARCH("Residencial", G88)), "Residencial", ""))</f>
        <v/>
      </c>
      <c r="J88" s="3232"/>
      <c r="K88" s="3231" t="str">
        <f t="shared" ref="K88:K132" si="43">IF(I88="Residencial", IF(J88&lt;=150, "UR1", IF(AND(J88&gt;150, J88&lt;=500), "UR2", IF(AND(J88&gt;500, J88&lt;=700), "UR3", IF(AND(J88&gt;700, J88&lt;=1400), "UR4", IF(J88&gt;1400, "UR5", ""))))), IF(I88="No Residencial", IF(J88&lt;2000, "NR1", IF(AND(J88&gt;1999, J88&lt;3000), "NR2", IF(AND(J88&gt;=3000, J88&lt;=8999), "U30", IF(J88&gt;8999, "Gud", "")))), ""))</f>
        <v/>
      </c>
      <c r="L88" s="3231" t="str">
        <f t="shared" si="23"/>
        <v>-</v>
      </c>
      <c r="M88" s="2727">
        <f t="shared" ca="1" si="40"/>
        <v>0</v>
      </c>
      <c r="N88" s="2727">
        <f t="shared" ca="1" si="40"/>
        <v>0</v>
      </c>
      <c r="O88" s="2727">
        <f t="shared" ca="1" si="24"/>
        <v>0</v>
      </c>
      <c r="P88" s="72">
        <f t="shared" ca="1" si="25"/>
        <v>0</v>
      </c>
      <c r="Q88">
        <f t="shared" ca="1" si="26"/>
        <v>0</v>
      </c>
      <c r="R88">
        <f t="shared" ca="1" si="27"/>
        <v>0</v>
      </c>
      <c r="S88">
        <f t="shared" ca="1" si="28"/>
        <v>0</v>
      </c>
      <c r="T88">
        <f t="shared" ca="1" si="29"/>
        <v>0</v>
      </c>
      <c r="U88">
        <f t="shared" ca="1" si="30"/>
        <v>0</v>
      </c>
      <c r="W88" s="487" t="str">
        <f t="shared" si="31"/>
        <v>-</v>
      </c>
      <c r="X88" s="2719" t="str">
        <f t="shared" si="32"/>
        <v/>
      </c>
      <c r="Y88" s="2719"/>
      <c r="Z88" s="72">
        <f t="shared" ca="1" si="33"/>
        <v>0</v>
      </c>
      <c r="AA88" s="72">
        <f t="shared" ca="1" si="34"/>
        <v>0</v>
      </c>
      <c r="AB88" s="72">
        <f t="shared" ca="1" si="35"/>
        <v>0</v>
      </c>
      <c r="AC88" s="72">
        <f t="shared" ca="1" si="36"/>
        <v>0</v>
      </c>
      <c r="AD88" s="72">
        <f t="shared" ca="1" si="37"/>
        <v>0</v>
      </c>
      <c r="AE88" s="72">
        <f t="shared" ca="1" si="38"/>
        <v>0</v>
      </c>
      <c r="AF88">
        <f t="shared" si="39"/>
        <v>0</v>
      </c>
    </row>
    <row r="89" spans="1:32" x14ac:dyDescent="0.25">
      <c r="A89" s="3363"/>
      <c r="B89" s="3233"/>
      <c r="C89" s="3234"/>
      <c r="D89" s="3233"/>
      <c r="E89" s="3234"/>
      <c r="F89" s="3233"/>
      <c r="G89" s="3232"/>
      <c r="H89" s="3231" t="str">
        <f t="shared" si="41"/>
        <v/>
      </c>
      <c r="I89" s="3231" t="str">
        <f t="shared" si="42"/>
        <v/>
      </c>
      <c r="J89" s="3232"/>
      <c r="K89" s="3231" t="str">
        <f t="shared" si="43"/>
        <v/>
      </c>
      <c r="L89" s="3231" t="str">
        <f t="shared" si="23"/>
        <v>-</v>
      </c>
      <c r="M89" s="2727">
        <f t="shared" ca="1" si="40"/>
        <v>0</v>
      </c>
      <c r="N89" s="2727">
        <f t="shared" ca="1" si="40"/>
        <v>0</v>
      </c>
      <c r="O89" s="2727">
        <f t="shared" ca="1" si="24"/>
        <v>0</v>
      </c>
      <c r="P89" s="72">
        <f t="shared" ca="1" si="25"/>
        <v>0</v>
      </c>
      <c r="Q89">
        <f t="shared" ca="1" si="26"/>
        <v>0</v>
      </c>
      <c r="R89">
        <f t="shared" ca="1" si="27"/>
        <v>0</v>
      </c>
      <c r="S89">
        <f t="shared" ca="1" si="28"/>
        <v>0</v>
      </c>
      <c r="T89">
        <f t="shared" ca="1" si="29"/>
        <v>0</v>
      </c>
      <c r="U89">
        <f t="shared" ca="1" si="30"/>
        <v>0</v>
      </c>
      <c r="W89" s="487" t="str">
        <f t="shared" si="31"/>
        <v>-</v>
      </c>
      <c r="X89" s="2719" t="str">
        <f t="shared" si="32"/>
        <v/>
      </c>
      <c r="Y89" s="2719"/>
      <c r="Z89" s="72">
        <f t="shared" ca="1" si="33"/>
        <v>0</v>
      </c>
      <c r="AA89" s="72">
        <f t="shared" ca="1" si="34"/>
        <v>0</v>
      </c>
      <c r="AB89" s="72">
        <f t="shared" ca="1" si="35"/>
        <v>0</v>
      </c>
      <c r="AC89" s="72">
        <f t="shared" ca="1" si="36"/>
        <v>0</v>
      </c>
      <c r="AD89" s="72">
        <f t="shared" ca="1" si="37"/>
        <v>0</v>
      </c>
      <c r="AE89" s="72">
        <f t="shared" ca="1" si="38"/>
        <v>0</v>
      </c>
      <c r="AF89">
        <f t="shared" si="39"/>
        <v>0</v>
      </c>
    </row>
    <row r="90" spans="1:32" x14ac:dyDescent="0.25">
      <c r="A90" s="3363"/>
      <c r="B90" s="3233"/>
      <c r="C90" s="3234"/>
      <c r="D90" s="3233"/>
      <c r="E90" s="3234"/>
      <c r="F90" s="3233"/>
      <c r="G90" s="3232"/>
      <c r="H90" s="3231" t="str">
        <f t="shared" si="41"/>
        <v/>
      </c>
      <c r="I90" s="3231" t="str">
        <f t="shared" si="42"/>
        <v/>
      </c>
      <c r="J90" s="3232"/>
      <c r="K90" s="3231" t="str">
        <f t="shared" si="43"/>
        <v/>
      </c>
      <c r="L90" s="3231" t="str">
        <f t="shared" si="23"/>
        <v>-</v>
      </c>
      <c r="M90" s="2727">
        <f t="shared" ca="1" si="40"/>
        <v>0</v>
      </c>
      <c r="N90" s="2727">
        <f t="shared" ca="1" si="40"/>
        <v>0</v>
      </c>
      <c r="O90" s="2727">
        <f t="shared" ca="1" si="24"/>
        <v>0</v>
      </c>
      <c r="P90" s="72">
        <f t="shared" ca="1" si="25"/>
        <v>0</v>
      </c>
      <c r="Q90">
        <f t="shared" ca="1" si="26"/>
        <v>0</v>
      </c>
      <c r="R90">
        <f t="shared" ca="1" si="27"/>
        <v>0</v>
      </c>
      <c r="S90">
        <f t="shared" ca="1" si="28"/>
        <v>0</v>
      </c>
      <c r="T90">
        <f t="shared" ca="1" si="29"/>
        <v>0</v>
      </c>
      <c r="U90">
        <f t="shared" ca="1" si="30"/>
        <v>0</v>
      </c>
      <c r="W90" s="487" t="str">
        <f t="shared" si="31"/>
        <v>-</v>
      </c>
      <c r="X90" s="2719" t="str">
        <f t="shared" si="32"/>
        <v/>
      </c>
      <c r="Y90" s="2719"/>
      <c r="Z90" s="72">
        <f t="shared" ca="1" si="33"/>
        <v>0</v>
      </c>
      <c r="AA90" s="72">
        <f t="shared" ca="1" si="34"/>
        <v>0</v>
      </c>
      <c r="AB90" s="72">
        <f t="shared" ca="1" si="35"/>
        <v>0</v>
      </c>
      <c r="AC90" s="72">
        <f t="shared" ca="1" si="36"/>
        <v>0</v>
      </c>
      <c r="AD90" s="72">
        <f t="shared" ca="1" si="37"/>
        <v>0</v>
      </c>
      <c r="AE90" s="72">
        <f t="shared" ca="1" si="38"/>
        <v>0</v>
      </c>
      <c r="AF90">
        <f t="shared" si="39"/>
        <v>0</v>
      </c>
    </row>
    <row r="91" spans="1:32" x14ac:dyDescent="0.25">
      <c r="A91" s="3363"/>
      <c r="B91" s="3233"/>
      <c r="C91" s="3234"/>
      <c r="D91" s="3233"/>
      <c r="E91" s="3234"/>
      <c r="F91" s="3233"/>
      <c r="G91" s="3232"/>
      <c r="H91" s="3231" t="str">
        <f t="shared" si="41"/>
        <v/>
      </c>
      <c r="I91" s="3231" t="str">
        <f t="shared" si="42"/>
        <v/>
      </c>
      <c r="J91" s="3232"/>
      <c r="K91" s="3231" t="str">
        <f t="shared" si="43"/>
        <v/>
      </c>
      <c r="L91" s="3231" t="str">
        <f t="shared" si="23"/>
        <v>-</v>
      </c>
      <c r="M91" s="2727">
        <f t="shared" ca="1" si="40"/>
        <v>0</v>
      </c>
      <c r="N91" s="2727">
        <f t="shared" ca="1" si="40"/>
        <v>0</v>
      </c>
      <c r="O91" s="2727">
        <f t="shared" ca="1" si="24"/>
        <v>0</v>
      </c>
      <c r="P91" s="72">
        <f t="shared" ca="1" si="25"/>
        <v>0</v>
      </c>
      <c r="Q91">
        <f t="shared" ca="1" si="26"/>
        <v>0</v>
      </c>
      <c r="R91">
        <f t="shared" ca="1" si="27"/>
        <v>0</v>
      </c>
      <c r="S91">
        <f t="shared" ca="1" si="28"/>
        <v>0</v>
      </c>
      <c r="T91">
        <f t="shared" ca="1" si="29"/>
        <v>0</v>
      </c>
      <c r="U91">
        <f t="shared" ca="1" si="30"/>
        <v>0</v>
      </c>
      <c r="W91" s="487" t="str">
        <f t="shared" si="31"/>
        <v>-</v>
      </c>
      <c r="X91" s="2719" t="str">
        <f t="shared" si="32"/>
        <v/>
      </c>
      <c r="Y91" s="2719"/>
      <c r="Z91" s="72">
        <f t="shared" ca="1" si="33"/>
        <v>0</v>
      </c>
      <c r="AA91" s="72">
        <f t="shared" ca="1" si="34"/>
        <v>0</v>
      </c>
      <c r="AB91" s="72">
        <f t="shared" ca="1" si="35"/>
        <v>0</v>
      </c>
      <c r="AC91" s="72">
        <f t="shared" ca="1" si="36"/>
        <v>0</v>
      </c>
      <c r="AD91" s="72">
        <f t="shared" ca="1" si="37"/>
        <v>0</v>
      </c>
      <c r="AE91" s="72">
        <f t="shared" ca="1" si="38"/>
        <v>0</v>
      </c>
      <c r="AF91">
        <f t="shared" si="39"/>
        <v>0</v>
      </c>
    </row>
    <row r="92" spans="1:32" x14ac:dyDescent="0.25">
      <c r="A92" s="3363"/>
      <c r="B92" s="3233"/>
      <c r="C92" s="3234"/>
      <c r="D92" s="3233"/>
      <c r="E92" s="3234"/>
      <c r="F92" s="3233"/>
      <c r="G92" s="3232"/>
      <c r="H92" s="3231" t="str">
        <f t="shared" si="41"/>
        <v/>
      </c>
      <c r="I92" s="3231" t="str">
        <f t="shared" si="42"/>
        <v/>
      </c>
      <c r="J92" s="3232"/>
      <c r="K92" s="3231" t="str">
        <f t="shared" si="43"/>
        <v/>
      </c>
      <c r="L92" s="3231" t="str">
        <f t="shared" si="23"/>
        <v>-</v>
      </c>
      <c r="M92" s="2727">
        <f t="shared" ca="1" si="40"/>
        <v>0</v>
      </c>
      <c r="N92" s="2727">
        <f t="shared" ca="1" si="40"/>
        <v>0</v>
      </c>
      <c r="O92" s="2727">
        <f t="shared" ca="1" si="24"/>
        <v>0</v>
      </c>
      <c r="P92" s="72">
        <f t="shared" ca="1" si="25"/>
        <v>0</v>
      </c>
      <c r="Q92">
        <f t="shared" ca="1" si="26"/>
        <v>0</v>
      </c>
      <c r="R92">
        <f t="shared" ca="1" si="27"/>
        <v>0</v>
      </c>
      <c r="S92">
        <f t="shared" ca="1" si="28"/>
        <v>0</v>
      </c>
      <c r="T92">
        <f t="shared" ca="1" si="29"/>
        <v>0</v>
      </c>
      <c r="U92">
        <f t="shared" ca="1" si="30"/>
        <v>0</v>
      </c>
      <c r="W92" s="487" t="str">
        <f t="shared" si="31"/>
        <v>-</v>
      </c>
      <c r="X92" s="2719" t="str">
        <f t="shared" si="32"/>
        <v/>
      </c>
      <c r="Y92" s="2719"/>
      <c r="Z92" s="72">
        <f t="shared" ca="1" si="33"/>
        <v>0</v>
      </c>
      <c r="AA92" s="72">
        <f t="shared" ca="1" si="34"/>
        <v>0</v>
      </c>
      <c r="AB92" s="72">
        <f t="shared" ca="1" si="35"/>
        <v>0</v>
      </c>
      <c r="AC92" s="72">
        <f t="shared" ca="1" si="36"/>
        <v>0</v>
      </c>
      <c r="AD92" s="72">
        <f t="shared" ca="1" si="37"/>
        <v>0</v>
      </c>
      <c r="AE92" s="72">
        <f t="shared" ca="1" si="38"/>
        <v>0</v>
      </c>
      <c r="AF92">
        <f t="shared" si="39"/>
        <v>0</v>
      </c>
    </row>
    <row r="93" spans="1:32" x14ac:dyDescent="0.25">
      <c r="A93" s="3363"/>
      <c r="B93" s="3233"/>
      <c r="C93" s="3234"/>
      <c r="D93" s="3233"/>
      <c r="E93" s="3234"/>
      <c r="F93" s="3233"/>
      <c r="G93" s="3232"/>
      <c r="H93" s="3231" t="str">
        <f t="shared" si="41"/>
        <v/>
      </c>
      <c r="I93" s="3231" t="str">
        <f t="shared" si="42"/>
        <v/>
      </c>
      <c r="J93" s="3232"/>
      <c r="K93" s="3231" t="str">
        <f t="shared" si="43"/>
        <v/>
      </c>
      <c r="L93" s="3231" t="str">
        <f t="shared" si="23"/>
        <v>-</v>
      </c>
      <c r="M93" s="2727">
        <f t="shared" ca="1" si="40"/>
        <v>0</v>
      </c>
      <c r="N93" s="2727">
        <f t="shared" ca="1" si="40"/>
        <v>0</v>
      </c>
      <c r="O93" s="2727">
        <f t="shared" ca="1" si="24"/>
        <v>0</v>
      </c>
      <c r="P93" s="72">
        <f t="shared" ca="1" si="25"/>
        <v>0</v>
      </c>
      <c r="Q93">
        <f t="shared" ca="1" si="26"/>
        <v>0</v>
      </c>
      <c r="R93">
        <f t="shared" ca="1" si="27"/>
        <v>0</v>
      </c>
      <c r="S93">
        <f t="shared" ca="1" si="28"/>
        <v>0</v>
      </c>
      <c r="T93">
        <f t="shared" ca="1" si="29"/>
        <v>0</v>
      </c>
      <c r="U93">
        <f t="shared" ca="1" si="30"/>
        <v>0</v>
      </c>
      <c r="W93" s="487" t="str">
        <f t="shared" si="31"/>
        <v>-</v>
      </c>
      <c r="X93" s="2719" t="str">
        <f t="shared" si="32"/>
        <v/>
      </c>
      <c r="Y93" s="2719"/>
      <c r="Z93" s="72">
        <f t="shared" ca="1" si="33"/>
        <v>0</v>
      </c>
      <c r="AA93" s="72">
        <f t="shared" ca="1" si="34"/>
        <v>0</v>
      </c>
      <c r="AB93" s="72">
        <f t="shared" ca="1" si="35"/>
        <v>0</v>
      </c>
      <c r="AC93" s="72">
        <f t="shared" ca="1" si="36"/>
        <v>0</v>
      </c>
      <c r="AD93" s="72">
        <f t="shared" ca="1" si="37"/>
        <v>0</v>
      </c>
      <c r="AE93" s="72">
        <f t="shared" ca="1" si="38"/>
        <v>0</v>
      </c>
      <c r="AF93">
        <f t="shared" si="39"/>
        <v>0</v>
      </c>
    </row>
    <row r="94" spans="1:32" x14ac:dyDescent="0.25">
      <c r="A94" s="3363"/>
      <c r="B94" s="3233"/>
      <c r="C94" s="3234"/>
      <c r="D94" s="3233"/>
      <c r="E94" s="3234"/>
      <c r="F94" s="3233"/>
      <c r="G94" s="3232"/>
      <c r="H94" s="3231" t="str">
        <f t="shared" si="41"/>
        <v/>
      </c>
      <c r="I94" s="3231" t="str">
        <f t="shared" si="42"/>
        <v/>
      </c>
      <c r="J94" s="3232"/>
      <c r="K94" s="3231" t="str">
        <f t="shared" si="43"/>
        <v/>
      </c>
      <c r="L94" s="3231" t="str">
        <f t="shared" si="23"/>
        <v>-</v>
      </c>
      <c r="M94" s="2727">
        <f t="shared" ca="1" si="40"/>
        <v>0</v>
      </c>
      <c r="N94" s="2727">
        <f t="shared" ca="1" si="40"/>
        <v>0</v>
      </c>
      <c r="O94" s="2727">
        <f t="shared" ca="1" si="24"/>
        <v>0</v>
      </c>
      <c r="P94" s="72">
        <f t="shared" ca="1" si="25"/>
        <v>0</v>
      </c>
      <c r="Q94">
        <f t="shared" ca="1" si="26"/>
        <v>0</v>
      </c>
      <c r="R94">
        <f t="shared" ca="1" si="27"/>
        <v>0</v>
      </c>
      <c r="S94">
        <f t="shared" ca="1" si="28"/>
        <v>0</v>
      </c>
      <c r="T94">
        <f t="shared" ca="1" si="29"/>
        <v>0</v>
      </c>
      <c r="U94">
        <f t="shared" ca="1" si="30"/>
        <v>0</v>
      </c>
      <c r="W94" s="487" t="str">
        <f t="shared" si="31"/>
        <v>-</v>
      </c>
      <c r="X94" s="2719" t="str">
        <f t="shared" si="32"/>
        <v/>
      </c>
      <c r="Y94" s="2719"/>
      <c r="Z94" s="72">
        <f t="shared" ca="1" si="33"/>
        <v>0</v>
      </c>
      <c r="AA94" s="72">
        <f t="shared" ca="1" si="34"/>
        <v>0</v>
      </c>
      <c r="AB94" s="72">
        <f t="shared" ca="1" si="35"/>
        <v>0</v>
      </c>
      <c r="AC94" s="72">
        <f t="shared" ca="1" si="36"/>
        <v>0</v>
      </c>
      <c r="AD94" s="72">
        <f t="shared" ca="1" si="37"/>
        <v>0</v>
      </c>
      <c r="AE94" s="72">
        <f t="shared" ca="1" si="38"/>
        <v>0</v>
      </c>
      <c r="AF94">
        <f t="shared" si="39"/>
        <v>0</v>
      </c>
    </row>
    <row r="95" spans="1:32" x14ac:dyDescent="0.25">
      <c r="A95" s="3363"/>
      <c r="B95" s="3233"/>
      <c r="C95" s="3234"/>
      <c r="D95" s="3233"/>
      <c r="E95" s="3234"/>
      <c r="F95" s="3233"/>
      <c r="G95" s="3232"/>
      <c r="H95" s="3231" t="str">
        <f t="shared" si="41"/>
        <v/>
      </c>
      <c r="I95" s="3231" t="str">
        <f t="shared" si="42"/>
        <v/>
      </c>
      <c r="J95" s="3232"/>
      <c r="K95" s="3231" t="str">
        <f t="shared" si="43"/>
        <v/>
      </c>
      <c r="L95" s="3231" t="str">
        <f t="shared" si="23"/>
        <v>-</v>
      </c>
      <c r="M95" s="2727">
        <f t="shared" ca="1" si="40"/>
        <v>0</v>
      </c>
      <c r="N95" s="2727">
        <f t="shared" ca="1" si="40"/>
        <v>0</v>
      </c>
      <c r="O95" s="2727">
        <f t="shared" ca="1" si="24"/>
        <v>0</v>
      </c>
      <c r="P95" s="72">
        <f t="shared" ca="1" si="25"/>
        <v>0</v>
      </c>
      <c r="Q95">
        <f t="shared" ca="1" si="26"/>
        <v>0</v>
      </c>
      <c r="R95">
        <f t="shared" ca="1" si="27"/>
        <v>0</v>
      </c>
      <c r="S95">
        <f t="shared" ca="1" si="28"/>
        <v>0</v>
      </c>
      <c r="T95">
        <f t="shared" ca="1" si="29"/>
        <v>0</v>
      </c>
      <c r="U95">
        <f t="shared" ca="1" si="30"/>
        <v>0</v>
      </c>
      <c r="W95" s="487" t="str">
        <f t="shared" si="31"/>
        <v>-</v>
      </c>
      <c r="X95" s="2719" t="str">
        <f t="shared" si="32"/>
        <v/>
      </c>
      <c r="Y95" s="2719"/>
      <c r="Z95" s="72">
        <f t="shared" ca="1" si="33"/>
        <v>0</v>
      </c>
      <c r="AA95" s="72">
        <f t="shared" ca="1" si="34"/>
        <v>0</v>
      </c>
      <c r="AB95" s="72">
        <f t="shared" ca="1" si="35"/>
        <v>0</v>
      </c>
      <c r="AC95" s="72">
        <f t="shared" ca="1" si="36"/>
        <v>0</v>
      </c>
      <c r="AD95" s="72">
        <f t="shared" ca="1" si="37"/>
        <v>0</v>
      </c>
      <c r="AE95" s="72">
        <f t="shared" ca="1" si="38"/>
        <v>0</v>
      </c>
      <c r="AF95">
        <f t="shared" si="39"/>
        <v>0</v>
      </c>
    </row>
    <row r="96" spans="1:32" x14ac:dyDescent="0.25">
      <c r="A96" s="3363"/>
      <c r="B96" s="3233"/>
      <c r="C96" s="3234"/>
      <c r="D96" s="3233"/>
      <c r="E96" s="3234"/>
      <c r="F96" s="3233"/>
      <c r="G96" s="3232"/>
      <c r="H96" s="3231" t="str">
        <f t="shared" si="41"/>
        <v/>
      </c>
      <c r="I96" s="3231" t="str">
        <f t="shared" si="42"/>
        <v/>
      </c>
      <c r="J96" s="3232"/>
      <c r="K96" s="3231" t="str">
        <f t="shared" si="43"/>
        <v/>
      </c>
      <c r="L96" s="3231" t="str">
        <f t="shared" si="23"/>
        <v>-</v>
      </c>
      <c r="M96" s="2727">
        <f t="shared" ca="1" si="40"/>
        <v>0</v>
      </c>
      <c r="N96" s="2727">
        <f t="shared" ca="1" si="40"/>
        <v>0</v>
      </c>
      <c r="O96" s="2727">
        <f t="shared" ca="1" si="24"/>
        <v>0</v>
      </c>
      <c r="P96" s="72">
        <f t="shared" ca="1" si="25"/>
        <v>0</v>
      </c>
      <c r="Q96">
        <f t="shared" ca="1" si="26"/>
        <v>0</v>
      </c>
      <c r="R96">
        <f t="shared" ca="1" si="27"/>
        <v>0</v>
      </c>
      <c r="S96">
        <f t="shared" ca="1" si="28"/>
        <v>0</v>
      </c>
      <c r="T96">
        <f t="shared" ca="1" si="29"/>
        <v>0</v>
      </c>
      <c r="U96">
        <f t="shared" ca="1" si="30"/>
        <v>0</v>
      </c>
      <c r="W96" s="487" t="str">
        <f t="shared" si="31"/>
        <v>-</v>
      </c>
      <c r="X96" s="2719" t="str">
        <f t="shared" si="32"/>
        <v/>
      </c>
      <c r="Y96" s="2719"/>
      <c r="Z96" s="72">
        <f t="shared" ca="1" si="33"/>
        <v>0</v>
      </c>
      <c r="AA96" s="72">
        <f t="shared" ca="1" si="34"/>
        <v>0</v>
      </c>
      <c r="AB96" s="72">
        <f t="shared" ca="1" si="35"/>
        <v>0</v>
      </c>
      <c r="AC96" s="72">
        <f t="shared" ca="1" si="36"/>
        <v>0</v>
      </c>
      <c r="AD96" s="72">
        <f t="shared" ca="1" si="37"/>
        <v>0</v>
      </c>
      <c r="AE96" s="72">
        <f t="shared" ca="1" si="38"/>
        <v>0</v>
      </c>
      <c r="AF96">
        <f t="shared" si="39"/>
        <v>0</v>
      </c>
    </row>
    <row r="97" spans="1:32" x14ac:dyDescent="0.25">
      <c r="A97" s="3363"/>
      <c r="B97" s="3233"/>
      <c r="C97" s="3234"/>
      <c r="D97" s="3233"/>
      <c r="E97" s="3234"/>
      <c r="F97" s="3233"/>
      <c r="G97" s="3232"/>
      <c r="H97" s="3231" t="str">
        <f t="shared" si="41"/>
        <v/>
      </c>
      <c r="I97" s="3231" t="str">
        <f t="shared" si="42"/>
        <v/>
      </c>
      <c r="J97" s="3232"/>
      <c r="K97" s="3231" t="str">
        <f t="shared" si="43"/>
        <v/>
      </c>
      <c r="L97" s="3231" t="str">
        <f t="shared" si="23"/>
        <v>-</v>
      </c>
      <c r="M97" s="2727">
        <f t="shared" ca="1" si="40"/>
        <v>0</v>
      </c>
      <c r="N97" s="2727">
        <f t="shared" ca="1" si="40"/>
        <v>0</v>
      </c>
      <c r="O97" s="2727">
        <f t="shared" ca="1" si="24"/>
        <v>0</v>
      </c>
      <c r="P97" s="72">
        <f t="shared" ca="1" si="25"/>
        <v>0</v>
      </c>
      <c r="Q97">
        <f t="shared" ca="1" si="26"/>
        <v>0</v>
      </c>
      <c r="R97">
        <f t="shared" ca="1" si="27"/>
        <v>0</v>
      </c>
      <c r="S97">
        <f t="shared" ca="1" si="28"/>
        <v>0</v>
      </c>
      <c r="T97">
        <f t="shared" ca="1" si="29"/>
        <v>0</v>
      </c>
      <c r="U97">
        <f t="shared" ca="1" si="30"/>
        <v>0</v>
      </c>
      <c r="W97" s="487" t="str">
        <f t="shared" si="31"/>
        <v>-</v>
      </c>
      <c r="X97" s="2719" t="str">
        <f t="shared" si="32"/>
        <v/>
      </c>
      <c r="Y97" s="2719"/>
      <c r="Z97" s="72">
        <f t="shared" ca="1" si="33"/>
        <v>0</v>
      </c>
      <c r="AA97" s="72">
        <f t="shared" ca="1" si="34"/>
        <v>0</v>
      </c>
      <c r="AB97" s="72">
        <f t="shared" ca="1" si="35"/>
        <v>0</v>
      </c>
      <c r="AC97" s="72">
        <f t="shared" ca="1" si="36"/>
        <v>0</v>
      </c>
      <c r="AD97" s="72">
        <f t="shared" ca="1" si="37"/>
        <v>0</v>
      </c>
      <c r="AE97" s="72">
        <f t="shared" ca="1" si="38"/>
        <v>0</v>
      </c>
      <c r="AF97">
        <f t="shared" si="39"/>
        <v>0</v>
      </c>
    </row>
    <row r="98" spans="1:32" x14ac:dyDescent="0.25">
      <c r="A98" s="3363"/>
      <c r="B98" s="3233"/>
      <c r="C98" s="3234"/>
      <c r="D98" s="3233"/>
      <c r="E98" s="3234"/>
      <c r="F98" s="3233"/>
      <c r="G98" s="3232"/>
      <c r="H98" s="3231" t="str">
        <f t="shared" si="41"/>
        <v/>
      </c>
      <c r="I98" s="3231" t="str">
        <f t="shared" si="42"/>
        <v/>
      </c>
      <c r="J98" s="3232"/>
      <c r="K98" s="3231" t="str">
        <f t="shared" si="43"/>
        <v/>
      </c>
      <c r="L98" s="3231" t="str">
        <f t="shared" si="23"/>
        <v>-</v>
      </c>
      <c r="M98" s="2727">
        <f t="shared" ca="1" si="40"/>
        <v>0</v>
      </c>
      <c r="N98" s="2727">
        <f t="shared" ca="1" si="40"/>
        <v>0</v>
      </c>
      <c r="O98" s="2727">
        <f t="shared" ca="1" si="24"/>
        <v>0</v>
      </c>
      <c r="P98" s="72">
        <f t="shared" ca="1" si="25"/>
        <v>0</v>
      </c>
      <c r="Q98">
        <f t="shared" ca="1" si="26"/>
        <v>0</v>
      </c>
      <c r="R98">
        <f t="shared" ca="1" si="27"/>
        <v>0</v>
      </c>
      <c r="S98">
        <f t="shared" ca="1" si="28"/>
        <v>0</v>
      </c>
      <c r="T98">
        <f t="shared" ca="1" si="29"/>
        <v>0</v>
      </c>
      <c r="U98">
        <f t="shared" ca="1" si="30"/>
        <v>0</v>
      </c>
      <c r="W98" s="487" t="str">
        <f t="shared" si="31"/>
        <v>-</v>
      </c>
      <c r="X98" s="2719" t="str">
        <f t="shared" si="32"/>
        <v/>
      </c>
      <c r="Y98" s="2719"/>
      <c r="Z98" s="72">
        <f t="shared" ca="1" si="33"/>
        <v>0</v>
      </c>
      <c r="AA98" s="72">
        <f t="shared" ca="1" si="34"/>
        <v>0</v>
      </c>
      <c r="AB98" s="72">
        <f t="shared" ca="1" si="35"/>
        <v>0</v>
      </c>
      <c r="AC98" s="72">
        <f t="shared" ca="1" si="36"/>
        <v>0</v>
      </c>
      <c r="AD98" s="72">
        <f t="shared" ca="1" si="37"/>
        <v>0</v>
      </c>
      <c r="AE98" s="72">
        <f t="shared" ca="1" si="38"/>
        <v>0</v>
      </c>
      <c r="AF98">
        <f t="shared" si="39"/>
        <v>0</v>
      </c>
    </row>
    <row r="99" spans="1:32" x14ac:dyDescent="0.25">
      <c r="A99" s="3363"/>
      <c r="B99" s="3233"/>
      <c r="C99" s="3234"/>
      <c r="D99" s="3233"/>
      <c r="E99" s="3234"/>
      <c r="F99" s="3233"/>
      <c r="G99" s="3232"/>
      <c r="H99" s="3231" t="str">
        <f t="shared" si="41"/>
        <v/>
      </c>
      <c r="I99" s="3231" t="str">
        <f t="shared" si="42"/>
        <v/>
      </c>
      <c r="J99" s="3232"/>
      <c r="K99" s="3231" t="str">
        <f t="shared" si="43"/>
        <v/>
      </c>
      <c r="L99" s="3231" t="str">
        <f t="shared" ref="L99:L132" si="44">+CONCATENATE(H99,"-",K99)</f>
        <v>-</v>
      </c>
      <c r="M99" s="2727">
        <f t="shared" ca="1" si="40"/>
        <v>0</v>
      </c>
      <c r="N99" s="2727">
        <f t="shared" ca="1" si="40"/>
        <v>0</v>
      </c>
      <c r="O99" s="2727">
        <f t="shared" ref="O99:O132" ca="1" si="45">+J99-M99-N99</f>
        <v>0</v>
      </c>
      <c r="P99" s="72">
        <f t="shared" ref="P99:P132" ca="1" si="46">SUM(M99:O99)</f>
        <v>0</v>
      </c>
      <c r="Q99">
        <f t="shared" ref="Q99:Q132" ca="1" si="47">+ROUND(M99*Q$21,0)</f>
        <v>0</v>
      </c>
      <c r="R99">
        <f t="shared" ref="R99:R132" ca="1" si="48">+ROUND(N99*R$21,0)</f>
        <v>0</v>
      </c>
      <c r="S99">
        <f t="shared" ref="S99:S132" ca="1" si="49">+T99-Q99-R99</f>
        <v>0</v>
      </c>
      <c r="T99">
        <f t="shared" ref="T99:T132" ca="1" si="50">+ROUND(P99*Q$21,0)</f>
        <v>0</v>
      </c>
      <c r="U99">
        <f t="shared" ref="U99:U132" ca="1" si="51">SUM(Q99:S99)</f>
        <v>0</v>
      </c>
      <c r="W99" s="487" t="str">
        <f t="shared" ref="W99:W132" si="52">+L99</f>
        <v>-</v>
      </c>
      <c r="X99" s="2719" t="str">
        <f t="shared" ref="X99:X132" si="53">+K99</f>
        <v/>
      </c>
      <c r="Y99" s="2719"/>
      <c r="Z99" s="72">
        <f t="shared" ref="Z99:Z132" ca="1" si="54">+ROUND(M99,0)</f>
        <v>0</v>
      </c>
      <c r="AA99" s="72">
        <f t="shared" ref="AA99:AA132" ca="1" si="55">+ROUND(N99,0)</f>
        <v>0</v>
      </c>
      <c r="AB99" s="72">
        <f t="shared" ref="AB99:AB132" ca="1" si="56">+AF99-Z99-AA99</f>
        <v>0</v>
      </c>
      <c r="AC99" s="72">
        <f t="shared" ref="AC99:AC132" ca="1" si="57">+ROUND(Q99,0)</f>
        <v>0</v>
      </c>
      <c r="AD99" s="72">
        <f t="shared" ref="AD99:AD132" ca="1" si="58">+ROUND(R99,0)</f>
        <v>0</v>
      </c>
      <c r="AE99" s="72">
        <f t="shared" ref="AE99:AE132" ca="1" si="59">+ROUND(S99,0)</f>
        <v>0</v>
      </c>
      <c r="AF99">
        <f t="shared" ref="AF99:AF132" si="60">+ROUND(J99,0)</f>
        <v>0</v>
      </c>
    </row>
    <row r="100" spans="1:32" x14ac:dyDescent="0.25">
      <c r="A100" s="3363"/>
      <c r="B100" s="3233"/>
      <c r="C100" s="3234"/>
      <c r="D100" s="3233"/>
      <c r="E100" s="3234"/>
      <c r="F100" s="3233"/>
      <c r="G100" s="3232"/>
      <c r="H100" s="3231" t="str">
        <f t="shared" si="41"/>
        <v/>
      </c>
      <c r="I100" s="3231" t="str">
        <f t="shared" si="42"/>
        <v/>
      </c>
      <c r="J100" s="3232"/>
      <c r="K100" s="3231" t="str">
        <f t="shared" si="43"/>
        <v/>
      </c>
      <c r="L100" s="3231" t="str">
        <f t="shared" si="44"/>
        <v>-</v>
      </c>
      <c r="M100" s="2727">
        <f t="shared" ca="1" si="40"/>
        <v>0</v>
      </c>
      <c r="N100" s="2727">
        <f t="shared" ca="1" si="40"/>
        <v>0</v>
      </c>
      <c r="O100" s="2727">
        <f t="shared" ca="1" si="45"/>
        <v>0</v>
      </c>
      <c r="P100" s="72">
        <f t="shared" ca="1" si="46"/>
        <v>0</v>
      </c>
      <c r="Q100">
        <f t="shared" ca="1" si="47"/>
        <v>0</v>
      </c>
      <c r="R100">
        <f t="shared" ca="1" si="48"/>
        <v>0</v>
      </c>
      <c r="S100">
        <f t="shared" ca="1" si="49"/>
        <v>0</v>
      </c>
      <c r="T100">
        <f t="shared" ca="1" si="50"/>
        <v>0</v>
      </c>
      <c r="U100">
        <f t="shared" ca="1" si="51"/>
        <v>0</v>
      </c>
      <c r="W100" s="487" t="str">
        <f t="shared" si="52"/>
        <v>-</v>
      </c>
      <c r="X100" s="2719" t="str">
        <f t="shared" si="53"/>
        <v/>
      </c>
      <c r="Y100" s="2719"/>
      <c r="Z100" s="72">
        <f t="shared" ca="1" si="54"/>
        <v>0</v>
      </c>
      <c r="AA100" s="72">
        <f t="shared" ca="1" si="55"/>
        <v>0</v>
      </c>
      <c r="AB100" s="72">
        <f t="shared" ca="1" si="56"/>
        <v>0</v>
      </c>
      <c r="AC100" s="72">
        <f t="shared" ca="1" si="57"/>
        <v>0</v>
      </c>
      <c r="AD100" s="72">
        <f t="shared" ca="1" si="58"/>
        <v>0</v>
      </c>
      <c r="AE100" s="72">
        <f t="shared" ca="1" si="59"/>
        <v>0</v>
      </c>
      <c r="AF100">
        <f t="shared" si="60"/>
        <v>0</v>
      </c>
    </row>
    <row r="101" spans="1:32" x14ac:dyDescent="0.25">
      <c r="A101" s="3363"/>
      <c r="B101" s="3233"/>
      <c r="C101" s="3234"/>
      <c r="D101" s="3233"/>
      <c r="E101" s="3234"/>
      <c r="F101" s="3233"/>
      <c r="G101" s="3232"/>
      <c r="H101" s="3231" t="str">
        <f t="shared" si="41"/>
        <v/>
      </c>
      <c r="I101" s="3231" t="str">
        <f t="shared" si="42"/>
        <v/>
      </c>
      <c r="J101" s="3232"/>
      <c r="K101" s="3231" t="str">
        <f t="shared" si="43"/>
        <v/>
      </c>
      <c r="L101" s="3231" t="str">
        <f t="shared" si="44"/>
        <v>-</v>
      </c>
      <c r="M101" s="2727">
        <f t="shared" ca="1" si="40"/>
        <v>0</v>
      </c>
      <c r="N101" s="2727">
        <f t="shared" ca="1" si="40"/>
        <v>0</v>
      </c>
      <c r="O101" s="2727">
        <f t="shared" ca="1" si="45"/>
        <v>0</v>
      </c>
      <c r="P101" s="72">
        <f t="shared" ca="1" si="46"/>
        <v>0</v>
      </c>
      <c r="Q101">
        <f t="shared" ca="1" si="47"/>
        <v>0</v>
      </c>
      <c r="R101">
        <f t="shared" ca="1" si="48"/>
        <v>0</v>
      </c>
      <c r="S101">
        <f t="shared" ca="1" si="49"/>
        <v>0</v>
      </c>
      <c r="T101">
        <f t="shared" ca="1" si="50"/>
        <v>0</v>
      </c>
      <c r="U101">
        <f t="shared" ca="1" si="51"/>
        <v>0</v>
      </c>
      <c r="W101" s="487" t="str">
        <f t="shared" si="52"/>
        <v>-</v>
      </c>
      <c r="X101" s="2719" t="str">
        <f t="shared" si="53"/>
        <v/>
      </c>
      <c r="Y101" s="2719"/>
      <c r="Z101" s="72">
        <f t="shared" ca="1" si="54"/>
        <v>0</v>
      </c>
      <c r="AA101" s="72">
        <f t="shared" ca="1" si="55"/>
        <v>0</v>
      </c>
      <c r="AB101" s="72">
        <f t="shared" ca="1" si="56"/>
        <v>0</v>
      </c>
      <c r="AC101" s="72">
        <f t="shared" ca="1" si="57"/>
        <v>0</v>
      </c>
      <c r="AD101" s="72">
        <f t="shared" ca="1" si="58"/>
        <v>0</v>
      </c>
      <c r="AE101" s="72">
        <f t="shared" ca="1" si="59"/>
        <v>0</v>
      </c>
      <c r="AF101">
        <f t="shared" si="60"/>
        <v>0</v>
      </c>
    </row>
    <row r="102" spans="1:32" x14ac:dyDescent="0.25">
      <c r="A102" s="3363"/>
      <c r="B102" s="3233"/>
      <c r="C102" s="3234"/>
      <c r="D102" s="3233"/>
      <c r="E102" s="3234"/>
      <c r="F102" s="3233"/>
      <c r="G102" s="3232"/>
      <c r="H102" s="3231" t="str">
        <f t="shared" si="41"/>
        <v/>
      </c>
      <c r="I102" s="3231" t="str">
        <f t="shared" si="42"/>
        <v/>
      </c>
      <c r="J102" s="3232"/>
      <c r="K102" s="3231" t="str">
        <f t="shared" si="43"/>
        <v/>
      </c>
      <c r="L102" s="3231" t="str">
        <f t="shared" si="44"/>
        <v>-</v>
      </c>
      <c r="M102" s="2727">
        <f t="shared" ca="1" si="40"/>
        <v>0</v>
      </c>
      <c r="N102" s="2727">
        <f t="shared" ca="1" si="40"/>
        <v>0</v>
      </c>
      <c r="O102" s="2727">
        <f t="shared" ca="1" si="45"/>
        <v>0</v>
      </c>
      <c r="P102" s="72">
        <f t="shared" ca="1" si="46"/>
        <v>0</v>
      </c>
      <c r="Q102">
        <f t="shared" ca="1" si="47"/>
        <v>0</v>
      </c>
      <c r="R102">
        <f t="shared" ca="1" si="48"/>
        <v>0</v>
      </c>
      <c r="S102">
        <f t="shared" ca="1" si="49"/>
        <v>0</v>
      </c>
      <c r="T102">
        <f t="shared" ca="1" si="50"/>
        <v>0</v>
      </c>
      <c r="U102">
        <f t="shared" ca="1" si="51"/>
        <v>0</v>
      </c>
      <c r="W102" s="487" t="str">
        <f t="shared" si="52"/>
        <v>-</v>
      </c>
      <c r="X102" s="2719" t="str">
        <f t="shared" si="53"/>
        <v/>
      </c>
      <c r="Y102" s="2719"/>
      <c r="Z102" s="72">
        <f t="shared" ca="1" si="54"/>
        <v>0</v>
      </c>
      <c r="AA102" s="72">
        <f t="shared" ca="1" si="55"/>
        <v>0</v>
      </c>
      <c r="AB102" s="72">
        <f t="shared" ca="1" si="56"/>
        <v>0</v>
      </c>
      <c r="AC102" s="72">
        <f t="shared" ca="1" si="57"/>
        <v>0</v>
      </c>
      <c r="AD102" s="72">
        <f t="shared" ca="1" si="58"/>
        <v>0</v>
      </c>
      <c r="AE102" s="72">
        <f t="shared" ca="1" si="59"/>
        <v>0</v>
      </c>
      <c r="AF102">
        <f t="shared" si="60"/>
        <v>0</v>
      </c>
    </row>
    <row r="103" spans="1:32" x14ac:dyDescent="0.25">
      <c r="A103" s="3363"/>
      <c r="B103" s="3233"/>
      <c r="C103" s="3234"/>
      <c r="D103" s="3233"/>
      <c r="E103" s="3234"/>
      <c r="F103" s="3233"/>
      <c r="G103" s="3232"/>
      <c r="H103" s="3231" t="str">
        <f t="shared" si="41"/>
        <v/>
      </c>
      <c r="I103" s="3231" t="str">
        <f t="shared" si="42"/>
        <v/>
      </c>
      <c r="J103" s="3232"/>
      <c r="K103" s="3231" t="str">
        <f t="shared" si="43"/>
        <v/>
      </c>
      <c r="L103" s="3231" t="str">
        <f t="shared" si="44"/>
        <v>-</v>
      </c>
      <c r="M103" s="2727">
        <f t="shared" ca="1" si="40"/>
        <v>0</v>
      </c>
      <c r="N103" s="2727">
        <f t="shared" ca="1" si="40"/>
        <v>0</v>
      </c>
      <c r="O103" s="2727">
        <f t="shared" ca="1" si="45"/>
        <v>0</v>
      </c>
      <c r="P103" s="72">
        <f t="shared" ca="1" si="46"/>
        <v>0</v>
      </c>
      <c r="Q103">
        <f t="shared" ca="1" si="47"/>
        <v>0</v>
      </c>
      <c r="R103">
        <f t="shared" ca="1" si="48"/>
        <v>0</v>
      </c>
      <c r="S103">
        <f t="shared" ca="1" si="49"/>
        <v>0</v>
      </c>
      <c r="T103">
        <f t="shared" ca="1" si="50"/>
        <v>0</v>
      </c>
      <c r="U103">
        <f t="shared" ca="1" si="51"/>
        <v>0</v>
      </c>
      <c r="W103" s="487" t="str">
        <f t="shared" si="52"/>
        <v>-</v>
      </c>
      <c r="X103" s="2719" t="str">
        <f t="shared" si="53"/>
        <v/>
      </c>
      <c r="Y103" s="2719"/>
      <c r="Z103" s="72">
        <f t="shared" ca="1" si="54"/>
        <v>0</v>
      </c>
      <c r="AA103" s="72">
        <f t="shared" ca="1" si="55"/>
        <v>0</v>
      </c>
      <c r="AB103" s="72">
        <f t="shared" ca="1" si="56"/>
        <v>0</v>
      </c>
      <c r="AC103" s="72">
        <f t="shared" ca="1" si="57"/>
        <v>0</v>
      </c>
      <c r="AD103" s="72">
        <f t="shared" ca="1" si="58"/>
        <v>0</v>
      </c>
      <c r="AE103" s="72">
        <f t="shared" ca="1" si="59"/>
        <v>0</v>
      </c>
      <c r="AF103">
        <f t="shared" si="60"/>
        <v>0</v>
      </c>
    </row>
    <row r="104" spans="1:32" x14ac:dyDescent="0.25">
      <c r="A104" s="3363"/>
      <c r="B104" s="3233"/>
      <c r="C104" s="3234"/>
      <c r="D104" s="3233"/>
      <c r="E104" s="3234"/>
      <c r="F104" s="3233"/>
      <c r="G104" s="3232"/>
      <c r="H104" s="3231" t="str">
        <f t="shared" si="41"/>
        <v/>
      </c>
      <c r="I104" s="3231" t="str">
        <f t="shared" si="42"/>
        <v/>
      </c>
      <c r="J104" s="3232"/>
      <c r="K104" s="3231" t="str">
        <f t="shared" si="43"/>
        <v/>
      </c>
      <c r="L104" s="3231" t="str">
        <f t="shared" si="44"/>
        <v>-</v>
      </c>
      <c r="M104" s="2727">
        <f t="shared" ref="M104:N132" ca="1" si="61">+ROUND($J104*M$21,0)</f>
        <v>0</v>
      </c>
      <c r="N104" s="2727">
        <f t="shared" ca="1" si="61"/>
        <v>0</v>
      </c>
      <c r="O104" s="2727">
        <f t="shared" ca="1" si="45"/>
        <v>0</v>
      </c>
      <c r="P104" s="72">
        <f t="shared" ca="1" si="46"/>
        <v>0</v>
      </c>
      <c r="Q104">
        <f t="shared" ca="1" si="47"/>
        <v>0</v>
      </c>
      <c r="R104">
        <f t="shared" ca="1" si="48"/>
        <v>0</v>
      </c>
      <c r="S104">
        <f t="shared" ca="1" si="49"/>
        <v>0</v>
      </c>
      <c r="T104">
        <f t="shared" ca="1" si="50"/>
        <v>0</v>
      </c>
      <c r="U104">
        <f t="shared" ca="1" si="51"/>
        <v>0</v>
      </c>
      <c r="W104" s="487" t="str">
        <f t="shared" si="52"/>
        <v>-</v>
      </c>
      <c r="X104" s="2719" t="str">
        <f t="shared" si="53"/>
        <v/>
      </c>
      <c r="Y104" s="2719"/>
      <c r="Z104" s="72">
        <f t="shared" ca="1" si="54"/>
        <v>0</v>
      </c>
      <c r="AA104" s="72">
        <f t="shared" ca="1" si="55"/>
        <v>0</v>
      </c>
      <c r="AB104" s="72">
        <f t="shared" ca="1" si="56"/>
        <v>0</v>
      </c>
      <c r="AC104" s="72">
        <f t="shared" ca="1" si="57"/>
        <v>0</v>
      </c>
      <c r="AD104" s="72">
        <f t="shared" ca="1" si="58"/>
        <v>0</v>
      </c>
      <c r="AE104" s="72">
        <f t="shared" ca="1" si="59"/>
        <v>0</v>
      </c>
      <c r="AF104">
        <f t="shared" si="60"/>
        <v>0</v>
      </c>
    </row>
    <row r="105" spans="1:32" x14ac:dyDescent="0.25">
      <c r="A105" s="3363"/>
      <c r="B105" s="3233"/>
      <c r="C105" s="3234"/>
      <c r="D105" s="3233"/>
      <c r="E105" s="3234"/>
      <c r="F105" s="3233"/>
      <c r="G105" s="3232"/>
      <c r="H105" s="3231" t="str">
        <f t="shared" si="41"/>
        <v/>
      </c>
      <c r="I105" s="3231" t="str">
        <f t="shared" si="42"/>
        <v/>
      </c>
      <c r="J105" s="3232"/>
      <c r="K105" s="3231" t="str">
        <f t="shared" si="43"/>
        <v/>
      </c>
      <c r="L105" s="3231" t="str">
        <f t="shared" si="44"/>
        <v>-</v>
      </c>
      <c r="M105" s="2727">
        <f t="shared" ca="1" si="61"/>
        <v>0</v>
      </c>
      <c r="N105" s="2727">
        <f t="shared" ca="1" si="61"/>
        <v>0</v>
      </c>
      <c r="O105" s="2727">
        <f t="shared" ca="1" si="45"/>
        <v>0</v>
      </c>
      <c r="P105" s="72">
        <f t="shared" ca="1" si="46"/>
        <v>0</v>
      </c>
      <c r="Q105">
        <f t="shared" ca="1" si="47"/>
        <v>0</v>
      </c>
      <c r="R105">
        <f t="shared" ca="1" si="48"/>
        <v>0</v>
      </c>
      <c r="S105">
        <f t="shared" ca="1" si="49"/>
        <v>0</v>
      </c>
      <c r="T105">
        <f t="shared" ca="1" si="50"/>
        <v>0</v>
      </c>
      <c r="U105">
        <f t="shared" ca="1" si="51"/>
        <v>0</v>
      </c>
      <c r="W105" s="487" t="str">
        <f t="shared" si="52"/>
        <v>-</v>
      </c>
      <c r="X105" s="2719" t="str">
        <f t="shared" si="53"/>
        <v/>
      </c>
      <c r="Y105" s="2719"/>
      <c r="Z105" s="72">
        <f t="shared" ca="1" si="54"/>
        <v>0</v>
      </c>
      <c r="AA105" s="72">
        <f t="shared" ca="1" si="55"/>
        <v>0</v>
      </c>
      <c r="AB105" s="72">
        <f t="shared" ca="1" si="56"/>
        <v>0</v>
      </c>
      <c r="AC105" s="72">
        <f t="shared" ca="1" si="57"/>
        <v>0</v>
      </c>
      <c r="AD105" s="72">
        <f t="shared" ca="1" si="58"/>
        <v>0</v>
      </c>
      <c r="AE105" s="72">
        <f t="shared" ca="1" si="59"/>
        <v>0</v>
      </c>
      <c r="AF105">
        <f t="shared" si="60"/>
        <v>0</v>
      </c>
    </row>
    <row r="106" spans="1:32" x14ac:dyDescent="0.25">
      <c r="A106" s="3363"/>
      <c r="B106" s="3233"/>
      <c r="C106" s="3234"/>
      <c r="D106" s="3233"/>
      <c r="E106" s="3234"/>
      <c r="F106" s="3233"/>
      <c r="G106" s="3232"/>
      <c r="H106" s="3231" t="str">
        <f t="shared" si="41"/>
        <v/>
      </c>
      <c r="I106" s="3231" t="str">
        <f t="shared" si="42"/>
        <v/>
      </c>
      <c r="J106" s="3232"/>
      <c r="K106" s="3231" t="str">
        <f t="shared" si="43"/>
        <v/>
      </c>
      <c r="L106" s="3231" t="str">
        <f t="shared" si="44"/>
        <v>-</v>
      </c>
      <c r="M106" s="2727">
        <f t="shared" ca="1" si="61"/>
        <v>0</v>
      </c>
      <c r="N106" s="2727">
        <f t="shared" ca="1" si="61"/>
        <v>0</v>
      </c>
      <c r="O106" s="2727">
        <f t="shared" ca="1" si="45"/>
        <v>0</v>
      </c>
      <c r="P106" s="72">
        <f t="shared" ca="1" si="46"/>
        <v>0</v>
      </c>
      <c r="Q106">
        <f t="shared" ca="1" si="47"/>
        <v>0</v>
      </c>
      <c r="R106">
        <f t="shared" ca="1" si="48"/>
        <v>0</v>
      </c>
      <c r="S106">
        <f t="shared" ca="1" si="49"/>
        <v>0</v>
      </c>
      <c r="T106">
        <f t="shared" ca="1" si="50"/>
        <v>0</v>
      </c>
      <c r="U106">
        <f t="shared" ca="1" si="51"/>
        <v>0</v>
      </c>
      <c r="W106" s="487" t="str">
        <f t="shared" si="52"/>
        <v>-</v>
      </c>
      <c r="X106" s="2719" t="str">
        <f t="shared" si="53"/>
        <v/>
      </c>
      <c r="Y106" s="2719"/>
      <c r="Z106" s="72">
        <f t="shared" ca="1" si="54"/>
        <v>0</v>
      </c>
      <c r="AA106" s="72">
        <f t="shared" ca="1" si="55"/>
        <v>0</v>
      </c>
      <c r="AB106" s="72">
        <f t="shared" ca="1" si="56"/>
        <v>0</v>
      </c>
      <c r="AC106" s="72">
        <f t="shared" ca="1" si="57"/>
        <v>0</v>
      </c>
      <c r="AD106" s="72">
        <f t="shared" ca="1" si="58"/>
        <v>0</v>
      </c>
      <c r="AE106" s="72">
        <f t="shared" ca="1" si="59"/>
        <v>0</v>
      </c>
      <c r="AF106">
        <f t="shared" si="60"/>
        <v>0</v>
      </c>
    </row>
    <row r="107" spans="1:32" x14ac:dyDescent="0.25">
      <c r="A107" s="3363"/>
      <c r="B107" s="3233"/>
      <c r="C107" s="3234"/>
      <c r="D107" s="3233"/>
      <c r="E107" s="3234"/>
      <c r="F107" s="3233"/>
      <c r="G107" s="3232"/>
      <c r="H107" s="3231" t="str">
        <f t="shared" si="41"/>
        <v/>
      </c>
      <c r="I107" s="3231" t="str">
        <f t="shared" si="42"/>
        <v/>
      </c>
      <c r="J107" s="3232"/>
      <c r="K107" s="3231" t="str">
        <f t="shared" si="43"/>
        <v/>
      </c>
      <c r="L107" s="3231" t="str">
        <f t="shared" si="44"/>
        <v>-</v>
      </c>
      <c r="M107" s="2727">
        <f t="shared" ca="1" si="61"/>
        <v>0</v>
      </c>
      <c r="N107" s="2727">
        <f t="shared" ca="1" si="61"/>
        <v>0</v>
      </c>
      <c r="O107" s="2727">
        <f t="shared" ca="1" si="45"/>
        <v>0</v>
      </c>
      <c r="P107" s="72">
        <f t="shared" ca="1" si="46"/>
        <v>0</v>
      </c>
      <c r="Q107">
        <f t="shared" ca="1" si="47"/>
        <v>0</v>
      </c>
      <c r="R107">
        <f t="shared" ca="1" si="48"/>
        <v>0</v>
      </c>
      <c r="S107">
        <f t="shared" ca="1" si="49"/>
        <v>0</v>
      </c>
      <c r="T107">
        <f t="shared" ca="1" si="50"/>
        <v>0</v>
      </c>
      <c r="U107">
        <f t="shared" ca="1" si="51"/>
        <v>0</v>
      </c>
      <c r="W107" s="487" t="str">
        <f t="shared" si="52"/>
        <v>-</v>
      </c>
      <c r="X107" s="2719" t="str">
        <f t="shared" si="53"/>
        <v/>
      </c>
      <c r="Y107" s="2719"/>
      <c r="Z107" s="72">
        <f t="shared" ca="1" si="54"/>
        <v>0</v>
      </c>
      <c r="AA107" s="72">
        <f t="shared" ca="1" si="55"/>
        <v>0</v>
      </c>
      <c r="AB107" s="72">
        <f t="shared" ca="1" si="56"/>
        <v>0</v>
      </c>
      <c r="AC107" s="72">
        <f t="shared" ca="1" si="57"/>
        <v>0</v>
      </c>
      <c r="AD107" s="72">
        <f t="shared" ca="1" si="58"/>
        <v>0</v>
      </c>
      <c r="AE107" s="72">
        <f t="shared" ca="1" si="59"/>
        <v>0</v>
      </c>
      <c r="AF107">
        <f t="shared" si="60"/>
        <v>0</v>
      </c>
    </row>
    <row r="108" spans="1:32" x14ac:dyDescent="0.25">
      <c r="A108" s="3363"/>
      <c r="B108" s="3233"/>
      <c r="C108" s="3234"/>
      <c r="D108" s="3233"/>
      <c r="E108" s="3234"/>
      <c r="F108" s="3233"/>
      <c r="G108" s="3232"/>
      <c r="H108" s="3231" t="str">
        <f t="shared" si="41"/>
        <v/>
      </c>
      <c r="I108" s="3231" t="str">
        <f t="shared" si="42"/>
        <v/>
      </c>
      <c r="J108" s="3232"/>
      <c r="K108" s="3231" t="str">
        <f t="shared" si="43"/>
        <v/>
      </c>
      <c r="L108" s="3231" t="str">
        <f t="shared" si="44"/>
        <v>-</v>
      </c>
      <c r="M108" s="2727">
        <f t="shared" ca="1" si="61"/>
        <v>0</v>
      </c>
      <c r="N108" s="2727">
        <f t="shared" ca="1" si="61"/>
        <v>0</v>
      </c>
      <c r="O108" s="2727">
        <f t="shared" ca="1" si="45"/>
        <v>0</v>
      </c>
      <c r="P108" s="72">
        <f t="shared" ca="1" si="46"/>
        <v>0</v>
      </c>
      <c r="Q108">
        <f t="shared" ca="1" si="47"/>
        <v>0</v>
      </c>
      <c r="R108">
        <f t="shared" ca="1" si="48"/>
        <v>0</v>
      </c>
      <c r="S108">
        <f t="shared" ca="1" si="49"/>
        <v>0</v>
      </c>
      <c r="T108">
        <f t="shared" ca="1" si="50"/>
        <v>0</v>
      </c>
      <c r="U108">
        <f t="shared" ca="1" si="51"/>
        <v>0</v>
      </c>
      <c r="W108" s="487" t="str">
        <f t="shared" si="52"/>
        <v>-</v>
      </c>
      <c r="X108" s="2719" t="str">
        <f t="shared" si="53"/>
        <v/>
      </c>
      <c r="Y108" s="2719"/>
      <c r="Z108" s="72">
        <f t="shared" ca="1" si="54"/>
        <v>0</v>
      </c>
      <c r="AA108" s="72">
        <f t="shared" ca="1" si="55"/>
        <v>0</v>
      </c>
      <c r="AB108" s="72">
        <f t="shared" ca="1" si="56"/>
        <v>0</v>
      </c>
      <c r="AC108" s="72">
        <f t="shared" ca="1" si="57"/>
        <v>0</v>
      </c>
      <c r="AD108" s="72">
        <f t="shared" ca="1" si="58"/>
        <v>0</v>
      </c>
      <c r="AE108" s="72">
        <f t="shared" ca="1" si="59"/>
        <v>0</v>
      </c>
      <c r="AF108">
        <f t="shared" si="60"/>
        <v>0</v>
      </c>
    </row>
    <row r="109" spans="1:32" x14ac:dyDescent="0.25">
      <c r="A109" s="3363"/>
      <c r="B109" s="3233"/>
      <c r="C109" s="3234"/>
      <c r="D109" s="3233"/>
      <c r="E109" s="3234"/>
      <c r="F109" s="3233"/>
      <c r="G109" s="3232"/>
      <c r="H109" s="3231" t="str">
        <f t="shared" si="41"/>
        <v/>
      </c>
      <c r="I109" s="3231" t="str">
        <f t="shared" si="42"/>
        <v/>
      </c>
      <c r="J109" s="3232"/>
      <c r="K109" s="3231" t="str">
        <f t="shared" si="43"/>
        <v/>
      </c>
      <c r="L109" s="3231" t="str">
        <f t="shared" si="44"/>
        <v>-</v>
      </c>
      <c r="M109" s="2727">
        <f t="shared" ca="1" si="61"/>
        <v>0</v>
      </c>
      <c r="N109" s="2727">
        <f t="shared" ca="1" si="61"/>
        <v>0</v>
      </c>
      <c r="O109" s="2727">
        <f t="shared" ca="1" si="45"/>
        <v>0</v>
      </c>
      <c r="P109" s="72">
        <f t="shared" ca="1" si="46"/>
        <v>0</v>
      </c>
      <c r="Q109">
        <f t="shared" ca="1" si="47"/>
        <v>0</v>
      </c>
      <c r="R109">
        <f t="shared" ca="1" si="48"/>
        <v>0</v>
      </c>
      <c r="S109">
        <f t="shared" ca="1" si="49"/>
        <v>0</v>
      </c>
      <c r="T109">
        <f t="shared" ca="1" si="50"/>
        <v>0</v>
      </c>
      <c r="U109">
        <f t="shared" ca="1" si="51"/>
        <v>0</v>
      </c>
      <c r="W109" s="487" t="str">
        <f t="shared" si="52"/>
        <v>-</v>
      </c>
      <c r="X109" s="2719" t="str">
        <f t="shared" si="53"/>
        <v/>
      </c>
      <c r="Y109" s="2719"/>
      <c r="Z109" s="72">
        <f t="shared" ca="1" si="54"/>
        <v>0</v>
      </c>
      <c r="AA109" s="72">
        <f t="shared" ca="1" si="55"/>
        <v>0</v>
      </c>
      <c r="AB109" s="72">
        <f t="shared" ca="1" si="56"/>
        <v>0</v>
      </c>
      <c r="AC109" s="72">
        <f t="shared" ca="1" si="57"/>
        <v>0</v>
      </c>
      <c r="AD109" s="72">
        <f t="shared" ca="1" si="58"/>
        <v>0</v>
      </c>
      <c r="AE109" s="72">
        <f t="shared" ca="1" si="59"/>
        <v>0</v>
      </c>
      <c r="AF109">
        <f t="shared" si="60"/>
        <v>0</v>
      </c>
    </row>
    <row r="110" spans="1:32" x14ac:dyDescent="0.25">
      <c r="A110" s="3363"/>
      <c r="B110" s="3233"/>
      <c r="C110" s="3234"/>
      <c r="D110" s="3233"/>
      <c r="E110" s="3234"/>
      <c r="F110" s="3233"/>
      <c r="G110" s="3232"/>
      <c r="H110" s="3231" t="str">
        <f t="shared" si="41"/>
        <v/>
      </c>
      <c r="I110" s="3231" t="str">
        <f t="shared" si="42"/>
        <v/>
      </c>
      <c r="J110" s="3232"/>
      <c r="K110" s="3231" t="str">
        <f t="shared" si="43"/>
        <v/>
      </c>
      <c r="L110" s="3231" t="str">
        <f t="shared" si="44"/>
        <v>-</v>
      </c>
      <c r="M110" s="2727">
        <f t="shared" ca="1" si="61"/>
        <v>0</v>
      </c>
      <c r="N110" s="2727">
        <f t="shared" ca="1" si="61"/>
        <v>0</v>
      </c>
      <c r="O110" s="2727">
        <f t="shared" ca="1" si="45"/>
        <v>0</v>
      </c>
      <c r="P110" s="72">
        <f t="shared" ca="1" si="46"/>
        <v>0</v>
      </c>
      <c r="Q110">
        <f t="shared" ca="1" si="47"/>
        <v>0</v>
      </c>
      <c r="R110">
        <f t="shared" ca="1" si="48"/>
        <v>0</v>
      </c>
      <c r="S110">
        <f t="shared" ca="1" si="49"/>
        <v>0</v>
      </c>
      <c r="T110">
        <f t="shared" ca="1" si="50"/>
        <v>0</v>
      </c>
      <c r="U110">
        <f t="shared" ca="1" si="51"/>
        <v>0</v>
      </c>
      <c r="W110" s="487" t="str">
        <f t="shared" si="52"/>
        <v>-</v>
      </c>
      <c r="X110" s="2719" t="str">
        <f t="shared" si="53"/>
        <v/>
      </c>
      <c r="Y110" s="2719"/>
      <c r="Z110" s="72">
        <f t="shared" ca="1" si="54"/>
        <v>0</v>
      </c>
      <c r="AA110" s="72">
        <f t="shared" ca="1" si="55"/>
        <v>0</v>
      </c>
      <c r="AB110" s="72">
        <f t="shared" ca="1" si="56"/>
        <v>0</v>
      </c>
      <c r="AC110" s="72">
        <f t="shared" ca="1" si="57"/>
        <v>0</v>
      </c>
      <c r="AD110" s="72">
        <f t="shared" ca="1" si="58"/>
        <v>0</v>
      </c>
      <c r="AE110" s="72">
        <f t="shared" ca="1" si="59"/>
        <v>0</v>
      </c>
      <c r="AF110">
        <f t="shared" si="60"/>
        <v>0</v>
      </c>
    </row>
    <row r="111" spans="1:32" x14ac:dyDescent="0.25">
      <c r="A111" s="3363"/>
      <c r="B111" s="3233"/>
      <c r="C111" s="3234"/>
      <c r="D111" s="3233"/>
      <c r="E111" s="3234"/>
      <c r="F111" s="3233"/>
      <c r="G111" s="3232"/>
      <c r="H111" s="3231" t="str">
        <f t="shared" si="41"/>
        <v/>
      </c>
      <c r="I111" s="3231" t="str">
        <f t="shared" si="42"/>
        <v/>
      </c>
      <c r="J111" s="3232"/>
      <c r="K111" s="3231" t="str">
        <f t="shared" si="43"/>
        <v/>
      </c>
      <c r="L111" s="3231" t="str">
        <f t="shared" si="44"/>
        <v>-</v>
      </c>
      <c r="M111" s="2727">
        <f t="shared" ca="1" si="61"/>
        <v>0</v>
      </c>
      <c r="N111" s="2727">
        <f t="shared" ca="1" si="61"/>
        <v>0</v>
      </c>
      <c r="O111" s="2727">
        <f t="shared" ca="1" si="45"/>
        <v>0</v>
      </c>
      <c r="P111" s="72">
        <f t="shared" ca="1" si="46"/>
        <v>0</v>
      </c>
      <c r="Q111">
        <f t="shared" ca="1" si="47"/>
        <v>0</v>
      </c>
      <c r="R111">
        <f t="shared" ca="1" si="48"/>
        <v>0</v>
      </c>
      <c r="S111">
        <f t="shared" ca="1" si="49"/>
        <v>0</v>
      </c>
      <c r="T111">
        <f t="shared" ca="1" si="50"/>
        <v>0</v>
      </c>
      <c r="U111">
        <f t="shared" ca="1" si="51"/>
        <v>0</v>
      </c>
      <c r="W111" s="487" t="str">
        <f t="shared" si="52"/>
        <v>-</v>
      </c>
      <c r="X111" s="2719" t="str">
        <f t="shared" si="53"/>
        <v/>
      </c>
      <c r="Y111" s="2719"/>
      <c r="Z111" s="72">
        <f t="shared" ca="1" si="54"/>
        <v>0</v>
      </c>
      <c r="AA111" s="72">
        <f t="shared" ca="1" si="55"/>
        <v>0</v>
      </c>
      <c r="AB111" s="72">
        <f t="shared" ca="1" si="56"/>
        <v>0</v>
      </c>
      <c r="AC111" s="72">
        <f t="shared" ca="1" si="57"/>
        <v>0</v>
      </c>
      <c r="AD111" s="72">
        <f t="shared" ca="1" si="58"/>
        <v>0</v>
      </c>
      <c r="AE111" s="72">
        <f t="shared" ca="1" si="59"/>
        <v>0</v>
      </c>
      <c r="AF111">
        <f t="shared" si="60"/>
        <v>0</v>
      </c>
    </row>
    <row r="112" spans="1:32" x14ac:dyDescent="0.25">
      <c r="A112" s="3363"/>
      <c r="B112" s="3233"/>
      <c r="C112" s="3234"/>
      <c r="D112" s="3233"/>
      <c r="E112" s="3234"/>
      <c r="F112" s="3233"/>
      <c r="G112" s="3232"/>
      <c r="H112" s="3231" t="str">
        <f t="shared" si="41"/>
        <v/>
      </c>
      <c r="I112" s="3231" t="str">
        <f t="shared" si="42"/>
        <v/>
      </c>
      <c r="J112" s="3232"/>
      <c r="K112" s="3231" t="str">
        <f t="shared" si="43"/>
        <v/>
      </c>
      <c r="L112" s="3231" t="str">
        <f t="shared" si="44"/>
        <v>-</v>
      </c>
      <c r="M112" s="2727">
        <f t="shared" ca="1" si="61"/>
        <v>0</v>
      </c>
      <c r="N112" s="2727">
        <f t="shared" ca="1" si="61"/>
        <v>0</v>
      </c>
      <c r="O112" s="2727">
        <f t="shared" ca="1" si="45"/>
        <v>0</v>
      </c>
      <c r="P112" s="72">
        <f t="shared" ca="1" si="46"/>
        <v>0</v>
      </c>
      <c r="Q112">
        <f t="shared" ca="1" si="47"/>
        <v>0</v>
      </c>
      <c r="R112">
        <f t="shared" ca="1" si="48"/>
        <v>0</v>
      </c>
      <c r="S112">
        <f t="shared" ca="1" si="49"/>
        <v>0</v>
      </c>
      <c r="T112">
        <f t="shared" ca="1" si="50"/>
        <v>0</v>
      </c>
      <c r="U112">
        <f t="shared" ca="1" si="51"/>
        <v>0</v>
      </c>
      <c r="W112" s="487" t="str">
        <f t="shared" si="52"/>
        <v>-</v>
      </c>
      <c r="X112" s="2719" t="str">
        <f t="shared" si="53"/>
        <v/>
      </c>
      <c r="Y112" s="2719"/>
      <c r="Z112" s="72">
        <f t="shared" ca="1" si="54"/>
        <v>0</v>
      </c>
      <c r="AA112" s="72">
        <f t="shared" ca="1" si="55"/>
        <v>0</v>
      </c>
      <c r="AB112" s="72">
        <f t="shared" ca="1" si="56"/>
        <v>0</v>
      </c>
      <c r="AC112" s="72">
        <f t="shared" ca="1" si="57"/>
        <v>0</v>
      </c>
      <c r="AD112" s="72">
        <f t="shared" ca="1" si="58"/>
        <v>0</v>
      </c>
      <c r="AE112" s="72">
        <f t="shared" ca="1" si="59"/>
        <v>0</v>
      </c>
      <c r="AF112">
        <f t="shared" si="60"/>
        <v>0</v>
      </c>
    </row>
    <row r="113" spans="1:32" x14ac:dyDescent="0.25">
      <c r="A113" s="3363"/>
      <c r="B113" s="3233"/>
      <c r="C113" s="3234"/>
      <c r="D113" s="3233"/>
      <c r="E113" s="3234"/>
      <c r="F113" s="3233"/>
      <c r="G113" s="3232"/>
      <c r="H113" s="3231" t="str">
        <f t="shared" si="41"/>
        <v/>
      </c>
      <c r="I113" s="3231" t="str">
        <f t="shared" si="42"/>
        <v/>
      </c>
      <c r="J113" s="3232"/>
      <c r="K113" s="3231" t="str">
        <f t="shared" si="43"/>
        <v/>
      </c>
      <c r="L113" s="3231" t="str">
        <f t="shared" si="44"/>
        <v>-</v>
      </c>
      <c r="M113" s="2727">
        <f t="shared" ca="1" si="61"/>
        <v>0</v>
      </c>
      <c r="N113" s="2727">
        <f t="shared" ca="1" si="61"/>
        <v>0</v>
      </c>
      <c r="O113" s="2727">
        <f t="shared" ca="1" si="45"/>
        <v>0</v>
      </c>
      <c r="P113" s="72">
        <f t="shared" ca="1" si="46"/>
        <v>0</v>
      </c>
      <c r="Q113">
        <f t="shared" ca="1" si="47"/>
        <v>0</v>
      </c>
      <c r="R113">
        <f t="shared" ca="1" si="48"/>
        <v>0</v>
      </c>
      <c r="S113">
        <f t="shared" ca="1" si="49"/>
        <v>0</v>
      </c>
      <c r="T113">
        <f t="shared" ca="1" si="50"/>
        <v>0</v>
      </c>
      <c r="U113">
        <f t="shared" ca="1" si="51"/>
        <v>0</v>
      </c>
      <c r="W113" s="487" t="str">
        <f t="shared" si="52"/>
        <v>-</v>
      </c>
      <c r="X113" s="2719" t="str">
        <f t="shared" si="53"/>
        <v/>
      </c>
      <c r="Y113" s="2719"/>
      <c r="Z113" s="72">
        <f t="shared" ca="1" si="54"/>
        <v>0</v>
      </c>
      <c r="AA113" s="72">
        <f t="shared" ca="1" si="55"/>
        <v>0</v>
      </c>
      <c r="AB113" s="72">
        <f t="shared" ca="1" si="56"/>
        <v>0</v>
      </c>
      <c r="AC113" s="72">
        <f t="shared" ca="1" si="57"/>
        <v>0</v>
      </c>
      <c r="AD113" s="72">
        <f t="shared" ca="1" si="58"/>
        <v>0</v>
      </c>
      <c r="AE113" s="72">
        <f t="shared" ca="1" si="59"/>
        <v>0</v>
      </c>
      <c r="AF113">
        <f t="shared" si="60"/>
        <v>0</v>
      </c>
    </row>
    <row r="114" spans="1:32" x14ac:dyDescent="0.25">
      <c r="A114" s="3363"/>
      <c r="B114" s="3233"/>
      <c r="C114" s="3234"/>
      <c r="D114" s="3233"/>
      <c r="E114" s="3234"/>
      <c r="F114" s="3233"/>
      <c r="G114" s="3232"/>
      <c r="H114" s="3231" t="str">
        <f t="shared" si="41"/>
        <v/>
      </c>
      <c r="I114" s="3231" t="str">
        <f t="shared" si="42"/>
        <v/>
      </c>
      <c r="J114" s="3232"/>
      <c r="K114" s="3231" t="str">
        <f t="shared" si="43"/>
        <v/>
      </c>
      <c r="L114" s="3231" t="str">
        <f t="shared" si="44"/>
        <v>-</v>
      </c>
      <c r="M114" s="2727">
        <f t="shared" ca="1" si="61"/>
        <v>0</v>
      </c>
      <c r="N114" s="2727">
        <f t="shared" ca="1" si="61"/>
        <v>0</v>
      </c>
      <c r="O114" s="2727">
        <f t="shared" ca="1" si="45"/>
        <v>0</v>
      </c>
      <c r="P114" s="72">
        <f t="shared" ca="1" si="46"/>
        <v>0</v>
      </c>
      <c r="Q114">
        <f t="shared" ca="1" si="47"/>
        <v>0</v>
      </c>
      <c r="R114">
        <f t="shared" ca="1" si="48"/>
        <v>0</v>
      </c>
      <c r="S114">
        <f t="shared" ca="1" si="49"/>
        <v>0</v>
      </c>
      <c r="T114">
        <f t="shared" ca="1" si="50"/>
        <v>0</v>
      </c>
      <c r="U114">
        <f t="shared" ca="1" si="51"/>
        <v>0</v>
      </c>
      <c r="W114" s="487" t="str">
        <f t="shared" si="52"/>
        <v>-</v>
      </c>
      <c r="X114" s="2719" t="str">
        <f t="shared" si="53"/>
        <v/>
      </c>
      <c r="Y114" s="2719"/>
      <c r="Z114" s="72">
        <f t="shared" ca="1" si="54"/>
        <v>0</v>
      </c>
      <c r="AA114" s="72">
        <f t="shared" ca="1" si="55"/>
        <v>0</v>
      </c>
      <c r="AB114" s="72">
        <f t="shared" ca="1" si="56"/>
        <v>0</v>
      </c>
      <c r="AC114" s="72">
        <f t="shared" ca="1" si="57"/>
        <v>0</v>
      </c>
      <c r="AD114" s="72">
        <f t="shared" ca="1" si="58"/>
        <v>0</v>
      </c>
      <c r="AE114" s="72">
        <f t="shared" ca="1" si="59"/>
        <v>0</v>
      </c>
      <c r="AF114">
        <f t="shared" si="60"/>
        <v>0</v>
      </c>
    </row>
    <row r="115" spans="1:32" x14ac:dyDescent="0.25">
      <c r="A115" s="3363"/>
      <c r="B115" s="3233"/>
      <c r="C115" s="3234"/>
      <c r="D115" s="3233"/>
      <c r="E115" s="3234"/>
      <c r="F115" s="3233"/>
      <c r="G115" s="3232"/>
      <c r="H115" s="3231" t="str">
        <f t="shared" si="41"/>
        <v/>
      </c>
      <c r="I115" s="3231" t="str">
        <f t="shared" si="42"/>
        <v/>
      </c>
      <c r="J115" s="3232"/>
      <c r="K115" s="3231" t="str">
        <f t="shared" si="43"/>
        <v/>
      </c>
      <c r="L115" s="3231" t="str">
        <f t="shared" si="44"/>
        <v>-</v>
      </c>
      <c r="M115" s="2727">
        <f t="shared" ca="1" si="61"/>
        <v>0</v>
      </c>
      <c r="N115" s="2727">
        <f t="shared" ca="1" si="61"/>
        <v>0</v>
      </c>
      <c r="O115" s="2727">
        <f t="shared" ca="1" si="45"/>
        <v>0</v>
      </c>
      <c r="P115" s="72">
        <f t="shared" ca="1" si="46"/>
        <v>0</v>
      </c>
      <c r="Q115">
        <f t="shared" ca="1" si="47"/>
        <v>0</v>
      </c>
      <c r="R115">
        <f t="shared" ca="1" si="48"/>
        <v>0</v>
      </c>
      <c r="S115">
        <f t="shared" ca="1" si="49"/>
        <v>0</v>
      </c>
      <c r="T115">
        <f t="shared" ca="1" si="50"/>
        <v>0</v>
      </c>
      <c r="U115">
        <f t="shared" ca="1" si="51"/>
        <v>0</v>
      </c>
      <c r="W115" s="487" t="str">
        <f t="shared" si="52"/>
        <v>-</v>
      </c>
      <c r="X115" s="2719" t="str">
        <f t="shared" si="53"/>
        <v/>
      </c>
      <c r="Y115" s="2719"/>
      <c r="Z115" s="72">
        <f t="shared" ca="1" si="54"/>
        <v>0</v>
      </c>
      <c r="AA115" s="72">
        <f t="shared" ca="1" si="55"/>
        <v>0</v>
      </c>
      <c r="AB115" s="72">
        <f t="shared" ca="1" si="56"/>
        <v>0</v>
      </c>
      <c r="AC115" s="72">
        <f t="shared" ca="1" si="57"/>
        <v>0</v>
      </c>
      <c r="AD115" s="72">
        <f t="shared" ca="1" si="58"/>
        <v>0</v>
      </c>
      <c r="AE115" s="72">
        <f t="shared" ca="1" si="59"/>
        <v>0</v>
      </c>
      <c r="AF115">
        <f t="shared" si="60"/>
        <v>0</v>
      </c>
    </row>
    <row r="116" spans="1:32" x14ac:dyDescent="0.25">
      <c r="A116" s="3363"/>
      <c r="B116" s="3233"/>
      <c r="C116" s="3234"/>
      <c r="D116" s="3233"/>
      <c r="E116" s="3234"/>
      <c r="F116" s="3233"/>
      <c r="G116" s="3232"/>
      <c r="H116" s="3231" t="str">
        <f t="shared" si="41"/>
        <v/>
      </c>
      <c r="I116" s="3231" t="str">
        <f t="shared" si="42"/>
        <v/>
      </c>
      <c r="J116" s="3232"/>
      <c r="K116" s="3231" t="str">
        <f t="shared" si="43"/>
        <v/>
      </c>
      <c r="L116" s="3231" t="str">
        <f t="shared" si="44"/>
        <v>-</v>
      </c>
      <c r="M116" s="2727">
        <f t="shared" ca="1" si="61"/>
        <v>0</v>
      </c>
      <c r="N116" s="2727">
        <f t="shared" ca="1" si="61"/>
        <v>0</v>
      </c>
      <c r="O116" s="2727">
        <f t="shared" ca="1" si="45"/>
        <v>0</v>
      </c>
      <c r="P116" s="72">
        <f t="shared" ca="1" si="46"/>
        <v>0</v>
      </c>
      <c r="Q116">
        <f t="shared" ca="1" si="47"/>
        <v>0</v>
      </c>
      <c r="R116">
        <f t="shared" ca="1" si="48"/>
        <v>0</v>
      </c>
      <c r="S116">
        <f t="shared" ca="1" si="49"/>
        <v>0</v>
      </c>
      <c r="T116">
        <f t="shared" ca="1" si="50"/>
        <v>0</v>
      </c>
      <c r="U116">
        <f t="shared" ca="1" si="51"/>
        <v>0</v>
      </c>
      <c r="W116" s="487" t="str">
        <f t="shared" si="52"/>
        <v>-</v>
      </c>
      <c r="X116" s="2719" t="str">
        <f t="shared" si="53"/>
        <v/>
      </c>
      <c r="Y116" s="2719"/>
      <c r="Z116" s="72">
        <f t="shared" ca="1" si="54"/>
        <v>0</v>
      </c>
      <c r="AA116" s="72">
        <f t="shared" ca="1" si="55"/>
        <v>0</v>
      </c>
      <c r="AB116" s="72">
        <f t="shared" ca="1" si="56"/>
        <v>0</v>
      </c>
      <c r="AC116" s="72">
        <f t="shared" ca="1" si="57"/>
        <v>0</v>
      </c>
      <c r="AD116" s="72">
        <f t="shared" ca="1" si="58"/>
        <v>0</v>
      </c>
      <c r="AE116" s="72">
        <f t="shared" ca="1" si="59"/>
        <v>0</v>
      </c>
      <c r="AF116">
        <f t="shared" si="60"/>
        <v>0</v>
      </c>
    </row>
    <row r="117" spans="1:32" x14ac:dyDescent="0.25">
      <c r="A117" s="3363"/>
      <c r="B117" s="3233"/>
      <c r="C117" s="3234"/>
      <c r="D117" s="3233"/>
      <c r="E117" s="3234"/>
      <c r="F117" s="3233"/>
      <c r="G117" s="3232"/>
      <c r="H117" s="3231" t="str">
        <f t="shared" si="41"/>
        <v/>
      </c>
      <c r="I117" s="3231" t="str">
        <f t="shared" si="42"/>
        <v/>
      </c>
      <c r="J117" s="3232"/>
      <c r="K117" s="3231" t="str">
        <f t="shared" si="43"/>
        <v/>
      </c>
      <c r="L117" s="3231" t="str">
        <f t="shared" si="44"/>
        <v>-</v>
      </c>
      <c r="M117" s="2727">
        <f t="shared" ca="1" si="61"/>
        <v>0</v>
      </c>
      <c r="N117" s="2727">
        <f t="shared" ca="1" si="61"/>
        <v>0</v>
      </c>
      <c r="O117" s="2727">
        <f t="shared" ca="1" si="45"/>
        <v>0</v>
      </c>
      <c r="P117" s="72">
        <f t="shared" ca="1" si="46"/>
        <v>0</v>
      </c>
      <c r="Q117">
        <f t="shared" ca="1" si="47"/>
        <v>0</v>
      </c>
      <c r="R117">
        <f t="shared" ca="1" si="48"/>
        <v>0</v>
      </c>
      <c r="S117">
        <f t="shared" ca="1" si="49"/>
        <v>0</v>
      </c>
      <c r="T117">
        <f t="shared" ca="1" si="50"/>
        <v>0</v>
      </c>
      <c r="U117">
        <f t="shared" ca="1" si="51"/>
        <v>0</v>
      </c>
      <c r="W117" s="487" t="str">
        <f t="shared" si="52"/>
        <v>-</v>
      </c>
      <c r="X117" s="2719" t="str">
        <f t="shared" si="53"/>
        <v/>
      </c>
      <c r="Y117" s="2719"/>
      <c r="Z117" s="72">
        <f t="shared" ca="1" si="54"/>
        <v>0</v>
      </c>
      <c r="AA117" s="72">
        <f t="shared" ca="1" si="55"/>
        <v>0</v>
      </c>
      <c r="AB117" s="72">
        <f t="shared" ca="1" si="56"/>
        <v>0</v>
      </c>
      <c r="AC117" s="72">
        <f t="shared" ca="1" si="57"/>
        <v>0</v>
      </c>
      <c r="AD117" s="72">
        <f t="shared" ca="1" si="58"/>
        <v>0</v>
      </c>
      <c r="AE117" s="72">
        <f t="shared" ca="1" si="59"/>
        <v>0</v>
      </c>
      <c r="AF117">
        <f t="shared" si="60"/>
        <v>0</v>
      </c>
    </row>
    <row r="118" spans="1:32" x14ac:dyDescent="0.25">
      <c r="A118" s="3363"/>
      <c r="B118" s="3233"/>
      <c r="C118" s="3234"/>
      <c r="D118" s="3233"/>
      <c r="E118" s="3234"/>
      <c r="F118" s="3233"/>
      <c r="G118" s="3232"/>
      <c r="H118" s="3231" t="str">
        <f t="shared" si="41"/>
        <v/>
      </c>
      <c r="I118" s="3231" t="str">
        <f t="shared" si="42"/>
        <v/>
      </c>
      <c r="J118" s="3232"/>
      <c r="K118" s="3231" t="str">
        <f t="shared" si="43"/>
        <v/>
      </c>
      <c r="L118" s="3231" t="str">
        <f t="shared" si="44"/>
        <v>-</v>
      </c>
      <c r="M118" s="2727">
        <f t="shared" ca="1" si="61"/>
        <v>0</v>
      </c>
      <c r="N118" s="2727">
        <f t="shared" ca="1" si="61"/>
        <v>0</v>
      </c>
      <c r="O118" s="2727">
        <f t="shared" ca="1" si="45"/>
        <v>0</v>
      </c>
      <c r="P118" s="72">
        <f t="shared" ca="1" si="46"/>
        <v>0</v>
      </c>
      <c r="Q118">
        <f t="shared" ca="1" si="47"/>
        <v>0</v>
      </c>
      <c r="R118">
        <f t="shared" ca="1" si="48"/>
        <v>0</v>
      </c>
      <c r="S118">
        <f t="shared" ca="1" si="49"/>
        <v>0</v>
      </c>
      <c r="T118">
        <f t="shared" ca="1" si="50"/>
        <v>0</v>
      </c>
      <c r="U118">
        <f t="shared" ca="1" si="51"/>
        <v>0</v>
      </c>
      <c r="W118" s="487" t="str">
        <f t="shared" si="52"/>
        <v>-</v>
      </c>
      <c r="X118" s="2719" t="str">
        <f t="shared" si="53"/>
        <v/>
      </c>
      <c r="Y118" s="2719"/>
      <c r="Z118" s="72">
        <f t="shared" ca="1" si="54"/>
        <v>0</v>
      </c>
      <c r="AA118" s="72">
        <f t="shared" ca="1" si="55"/>
        <v>0</v>
      </c>
      <c r="AB118" s="72">
        <f t="shared" ca="1" si="56"/>
        <v>0</v>
      </c>
      <c r="AC118" s="72">
        <f t="shared" ca="1" si="57"/>
        <v>0</v>
      </c>
      <c r="AD118" s="72">
        <f t="shared" ca="1" si="58"/>
        <v>0</v>
      </c>
      <c r="AE118" s="72">
        <f t="shared" ca="1" si="59"/>
        <v>0</v>
      </c>
      <c r="AF118">
        <f t="shared" si="60"/>
        <v>0</v>
      </c>
    </row>
    <row r="119" spans="1:32" x14ac:dyDescent="0.25">
      <c r="A119" s="3363"/>
      <c r="B119" s="3233"/>
      <c r="C119" s="3234"/>
      <c r="D119" s="3233"/>
      <c r="E119" s="3234"/>
      <c r="F119" s="3233"/>
      <c r="G119" s="3232"/>
      <c r="H119" s="3231" t="str">
        <f t="shared" si="41"/>
        <v/>
      </c>
      <c r="I119" s="3231" t="str">
        <f t="shared" si="42"/>
        <v/>
      </c>
      <c r="J119" s="3232"/>
      <c r="K119" s="3231" t="str">
        <f t="shared" si="43"/>
        <v/>
      </c>
      <c r="L119" s="3231" t="str">
        <f t="shared" si="44"/>
        <v>-</v>
      </c>
      <c r="M119" s="2727">
        <f t="shared" ca="1" si="61"/>
        <v>0</v>
      </c>
      <c r="N119" s="2727">
        <f t="shared" ca="1" si="61"/>
        <v>0</v>
      </c>
      <c r="O119" s="2727">
        <f t="shared" ca="1" si="45"/>
        <v>0</v>
      </c>
      <c r="P119" s="72">
        <f t="shared" ca="1" si="46"/>
        <v>0</v>
      </c>
      <c r="Q119">
        <f t="shared" ca="1" si="47"/>
        <v>0</v>
      </c>
      <c r="R119">
        <f t="shared" ca="1" si="48"/>
        <v>0</v>
      </c>
      <c r="S119">
        <f t="shared" ca="1" si="49"/>
        <v>0</v>
      </c>
      <c r="T119">
        <f t="shared" ca="1" si="50"/>
        <v>0</v>
      </c>
      <c r="U119">
        <f t="shared" ca="1" si="51"/>
        <v>0</v>
      </c>
      <c r="W119" s="487" t="str">
        <f t="shared" si="52"/>
        <v>-</v>
      </c>
      <c r="X119" s="2719" t="str">
        <f t="shared" si="53"/>
        <v/>
      </c>
      <c r="Y119" s="2719"/>
      <c r="Z119" s="72">
        <f t="shared" ca="1" si="54"/>
        <v>0</v>
      </c>
      <c r="AA119" s="72">
        <f t="shared" ca="1" si="55"/>
        <v>0</v>
      </c>
      <c r="AB119" s="72">
        <f t="shared" ca="1" si="56"/>
        <v>0</v>
      </c>
      <c r="AC119" s="72">
        <f t="shared" ca="1" si="57"/>
        <v>0</v>
      </c>
      <c r="AD119" s="72">
        <f t="shared" ca="1" si="58"/>
        <v>0</v>
      </c>
      <c r="AE119" s="72">
        <f t="shared" ca="1" si="59"/>
        <v>0</v>
      </c>
      <c r="AF119">
        <f t="shared" si="60"/>
        <v>0</v>
      </c>
    </row>
    <row r="120" spans="1:32" x14ac:dyDescent="0.25">
      <c r="A120" s="3363"/>
      <c r="B120" s="3233"/>
      <c r="C120" s="3234"/>
      <c r="D120" s="3233"/>
      <c r="E120" s="3234"/>
      <c r="F120" s="3233"/>
      <c r="G120" s="3232"/>
      <c r="H120" s="3231" t="str">
        <f t="shared" si="41"/>
        <v/>
      </c>
      <c r="I120" s="3231" t="str">
        <f t="shared" si="42"/>
        <v/>
      </c>
      <c r="J120" s="3232"/>
      <c r="K120" s="3231" t="str">
        <f t="shared" si="43"/>
        <v/>
      </c>
      <c r="L120" s="3231" t="str">
        <f t="shared" si="44"/>
        <v>-</v>
      </c>
      <c r="M120" s="2727">
        <f t="shared" ca="1" si="61"/>
        <v>0</v>
      </c>
      <c r="N120" s="2727">
        <f t="shared" ca="1" si="61"/>
        <v>0</v>
      </c>
      <c r="O120" s="2727">
        <f t="shared" ca="1" si="45"/>
        <v>0</v>
      </c>
      <c r="P120" s="72">
        <f t="shared" ca="1" si="46"/>
        <v>0</v>
      </c>
      <c r="Q120">
        <f t="shared" ca="1" si="47"/>
        <v>0</v>
      </c>
      <c r="R120">
        <f t="shared" ca="1" si="48"/>
        <v>0</v>
      </c>
      <c r="S120">
        <f t="shared" ca="1" si="49"/>
        <v>0</v>
      </c>
      <c r="T120">
        <f t="shared" ca="1" si="50"/>
        <v>0</v>
      </c>
      <c r="U120">
        <f t="shared" ca="1" si="51"/>
        <v>0</v>
      </c>
      <c r="W120" s="487" t="str">
        <f t="shared" si="52"/>
        <v>-</v>
      </c>
      <c r="X120" s="2719" t="str">
        <f t="shared" si="53"/>
        <v/>
      </c>
      <c r="Y120" s="2719"/>
      <c r="Z120" s="72">
        <f t="shared" ca="1" si="54"/>
        <v>0</v>
      </c>
      <c r="AA120" s="72">
        <f t="shared" ca="1" si="55"/>
        <v>0</v>
      </c>
      <c r="AB120" s="72">
        <f t="shared" ca="1" si="56"/>
        <v>0</v>
      </c>
      <c r="AC120" s="72">
        <f t="shared" ca="1" si="57"/>
        <v>0</v>
      </c>
      <c r="AD120" s="72">
        <f t="shared" ca="1" si="58"/>
        <v>0</v>
      </c>
      <c r="AE120" s="72">
        <f t="shared" ca="1" si="59"/>
        <v>0</v>
      </c>
      <c r="AF120">
        <f t="shared" si="60"/>
        <v>0</v>
      </c>
    </row>
    <row r="121" spans="1:32" x14ac:dyDescent="0.25">
      <c r="A121" s="3363"/>
      <c r="B121" s="3233"/>
      <c r="C121" s="3234"/>
      <c r="D121" s="3233"/>
      <c r="E121" s="3234"/>
      <c r="F121" s="3233"/>
      <c r="G121" s="3232"/>
      <c r="H121" s="3231" t="str">
        <f t="shared" si="41"/>
        <v/>
      </c>
      <c r="I121" s="3231" t="str">
        <f t="shared" si="42"/>
        <v/>
      </c>
      <c r="J121" s="3232"/>
      <c r="K121" s="3231" t="str">
        <f t="shared" si="43"/>
        <v/>
      </c>
      <c r="L121" s="3231" t="str">
        <f t="shared" si="44"/>
        <v>-</v>
      </c>
      <c r="M121" s="2727">
        <f t="shared" ca="1" si="61"/>
        <v>0</v>
      </c>
      <c r="N121" s="2727">
        <f t="shared" ca="1" si="61"/>
        <v>0</v>
      </c>
      <c r="O121" s="2727">
        <f t="shared" ca="1" si="45"/>
        <v>0</v>
      </c>
      <c r="P121" s="72">
        <f t="shared" ca="1" si="46"/>
        <v>0</v>
      </c>
      <c r="Q121">
        <f t="shared" ca="1" si="47"/>
        <v>0</v>
      </c>
      <c r="R121">
        <f t="shared" ca="1" si="48"/>
        <v>0</v>
      </c>
      <c r="S121">
        <f t="shared" ca="1" si="49"/>
        <v>0</v>
      </c>
      <c r="T121">
        <f t="shared" ca="1" si="50"/>
        <v>0</v>
      </c>
      <c r="U121">
        <f t="shared" ca="1" si="51"/>
        <v>0</v>
      </c>
      <c r="W121" s="487" t="str">
        <f t="shared" si="52"/>
        <v>-</v>
      </c>
      <c r="X121" s="2719" t="str">
        <f t="shared" si="53"/>
        <v/>
      </c>
      <c r="Y121" s="2719"/>
      <c r="Z121" s="72">
        <f t="shared" ca="1" si="54"/>
        <v>0</v>
      </c>
      <c r="AA121" s="72">
        <f t="shared" ca="1" si="55"/>
        <v>0</v>
      </c>
      <c r="AB121" s="72">
        <f t="shared" ca="1" si="56"/>
        <v>0</v>
      </c>
      <c r="AC121" s="72">
        <f t="shared" ca="1" si="57"/>
        <v>0</v>
      </c>
      <c r="AD121" s="72">
        <f t="shared" ca="1" si="58"/>
        <v>0</v>
      </c>
      <c r="AE121" s="72">
        <f t="shared" ca="1" si="59"/>
        <v>0</v>
      </c>
      <c r="AF121">
        <f t="shared" si="60"/>
        <v>0</v>
      </c>
    </row>
    <row r="122" spans="1:32" x14ac:dyDescent="0.25">
      <c r="A122" s="3363"/>
      <c r="B122" s="3233"/>
      <c r="C122" s="3234"/>
      <c r="D122" s="3233"/>
      <c r="E122" s="3234"/>
      <c r="F122" s="3233"/>
      <c r="G122" s="3232"/>
      <c r="H122" s="3231" t="str">
        <f t="shared" si="41"/>
        <v/>
      </c>
      <c r="I122" s="3231" t="str">
        <f t="shared" si="42"/>
        <v/>
      </c>
      <c r="J122" s="3232"/>
      <c r="K122" s="3231" t="str">
        <f t="shared" si="43"/>
        <v/>
      </c>
      <c r="L122" s="3231" t="str">
        <f t="shared" si="44"/>
        <v>-</v>
      </c>
      <c r="M122" s="2727">
        <f t="shared" ca="1" si="61"/>
        <v>0</v>
      </c>
      <c r="N122" s="2727">
        <f t="shared" ca="1" si="61"/>
        <v>0</v>
      </c>
      <c r="O122" s="2727">
        <f t="shared" ca="1" si="45"/>
        <v>0</v>
      </c>
      <c r="P122" s="72">
        <f t="shared" ca="1" si="46"/>
        <v>0</v>
      </c>
      <c r="Q122">
        <f t="shared" ca="1" si="47"/>
        <v>0</v>
      </c>
      <c r="R122">
        <f t="shared" ca="1" si="48"/>
        <v>0</v>
      </c>
      <c r="S122">
        <f t="shared" ca="1" si="49"/>
        <v>0</v>
      </c>
      <c r="T122">
        <f t="shared" ca="1" si="50"/>
        <v>0</v>
      </c>
      <c r="U122">
        <f t="shared" ca="1" si="51"/>
        <v>0</v>
      </c>
      <c r="W122" s="487" t="str">
        <f t="shared" si="52"/>
        <v>-</v>
      </c>
      <c r="X122" s="2719" t="str">
        <f t="shared" si="53"/>
        <v/>
      </c>
      <c r="Y122" s="2719"/>
      <c r="Z122" s="72">
        <f t="shared" ca="1" si="54"/>
        <v>0</v>
      </c>
      <c r="AA122" s="72">
        <f t="shared" ca="1" si="55"/>
        <v>0</v>
      </c>
      <c r="AB122" s="72">
        <f t="shared" ca="1" si="56"/>
        <v>0</v>
      </c>
      <c r="AC122" s="72">
        <f t="shared" ca="1" si="57"/>
        <v>0</v>
      </c>
      <c r="AD122" s="72">
        <f t="shared" ca="1" si="58"/>
        <v>0</v>
      </c>
      <c r="AE122" s="72">
        <f t="shared" ca="1" si="59"/>
        <v>0</v>
      </c>
      <c r="AF122">
        <f t="shared" si="60"/>
        <v>0</v>
      </c>
    </row>
    <row r="123" spans="1:32" x14ac:dyDescent="0.25">
      <c r="A123" s="3363"/>
      <c r="B123" s="3233"/>
      <c r="C123" s="3234"/>
      <c r="D123" s="3233"/>
      <c r="E123" s="3234"/>
      <c r="F123" s="3233"/>
      <c r="G123" s="3232"/>
      <c r="H123" s="3231" t="str">
        <f t="shared" si="41"/>
        <v/>
      </c>
      <c r="I123" s="3231" t="str">
        <f t="shared" si="42"/>
        <v/>
      </c>
      <c r="J123" s="3232"/>
      <c r="K123" s="3231" t="str">
        <f t="shared" si="43"/>
        <v/>
      </c>
      <c r="L123" s="3231" t="str">
        <f t="shared" si="44"/>
        <v>-</v>
      </c>
      <c r="M123" s="2727">
        <f t="shared" ca="1" si="61"/>
        <v>0</v>
      </c>
      <c r="N123" s="2727">
        <f t="shared" ca="1" si="61"/>
        <v>0</v>
      </c>
      <c r="O123" s="2727">
        <f t="shared" ca="1" si="45"/>
        <v>0</v>
      </c>
      <c r="P123" s="72">
        <f t="shared" ca="1" si="46"/>
        <v>0</v>
      </c>
      <c r="Q123">
        <f t="shared" ca="1" si="47"/>
        <v>0</v>
      </c>
      <c r="R123">
        <f t="shared" ca="1" si="48"/>
        <v>0</v>
      </c>
      <c r="S123">
        <f t="shared" ca="1" si="49"/>
        <v>0</v>
      </c>
      <c r="T123">
        <f t="shared" ca="1" si="50"/>
        <v>0</v>
      </c>
      <c r="U123">
        <f t="shared" ca="1" si="51"/>
        <v>0</v>
      </c>
      <c r="W123" s="487" t="str">
        <f t="shared" si="52"/>
        <v>-</v>
      </c>
      <c r="X123" s="2719" t="str">
        <f t="shared" si="53"/>
        <v/>
      </c>
      <c r="Y123" s="2719"/>
      <c r="Z123" s="72">
        <f t="shared" ca="1" si="54"/>
        <v>0</v>
      </c>
      <c r="AA123" s="72">
        <f t="shared" ca="1" si="55"/>
        <v>0</v>
      </c>
      <c r="AB123" s="72">
        <f t="shared" ca="1" si="56"/>
        <v>0</v>
      </c>
      <c r="AC123" s="72">
        <f t="shared" ca="1" si="57"/>
        <v>0</v>
      </c>
      <c r="AD123" s="72">
        <f t="shared" ca="1" si="58"/>
        <v>0</v>
      </c>
      <c r="AE123" s="72">
        <f t="shared" ca="1" si="59"/>
        <v>0</v>
      </c>
      <c r="AF123">
        <f t="shared" si="60"/>
        <v>0</v>
      </c>
    </row>
    <row r="124" spans="1:32" x14ac:dyDescent="0.25">
      <c r="A124" s="3363"/>
      <c r="B124" s="3233"/>
      <c r="C124" s="3234"/>
      <c r="D124" s="3233"/>
      <c r="E124" s="3234"/>
      <c r="F124" s="3233"/>
      <c r="G124" s="3232"/>
      <c r="H124" s="3231" t="str">
        <f t="shared" si="41"/>
        <v/>
      </c>
      <c r="I124" s="3231" t="str">
        <f t="shared" si="42"/>
        <v/>
      </c>
      <c r="J124" s="3232"/>
      <c r="K124" s="3231" t="str">
        <f t="shared" si="43"/>
        <v/>
      </c>
      <c r="L124" s="3231" t="str">
        <f t="shared" si="44"/>
        <v>-</v>
      </c>
      <c r="M124" s="2727">
        <f t="shared" ca="1" si="61"/>
        <v>0</v>
      </c>
      <c r="N124" s="2727">
        <f t="shared" ca="1" si="61"/>
        <v>0</v>
      </c>
      <c r="O124" s="2727">
        <f t="shared" ca="1" si="45"/>
        <v>0</v>
      </c>
      <c r="P124" s="72">
        <f t="shared" ca="1" si="46"/>
        <v>0</v>
      </c>
      <c r="Q124">
        <f t="shared" ca="1" si="47"/>
        <v>0</v>
      </c>
      <c r="R124">
        <f t="shared" ca="1" si="48"/>
        <v>0</v>
      </c>
      <c r="S124">
        <f t="shared" ca="1" si="49"/>
        <v>0</v>
      </c>
      <c r="T124">
        <f t="shared" ca="1" si="50"/>
        <v>0</v>
      </c>
      <c r="U124">
        <f t="shared" ca="1" si="51"/>
        <v>0</v>
      </c>
      <c r="W124" s="487" t="str">
        <f t="shared" si="52"/>
        <v>-</v>
      </c>
      <c r="X124" s="2719" t="str">
        <f t="shared" si="53"/>
        <v/>
      </c>
      <c r="Y124" s="2719"/>
      <c r="Z124" s="72">
        <f t="shared" ca="1" si="54"/>
        <v>0</v>
      </c>
      <c r="AA124" s="72">
        <f t="shared" ca="1" si="55"/>
        <v>0</v>
      </c>
      <c r="AB124" s="72">
        <f t="shared" ca="1" si="56"/>
        <v>0</v>
      </c>
      <c r="AC124" s="72">
        <f t="shared" ca="1" si="57"/>
        <v>0</v>
      </c>
      <c r="AD124" s="72">
        <f t="shared" ca="1" si="58"/>
        <v>0</v>
      </c>
      <c r="AE124" s="72">
        <f t="shared" ca="1" si="59"/>
        <v>0</v>
      </c>
      <c r="AF124">
        <f t="shared" si="60"/>
        <v>0</v>
      </c>
    </row>
    <row r="125" spans="1:32" x14ac:dyDescent="0.25">
      <c r="A125" s="3363"/>
      <c r="B125" s="3233"/>
      <c r="C125" s="3234"/>
      <c r="D125" s="3233"/>
      <c r="E125" s="3234"/>
      <c r="F125" s="3233"/>
      <c r="G125" s="3232"/>
      <c r="H125" s="3231" t="str">
        <f t="shared" si="41"/>
        <v/>
      </c>
      <c r="I125" s="3231" t="str">
        <f t="shared" si="42"/>
        <v/>
      </c>
      <c r="J125" s="3232"/>
      <c r="K125" s="3231" t="str">
        <f t="shared" si="43"/>
        <v/>
      </c>
      <c r="L125" s="3231" t="str">
        <f t="shared" si="44"/>
        <v>-</v>
      </c>
      <c r="M125" s="2727">
        <f t="shared" ca="1" si="61"/>
        <v>0</v>
      </c>
      <c r="N125" s="2727">
        <f t="shared" ca="1" si="61"/>
        <v>0</v>
      </c>
      <c r="O125" s="2727">
        <f t="shared" ca="1" si="45"/>
        <v>0</v>
      </c>
      <c r="P125" s="72">
        <f t="shared" ca="1" si="46"/>
        <v>0</v>
      </c>
      <c r="Q125">
        <f t="shared" ca="1" si="47"/>
        <v>0</v>
      </c>
      <c r="R125">
        <f t="shared" ca="1" si="48"/>
        <v>0</v>
      </c>
      <c r="S125">
        <f t="shared" ca="1" si="49"/>
        <v>0</v>
      </c>
      <c r="T125">
        <f t="shared" ca="1" si="50"/>
        <v>0</v>
      </c>
      <c r="U125">
        <f t="shared" ca="1" si="51"/>
        <v>0</v>
      </c>
      <c r="W125" s="487" t="str">
        <f t="shared" si="52"/>
        <v>-</v>
      </c>
      <c r="X125" s="2719" t="str">
        <f t="shared" si="53"/>
        <v/>
      </c>
      <c r="Y125" s="2719"/>
      <c r="Z125" s="72">
        <f t="shared" ca="1" si="54"/>
        <v>0</v>
      </c>
      <c r="AA125" s="72">
        <f t="shared" ca="1" si="55"/>
        <v>0</v>
      </c>
      <c r="AB125" s="72">
        <f t="shared" ca="1" si="56"/>
        <v>0</v>
      </c>
      <c r="AC125" s="72">
        <f t="shared" ca="1" si="57"/>
        <v>0</v>
      </c>
      <c r="AD125" s="72">
        <f t="shared" ca="1" si="58"/>
        <v>0</v>
      </c>
      <c r="AE125" s="72">
        <f t="shared" ca="1" si="59"/>
        <v>0</v>
      </c>
      <c r="AF125">
        <f t="shared" si="60"/>
        <v>0</v>
      </c>
    </row>
    <row r="126" spans="1:32" x14ac:dyDescent="0.25">
      <c r="A126" s="3363"/>
      <c r="B126" s="3233"/>
      <c r="C126" s="3234"/>
      <c r="D126" s="3233"/>
      <c r="E126" s="3234"/>
      <c r="F126" s="3233"/>
      <c r="G126" s="3232"/>
      <c r="H126" s="3231" t="str">
        <f t="shared" si="41"/>
        <v/>
      </c>
      <c r="I126" s="3231" t="str">
        <f t="shared" si="42"/>
        <v/>
      </c>
      <c r="J126" s="3232"/>
      <c r="K126" s="3231" t="str">
        <f t="shared" si="43"/>
        <v/>
      </c>
      <c r="L126" s="3231" t="str">
        <f t="shared" si="44"/>
        <v>-</v>
      </c>
      <c r="M126" s="2727">
        <f t="shared" ca="1" si="61"/>
        <v>0</v>
      </c>
      <c r="N126" s="2727">
        <f t="shared" ca="1" si="61"/>
        <v>0</v>
      </c>
      <c r="O126" s="2727">
        <f t="shared" ca="1" si="45"/>
        <v>0</v>
      </c>
      <c r="P126" s="72">
        <f t="shared" ca="1" si="46"/>
        <v>0</v>
      </c>
      <c r="Q126">
        <f t="shared" ca="1" si="47"/>
        <v>0</v>
      </c>
      <c r="R126">
        <f t="shared" ca="1" si="48"/>
        <v>0</v>
      </c>
      <c r="S126">
        <f t="shared" ca="1" si="49"/>
        <v>0</v>
      </c>
      <c r="T126">
        <f t="shared" ca="1" si="50"/>
        <v>0</v>
      </c>
      <c r="U126">
        <f t="shared" ca="1" si="51"/>
        <v>0</v>
      </c>
      <c r="W126" s="487" t="str">
        <f t="shared" si="52"/>
        <v>-</v>
      </c>
      <c r="X126" s="2719" t="str">
        <f t="shared" si="53"/>
        <v/>
      </c>
      <c r="Y126" s="2719"/>
      <c r="Z126" s="72">
        <f t="shared" ca="1" si="54"/>
        <v>0</v>
      </c>
      <c r="AA126" s="72">
        <f t="shared" ca="1" si="55"/>
        <v>0</v>
      </c>
      <c r="AB126" s="72">
        <f t="shared" ca="1" si="56"/>
        <v>0</v>
      </c>
      <c r="AC126" s="72">
        <f t="shared" ca="1" si="57"/>
        <v>0</v>
      </c>
      <c r="AD126" s="72">
        <f t="shared" ca="1" si="58"/>
        <v>0</v>
      </c>
      <c r="AE126" s="72">
        <f t="shared" ca="1" si="59"/>
        <v>0</v>
      </c>
      <c r="AF126">
        <f t="shared" si="60"/>
        <v>0</v>
      </c>
    </row>
    <row r="127" spans="1:32" x14ac:dyDescent="0.25">
      <c r="A127" s="3363"/>
      <c r="B127" s="3233"/>
      <c r="C127" s="3234"/>
      <c r="D127" s="3233"/>
      <c r="E127" s="3234"/>
      <c r="F127" s="3233"/>
      <c r="G127" s="3232"/>
      <c r="H127" s="3231" t="str">
        <f t="shared" si="41"/>
        <v/>
      </c>
      <c r="I127" s="3231" t="str">
        <f t="shared" si="42"/>
        <v/>
      </c>
      <c r="J127" s="3232"/>
      <c r="K127" s="3231" t="str">
        <f t="shared" si="43"/>
        <v/>
      </c>
      <c r="L127" s="3231" t="str">
        <f t="shared" si="44"/>
        <v>-</v>
      </c>
      <c r="M127" s="2727">
        <f t="shared" ca="1" si="61"/>
        <v>0</v>
      </c>
      <c r="N127" s="2727">
        <f t="shared" ca="1" si="61"/>
        <v>0</v>
      </c>
      <c r="O127" s="2727">
        <f t="shared" ca="1" si="45"/>
        <v>0</v>
      </c>
      <c r="P127" s="72">
        <f t="shared" ca="1" si="46"/>
        <v>0</v>
      </c>
      <c r="Q127">
        <f t="shared" ca="1" si="47"/>
        <v>0</v>
      </c>
      <c r="R127">
        <f t="shared" ca="1" si="48"/>
        <v>0</v>
      </c>
      <c r="S127">
        <f t="shared" ca="1" si="49"/>
        <v>0</v>
      </c>
      <c r="T127">
        <f t="shared" ca="1" si="50"/>
        <v>0</v>
      </c>
      <c r="U127">
        <f t="shared" ca="1" si="51"/>
        <v>0</v>
      </c>
      <c r="W127" s="487" t="str">
        <f t="shared" si="52"/>
        <v>-</v>
      </c>
      <c r="X127" s="2719" t="str">
        <f t="shared" si="53"/>
        <v/>
      </c>
      <c r="Y127" s="2719"/>
      <c r="Z127" s="72">
        <f t="shared" ca="1" si="54"/>
        <v>0</v>
      </c>
      <c r="AA127" s="72">
        <f t="shared" ca="1" si="55"/>
        <v>0</v>
      </c>
      <c r="AB127" s="72">
        <f t="shared" ca="1" si="56"/>
        <v>0</v>
      </c>
      <c r="AC127" s="72">
        <f t="shared" ca="1" si="57"/>
        <v>0</v>
      </c>
      <c r="AD127" s="72">
        <f t="shared" ca="1" si="58"/>
        <v>0</v>
      </c>
      <c r="AE127" s="72">
        <f t="shared" ca="1" si="59"/>
        <v>0</v>
      </c>
      <c r="AF127">
        <f t="shared" si="60"/>
        <v>0</v>
      </c>
    </row>
    <row r="128" spans="1:32" x14ac:dyDescent="0.25">
      <c r="A128" s="3363"/>
      <c r="B128" s="3233"/>
      <c r="C128" s="3234"/>
      <c r="D128" s="3233"/>
      <c r="E128" s="3234"/>
      <c r="F128" s="3233"/>
      <c r="G128" s="3232"/>
      <c r="H128" s="3231" t="str">
        <f t="shared" si="41"/>
        <v/>
      </c>
      <c r="I128" s="3231" t="str">
        <f t="shared" si="42"/>
        <v/>
      </c>
      <c r="J128" s="3232"/>
      <c r="K128" s="3231" t="str">
        <f t="shared" si="43"/>
        <v/>
      </c>
      <c r="L128" s="3231" t="str">
        <f t="shared" si="44"/>
        <v>-</v>
      </c>
      <c r="M128" s="2727">
        <f t="shared" ca="1" si="61"/>
        <v>0</v>
      </c>
      <c r="N128" s="2727">
        <f t="shared" ca="1" si="61"/>
        <v>0</v>
      </c>
      <c r="O128" s="2727">
        <f t="shared" ca="1" si="45"/>
        <v>0</v>
      </c>
      <c r="P128" s="72">
        <f t="shared" ca="1" si="46"/>
        <v>0</v>
      </c>
      <c r="Q128">
        <f t="shared" ca="1" si="47"/>
        <v>0</v>
      </c>
      <c r="R128">
        <f t="shared" ca="1" si="48"/>
        <v>0</v>
      </c>
      <c r="S128">
        <f t="shared" ca="1" si="49"/>
        <v>0</v>
      </c>
      <c r="T128">
        <f t="shared" ca="1" si="50"/>
        <v>0</v>
      </c>
      <c r="U128">
        <f t="shared" ca="1" si="51"/>
        <v>0</v>
      </c>
      <c r="W128" s="487" t="str">
        <f t="shared" si="52"/>
        <v>-</v>
      </c>
      <c r="X128" s="2719" t="str">
        <f t="shared" si="53"/>
        <v/>
      </c>
      <c r="Y128" s="2719"/>
      <c r="Z128" s="72">
        <f t="shared" ca="1" si="54"/>
        <v>0</v>
      </c>
      <c r="AA128" s="72">
        <f t="shared" ca="1" si="55"/>
        <v>0</v>
      </c>
      <c r="AB128" s="72">
        <f t="shared" ca="1" si="56"/>
        <v>0</v>
      </c>
      <c r="AC128" s="72">
        <f t="shared" ca="1" si="57"/>
        <v>0</v>
      </c>
      <c r="AD128" s="72">
        <f t="shared" ca="1" si="58"/>
        <v>0</v>
      </c>
      <c r="AE128" s="72">
        <f t="shared" ca="1" si="59"/>
        <v>0</v>
      </c>
      <c r="AF128">
        <f t="shared" si="60"/>
        <v>0</v>
      </c>
    </row>
    <row r="129" spans="1:34" x14ac:dyDescent="0.25">
      <c r="A129" s="3363"/>
      <c r="B129" s="3233"/>
      <c r="C129" s="3234"/>
      <c r="D129" s="3233"/>
      <c r="E129" s="3234"/>
      <c r="F129" s="3233"/>
      <c r="G129" s="3232"/>
      <c r="H129" s="3231" t="str">
        <f t="shared" si="41"/>
        <v/>
      </c>
      <c r="I129" s="3231" t="str">
        <f t="shared" si="42"/>
        <v/>
      </c>
      <c r="J129" s="3232"/>
      <c r="K129" s="3231" t="str">
        <f t="shared" si="43"/>
        <v/>
      </c>
      <c r="L129" s="3231" t="str">
        <f t="shared" si="44"/>
        <v>-</v>
      </c>
      <c r="M129" s="2727">
        <f t="shared" ca="1" si="61"/>
        <v>0</v>
      </c>
      <c r="N129" s="2727">
        <f t="shared" ca="1" si="61"/>
        <v>0</v>
      </c>
      <c r="O129" s="2727">
        <f t="shared" ca="1" si="45"/>
        <v>0</v>
      </c>
      <c r="P129" s="72">
        <f t="shared" ca="1" si="46"/>
        <v>0</v>
      </c>
      <c r="Q129">
        <f t="shared" ca="1" si="47"/>
        <v>0</v>
      </c>
      <c r="R129">
        <f t="shared" ca="1" si="48"/>
        <v>0</v>
      </c>
      <c r="S129">
        <f t="shared" ca="1" si="49"/>
        <v>0</v>
      </c>
      <c r="T129">
        <f t="shared" ca="1" si="50"/>
        <v>0</v>
      </c>
      <c r="U129">
        <f t="shared" ca="1" si="51"/>
        <v>0</v>
      </c>
      <c r="W129" s="487" t="str">
        <f t="shared" si="52"/>
        <v>-</v>
      </c>
      <c r="X129" s="2719" t="str">
        <f t="shared" si="53"/>
        <v/>
      </c>
      <c r="Y129" s="2719"/>
      <c r="Z129" s="72">
        <f t="shared" ca="1" si="54"/>
        <v>0</v>
      </c>
      <c r="AA129" s="72">
        <f t="shared" ca="1" si="55"/>
        <v>0</v>
      </c>
      <c r="AB129" s="72">
        <f t="shared" ca="1" si="56"/>
        <v>0</v>
      </c>
      <c r="AC129" s="72">
        <f t="shared" ca="1" si="57"/>
        <v>0</v>
      </c>
      <c r="AD129" s="72">
        <f t="shared" ca="1" si="58"/>
        <v>0</v>
      </c>
      <c r="AE129" s="72">
        <f t="shared" ca="1" si="59"/>
        <v>0</v>
      </c>
      <c r="AF129">
        <f t="shared" si="60"/>
        <v>0</v>
      </c>
    </row>
    <row r="130" spans="1:34" x14ac:dyDescent="0.25">
      <c r="A130" s="3363"/>
      <c r="B130" s="3233"/>
      <c r="C130" s="3234"/>
      <c r="D130" s="3233"/>
      <c r="E130" s="3234"/>
      <c r="F130" s="3233"/>
      <c r="G130" s="3232"/>
      <c r="H130" s="3231" t="str">
        <f t="shared" si="41"/>
        <v/>
      </c>
      <c r="I130" s="3231" t="str">
        <f t="shared" si="42"/>
        <v/>
      </c>
      <c r="J130" s="3232"/>
      <c r="K130" s="3231" t="str">
        <f t="shared" si="43"/>
        <v/>
      </c>
      <c r="L130" s="3231" t="str">
        <f t="shared" si="44"/>
        <v>-</v>
      </c>
      <c r="M130" s="2727">
        <f t="shared" ca="1" si="61"/>
        <v>0</v>
      </c>
      <c r="N130" s="2727">
        <f t="shared" ca="1" si="61"/>
        <v>0</v>
      </c>
      <c r="O130" s="2727">
        <f t="shared" ca="1" si="45"/>
        <v>0</v>
      </c>
      <c r="P130" s="72">
        <f t="shared" ca="1" si="46"/>
        <v>0</v>
      </c>
      <c r="Q130">
        <f t="shared" ca="1" si="47"/>
        <v>0</v>
      </c>
      <c r="R130">
        <f t="shared" ca="1" si="48"/>
        <v>0</v>
      </c>
      <c r="S130">
        <f t="shared" ca="1" si="49"/>
        <v>0</v>
      </c>
      <c r="T130">
        <f t="shared" ca="1" si="50"/>
        <v>0</v>
      </c>
      <c r="U130">
        <f t="shared" ca="1" si="51"/>
        <v>0</v>
      </c>
      <c r="W130" s="487" t="str">
        <f t="shared" si="52"/>
        <v>-</v>
      </c>
      <c r="X130" s="2719" t="str">
        <f t="shared" si="53"/>
        <v/>
      </c>
      <c r="Y130" s="2719"/>
      <c r="Z130" s="72">
        <f t="shared" ca="1" si="54"/>
        <v>0</v>
      </c>
      <c r="AA130" s="72">
        <f t="shared" ca="1" si="55"/>
        <v>0</v>
      </c>
      <c r="AB130" s="72">
        <f t="shared" ca="1" si="56"/>
        <v>0</v>
      </c>
      <c r="AC130" s="72">
        <f t="shared" ca="1" si="57"/>
        <v>0</v>
      </c>
      <c r="AD130" s="72">
        <f t="shared" ca="1" si="58"/>
        <v>0</v>
      </c>
      <c r="AE130" s="72">
        <f t="shared" ca="1" si="59"/>
        <v>0</v>
      </c>
      <c r="AF130">
        <f t="shared" si="60"/>
        <v>0</v>
      </c>
    </row>
    <row r="131" spans="1:34" x14ac:dyDescent="0.25">
      <c r="A131" s="3363"/>
      <c r="B131" s="3233"/>
      <c r="C131" s="3234"/>
      <c r="D131" s="3233"/>
      <c r="E131" s="3234"/>
      <c r="F131" s="3233"/>
      <c r="G131" s="3232"/>
      <c r="H131" s="3231" t="str">
        <f t="shared" si="41"/>
        <v/>
      </c>
      <c r="I131" s="3231" t="str">
        <f t="shared" si="42"/>
        <v/>
      </c>
      <c r="J131" s="3232"/>
      <c r="K131" s="3231" t="str">
        <f t="shared" si="43"/>
        <v/>
      </c>
      <c r="L131" s="3231" t="str">
        <f t="shared" si="44"/>
        <v>-</v>
      </c>
      <c r="M131" s="2727">
        <f t="shared" ca="1" si="61"/>
        <v>0</v>
      </c>
      <c r="N131" s="2727">
        <f t="shared" ca="1" si="61"/>
        <v>0</v>
      </c>
      <c r="O131" s="2727">
        <f t="shared" ca="1" si="45"/>
        <v>0</v>
      </c>
      <c r="P131" s="72">
        <f t="shared" ca="1" si="46"/>
        <v>0</v>
      </c>
      <c r="Q131">
        <f t="shared" ca="1" si="47"/>
        <v>0</v>
      </c>
      <c r="R131">
        <f t="shared" ca="1" si="48"/>
        <v>0</v>
      </c>
      <c r="S131">
        <f t="shared" ca="1" si="49"/>
        <v>0</v>
      </c>
      <c r="T131">
        <f t="shared" ca="1" si="50"/>
        <v>0</v>
      </c>
      <c r="U131">
        <f t="shared" ca="1" si="51"/>
        <v>0</v>
      </c>
      <c r="W131" s="487" t="str">
        <f t="shared" si="52"/>
        <v>-</v>
      </c>
      <c r="X131" s="2719" t="str">
        <f t="shared" si="53"/>
        <v/>
      </c>
      <c r="Y131" s="2719"/>
      <c r="Z131" s="72">
        <f t="shared" ca="1" si="54"/>
        <v>0</v>
      </c>
      <c r="AA131" s="72">
        <f t="shared" ca="1" si="55"/>
        <v>0</v>
      </c>
      <c r="AB131" s="72">
        <f t="shared" ca="1" si="56"/>
        <v>0</v>
      </c>
      <c r="AC131" s="72">
        <f t="shared" ca="1" si="57"/>
        <v>0</v>
      </c>
      <c r="AD131" s="72">
        <f t="shared" ca="1" si="58"/>
        <v>0</v>
      </c>
      <c r="AE131" s="72">
        <f t="shared" ca="1" si="59"/>
        <v>0</v>
      </c>
      <c r="AF131">
        <f t="shared" si="60"/>
        <v>0</v>
      </c>
    </row>
    <row r="132" spans="1:34" x14ac:dyDescent="0.25">
      <c r="A132" s="3363"/>
      <c r="B132" s="3233"/>
      <c r="C132" s="3234"/>
      <c r="D132" s="3233"/>
      <c r="E132" s="3234"/>
      <c r="F132" s="3233"/>
      <c r="G132" s="3232"/>
      <c r="H132" s="3231" t="str">
        <f t="shared" si="41"/>
        <v/>
      </c>
      <c r="I132" s="3231" t="str">
        <f t="shared" si="42"/>
        <v/>
      </c>
      <c r="J132" s="3232"/>
      <c r="K132" s="3231" t="str">
        <f t="shared" si="43"/>
        <v/>
      </c>
      <c r="L132" s="3231" t="str">
        <f t="shared" si="44"/>
        <v>-</v>
      </c>
      <c r="M132" s="2727">
        <f t="shared" ca="1" si="61"/>
        <v>0</v>
      </c>
      <c r="N132" s="2727">
        <f t="shared" ca="1" si="61"/>
        <v>0</v>
      </c>
      <c r="O132" s="2727">
        <f t="shared" ca="1" si="45"/>
        <v>0</v>
      </c>
      <c r="P132" s="72">
        <f t="shared" ca="1" si="46"/>
        <v>0</v>
      </c>
      <c r="Q132">
        <f t="shared" ca="1" si="47"/>
        <v>0</v>
      </c>
      <c r="R132">
        <f t="shared" ca="1" si="48"/>
        <v>0</v>
      </c>
      <c r="S132">
        <f t="shared" ca="1" si="49"/>
        <v>0</v>
      </c>
      <c r="T132">
        <f t="shared" ca="1" si="50"/>
        <v>0</v>
      </c>
      <c r="U132">
        <f t="shared" ca="1" si="51"/>
        <v>0</v>
      </c>
      <c r="W132" s="487" t="str">
        <f t="shared" si="52"/>
        <v>-</v>
      </c>
      <c r="X132" s="2719" t="str">
        <f t="shared" si="53"/>
        <v/>
      </c>
      <c r="Y132" s="2719"/>
      <c r="Z132" s="72">
        <f t="shared" ca="1" si="54"/>
        <v>0</v>
      </c>
      <c r="AA132" s="72">
        <f t="shared" ca="1" si="55"/>
        <v>0</v>
      </c>
      <c r="AB132" s="72">
        <f t="shared" ca="1" si="56"/>
        <v>0</v>
      </c>
      <c r="AC132" s="72">
        <f t="shared" ca="1" si="57"/>
        <v>0</v>
      </c>
      <c r="AD132" s="72">
        <f t="shared" ca="1" si="58"/>
        <v>0</v>
      </c>
      <c r="AE132" s="72">
        <f t="shared" ca="1" si="59"/>
        <v>0</v>
      </c>
      <c r="AF132">
        <f t="shared" si="60"/>
        <v>0</v>
      </c>
    </row>
    <row r="133" spans="1:34" x14ac:dyDescent="0.25">
      <c r="Z133" s="72">
        <f ca="1">SUM(Z23:Z132)</f>
        <v>0</v>
      </c>
      <c r="AA133" s="72">
        <f t="shared" ref="AA133:AF133" ca="1" si="62">SUM(AA23:AA132)</f>
        <v>0</v>
      </c>
      <c r="AB133" s="72">
        <f t="shared" ca="1" si="62"/>
        <v>0</v>
      </c>
      <c r="AC133" s="72">
        <f t="shared" ca="1" si="62"/>
        <v>0</v>
      </c>
      <c r="AD133" s="72">
        <f t="shared" ca="1" si="62"/>
        <v>0</v>
      </c>
      <c r="AE133" s="72">
        <f t="shared" ca="1" si="62"/>
        <v>0</v>
      </c>
      <c r="AF133" s="72">
        <f t="shared" si="62"/>
        <v>0</v>
      </c>
    </row>
    <row r="134" spans="1:34" ht="15.75" hidden="1" thickBot="1" x14ac:dyDescent="0.3">
      <c r="Z134" s="72"/>
      <c r="AA134" s="72"/>
      <c r="AB134" s="72"/>
      <c r="AC134" s="72"/>
      <c r="AD134" s="72"/>
      <c r="AE134" s="72"/>
    </row>
    <row r="135" spans="1:34" hidden="1" x14ac:dyDescent="0.25">
      <c r="U135" s="3140"/>
      <c r="V135" s="3182"/>
      <c r="W135" s="3140"/>
      <c r="X135" s="3141"/>
      <c r="Y135" s="3141"/>
      <c r="Z135" s="4167" t="s">
        <v>304</v>
      </c>
      <c r="AA135" s="4168"/>
      <c r="AB135" s="4168"/>
      <c r="AC135" s="4167" t="s">
        <v>305</v>
      </c>
      <c r="AD135" s="4168"/>
      <c r="AE135" s="4168"/>
      <c r="AF135" s="4167" t="s">
        <v>318</v>
      </c>
      <c r="AG135" s="4168"/>
      <c r="AH135" s="4169"/>
    </row>
    <row r="136" spans="1:34" ht="15.75" hidden="1" x14ac:dyDescent="0.25">
      <c r="U136" s="3143"/>
      <c r="V136" s="2600"/>
      <c r="W136" s="3143"/>
      <c r="X136" s="99"/>
      <c r="Y136" s="99"/>
      <c r="Z136" s="2772" t="s">
        <v>287</v>
      </c>
      <c r="AA136" s="2772" t="s">
        <v>289</v>
      </c>
      <c r="AB136" s="2772" t="s">
        <v>288</v>
      </c>
      <c r="AC136" s="2772" t="s">
        <v>287</v>
      </c>
      <c r="AD136" s="2772" t="s">
        <v>289</v>
      </c>
      <c r="AE136" s="2772" t="s">
        <v>288</v>
      </c>
      <c r="AF136" s="2772" t="s">
        <v>287</v>
      </c>
      <c r="AG136" s="2772" t="s">
        <v>289</v>
      </c>
      <c r="AH136" s="3144" t="s">
        <v>288</v>
      </c>
    </row>
    <row r="137" spans="1:34" hidden="1" x14ac:dyDescent="0.25">
      <c r="U137" s="3143" t="s">
        <v>319</v>
      </c>
      <c r="V137" s="3183" t="s">
        <v>320</v>
      </c>
      <c r="W137" s="3143" t="s">
        <v>321</v>
      </c>
      <c r="X137" s="3139" t="s">
        <v>25</v>
      </c>
      <c r="Y137" s="3139" t="s">
        <v>26</v>
      </c>
      <c r="Z137" s="99"/>
      <c r="AA137" s="99"/>
      <c r="AB137" s="99"/>
      <c r="AC137" s="99"/>
      <c r="AD137" s="99"/>
      <c r="AE137" s="99"/>
      <c r="AF137" s="99"/>
      <c r="AG137" s="99"/>
      <c r="AH137" s="3145"/>
    </row>
    <row r="138" spans="1:34" hidden="1" x14ac:dyDescent="0.25">
      <c r="P138" t="s">
        <v>322</v>
      </c>
      <c r="Q138" t="s">
        <v>227</v>
      </c>
      <c r="R138" t="str">
        <f>+CONCATENATE(Q138," (",P138,")")</f>
        <v>Residencial (UR1)</v>
      </c>
      <c r="U138" s="3143">
        <f ca="1">+SUMIF($K$23:$P$128,W138,P$23:P$128)</f>
        <v>0</v>
      </c>
      <c r="V138" s="2600">
        <f>+COUNTIF(X$23:X$132,W138)</f>
        <v>0</v>
      </c>
      <c r="W138" s="3185" t="s">
        <v>322</v>
      </c>
      <c r="X138" s="2696">
        <f ca="1">SUM(Z138:AB138)</f>
        <v>0</v>
      </c>
      <c r="Y138" s="2696">
        <f>+V138</f>
        <v>0</v>
      </c>
      <c r="Z138" s="496">
        <f t="shared" ref="Z138:AE147" ca="1" si="63">+SUMIF($X$23:$AE$132,$W138,Z$23:Z$132)</f>
        <v>0</v>
      </c>
      <c r="AA138" s="496">
        <f t="shared" ca="1" si="63"/>
        <v>0</v>
      </c>
      <c r="AB138" s="496">
        <f t="shared" ca="1" si="63"/>
        <v>0</v>
      </c>
      <c r="AC138" s="496">
        <f t="shared" ca="1" si="63"/>
        <v>0</v>
      </c>
      <c r="AD138" s="496">
        <f t="shared" ca="1" si="63"/>
        <v>0</v>
      </c>
      <c r="AE138" s="496">
        <f t="shared" ca="1" si="63"/>
        <v>0</v>
      </c>
      <c r="AF138" s="496">
        <f ca="1">+Z138+AC138</f>
        <v>0</v>
      </c>
      <c r="AG138" s="496">
        <f t="shared" ref="AG138:AH138" ca="1" si="64">+AA138+AD138</f>
        <v>0</v>
      </c>
      <c r="AH138" s="3360">
        <f t="shared" ca="1" si="64"/>
        <v>0</v>
      </c>
    </row>
    <row r="139" spans="1:34" hidden="1" x14ac:dyDescent="0.25">
      <c r="P139" t="s">
        <v>323</v>
      </c>
      <c r="Q139" t="s">
        <v>227</v>
      </c>
      <c r="R139" t="str">
        <f t="shared" ref="R139:R146" si="65">+CONCATENATE(Q139," (",P139,")")</f>
        <v>Residencial (UR2)</v>
      </c>
      <c r="U139" s="3143">
        <f t="shared" ref="U139:U146" ca="1" si="66">+SUMIF($K$23:$P$128,W139,P$23:P$128)</f>
        <v>0</v>
      </c>
      <c r="V139" s="2600">
        <f t="shared" ref="V139:V146" si="67">+COUNTIF(X$23:X$132,W139)</f>
        <v>0</v>
      </c>
      <c r="W139" s="3185" t="s">
        <v>323</v>
      </c>
      <c r="X139" s="2696">
        <f t="shared" ref="X139:X146" ca="1" si="68">SUM(Z139:AB139)</f>
        <v>0</v>
      </c>
      <c r="Y139" s="2696">
        <f t="shared" ref="Y139:Y146" si="69">+V139</f>
        <v>0</v>
      </c>
      <c r="Z139" s="496">
        <f t="shared" ca="1" si="63"/>
        <v>0</v>
      </c>
      <c r="AA139" s="496">
        <f t="shared" ca="1" si="63"/>
        <v>0</v>
      </c>
      <c r="AB139" s="496">
        <f t="shared" ca="1" si="63"/>
        <v>0</v>
      </c>
      <c r="AC139" s="496">
        <f t="shared" ca="1" si="63"/>
        <v>0</v>
      </c>
      <c r="AD139" s="496">
        <f t="shared" ca="1" si="63"/>
        <v>0</v>
      </c>
      <c r="AE139" s="496">
        <f t="shared" ca="1" si="63"/>
        <v>0</v>
      </c>
      <c r="AF139" s="496">
        <f t="shared" ref="AF139:AF148" ca="1" si="70">+Z139+AC139</f>
        <v>0</v>
      </c>
      <c r="AG139" s="496">
        <f t="shared" ref="AG139:AG148" ca="1" si="71">+AA139+AD139</f>
        <v>0</v>
      </c>
      <c r="AH139" s="3360">
        <f t="shared" ref="AH139:AH148" ca="1" si="72">+AB139+AE139</f>
        <v>0</v>
      </c>
    </row>
    <row r="140" spans="1:34" hidden="1" x14ac:dyDescent="0.25">
      <c r="P140" t="s">
        <v>324</v>
      </c>
      <c r="Q140" t="s">
        <v>227</v>
      </c>
      <c r="R140" t="str">
        <f t="shared" si="65"/>
        <v>Residencial (UR3)</v>
      </c>
      <c r="U140" s="3143">
        <f t="shared" ca="1" si="66"/>
        <v>0</v>
      </c>
      <c r="V140" s="2600">
        <f t="shared" si="67"/>
        <v>0</v>
      </c>
      <c r="W140" s="3185" t="s">
        <v>324</v>
      </c>
      <c r="X140" s="2696">
        <f t="shared" ca="1" si="68"/>
        <v>0</v>
      </c>
      <c r="Y140" s="2696">
        <f t="shared" si="69"/>
        <v>0</v>
      </c>
      <c r="Z140" s="496">
        <f t="shared" ca="1" si="63"/>
        <v>0</v>
      </c>
      <c r="AA140" s="496">
        <f t="shared" ca="1" si="63"/>
        <v>0</v>
      </c>
      <c r="AB140" s="496">
        <f t="shared" ca="1" si="63"/>
        <v>0</v>
      </c>
      <c r="AC140" s="496">
        <f t="shared" ca="1" si="63"/>
        <v>0</v>
      </c>
      <c r="AD140" s="496">
        <f t="shared" ca="1" si="63"/>
        <v>0</v>
      </c>
      <c r="AE140" s="496">
        <f t="shared" ca="1" si="63"/>
        <v>0</v>
      </c>
      <c r="AF140" s="496">
        <f t="shared" ca="1" si="70"/>
        <v>0</v>
      </c>
      <c r="AG140" s="496">
        <f t="shared" ca="1" si="71"/>
        <v>0</v>
      </c>
      <c r="AH140" s="3360">
        <f t="shared" ca="1" si="72"/>
        <v>0</v>
      </c>
    </row>
    <row r="141" spans="1:34" hidden="1" x14ac:dyDescent="0.25">
      <c r="P141" t="s">
        <v>325</v>
      </c>
      <c r="Q141" t="s">
        <v>227</v>
      </c>
      <c r="R141" t="str">
        <f t="shared" si="65"/>
        <v>Residencial (UR4)</v>
      </c>
      <c r="U141" s="3143">
        <f t="shared" ca="1" si="66"/>
        <v>0</v>
      </c>
      <c r="V141" s="2600">
        <f t="shared" si="67"/>
        <v>0</v>
      </c>
      <c r="W141" s="3185" t="s">
        <v>325</v>
      </c>
      <c r="X141" s="2696">
        <f t="shared" ca="1" si="68"/>
        <v>0</v>
      </c>
      <c r="Y141" s="2696">
        <f t="shared" si="69"/>
        <v>0</v>
      </c>
      <c r="Z141" s="496">
        <f t="shared" ca="1" si="63"/>
        <v>0</v>
      </c>
      <c r="AA141" s="496">
        <f t="shared" ca="1" si="63"/>
        <v>0</v>
      </c>
      <c r="AB141" s="496">
        <f t="shared" ca="1" si="63"/>
        <v>0</v>
      </c>
      <c r="AC141" s="496">
        <f t="shared" ca="1" si="63"/>
        <v>0</v>
      </c>
      <c r="AD141" s="496">
        <f t="shared" ca="1" si="63"/>
        <v>0</v>
      </c>
      <c r="AE141" s="496">
        <f t="shared" ca="1" si="63"/>
        <v>0</v>
      </c>
      <c r="AF141" s="496">
        <f t="shared" ca="1" si="70"/>
        <v>0</v>
      </c>
      <c r="AG141" s="496">
        <f t="shared" ca="1" si="71"/>
        <v>0</v>
      </c>
      <c r="AH141" s="3360">
        <f t="shared" ca="1" si="72"/>
        <v>0</v>
      </c>
    </row>
    <row r="142" spans="1:34" hidden="1" x14ac:dyDescent="0.25">
      <c r="P142" t="s">
        <v>326</v>
      </c>
      <c r="Q142" t="s">
        <v>227</v>
      </c>
      <c r="R142" t="str">
        <f t="shared" si="65"/>
        <v>Residencial (UR5)</v>
      </c>
      <c r="U142" s="3143">
        <f t="shared" ca="1" si="66"/>
        <v>0</v>
      </c>
      <c r="V142" s="2600">
        <f t="shared" si="67"/>
        <v>0</v>
      </c>
      <c r="W142" s="3185" t="s">
        <v>326</v>
      </c>
      <c r="X142" s="2696">
        <f t="shared" ca="1" si="68"/>
        <v>0</v>
      </c>
      <c r="Y142" s="2696">
        <f t="shared" si="69"/>
        <v>0</v>
      </c>
      <c r="Z142" s="496">
        <f t="shared" ca="1" si="63"/>
        <v>0</v>
      </c>
      <c r="AA142" s="496">
        <f t="shared" ca="1" si="63"/>
        <v>0</v>
      </c>
      <c r="AB142" s="496">
        <f t="shared" ca="1" si="63"/>
        <v>0</v>
      </c>
      <c r="AC142" s="496">
        <f t="shared" ca="1" si="63"/>
        <v>0</v>
      </c>
      <c r="AD142" s="496">
        <f t="shared" ca="1" si="63"/>
        <v>0</v>
      </c>
      <c r="AE142" s="496">
        <f t="shared" ca="1" si="63"/>
        <v>0</v>
      </c>
      <c r="AF142" s="496">
        <f t="shared" ca="1" si="70"/>
        <v>0</v>
      </c>
      <c r="AG142" s="496">
        <f t="shared" ca="1" si="71"/>
        <v>0</v>
      </c>
      <c r="AH142" s="3360">
        <f t="shared" ca="1" si="72"/>
        <v>0</v>
      </c>
    </row>
    <row r="143" spans="1:34" hidden="1" x14ac:dyDescent="0.25">
      <c r="P143" t="s">
        <v>21</v>
      </c>
      <c r="Q143" t="s">
        <v>233</v>
      </c>
      <c r="R143" t="str">
        <f t="shared" si="65"/>
        <v>No Residencial (NR1)</v>
      </c>
      <c r="U143" s="3143">
        <f t="shared" ca="1" si="66"/>
        <v>0</v>
      </c>
      <c r="V143" s="2600">
        <f t="shared" si="67"/>
        <v>0</v>
      </c>
      <c r="W143" s="3185" t="s">
        <v>21</v>
      </c>
      <c r="X143" s="2696">
        <f t="shared" ca="1" si="68"/>
        <v>0</v>
      </c>
      <c r="Y143" s="2696">
        <f t="shared" si="69"/>
        <v>0</v>
      </c>
      <c r="Z143" s="496">
        <f t="shared" ca="1" si="63"/>
        <v>0</v>
      </c>
      <c r="AA143" s="496">
        <f t="shared" ca="1" si="63"/>
        <v>0</v>
      </c>
      <c r="AB143" s="496">
        <f t="shared" ca="1" si="63"/>
        <v>0</v>
      </c>
      <c r="AC143" s="496">
        <f t="shared" ca="1" si="63"/>
        <v>0</v>
      </c>
      <c r="AD143" s="496">
        <f t="shared" ca="1" si="63"/>
        <v>0</v>
      </c>
      <c r="AE143" s="496">
        <f t="shared" ca="1" si="63"/>
        <v>0</v>
      </c>
      <c r="AF143" s="496">
        <f t="shared" ca="1" si="70"/>
        <v>0</v>
      </c>
      <c r="AG143" s="496">
        <f t="shared" ca="1" si="71"/>
        <v>0</v>
      </c>
      <c r="AH143" s="3360">
        <f t="shared" ca="1" si="72"/>
        <v>0</v>
      </c>
    </row>
    <row r="144" spans="1:34" hidden="1" x14ac:dyDescent="0.25">
      <c r="P144" t="s">
        <v>71</v>
      </c>
      <c r="Q144" t="s">
        <v>233</v>
      </c>
      <c r="R144" t="str">
        <f t="shared" si="65"/>
        <v>No Residencial (NR2)</v>
      </c>
      <c r="U144" s="3143">
        <f t="shared" ca="1" si="66"/>
        <v>0</v>
      </c>
      <c r="V144" s="2600">
        <f t="shared" si="67"/>
        <v>0</v>
      </c>
      <c r="W144" s="3185" t="s">
        <v>71</v>
      </c>
      <c r="X144" s="2696">
        <f t="shared" ca="1" si="68"/>
        <v>0</v>
      </c>
      <c r="Y144" s="2696">
        <f t="shared" si="69"/>
        <v>0</v>
      </c>
      <c r="Z144" s="496">
        <f t="shared" ca="1" si="63"/>
        <v>0</v>
      </c>
      <c r="AA144" s="496">
        <f t="shared" ca="1" si="63"/>
        <v>0</v>
      </c>
      <c r="AB144" s="496">
        <f t="shared" ca="1" si="63"/>
        <v>0</v>
      </c>
      <c r="AC144" s="496">
        <f t="shared" ca="1" si="63"/>
        <v>0</v>
      </c>
      <c r="AD144" s="496">
        <f t="shared" ca="1" si="63"/>
        <v>0</v>
      </c>
      <c r="AE144" s="496">
        <f t="shared" ca="1" si="63"/>
        <v>0</v>
      </c>
      <c r="AF144" s="496">
        <f t="shared" ca="1" si="70"/>
        <v>0</v>
      </c>
      <c r="AG144" s="496">
        <f t="shared" ca="1" si="71"/>
        <v>0</v>
      </c>
      <c r="AH144" s="3360">
        <f t="shared" ca="1" si="72"/>
        <v>0</v>
      </c>
    </row>
    <row r="145" spans="11:34" hidden="1" x14ac:dyDescent="0.25">
      <c r="P145" t="s">
        <v>258</v>
      </c>
      <c r="Q145" t="s">
        <v>233</v>
      </c>
      <c r="R145" t="str">
        <f t="shared" si="65"/>
        <v>No Residencial (U30)</v>
      </c>
      <c r="U145" s="3143">
        <f t="shared" ca="1" si="66"/>
        <v>0</v>
      </c>
      <c r="V145" s="2600">
        <f t="shared" si="67"/>
        <v>0</v>
      </c>
      <c r="W145" s="3185" t="s">
        <v>258</v>
      </c>
      <c r="X145" s="2696">
        <f t="shared" ca="1" si="68"/>
        <v>0</v>
      </c>
      <c r="Y145" s="2696">
        <f t="shared" si="69"/>
        <v>0</v>
      </c>
      <c r="Z145" s="496">
        <f t="shared" ca="1" si="63"/>
        <v>0</v>
      </c>
      <c r="AA145" s="496">
        <f t="shared" ca="1" si="63"/>
        <v>0</v>
      </c>
      <c r="AB145" s="496">
        <f t="shared" ca="1" si="63"/>
        <v>0</v>
      </c>
      <c r="AC145" s="496">
        <f t="shared" ca="1" si="63"/>
        <v>0</v>
      </c>
      <c r="AD145" s="496">
        <f t="shared" ca="1" si="63"/>
        <v>0</v>
      </c>
      <c r="AE145" s="496">
        <f t="shared" ca="1" si="63"/>
        <v>0</v>
      </c>
      <c r="AF145" s="496">
        <f t="shared" ca="1" si="70"/>
        <v>0</v>
      </c>
      <c r="AG145" s="496">
        <f t="shared" ca="1" si="71"/>
        <v>0</v>
      </c>
      <c r="AH145" s="3360">
        <f t="shared" ca="1" si="72"/>
        <v>0</v>
      </c>
    </row>
    <row r="146" spans="11:34" hidden="1" x14ac:dyDescent="0.25">
      <c r="P146" t="s">
        <v>260</v>
      </c>
      <c r="Q146" t="s">
        <v>233</v>
      </c>
      <c r="R146" t="str">
        <f t="shared" si="65"/>
        <v>No Residencial (Gud)</v>
      </c>
      <c r="U146" s="3143">
        <f t="shared" ca="1" si="66"/>
        <v>0</v>
      </c>
      <c r="V146" s="2600">
        <f t="shared" si="67"/>
        <v>0</v>
      </c>
      <c r="W146" s="3185" t="s">
        <v>260</v>
      </c>
      <c r="X146" s="2696">
        <f t="shared" ca="1" si="68"/>
        <v>0</v>
      </c>
      <c r="Y146" s="2696">
        <f t="shared" si="69"/>
        <v>0</v>
      </c>
      <c r="Z146" s="496">
        <f t="shared" ca="1" si="63"/>
        <v>0</v>
      </c>
      <c r="AA146" s="496">
        <f t="shared" ca="1" si="63"/>
        <v>0</v>
      </c>
      <c r="AB146" s="496">
        <f t="shared" ca="1" si="63"/>
        <v>0</v>
      </c>
      <c r="AC146" s="496">
        <f t="shared" ca="1" si="63"/>
        <v>0</v>
      </c>
      <c r="AD146" s="496">
        <f t="shared" ca="1" si="63"/>
        <v>0</v>
      </c>
      <c r="AE146" s="496">
        <f t="shared" ca="1" si="63"/>
        <v>0</v>
      </c>
      <c r="AF146" s="496">
        <f t="shared" ca="1" si="70"/>
        <v>0</v>
      </c>
      <c r="AG146" s="496">
        <f t="shared" ca="1" si="71"/>
        <v>0</v>
      </c>
      <c r="AH146" s="3360">
        <f t="shared" ca="1" si="72"/>
        <v>0</v>
      </c>
    </row>
    <row r="147" spans="11:34" hidden="1" x14ac:dyDescent="0.25">
      <c r="L147" s="487" t="s">
        <v>327</v>
      </c>
      <c r="U147" s="3143"/>
      <c r="V147" s="2600"/>
      <c r="W147" s="3185" t="s">
        <v>4</v>
      </c>
      <c r="X147" s="99"/>
      <c r="Y147" s="99"/>
      <c r="Z147" s="496">
        <f t="shared" ca="1" si="63"/>
        <v>0</v>
      </c>
      <c r="AA147" s="496">
        <f t="shared" ca="1" si="63"/>
        <v>0</v>
      </c>
      <c r="AB147" s="496">
        <f t="shared" ca="1" si="63"/>
        <v>0</v>
      </c>
      <c r="AC147" s="496">
        <f t="shared" ca="1" si="63"/>
        <v>0</v>
      </c>
      <c r="AD147" s="496">
        <f t="shared" ca="1" si="63"/>
        <v>0</v>
      </c>
      <c r="AE147" s="496">
        <f t="shared" ca="1" si="63"/>
        <v>0</v>
      </c>
      <c r="AF147" s="496">
        <f t="shared" ca="1" si="70"/>
        <v>0</v>
      </c>
      <c r="AG147" s="496">
        <f t="shared" ca="1" si="71"/>
        <v>0</v>
      </c>
      <c r="AH147" s="3360">
        <f t="shared" ca="1" si="72"/>
        <v>0</v>
      </c>
    </row>
    <row r="148" spans="11:34" ht="15.75" hidden="1" thickBot="1" x14ac:dyDescent="0.3">
      <c r="L148" s="487" t="s">
        <v>328</v>
      </c>
      <c r="U148" s="3146"/>
      <c r="V148" s="3184"/>
      <c r="W148" s="3146"/>
      <c r="X148" s="3147">
        <f ca="1">SUM(X138:X147)</f>
        <v>0</v>
      </c>
      <c r="Y148" s="3147">
        <f>SUM(Y138:Y147)</f>
        <v>0</v>
      </c>
      <c r="Z148" s="3361">
        <f ca="1">SUM(Z138:Z147)</f>
        <v>0</v>
      </c>
      <c r="AA148" s="3361">
        <f t="shared" ref="AA148:AE148" ca="1" si="73">SUM(AA138:AA147)</f>
        <v>0</v>
      </c>
      <c r="AB148" s="3361">
        <f t="shared" ca="1" si="73"/>
        <v>0</v>
      </c>
      <c r="AC148" s="3361">
        <f t="shared" ca="1" si="73"/>
        <v>0</v>
      </c>
      <c r="AD148" s="3361">
        <f t="shared" ca="1" si="73"/>
        <v>0</v>
      </c>
      <c r="AE148" s="3361">
        <f t="shared" ca="1" si="73"/>
        <v>0</v>
      </c>
      <c r="AF148" s="3361">
        <f t="shared" ca="1" si="70"/>
        <v>0</v>
      </c>
      <c r="AG148" s="3361">
        <f t="shared" ca="1" si="71"/>
        <v>0</v>
      </c>
      <c r="AH148" s="3362">
        <f t="shared" ca="1" si="72"/>
        <v>0</v>
      </c>
    </row>
    <row r="149" spans="11:34" hidden="1" x14ac:dyDescent="0.25">
      <c r="L149" s="487"/>
    </row>
    <row r="150" spans="11:34" hidden="1" x14ac:dyDescent="0.25">
      <c r="L150" s="487"/>
    </row>
    <row r="151" spans="11:34" ht="15.75" hidden="1" thickBot="1" x14ac:dyDescent="0.3">
      <c r="L151" s="487"/>
    </row>
    <row r="152" spans="11:34" hidden="1" x14ac:dyDescent="0.25">
      <c r="L152" s="487"/>
      <c r="X152" s="3141"/>
      <c r="Y152" s="3141"/>
      <c r="Z152" s="4167" t="s">
        <v>304</v>
      </c>
      <c r="AA152" s="4168"/>
      <c r="AB152" s="4168"/>
      <c r="AC152" s="4167" t="s">
        <v>305</v>
      </c>
      <c r="AD152" s="4168"/>
      <c r="AE152" s="4169"/>
      <c r="AF152" s="4167" t="s">
        <v>318</v>
      </c>
      <c r="AG152" s="4168"/>
      <c r="AH152" s="4169"/>
    </row>
    <row r="153" spans="11:34" ht="15.75" hidden="1" x14ac:dyDescent="0.25">
      <c r="K153" s="487"/>
      <c r="L153" s="487" t="s">
        <v>329</v>
      </c>
      <c r="X153" s="99"/>
      <c r="Y153" s="99"/>
      <c r="Z153" s="2772" t="s">
        <v>287</v>
      </c>
      <c r="AA153" s="2772" t="s">
        <v>289</v>
      </c>
      <c r="AB153" s="2772" t="s">
        <v>288</v>
      </c>
      <c r="AC153" s="2772" t="s">
        <v>287</v>
      </c>
      <c r="AD153" s="2772" t="s">
        <v>289</v>
      </c>
      <c r="AE153" s="3144" t="s">
        <v>288</v>
      </c>
      <c r="AF153" s="2772" t="s">
        <v>287</v>
      </c>
      <c r="AG153" s="2772" t="s">
        <v>289</v>
      </c>
      <c r="AH153" s="3144" t="s">
        <v>288</v>
      </c>
    </row>
    <row r="154" spans="11:34" hidden="1" x14ac:dyDescent="0.25">
      <c r="L154" s="487" t="s">
        <v>330</v>
      </c>
      <c r="V154" s="1441" t="s">
        <v>320</v>
      </c>
      <c r="X154" s="3139" t="s">
        <v>4</v>
      </c>
      <c r="Y154" s="3181" t="s">
        <v>1230</v>
      </c>
      <c r="Z154" s="3148"/>
      <c r="AA154" s="3148"/>
      <c r="AB154" s="3148"/>
      <c r="AC154" s="3148"/>
      <c r="AD154" s="3148"/>
      <c r="AE154" s="3149"/>
    </row>
    <row r="155" spans="11:34" hidden="1" x14ac:dyDescent="0.25">
      <c r="L155" s="487" t="s">
        <v>331</v>
      </c>
      <c r="Q155" t="s">
        <v>332</v>
      </c>
      <c r="V155" s="99">
        <f>+COUNTIF(W$23:W$132,W155)</f>
        <v>0</v>
      </c>
      <c r="W155" t="s">
        <v>327</v>
      </c>
      <c r="X155" s="99">
        <f ca="1">+Z155+AA155+AB155</f>
        <v>0</v>
      </c>
      <c r="Y155" s="99">
        <f>+V155</f>
        <v>0</v>
      </c>
      <c r="Z155" s="99">
        <f t="shared" ref="Z155:AE164" ca="1" si="74">+SUMIF($W$23:$AE$132,$W155,Z$23:Z$132)</f>
        <v>0</v>
      </c>
      <c r="AA155" s="99">
        <f t="shared" ca="1" si="74"/>
        <v>0</v>
      </c>
      <c r="AB155" s="99">
        <f t="shared" ca="1" si="74"/>
        <v>0</v>
      </c>
      <c r="AC155" s="99">
        <f t="shared" ca="1" si="74"/>
        <v>0</v>
      </c>
      <c r="AD155" s="99">
        <f t="shared" ca="1" si="74"/>
        <v>0</v>
      </c>
      <c r="AE155" s="99">
        <f t="shared" ca="1" si="74"/>
        <v>0</v>
      </c>
      <c r="AF155" s="99">
        <f t="shared" ref="AF155" ca="1" si="75">+Z155+AC155</f>
        <v>0</v>
      </c>
      <c r="AG155" s="99">
        <f t="shared" ref="AG155" ca="1" si="76">+AA155+AD155</f>
        <v>0</v>
      </c>
      <c r="AH155" s="99">
        <f t="shared" ref="AH155" ca="1" si="77">+AB155+AE155</f>
        <v>0</v>
      </c>
    </row>
    <row r="156" spans="11:34" hidden="1" x14ac:dyDescent="0.25">
      <c r="L156" s="487" t="s">
        <v>333</v>
      </c>
      <c r="Q156" t="s">
        <v>332</v>
      </c>
      <c r="V156" s="99">
        <f t="shared" ref="V156:V173" si="78">+COUNTIF(W$23:W$132,W156)</f>
        <v>0</v>
      </c>
      <c r="W156" t="s">
        <v>328</v>
      </c>
      <c r="X156" s="99">
        <f t="shared" ref="X156:X173" ca="1" si="79">+Z156+AA156+AB156</f>
        <v>0</v>
      </c>
      <c r="Y156" s="99">
        <f t="shared" ref="Y156:Y173" si="80">+V156</f>
        <v>0</v>
      </c>
      <c r="Z156" s="99">
        <f t="shared" ca="1" si="74"/>
        <v>0</v>
      </c>
      <c r="AA156" s="99">
        <f t="shared" ca="1" si="74"/>
        <v>0</v>
      </c>
      <c r="AB156" s="99">
        <f t="shared" ca="1" si="74"/>
        <v>0</v>
      </c>
      <c r="AC156" s="99">
        <f t="shared" ca="1" si="74"/>
        <v>0</v>
      </c>
      <c r="AD156" s="99">
        <f t="shared" ca="1" si="74"/>
        <v>0</v>
      </c>
      <c r="AE156" s="99">
        <f t="shared" ca="1" si="74"/>
        <v>0</v>
      </c>
      <c r="AF156" s="99">
        <f t="shared" ref="AF156:AF173" ca="1" si="81">+Z156+AC156</f>
        <v>0</v>
      </c>
      <c r="AG156" s="99">
        <f t="shared" ref="AG156:AG173" ca="1" si="82">+AA156+AD156</f>
        <v>0</v>
      </c>
      <c r="AH156" s="99">
        <f t="shared" ref="AH156:AH173" ca="1" si="83">+AB156+AE156</f>
        <v>0</v>
      </c>
    </row>
    <row r="157" spans="11:34" hidden="1" x14ac:dyDescent="0.25">
      <c r="L157" s="487" t="s">
        <v>334</v>
      </c>
      <c r="Q157" t="s">
        <v>332</v>
      </c>
      <c r="V157" s="99">
        <f t="shared" si="78"/>
        <v>0</v>
      </c>
      <c r="W157" t="s">
        <v>329</v>
      </c>
      <c r="X157" s="99">
        <f t="shared" ca="1" si="79"/>
        <v>0</v>
      </c>
      <c r="Y157" s="99">
        <f t="shared" si="80"/>
        <v>0</v>
      </c>
      <c r="Z157" s="99">
        <f t="shared" ca="1" si="74"/>
        <v>0</v>
      </c>
      <c r="AA157" s="99">
        <f t="shared" ca="1" si="74"/>
        <v>0</v>
      </c>
      <c r="AB157" s="99">
        <f t="shared" ca="1" si="74"/>
        <v>0</v>
      </c>
      <c r="AC157" s="99">
        <f t="shared" ca="1" si="74"/>
        <v>0</v>
      </c>
      <c r="AD157" s="99">
        <f t="shared" ca="1" si="74"/>
        <v>0</v>
      </c>
      <c r="AE157" s="99">
        <f t="shared" ca="1" si="74"/>
        <v>0</v>
      </c>
      <c r="AF157" s="99">
        <f t="shared" ca="1" si="81"/>
        <v>0</v>
      </c>
      <c r="AG157" s="99">
        <f t="shared" ca="1" si="82"/>
        <v>0</v>
      </c>
      <c r="AH157" s="99">
        <f t="shared" ca="1" si="83"/>
        <v>0</v>
      </c>
    </row>
    <row r="158" spans="11:34" hidden="1" x14ac:dyDescent="0.25">
      <c r="L158" s="487" t="s">
        <v>335</v>
      </c>
      <c r="Q158" t="s">
        <v>332</v>
      </c>
      <c r="V158" s="99">
        <f t="shared" si="78"/>
        <v>0</v>
      </c>
      <c r="W158" t="s">
        <v>330</v>
      </c>
      <c r="X158" s="99">
        <f t="shared" ca="1" si="79"/>
        <v>0</v>
      </c>
      <c r="Y158" s="99">
        <f t="shared" si="80"/>
        <v>0</v>
      </c>
      <c r="Z158" s="99">
        <f t="shared" ca="1" si="74"/>
        <v>0</v>
      </c>
      <c r="AA158" s="99">
        <f t="shared" ca="1" si="74"/>
        <v>0</v>
      </c>
      <c r="AB158" s="99">
        <f t="shared" ca="1" si="74"/>
        <v>0</v>
      </c>
      <c r="AC158" s="99">
        <f t="shared" ca="1" si="74"/>
        <v>0</v>
      </c>
      <c r="AD158" s="99">
        <f t="shared" ca="1" si="74"/>
        <v>0</v>
      </c>
      <c r="AE158" s="99">
        <f t="shared" ca="1" si="74"/>
        <v>0</v>
      </c>
      <c r="AF158" s="99">
        <f t="shared" ca="1" si="81"/>
        <v>0</v>
      </c>
      <c r="AG158" s="99">
        <f t="shared" ca="1" si="82"/>
        <v>0</v>
      </c>
      <c r="AH158" s="99">
        <f t="shared" ca="1" si="83"/>
        <v>0</v>
      </c>
    </row>
    <row r="159" spans="11:34" hidden="1" x14ac:dyDescent="0.25">
      <c r="L159" s="487" t="s">
        <v>336</v>
      </c>
      <c r="Q159" t="s">
        <v>332</v>
      </c>
      <c r="V159" s="99">
        <f t="shared" si="78"/>
        <v>0</v>
      </c>
      <c r="W159" t="s">
        <v>331</v>
      </c>
      <c r="X159" s="99">
        <f t="shared" ca="1" si="79"/>
        <v>0</v>
      </c>
      <c r="Y159" s="99">
        <f t="shared" si="80"/>
        <v>0</v>
      </c>
      <c r="Z159" s="99">
        <f t="shared" ca="1" si="74"/>
        <v>0</v>
      </c>
      <c r="AA159" s="99">
        <f t="shared" ca="1" si="74"/>
        <v>0</v>
      </c>
      <c r="AB159" s="99">
        <f t="shared" ca="1" si="74"/>
        <v>0</v>
      </c>
      <c r="AC159" s="99">
        <f t="shared" ca="1" si="74"/>
        <v>0</v>
      </c>
      <c r="AD159" s="99">
        <f t="shared" ca="1" si="74"/>
        <v>0</v>
      </c>
      <c r="AE159" s="99">
        <f t="shared" ca="1" si="74"/>
        <v>0</v>
      </c>
      <c r="AF159" s="99">
        <f t="shared" ca="1" si="81"/>
        <v>0</v>
      </c>
      <c r="AG159" s="99">
        <f t="shared" ca="1" si="82"/>
        <v>0</v>
      </c>
      <c r="AH159" s="99">
        <f t="shared" ca="1" si="83"/>
        <v>0</v>
      </c>
    </row>
    <row r="160" spans="11:34" hidden="1" x14ac:dyDescent="0.25">
      <c r="L160" s="487" t="s">
        <v>337</v>
      </c>
      <c r="Q160" s="487" t="s">
        <v>338</v>
      </c>
      <c r="V160" s="99">
        <f t="shared" si="78"/>
        <v>0</v>
      </c>
      <c r="W160" t="s">
        <v>333</v>
      </c>
      <c r="X160" s="99">
        <f t="shared" ca="1" si="79"/>
        <v>0</v>
      </c>
      <c r="Y160" s="99">
        <f t="shared" si="80"/>
        <v>0</v>
      </c>
      <c r="Z160" s="99">
        <f t="shared" ca="1" si="74"/>
        <v>0</v>
      </c>
      <c r="AA160" s="99">
        <f t="shared" ca="1" si="74"/>
        <v>0</v>
      </c>
      <c r="AB160" s="99">
        <f t="shared" ca="1" si="74"/>
        <v>0</v>
      </c>
      <c r="AC160" s="99">
        <f t="shared" ca="1" si="74"/>
        <v>0</v>
      </c>
      <c r="AD160" s="99">
        <f t="shared" ca="1" si="74"/>
        <v>0</v>
      </c>
      <c r="AE160" s="99">
        <f t="shared" ca="1" si="74"/>
        <v>0</v>
      </c>
      <c r="AF160" s="99">
        <f t="shared" ca="1" si="81"/>
        <v>0</v>
      </c>
      <c r="AG160" s="99">
        <f t="shared" ca="1" si="82"/>
        <v>0</v>
      </c>
      <c r="AH160" s="99">
        <f t="shared" ca="1" si="83"/>
        <v>0</v>
      </c>
    </row>
    <row r="161" spans="12:34" hidden="1" x14ac:dyDescent="0.25">
      <c r="L161" s="487" t="s">
        <v>339</v>
      </c>
      <c r="Q161" s="487" t="s">
        <v>338</v>
      </c>
      <c r="V161" s="99">
        <f t="shared" si="78"/>
        <v>0</v>
      </c>
      <c r="W161" t="s">
        <v>334</v>
      </c>
      <c r="X161" s="99">
        <f t="shared" ca="1" si="79"/>
        <v>0</v>
      </c>
      <c r="Y161" s="99">
        <f t="shared" si="80"/>
        <v>0</v>
      </c>
      <c r="Z161" s="99">
        <f t="shared" ca="1" si="74"/>
        <v>0</v>
      </c>
      <c r="AA161" s="99">
        <f t="shared" ca="1" si="74"/>
        <v>0</v>
      </c>
      <c r="AB161" s="99">
        <f t="shared" ca="1" si="74"/>
        <v>0</v>
      </c>
      <c r="AC161" s="99">
        <f t="shared" ca="1" si="74"/>
        <v>0</v>
      </c>
      <c r="AD161" s="99">
        <f t="shared" ca="1" si="74"/>
        <v>0</v>
      </c>
      <c r="AE161" s="99">
        <f t="shared" ca="1" si="74"/>
        <v>0</v>
      </c>
      <c r="AF161" s="99">
        <f t="shared" ca="1" si="81"/>
        <v>0</v>
      </c>
      <c r="AG161" s="99">
        <f t="shared" ca="1" si="82"/>
        <v>0</v>
      </c>
      <c r="AH161" s="99">
        <f t="shared" ca="1" si="83"/>
        <v>0</v>
      </c>
    </row>
    <row r="162" spans="12:34" hidden="1" x14ac:dyDescent="0.25">
      <c r="L162" s="487" t="s">
        <v>340</v>
      </c>
      <c r="Q162" s="487" t="s">
        <v>338</v>
      </c>
      <c r="V162" s="99">
        <f t="shared" si="78"/>
        <v>0</v>
      </c>
      <c r="W162" t="s">
        <v>335</v>
      </c>
      <c r="X162" s="99">
        <f t="shared" ca="1" si="79"/>
        <v>0</v>
      </c>
      <c r="Y162" s="99">
        <f t="shared" si="80"/>
        <v>0</v>
      </c>
      <c r="Z162" s="99">
        <f t="shared" ca="1" si="74"/>
        <v>0</v>
      </c>
      <c r="AA162" s="99">
        <f t="shared" ca="1" si="74"/>
        <v>0</v>
      </c>
      <c r="AB162" s="99">
        <f t="shared" ca="1" si="74"/>
        <v>0</v>
      </c>
      <c r="AC162" s="99">
        <f t="shared" ca="1" si="74"/>
        <v>0</v>
      </c>
      <c r="AD162" s="99">
        <f t="shared" ca="1" si="74"/>
        <v>0</v>
      </c>
      <c r="AE162" s="99">
        <f t="shared" ca="1" si="74"/>
        <v>0</v>
      </c>
      <c r="AF162" s="99">
        <f t="shared" ca="1" si="81"/>
        <v>0</v>
      </c>
      <c r="AG162" s="99">
        <f t="shared" ca="1" si="82"/>
        <v>0</v>
      </c>
      <c r="AH162" s="99">
        <f t="shared" ca="1" si="83"/>
        <v>0</v>
      </c>
    </row>
    <row r="163" spans="12:34" hidden="1" x14ac:dyDescent="0.25">
      <c r="L163" s="487" t="s">
        <v>341</v>
      </c>
      <c r="Q163" s="487" t="s">
        <v>338</v>
      </c>
      <c r="V163" s="99">
        <f t="shared" si="78"/>
        <v>0</v>
      </c>
      <c r="W163" t="s">
        <v>336</v>
      </c>
      <c r="X163" s="99">
        <f t="shared" ca="1" si="79"/>
        <v>0</v>
      </c>
      <c r="Y163" s="99">
        <f t="shared" si="80"/>
        <v>0</v>
      </c>
      <c r="Z163" s="99">
        <f t="shared" ca="1" si="74"/>
        <v>0</v>
      </c>
      <c r="AA163" s="99">
        <f t="shared" ca="1" si="74"/>
        <v>0</v>
      </c>
      <c r="AB163" s="99">
        <f t="shared" ca="1" si="74"/>
        <v>0</v>
      </c>
      <c r="AC163" s="99">
        <f t="shared" ca="1" si="74"/>
        <v>0</v>
      </c>
      <c r="AD163" s="99">
        <f t="shared" ca="1" si="74"/>
        <v>0</v>
      </c>
      <c r="AE163" s="99">
        <f t="shared" ca="1" si="74"/>
        <v>0</v>
      </c>
      <c r="AF163" s="99">
        <f t="shared" ca="1" si="81"/>
        <v>0</v>
      </c>
      <c r="AG163" s="99">
        <f t="shared" ca="1" si="82"/>
        <v>0</v>
      </c>
      <c r="AH163" s="99">
        <f t="shared" ca="1" si="83"/>
        <v>0</v>
      </c>
    </row>
    <row r="164" spans="12:34" hidden="1" x14ac:dyDescent="0.25">
      <c r="L164" s="487" t="s">
        <v>342</v>
      </c>
      <c r="Q164" s="487" t="s">
        <v>338</v>
      </c>
      <c r="V164" s="99">
        <f t="shared" si="78"/>
        <v>0</v>
      </c>
      <c r="W164" t="s">
        <v>343</v>
      </c>
      <c r="X164" s="99">
        <f t="shared" ca="1" si="79"/>
        <v>0</v>
      </c>
      <c r="Y164" s="99">
        <f t="shared" si="80"/>
        <v>0</v>
      </c>
      <c r="Z164" s="99">
        <f t="shared" ca="1" si="74"/>
        <v>0</v>
      </c>
      <c r="AA164" s="99">
        <f t="shared" ca="1" si="74"/>
        <v>0</v>
      </c>
      <c r="AB164" s="99">
        <f t="shared" ca="1" si="74"/>
        <v>0</v>
      </c>
      <c r="AC164" s="99">
        <f t="shared" ca="1" si="74"/>
        <v>0</v>
      </c>
      <c r="AD164" s="99">
        <f t="shared" ca="1" si="74"/>
        <v>0</v>
      </c>
      <c r="AE164" s="99">
        <f t="shared" ca="1" si="74"/>
        <v>0</v>
      </c>
      <c r="AF164" s="99">
        <f t="shared" ca="1" si="81"/>
        <v>0</v>
      </c>
      <c r="AG164" s="99">
        <f t="shared" ca="1" si="82"/>
        <v>0</v>
      </c>
      <c r="AH164" s="99">
        <f t="shared" ca="1" si="83"/>
        <v>0</v>
      </c>
    </row>
    <row r="165" spans="12:34" hidden="1" x14ac:dyDescent="0.25">
      <c r="L165" s="487" t="s">
        <v>344</v>
      </c>
      <c r="Q165" s="487" t="s">
        <v>345</v>
      </c>
      <c r="V165" s="99">
        <f t="shared" si="78"/>
        <v>0</v>
      </c>
      <c r="W165" t="s">
        <v>337</v>
      </c>
      <c r="X165" s="99">
        <f t="shared" ca="1" si="79"/>
        <v>0</v>
      </c>
      <c r="Y165" s="99">
        <f t="shared" si="80"/>
        <v>0</v>
      </c>
      <c r="Z165" s="99">
        <f t="shared" ref="Z165:AE173" ca="1" si="84">+SUMIF($W$23:$AE$132,$W165,Z$23:Z$132)</f>
        <v>0</v>
      </c>
      <c r="AA165" s="99">
        <f t="shared" ca="1" si="84"/>
        <v>0</v>
      </c>
      <c r="AB165" s="99">
        <f t="shared" ca="1" si="84"/>
        <v>0</v>
      </c>
      <c r="AC165" s="99">
        <f t="shared" ca="1" si="84"/>
        <v>0</v>
      </c>
      <c r="AD165" s="99">
        <f t="shared" ca="1" si="84"/>
        <v>0</v>
      </c>
      <c r="AE165" s="99">
        <f t="shared" ca="1" si="84"/>
        <v>0</v>
      </c>
      <c r="AF165" s="99">
        <f t="shared" ca="1" si="81"/>
        <v>0</v>
      </c>
      <c r="AG165" s="99">
        <f t="shared" ca="1" si="82"/>
        <v>0</v>
      </c>
      <c r="AH165" s="99">
        <f t="shared" ca="1" si="83"/>
        <v>0</v>
      </c>
    </row>
    <row r="166" spans="12:34" hidden="1" x14ac:dyDescent="0.25">
      <c r="L166" s="487" t="s">
        <v>346</v>
      </c>
      <c r="Q166" s="487" t="s">
        <v>345</v>
      </c>
      <c r="V166" s="99">
        <f t="shared" si="78"/>
        <v>0</v>
      </c>
      <c r="W166" t="s">
        <v>339</v>
      </c>
      <c r="X166" s="99">
        <f t="shared" ca="1" si="79"/>
        <v>0</v>
      </c>
      <c r="Y166" s="99">
        <f t="shared" si="80"/>
        <v>0</v>
      </c>
      <c r="Z166" s="99">
        <f t="shared" ca="1" si="84"/>
        <v>0</v>
      </c>
      <c r="AA166" s="99">
        <f t="shared" ca="1" si="84"/>
        <v>0</v>
      </c>
      <c r="AB166" s="99">
        <f t="shared" ca="1" si="84"/>
        <v>0</v>
      </c>
      <c r="AC166" s="99">
        <f t="shared" ca="1" si="84"/>
        <v>0</v>
      </c>
      <c r="AD166" s="99">
        <f t="shared" ca="1" si="84"/>
        <v>0</v>
      </c>
      <c r="AE166" s="99">
        <f t="shared" ca="1" si="84"/>
        <v>0</v>
      </c>
      <c r="AF166" s="99">
        <f t="shared" ca="1" si="81"/>
        <v>0</v>
      </c>
      <c r="AG166" s="99">
        <f t="shared" ca="1" si="82"/>
        <v>0</v>
      </c>
      <c r="AH166" s="99">
        <f t="shared" ca="1" si="83"/>
        <v>0</v>
      </c>
    </row>
    <row r="167" spans="12:34" hidden="1" x14ac:dyDescent="0.25">
      <c r="L167" s="487" t="s">
        <v>347</v>
      </c>
      <c r="Q167" s="487" t="s">
        <v>345</v>
      </c>
      <c r="V167" s="99">
        <f t="shared" si="78"/>
        <v>0</v>
      </c>
      <c r="W167" t="s">
        <v>340</v>
      </c>
      <c r="X167" s="99">
        <f t="shared" ca="1" si="79"/>
        <v>0</v>
      </c>
      <c r="Y167" s="99">
        <f t="shared" si="80"/>
        <v>0</v>
      </c>
      <c r="Z167" s="99">
        <f t="shared" ca="1" si="84"/>
        <v>0</v>
      </c>
      <c r="AA167" s="99">
        <f t="shared" ca="1" si="84"/>
        <v>0</v>
      </c>
      <c r="AB167" s="99">
        <f t="shared" ca="1" si="84"/>
        <v>0</v>
      </c>
      <c r="AC167" s="99">
        <f t="shared" ca="1" si="84"/>
        <v>0</v>
      </c>
      <c r="AD167" s="99">
        <f t="shared" ca="1" si="84"/>
        <v>0</v>
      </c>
      <c r="AE167" s="99">
        <f t="shared" ca="1" si="84"/>
        <v>0</v>
      </c>
      <c r="AF167" s="99">
        <f t="shared" ca="1" si="81"/>
        <v>0</v>
      </c>
      <c r="AG167" s="99">
        <f t="shared" ca="1" si="82"/>
        <v>0</v>
      </c>
      <c r="AH167" s="99">
        <f t="shared" ca="1" si="83"/>
        <v>0</v>
      </c>
    </row>
    <row r="168" spans="12:34" hidden="1" x14ac:dyDescent="0.25">
      <c r="L168" s="487" t="s">
        <v>348</v>
      </c>
      <c r="Q168" s="487" t="s">
        <v>345</v>
      </c>
      <c r="V168" s="99">
        <f t="shared" si="78"/>
        <v>0</v>
      </c>
      <c r="W168" t="s">
        <v>341</v>
      </c>
      <c r="X168" s="99">
        <f t="shared" ca="1" si="79"/>
        <v>0</v>
      </c>
      <c r="Y168" s="99">
        <f t="shared" si="80"/>
        <v>0</v>
      </c>
      <c r="Z168" s="99">
        <f t="shared" ca="1" si="84"/>
        <v>0</v>
      </c>
      <c r="AA168" s="99">
        <f t="shared" ca="1" si="84"/>
        <v>0</v>
      </c>
      <c r="AB168" s="99">
        <f t="shared" ca="1" si="84"/>
        <v>0</v>
      </c>
      <c r="AC168" s="99">
        <f t="shared" ca="1" si="84"/>
        <v>0</v>
      </c>
      <c r="AD168" s="99">
        <f t="shared" ca="1" si="84"/>
        <v>0</v>
      </c>
      <c r="AE168" s="99">
        <f t="shared" ca="1" si="84"/>
        <v>0</v>
      </c>
      <c r="AF168" s="99">
        <f t="shared" ca="1" si="81"/>
        <v>0</v>
      </c>
      <c r="AG168" s="99">
        <f t="shared" ca="1" si="82"/>
        <v>0</v>
      </c>
      <c r="AH168" s="99">
        <f t="shared" ca="1" si="83"/>
        <v>0</v>
      </c>
    </row>
    <row r="169" spans="12:34" hidden="1" x14ac:dyDescent="0.25">
      <c r="L169" s="487"/>
      <c r="Q169" s="487" t="s">
        <v>349</v>
      </c>
      <c r="V169" s="99">
        <f t="shared" si="78"/>
        <v>0</v>
      </c>
      <c r="W169" s="487" t="s">
        <v>342</v>
      </c>
      <c r="X169" s="99">
        <f t="shared" ca="1" si="79"/>
        <v>0</v>
      </c>
      <c r="Y169" s="99">
        <f t="shared" si="80"/>
        <v>0</v>
      </c>
      <c r="Z169" s="99">
        <f t="shared" ca="1" si="84"/>
        <v>0</v>
      </c>
      <c r="AA169" s="99">
        <f t="shared" ca="1" si="84"/>
        <v>0</v>
      </c>
      <c r="AB169" s="99">
        <f t="shared" ca="1" si="84"/>
        <v>0</v>
      </c>
      <c r="AC169" s="99">
        <f t="shared" ca="1" si="84"/>
        <v>0</v>
      </c>
      <c r="AD169" s="99">
        <f t="shared" ca="1" si="84"/>
        <v>0</v>
      </c>
      <c r="AE169" s="99">
        <f t="shared" ca="1" si="84"/>
        <v>0</v>
      </c>
      <c r="AF169" s="99">
        <f t="shared" ref="AF169" ca="1" si="85">+Z169+AC169</f>
        <v>0</v>
      </c>
      <c r="AG169" s="99">
        <f t="shared" ref="AG169" ca="1" si="86">+AA169+AD169</f>
        <v>0</v>
      </c>
      <c r="AH169" s="99">
        <f t="shared" ref="AH169" ca="1" si="87">+AB169+AE169</f>
        <v>0</v>
      </c>
    </row>
    <row r="170" spans="12:34" hidden="1" x14ac:dyDescent="0.25">
      <c r="Q170" s="487" t="s">
        <v>349</v>
      </c>
      <c r="V170" s="99">
        <f t="shared" si="78"/>
        <v>0</v>
      </c>
      <c r="W170" t="s">
        <v>344</v>
      </c>
      <c r="X170" s="99">
        <f t="shared" ca="1" si="79"/>
        <v>0</v>
      </c>
      <c r="Y170" s="99">
        <f t="shared" si="80"/>
        <v>0</v>
      </c>
      <c r="Z170" s="99">
        <f t="shared" ca="1" si="84"/>
        <v>0</v>
      </c>
      <c r="AA170" s="99">
        <f t="shared" ca="1" si="84"/>
        <v>0</v>
      </c>
      <c r="AB170" s="99">
        <f t="shared" ca="1" si="84"/>
        <v>0</v>
      </c>
      <c r="AC170" s="99">
        <f t="shared" ca="1" si="84"/>
        <v>0</v>
      </c>
      <c r="AD170" s="99">
        <f t="shared" ca="1" si="84"/>
        <v>0</v>
      </c>
      <c r="AE170" s="99">
        <f t="shared" ca="1" si="84"/>
        <v>0</v>
      </c>
      <c r="AF170" s="99">
        <f t="shared" ca="1" si="81"/>
        <v>0</v>
      </c>
      <c r="AG170" s="99">
        <f t="shared" ca="1" si="82"/>
        <v>0</v>
      </c>
      <c r="AH170" s="99">
        <f t="shared" ca="1" si="83"/>
        <v>0</v>
      </c>
    </row>
    <row r="171" spans="12:34" hidden="1" x14ac:dyDescent="0.25">
      <c r="Q171" s="487" t="s">
        <v>349</v>
      </c>
      <c r="V171" s="99">
        <f t="shared" si="78"/>
        <v>0</v>
      </c>
      <c r="W171" t="s">
        <v>346</v>
      </c>
      <c r="X171" s="99">
        <f t="shared" ca="1" si="79"/>
        <v>0</v>
      </c>
      <c r="Y171" s="99">
        <f t="shared" si="80"/>
        <v>0</v>
      </c>
      <c r="Z171" s="99">
        <f t="shared" ca="1" si="84"/>
        <v>0</v>
      </c>
      <c r="AA171" s="99">
        <f t="shared" ca="1" si="84"/>
        <v>0</v>
      </c>
      <c r="AB171" s="99">
        <f t="shared" ca="1" si="84"/>
        <v>0</v>
      </c>
      <c r="AC171" s="99">
        <f t="shared" ca="1" si="84"/>
        <v>0</v>
      </c>
      <c r="AD171" s="99">
        <f t="shared" ca="1" si="84"/>
        <v>0</v>
      </c>
      <c r="AE171" s="99">
        <f t="shared" ca="1" si="84"/>
        <v>0</v>
      </c>
      <c r="AF171" s="99">
        <f t="shared" ca="1" si="81"/>
        <v>0</v>
      </c>
      <c r="AG171" s="99">
        <f t="shared" ca="1" si="82"/>
        <v>0</v>
      </c>
      <c r="AH171" s="99">
        <f t="shared" ca="1" si="83"/>
        <v>0</v>
      </c>
    </row>
    <row r="172" spans="12:34" hidden="1" x14ac:dyDescent="0.25">
      <c r="Q172" s="487" t="s">
        <v>349</v>
      </c>
      <c r="V172" s="99">
        <f t="shared" si="78"/>
        <v>0</v>
      </c>
      <c r="W172" t="s">
        <v>347</v>
      </c>
      <c r="X172" s="99">
        <f t="shared" ca="1" si="79"/>
        <v>0</v>
      </c>
      <c r="Y172" s="99">
        <f t="shared" si="80"/>
        <v>0</v>
      </c>
      <c r="Z172" s="99">
        <f t="shared" ca="1" si="84"/>
        <v>0</v>
      </c>
      <c r="AA172" s="99">
        <f t="shared" ca="1" si="84"/>
        <v>0</v>
      </c>
      <c r="AB172" s="99">
        <f t="shared" ca="1" si="84"/>
        <v>0</v>
      </c>
      <c r="AC172" s="99">
        <f t="shared" ca="1" si="84"/>
        <v>0</v>
      </c>
      <c r="AD172" s="99">
        <f t="shared" ca="1" si="84"/>
        <v>0</v>
      </c>
      <c r="AE172" s="99">
        <f t="shared" ca="1" si="84"/>
        <v>0</v>
      </c>
      <c r="AF172" s="99">
        <f t="shared" ca="1" si="81"/>
        <v>0</v>
      </c>
      <c r="AG172" s="99">
        <f t="shared" ca="1" si="82"/>
        <v>0</v>
      </c>
      <c r="AH172" s="99">
        <f t="shared" ca="1" si="83"/>
        <v>0</v>
      </c>
    </row>
    <row r="173" spans="12:34" hidden="1" x14ac:dyDescent="0.25">
      <c r="Q173" s="487" t="s">
        <v>349</v>
      </c>
      <c r="V173" s="99">
        <f t="shared" si="78"/>
        <v>0</v>
      </c>
      <c r="W173" t="s">
        <v>348</v>
      </c>
      <c r="X173" s="99">
        <f t="shared" ca="1" si="79"/>
        <v>0</v>
      </c>
      <c r="Y173" s="99">
        <f t="shared" si="80"/>
        <v>0</v>
      </c>
      <c r="Z173" s="99">
        <f t="shared" ca="1" si="84"/>
        <v>0</v>
      </c>
      <c r="AA173" s="99">
        <f t="shared" ca="1" si="84"/>
        <v>0</v>
      </c>
      <c r="AB173" s="99">
        <f t="shared" ca="1" si="84"/>
        <v>0</v>
      </c>
      <c r="AC173" s="99">
        <f t="shared" ca="1" si="84"/>
        <v>0</v>
      </c>
      <c r="AD173" s="99">
        <f t="shared" ca="1" si="84"/>
        <v>0</v>
      </c>
      <c r="AE173" s="99">
        <f t="shared" ca="1" si="84"/>
        <v>0</v>
      </c>
      <c r="AF173" s="99">
        <f t="shared" ca="1" si="81"/>
        <v>0</v>
      </c>
      <c r="AG173" s="99">
        <f t="shared" ca="1" si="82"/>
        <v>0</v>
      </c>
      <c r="AH173" s="99">
        <f t="shared" ca="1" si="83"/>
        <v>0</v>
      </c>
    </row>
    <row r="174" spans="12:34" hidden="1" x14ac:dyDescent="0.25"/>
    <row r="175" spans="12:34" hidden="1" x14ac:dyDescent="0.25">
      <c r="V175" s="72">
        <f>SUM(V155:V173)</f>
        <v>0</v>
      </c>
      <c r="W175" s="487" t="s">
        <v>350</v>
      </c>
      <c r="X175" s="72">
        <f ca="1">SUM(X155:X173)</f>
        <v>0</v>
      </c>
      <c r="Y175" s="72">
        <f>SUM(Y155:Y173)</f>
        <v>0</v>
      </c>
      <c r="Z175" s="72">
        <f ca="1">SUM(Z155:Z173)</f>
        <v>0</v>
      </c>
      <c r="AA175" s="72">
        <f t="shared" ref="AA175:AH175" ca="1" si="88">SUM(AA155:AA173)</f>
        <v>0</v>
      </c>
      <c r="AB175" s="72">
        <f t="shared" ca="1" si="88"/>
        <v>0</v>
      </c>
      <c r="AC175" s="72">
        <f t="shared" ca="1" si="88"/>
        <v>0</v>
      </c>
      <c r="AD175" s="72">
        <f t="shared" ca="1" si="88"/>
        <v>0</v>
      </c>
      <c r="AE175" s="72">
        <f t="shared" ca="1" si="88"/>
        <v>0</v>
      </c>
      <c r="AF175" s="72">
        <f t="shared" ca="1" si="88"/>
        <v>0</v>
      </c>
      <c r="AG175" s="72">
        <f t="shared" ca="1" si="88"/>
        <v>0</v>
      </c>
      <c r="AH175" s="72">
        <f t="shared" ca="1" si="88"/>
        <v>0</v>
      </c>
    </row>
    <row r="176" spans="12:34" hidden="1" x14ac:dyDescent="0.25">
      <c r="W176" s="487" t="s">
        <v>241</v>
      </c>
      <c r="X176" s="72">
        <f ca="1">+X175-X148</f>
        <v>0</v>
      </c>
      <c r="Y176" s="72">
        <f>+Y175-Y148</f>
        <v>0</v>
      </c>
      <c r="Z176" s="72">
        <f ca="1">+Z175-Z148</f>
        <v>0</v>
      </c>
      <c r="AA176" s="72">
        <f t="shared" ref="AA176:AH176" ca="1" si="89">+AA175-AA148</f>
        <v>0</v>
      </c>
      <c r="AB176" s="72">
        <f t="shared" ca="1" si="89"/>
        <v>0</v>
      </c>
      <c r="AC176" s="72">
        <f t="shared" ca="1" si="89"/>
        <v>0</v>
      </c>
      <c r="AD176" s="72">
        <f t="shared" ca="1" si="89"/>
        <v>0</v>
      </c>
      <c r="AE176" s="72">
        <f t="shared" ca="1" si="89"/>
        <v>0</v>
      </c>
      <c r="AF176" s="72">
        <f t="shared" ca="1" si="89"/>
        <v>0</v>
      </c>
      <c r="AG176" s="72">
        <f t="shared" ca="1" si="89"/>
        <v>0</v>
      </c>
      <c r="AH176" s="72">
        <f t="shared" ca="1" si="89"/>
        <v>0</v>
      </c>
    </row>
    <row r="177" spans="26:31" hidden="1" x14ac:dyDescent="0.25">
      <c r="Z177" s="72"/>
      <c r="AA177" s="72"/>
      <c r="AB177" s="72"/>
      <c r="AC177" s="72"/>
      <c r="AD177" s="72"/>
      <c r="AE177" s="72"/>
    </row>
    <row r="178" spans="26:31" hidden="1" x14ac:dyDescent="0.25">
      <c r="Z178" s="72"/>
      <c r="AA178" s="72"/>
      <c r="AB178" s="72"/>
      <c r="AC178" s="72"/>
      <c r="AD178" s="72"/>
      <c r="AE178" s="72"/>
    </row>
    <row r="179" spans="26:31" hidden="1" x14ac:dyDescent="0.25">
      <c r="Z179" s="72"/>
      <c r="AA179" s="72"/>
      <c r="AB179" s="72"/>
      <c r="AC179" s="72"/>
      <c r="AD179" s="72"/>
      <c r="AE179" s="72"/>
    </row>
    <row r="180" spans="26:31" hidden="1" x14ac:dyDescent="0.25">
      <c r="Z180" s="72"/>
      <c r="AA180" s="72"/>
      <c r="AB180" s="72"/>
      <c r="AC180" s="72"/>
      <c r="AD180" s="72"/>
      <c r="AE180" s="72"/>
    </row>
    <row r="181" spans="26:31" hidden="1" x14ac:dyDescent="0.25">
      <c r="Z181" s="72"/>
      <c r="AA181" s="72"/>
      <c r="AB181" s="72"/>
      <c r="AC181" s="72"/>
      <c r="AD181" s="72"/>
      <c r="AE181" s="72"/>
    </row>
    <row r="182" spans="26:31" hidden="1" x14ac:dyDescent="0.25">
      <c r="Z182" s="72"/>
      <c r="AA182" s="72"/>
      <c r="AB182" s="72"/>
      <c r="AC182" s="72"/>
      <c r="AD182" s="72"/>
      <c r="AE182" s="72"/>
    </row>
    <row r="183" spans="26:31" hidden="1" x14ac:dyDescent="0.25">
      <c r="Z183" s="72"/>
      <c r="AA183" s="72"/>
      <c r="AB183" s="72"/>
      <c r="AC183" s="72"/>
      <c r="AD183" s="72"/>
      <c r="AE183" s="72"/>
    </row>
    <row r="184" spans="26:31" hidden="1" x14ac:dyDescent="0.25"/>
    <row r="185" spans="26:31" hidden="1" x14ac:dyDescent="0.25"/>
    <row r="186" spans="26:31" hidden="1" x14ac:dyDescent="0.25"/>
    <row r="187" spans="26:31" hidden="1" x14ac:dyDescent="0.25"/>
    <row r="188" spans="26:31" hidden="1" x14ac:dyDescent="0.25"/>
    <row r="189" spans="26:31" hidden="1" x14ac:dyDescent="0.25"/>
    <row r="190" spans="26:31" hidden="1" x14ac:dyDescent="0.25"/>
    <row r="191" spans="26:31" hidden="1" x14ac:dyDescent="0.25"/>
    <row r="192" spans="26:31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</sheetData>
  <sheetProtection algorithmName="SHA-512" hashValue="fLX3FY/e5IDpjUDmYYyawyAGD4IintNhdosxkKe95DYJwxg6GoyxVMYCSCQdJDxqNpvUl/fc5P8OUZ8E5PtpzA==" saltValue="HeKkp9K5hW+Gx6syGvIxYA==" spinCount="100000" sheet="1" objects="1" scenarios="1"/>
  <mergeCells count="9">
    <mergeCell ref="AF135:AH135"/>
    <mergeCell ref="AF152:AH152"/>
    <mergeCell ref="Z21:AB21"/>
    <mergeCell ref="AC21:AE21"/>
    <mergeCell ref="B1:K1"/>
    <mergeCell ref="Z135:AB135"/>
    <mergeCell ref="AC135:AE135"/>
    <mergeCell ref="Z152:AB152"/>
    <mergeCell ref="AC152:AE152"/>
  </mergeCells>
  <phoneticPr fontId="7" type="noConversion"/>
  <dataValidations count="1">
    <dataValidation type="list" allowBlank="1" showInputMessage="1" showErrorMessage="1" sqref="G23:G132" xr:uid="{00000000-0002-0000-0400-000000000000}">
      <formula1>$AI$1:$AI$8</formula1>
    </dataValidation>
  </dataValidation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6">
    <tabColor rgb="FFFF0000"/>
    <pageSetUpPr fitToPage="1"/>
  </sheetPr>
  <dimension ref="A1:DU881"/>
  <sheetViews>
    <sheetView showGridLines="0" topLeftCell="A261" zoomScale="35" zoomScaleNormal="35" workbookViewId="0">
      <selection activeCell="F265" sqref="F265"/>
    </sheetView>
  </sheetViews>
  <sheetFormatPr baseColWidth="10" defaultColWidth="24.42578125" defaultRowHeight="34.5" x14ac:dyDescent="0.45"/>
  <cols>
    <col min="1" max="1" width="36.140625" style="1489" customWidth="1"/>
    <col min="2" max="2" width="24.5703125" style="1489" bestFit="1" customWidth="1"/>
    <col min="3" max="3" width="34.140625" style="1491" customWidth="1"/>
    <col min="4" max="4" width="161" style="1491" customWidth="1"/>
    <col min="5" max="5" width="38.140625" style="1491" customWidth="1"/>
    <col min="6" max="14" width="38.85546875" style="1491" customWidth="1"/>
    <col min="15" max="15" width="34.42578125" style="1489" hidden="1" customWidth="1"/>
    <col min="16" max="17" width="44.5703125" style="1489" customWidth="1"/>
    <col min="18" max="18" width="57.5703125" style="1489" customWidth="1"/>
    <col min="19" max="19" width="40.85546875" style="1489" customWidth="1"/>
    <col min="20" max="20" width="61.140625" style="1489" customWidth="1"/>
    <col min="21" max="21" width="40.85546875" style="1489" hidden="1" customWidth="1"/>
    <col min="22" max="22" width="33.42578125" style="1489" hidden="1" customWidth="1"/>
    <col min="23" max="24" width="35.42578125" style="1489" hidden="1" customWidth="1"/>
    <col min="25" max="25" width="40.42578125" style="1489" hidden="1" customWidth="1"/>
    <col min="26" max="26" width="39.42578125" style="1489" hidden="1" customWidth="1"/>
    <col min="27" max="27" width="38.85546875" style="1489" hidden="1" customWidth="1"/>
    <col min="28" max="28" width="24.42578125" style="1489" hidden="1" customWidth="1"/>
    <col min="29" max="31" width="40.7109375" style="1489" hidden="1" customWidth="1"/>
    <col min="32" max="32" width="32.140625" style="1489" hidden="1" customWidth="1"/>
    <col min="33" max="33" width="33.140625" style="1489" hidden="1" customWidth="1"/>
    <col min="34" max="37" width="39" style="1489" hidden="1" customWidth="1"/>
    <col min="38" max="38" width="44" style="1489" hidden="1" customWidth="1"/>
    <col min="39" max="45" width="24.42578125" style="1489" hidden="1" customWidth="1"/>
    <col min="46" max="46" width="34.28515625" style="1489" hidden="1" customWidth="1"/>
    <col min="47" max="89" width="24.42578125" style="1489" hidden="1" customWidth="1"/>
    <col min="90" max="116" width="24.42578125" style="1489" customWidth="1"/>
    <col min="117" max="117" width="33.85546875" style="1489" customWidth="1"/>
    <col min="118" max="118" width="33.140625" style="1489" customWidth="1"/>
    <col min="119" max="119" width="24.5703125" style="1489" bestFit="1" customWidth="1"/>
    <col min="120" max="120" width="24.42578125" style="1489"/>
    <col min="121" max="121" width="24.5703125" style="1489" hidden="1" customWidth="1"/>
    <col min="122" max="16384" width="24.42578125" style="1489"/>
  </cols>
  <sheetData>
    <row r="1" spans="1:24" ht="191.1" customHeight="1" x14ac:dyDescent="0.45">
      <c r="A1" s="3835" t="s">
        <v>351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</row>
    <row r="2" spans="1:24" ht="57.75" customHeight="1" thickBot="1" x14ac:dyDescent="0.5">
      <c r="A2" s="4376" t="s">
        <v>352</v>
      </c>
      <c r="B2" s="4376"/>
      <c r="C2" s="4376"/>
      <c r="D2" s="4376"/>
      <c r="E2" s="4376"/>
      <c r="F2" s="4376"/>
      <c r="G2" s="4376"/>
      <c r="H2" s="4376"/>
    </row>
    <row r="3" spans="1:24" ht="36.75" thickBot="1" x14ac:dyDescent="0.55000000000000004">
      <c r="A3" s="1493"/>
      <c r="B3" s="1494"/>
      <c r="C3" s="1494"/>
      <c r="D3" s="4503" t="s">
        <v>220</v>
      </c>
      <c r="E3" s="4504"/>
      <c r="F3" s="3131" t="s">
        <v>26</v>
      </c>
      <c r="G3" s="1519" t="s">
        <v>25</v>
      </c>
      <c r="I3" s="3334"/>
      <c r="J3" s="2791"/>
      <c r="K3" s="2791"/>
      <c r="L3" s="2791"/>
      <c r="M3" s="2791"/>
      <c r="N3" s="3335"/>
      <c r="V3" s="2976" t="s">
        <v>353</v>
      </c>
      <c r="X3" s="2793"/>
    </row>
    <row r="4" spans="1:24" ht="32.85" customHeight="1" x14ac:dyDescent="0.5">
      <c r="A4" s="1495"/>
      <c r="B4" s="4380" t="s">
        <v>354</v>
      </c>
      <c r="C4" s="4381"/>
      <c r="D4" s="4382"/>
      <c r="E4" s="3121"/>
      <c r="F4" s="2180">
        <f>+'DTO 641-SET 25'!D12</f>
        <v>0</v>
      </c>
      <c r="G4" s="2180">
        <f>+'DTO 641-SET 25'!D9</f>
        <v>0</v>
      </c>
      <c r="I4" s="4389" t="s">
        <v>355</v>
      </c>
      <c r="J4" s="4390"/>
      <c r="K4" s="4390"/>
      <c r="L4" s="4390" t="s">
        <v>356</v>
      </c>
      <c r="M4" s="4390"/>
      <c r="N4" s="4391"/>
      <c r="V4" s="2976" t="s">
        <v>357</v>
      </c>
      <c r="X4" s="2793"/>
    </row>
    <row r="5" spans="1:24" ht="32.85" customHeight="1" x14ac:dyDescent="0.45">
      <c r="A5" s="1496"/>
      <c r="B5" s="4383" t="s">
        <v>358</v>
      </c>
      <c r="C5" s="4384"/>
      <c r="D5" s="4385"/>
      <c r="E5" s="3122"/>
      <c r="F5" s="3123">
        <f>+'DTO 641-SET 25'!D25</f>
        <v>0</v>
      </c>
      <c r="G5" s="3123">
        <f>+'DTO 641-SET 25'!D22</f>
        <v>0</v>
      </c>
      <c r="H5" s="2281"/>
      <c r="I5" s="2548" t="s">
        <v>287</v>
      </c>
      <c r="J5" s="1515" t="s">
        <v>289</v>
      </c>
      <c r="K5" s="1515" t="s">
        <v>288</v>
      </c>
      <c r="L5" s="4492" t="s">
        <v>353</v>
      </c>
      <c r="M5" s="4493"/>
      <c r="N5" s="4494"/>
    </row>
    <row r="6" spans="1:24" ht="32.85" customHeight="1" thickBot="1" x14ac:dyDescent="0.55000000000000004">
      <c r="A6" s="1497"/>
      <c r="B6" s="4386" t="s">
        <v>359</v>
      </c>
      <c r="C6" s="4387"/>
      <c r="D6" s="4388"/>
      <c r="E6" s="1985"/>
      <c r="I6" s="2977">
        <f ca="1">+G590</f>
        <v>0</v>
      </c>
      <c r="J6" s="2978">
        <f t="shared" ref="J6:K6" ca="1" si="0">+H590</f>
        <v>0</v>
      </c>
      <c r="K6" s="2978">
        <f t="shared" ca="1" si="0"/>
        <v>0</v>
      </c>
      <c r="L6" s="4511"/>
      <c r="M6" s="4512"/>
      <c r="N6" s="4513"/>
    </row>
    <row r="7" spans="1:24" ht="32.85" customHeight="1" thickBot="1" x14ac:dyDescent="0.55000000000000004">
      <c r="A7" s="1499"/>
      <c r="B7" s="4386" t="s">
        <v>360</v>
      </c>
      <c r="C7" s="4387"/>
      <c r="D7" s="4388"/>
      <c r="E7" s="1985"/>
      <c r="N7" s="1492"/>
    </row>
    <row r="8" spans="1:24" ht="32.85" customHeight="1" x14ac:dyDescent="0.5">
      <c r="A8" s="1499"/>
      <c r="B8" s="4386" t="s">
        <v>361</v>
      </c>
      <c r="C8" s="4387"/>
      <c r="D8" s="4388"/>
      <c r="E8" s="1985"/>
      <c r="I8" s="4394"/>
      <c r="J8" s="4394"/>
      <c r="K8" s="4394"/>
      <c r="L8" s="4389" t="s">
        <v>88</v>
      </c>
      <c r="M8" s="4390"/>
      <c r="N8" s="4391"/>
    </row>
    <row r="9" spans="1:24" ht="32.85" customHeight="1" thickBot="1" x14ac:dyDescent="0.55000000000000004">
      <c r="A9" s="1499"/>
      <c r="B9" s="4514" t="s">
        <v>362</v>
      </c>
      <c r="C9" s="4515"/>
      <c r="D9" s="4516"/>
      <c r="E9" s="1985"/>
      <c r="L9" s="3013" t="s">
        <v>287</v>
      </c>
      <c r="M9" s="1600" t="s">
        <v>289</v>
      </c>
      <c r="N9" s="3336" t="s">
        <v>288</v>
      </c>
    </row>
    <row r="10" spans="1:24" ht="45.6" customHeight="1" thickBot="1" x14ac:dyDescent="0.5">
      <c r="A10" s="4196" t="s">
        <v>363</v>
      </c>
      <c r="B10" s="4197"/>
      <c r="C10" s="4197"/>
      <c r="D10" s="4377">
        <f>'Compra -HOJA1'!D2</f>
        <v>0</v>
      </c>
      <c r="E10" s="4377"/>
      <c r="F10" s="4377"/>
      <c r="G10" s="4377"/>
      <c r="H10" s="4377"/>
      <c r="I10" s="4377"/>
      <c r="J10" s="4377"/>
      <c r="K10" s="4377"/>
      <c r="L10" s="3337" t="str">
        <f ca="1">+F309</f>
        <v>OK</v>
      </c>
      <c r="M10" s="3338" t="str">
        <f t="shared" ref="M10:N10" ca="1" si="1">+G309</f>
        <v>OK</v>
      </c>
      <c r="N10" s="3339" t="str">
        <f t="shared" ca="1" si="1"/>
        <v>OK</v>
      </c>
    </row>
    <row r="11" spans="1:24" ht="56.45" customHeight="1" x14ac:dyDescent="0.45">
      <c r="A11" s="4196" t="s">
        <v>364</v>
      </c>
      <c r="B11" s="4197"/>
      <c r="C11" s="4197"/>
      <c r="D11" s="2282">
        <f>'Compra -HOJA1'!F4</f>
        <v>45536</v>
      </c>
      <c r="E11" s="2282"/>
      <c r="F11" s="1500"/>
      <c r="G11" s="1500"/>
      <c r="H11" s="1500"/>
      <c r="N11" s="1492"/>
    </row>
    <row r="12" spans="1:24" ht="30.75" customHeight="1" x14ac:dyDescent="0.45">
      <c r="A12" s="1505"/>
      <c r="B12" s="1506"/>
      <c r="C12" s="1510"/>
      <c r="D12" s="4194" t="s">
        <v>365</v>
      </c>
      <c r="E12" s="4194"/>
      <c r="F12" s="4194"/>
      <c r="G12" s="4194"/>
      <c r="H12" s="4194"/>
      <c r="I12" s="4194"/>
      <c r="J12" s="4194"/>
      <c r="K12" s="4194"/>
      <c r="L12" s="4194"/>
      <c r="M12" s="4194"/>
      <c r="N12" s="4195"/>
    </row>
    <row r="13" spans="1:24" ht="18" customHeight="1" x14ac:dyDescent="0.45">
      <c r="A13" s="4378" t="s">
        <v>366</v>
      </c>
      <c r="B13" s="4379"/>
      <c r="C13" s="4379"/>
      <c r="D13" s="4379"/>
      <c r="E13" s="4379"/>
      <c r="F13" s="4379"/>
      <c r="G13" s="4379"/>
      <c r="H13" s="4379"/>
      <c r="I13" s="4379"/>
      <c r="J13" s="4379"/>
      <c r="K13" s="4379"/>
      <c r="L13" s="1510"/>
      <c r="M13" s="1510"/>
      <c r="N13" s="1511"/>
    </row>
    <row r="14" spans="1:24" ht="18" customHeight="1" thickBot="1" x14ac:dyDescent="0.5">
      <c r="A14" s="4378"/>
      <c r="B14" s="4379"/>
      <c r="C14" s="4379"/>
      <c r="D14" s="4379"/>
      <c r="E14" s="4379"/>
      <c r="F14" s="4379"/>
      <c r="G14" s="4379"/>
      <c r="H14" s="4379"/>
      <c r="I14" s="4379"/>
      <c r="J14" s="4379"/>
      <c r="K14" s="4379"/>
      <c r="N14" s="1492"/>
    </row>
    <row r="15" spans="1:24" ht="78.95" customHeight="1" x14ac:dyDescent="0.5">
      <c r="A15" s="4188" t="s">
        <v>367</v>
      </c>
      <c r="B15" s="4189"/>
      <c r="C15" s="4189"/>
      <c r="D15" s="4190"/>
      <c r="E15" s="4392" t="s">
        <v>101</v>
      </c>
      <c r="F15" s="4234" t="s">
        <v>304</v>
      </c>
      <c r="G15" s="4235"/>
      <c r="H15" s="4244"/>
      <c r="I15" s="4234" t="s">
        <v>368</v>
      </c>
      <c r="J15" s="4235"/>
      <c r="K15" s="4244"/>
      <c r="L15" s="4237" t="s">
        <v>369</v>
      </c>
      <c r="M15" s="4238"/>
      <c r="N15" s="4239"/>
      <c r="P15" s="4253" t="s">
        <v>241</v>
      </c>
      <c r="Q15" s="4253"/>
      <c r="R15" s="4253"/>
      <c r="S15" s="4253"/>
      <c r="T15" s="4253"/>
    </row>
    <row r="16" spans="1:24" ht="54.95" customHeight="1" thickBot="1" x14ac:dyDescent="0.5">
      <c r="A16" s="4191"/>
      <c r="B16" s="4192"/>
      <c r="C16" s="4192"/>
      <c r="D16" s="4193"/>
      <c r="E16" s="4393"/>
      <c r="F16" s="1515" t="s">
        <v>287</v>
      </c>
      <c r="G16" s="1515" t="s">
        <v>289</v>
      </c>
      <c r="H16" s="1516" t="s">
        <v>288</v>
      </c>
      <c r="I16" s="1515" t="s">
        <v>287</v>
      </c>
      <c r="J16" s="1515" t="s">
        <v>289</v>
      </c>
      <c r="K16" s="1516" t="s">
        <v>288</v>
      </c>
      <c r="L16" s="1515" t="s">
        <v>287</v>
      </c>
      <c r="M16" s="1515" t="s">
        <v>289</v>
      </c>
      <c r="N16" s="1517" t="s">
        <v>288</v>
      </c>
      <c r="P16" s="979" t="s">
        <v>370</v>
      </c>
      <c r="Q16" s="979" t="s">
        <v>25</v>
      </c>
      <c r="R16" s="979" t="s">
        <v>371</v>
      </c>
      <c r="S16" s="979" t="s">
        <v>241</v>
      </c>
      <c r="T16" s="979" t="s">
        <v>372</v>
      </c>
    </row>
    <row r="17" spans="1:21" ht="89.1" customHeight="1" x14ac:dyDescent="0.45">
      <c r="A17" s="4486" t="s">
        <v>41</v>
      </c>
      <c r="B17" s="3532">
        <v>5030</v>
      </c>
      <c r="C17" s="4183" t="s">
        <v>217</v>
      </c>
      <c r="D17" s="5805"/>
      <c r="E17" s="2986">
        <f>+E318</f>
        <v>0</v>
      </c>
      <c r="F17" s="2986">
        <f>+F318</f>
        <v>0</v>
      </c>
      <c r="G17" s="2986">
        <f>+G318</f>
        <v>0</v>
      </c>
      <c r="H17" s="2986">
        <f>+H318</f>
        <v>0</v>
      </c>
      <c r="I17" s="2986">
        <f ca="1">+I318+IF(L5="RESIDENCIAL CON UR1",I6,0)</f>
        <v>0</v>
      </c>
      <c r="J17" s="2986">
        <f ca="1">+J318+IF(L5="RESIDENCIAL CON UR1",J6,0)</f>
        <v>0</v>
      </c>
      <c r="K17" s="2986">
        <f ca="1">+K318+IF(L5="RESIDENCIAL CON UR1",K6,0)</f>
        <v>0</v>
      </c>
      <c r="L17" s="1524">
        <f t="shared" ref="L17:L23" ca="1" si="2">+F17+I17</f>
        <v>0</v>
      </c>
      <c r="M17" s="1524">
        <f t="shared" ref="M17:M23" ca="1" si="3">+G17+J17</f>
        <v>0</v>
      </c>
      <c r="N17" s="1524">
        <f t="shared" ref="N17:N23" ca="1" si="4">+H17+K17</f>
        <v>0</v>
      </c>
      <c r="P17" s="2021">
        <f t="shared" ref="P17:P23" si="5">+IF(E17=0,0,Q17/R17)</f>
        <v>0</v>
      </c>
      <c r="Q17" s="1938">
        <f t="shared" ref="Q17:Q23" si="6">+SUM(F17:H17)</f>
        <v>0</v>
      </c>
      <c r="R17" s="1938">
        <f t="shared" ref="R17:R23" si="7">+E17</f>
        <v>0</v>
      </c>
      <c r="S17" s="1569" t="str">
        <f>+IF(R17=0,"S.D.",IF((Q17/R17)&lt;151,"O.K.","VERIFICAR"))</f>
        <v>S.D.</v>
      </c>
      <c r="T17" s="2980" t="str">
        <f ca="1">+IF(I17&lt;0,"VERIFICAR ASIG PER",IF(J17&lt;0,"VERIFICAR ASIG PER",IF(K17&lt;0,"VERIFICAR ASIG PER"," ")))</f>
        <v xml:space="preserve"> </v>
      </c>
    </row>
    <row r="18" spans="1:21" ht="89.1" customHeight="1" x14ac:dyDescent="0.45">
      <c r="A18" s="4487"/>
      <c r="B18" s="3533">
        <v>5570</v>
      </c>
      <c r="C18" s="3534" t="s">
        <v>1308</v>
      </c>
      <c r="D18" s="5806" t="s">
        <v>1249</v>
      </c>
      <c r="E18" s="2986">
        <f>+E319</f>
        <v>0</v>
      </c>
      <c r="F18" s="2986">
        <f t="shared" ref="F18:K18" si="8">+F319</f>
        <v>0</v>
      </c>
      <c r="G18" s="2986">
        <f t="shared" si="8"/>
        <v>0</v>
      </c>
      <c r="H18" s="2986">
        <f t="shared" si="8"/>
        <v>0</v>
      </c>
      <c r="I18" s="2986">
        <f t="shared" ca="1" si="8"/>
        <v>0</v>
      </c>
      <c r="J18" s="2986">
        <f t="shared" ca="1" si="8"/>
        <v>0</v>
      </c>
      <c r="K18" s="2986">
        <f t="shared" ca="1" si="8"/>
        <v>0</v>
      </c>
      <c r="L18" s="1524">
        <f t="shared" ca="1" si="2"/>
        <v>0</v>
      </c>
      <c r="M18" s="1524">
        <f t="shared" ca="1" si="3"/>
        <v>0</v>
      </c>
      <c r="N18" s="1524">
        <f t="shared" ca="1" si="4"/>
        <v>0</v>
      </c>
      <c r="P18" s="2021">
        <f t="shared" si="5"/>
        <v>0</v>
      </c>
      <c r="Q18" s="1938">
        <f t="shared" si="6"/>
        <v>0</v>
      </c>
      <c r="R18" s="1938">
        <f t="shared" si="7"/>
        <v>0</v>
      </c>
      <c r="S18" s="1569" t="str">
        <f>+IF(R18=0,"S.D.",IF((Q18/R18)&lt;=120,"O.K.","VERIFICAR"))</f>
        <v>S.D.</v>
      </c>
      <c r="T18" s="1659"/>
    </row>
    <row r="19" spans="1:21" ht="89.1" customHeight="1" x14ac:dyDescent="0.45">
      <c r="A19" s="4487"/>
      <c r="B19" s="3494">
        <v>5571</v>
      </c>
      <c r="C19" s="3534" t="s">
        <v>1308</v>
      </c>
      <c r="D19" s="3605" t="s">
        <v>1250</v>
      </c>
      <c r="E19" s="2986">
        <f t="shared" ref="E19:K31" si="9">+E320</f>
        <v>0</v>
      </c>
      <c r="F19" s="2986">
        <f t="shared" si="9"/>
        <v>0</v>
      </c>
      <c r="G19" s="2986">
        <f t="shared" si="9"/>
        <v>0</v>
      </c>
      <c r="H19" s="2986">
        <f t="shared" si="9"/>
        <v>0</v>
      </c>
      <c r="I19" s="2986">
        <f t="shared" ca="1" si="9"/>
        <v>0</v>
      </c>
      <c r="J19" s="2986">
        <f t="shared" ca="1" si="9"/>
        <v>0</v>
      </c>
      <c r="K19" s="2986">
        <f t="shared" ca="1" si="9"/>
        <v>0</v>
      </c>
      <c r="L19" s="1524">
        <f t="shared" ca="1" si="2"/>
        <v>0</v>
      </c>
      <c r="M19" s="1524">
        <f t="shared" ca="1" si="3"/>
        <v>0</v>
      </c>
      <c r="N19" s="1524">
        <f t="shared" ca="1" si="4"/>
        <v>0</v>
      </c>
      <c r="P19" s="2021">
        <f t="shared" si="5"/>
        <v>0</v>
      </c>
      <c r="Q19" s="1938">
        <f t="shared" si="6"/>
        <v>0</v>
      </c>
      <c r="R19" s="1938">
        <f t="shared" si="7"/>
        <v>0</v>
      </c>
      <c r="S19" s="1569" t="str">
        <f>+IF(R19=0,"S.D.",IF(AND((Q19/R19)&gt;120,(Q19/R19)&lt;=150),"O.K.","VERIFICAR"))</f>
        <v>S.D.</v>
      </c>
      <c r="T19" s="1659"/>
    </row>
    <row r="20" spans="1:21" ht="89.1" customHeight="1" x14ac:dyDescent="0.45">
      <c r="A20" s="4488"/>
      <c r="B20" s="3495">
        <v>5580</v>
      </c>
      <c r="C20" s="3534" t="s">
        <v>1308</v>
      </c>
      <c r="D20" s="3606" t="s">
        <v>1251</v>
      </c>
      <c r="E20" s="2986">
        <f t="shared" si="9"/>
        <v>0</v>
      </c>
      <c r="F20" s="2986">
        <f t="shared" si="9"/>
        <v>0</v>
      </c>
      <c r="G20" s="2986">
        <f t="shared" si="9"/>
        <v>0</v>
      </c>
      <c r="H20" s="2986">
        <f t="shared" si="9"/>
        <v>0</v>
      </c>
      <c r="I20" s="2986">
        <f t="shared" ca="1" si="9"/>
        <v>0</v>
      </c>
      <c r="J20" s="2986">
        <f t="shared" ca="1" si="9"/>
        <v>0</v>
      </c>
      <c r="K20" s="2986">
        <f t="shared" ca="1" si="9"/>
        <v>0</v>
      </c>
      <c r="L20" s="1524">
        <f t="shared" ca="1" si="2"/>
        <v>0</v>
      </c>
      <c r="M20" s="1524">
        <f t="shared" ca="1" si="3"/>
        <v>0</v>
      </c>
      <c r="N20" s="1524">
        <f t="shared" ca="1" si="4"/>
        <v>0</v>
      </c>
      <c r="P20" s="2021">
        <f t="shared" si="5"/>
        <v>0</v>
      </c>
      <c r="Q20" s="1938">
        <f t="shared" si="6"/>
        <v>0</v>
      </c>
      <c r="R20" s="1938">
        <f t="shared" si="7"/>
        <v>0</v>
      </c>
      <c r="S20" s="1569" t="str">
        <f>+IF(R20=0,"S.D.",IF((Q20/R20)&lt;=120,"O.K.","VERIFICAR"))</f>
        <v>S.D.</v>
      </c>
      <c r="T20" s="1659"/>
      <c r="U20" s="3401" t="str">
        <f t="shared" ref="U20:U31" si="10">+D20</f>
        <v xml:space="preserve">N1 HOGARES INDIGENTES: &lt;=120 kWh/mes  </v>
      </c>
    </row>
    <row r="21" spans="1:21" ht="89.1" customHeight="1" x14ac:dyDescent="0.45">
      <c r="A21" s="4488"/>
      <c r="B21" s="3495">
        <v>5581</v>
      </c>
      <c r="C21" s="3534" t="s">
        <v>1308</v>
      </c>
      <c r="D21" s="3606" t="s">
        <v>1252</v>
      </c>
      <c r="E21" s="2986">
        <f t="shared" si="9"/>
        <v>0</v>
      </c>
      <c r="F21" s="2986">
        <f t="shared" si="9"/>
        <v>0</v>
      </c>
      <c r="G21" s="2986">
        <f t="shared" si="9"/>
        <v>0</v>
      </c>
      <c r="H21" s="2986">
        <f t="shared" si="9"/>
        <v>0</v>
      </c>
      <c r="I21" s="2986">
        <f t="shared" ca="1" si="9"/>
        <v>0</v>
      </c>
      <c r="J21" s="2986">
        <f t="shared" ca="1" si="9"/>
        <v>0</v>
      </c>
      <c r="K21" s="2986">
        <f t="shared" ca="1" si="9"/>
        <v>0</v>
      </c>
      <c r="L21" s="1524">
        <f t="shared" ca="1" si="2"/>
        <v>0</v>
      </c>
      <c r="M21" s="1524">
        <f t="shared" ca="1" si="3"/>
        <v>0</v>
      </c>
      <c r="N21" s="1524">
        <f t="shared" ca="1" si="4"/>
        <v>0</v>
      </c>
      <c r="P21" s="2021">
        <f t="shared" si="5"/>
        <v>0</v>
      </c>
      <c r="Q21" s="1938">
        <f t="shared" si="6"/>
        <v>0</v>
      </c>
      <c r="R21" s="1938">
        <f t="shared" si="7"/>
        <v>0</v>
      </c>
      <c r="S21" s="1569" t="str">
        <f>+IF(R21=0,"S.D.",IF(AND((Q21/R21)&gt;120,(Q21/R21)&lt;=150),"O.K.","VERIFICAR"))</f>
        <v>S.D.</v>
      </c>
      <c r="T21" s="1659"/>
      <c r="U21" s="3401" t="str">
        <f t="shared" si="10"/>
        <v xml:space="preserve">N1 HOGARES INDIGENTES:- Consumo &gt; 120 kWh/mes y &lt;= 150 kWh/mes </v>
      </c>
    </row>
    <row r="22" spans="1:21" ht="89.1" customHeight="1" thickBot="1" x14ac:dyDescent="0.5">
      <c r="A22" s="4488"/>
      <c r="B22" s="3537">
        <v>5040</v>
      </c>
      <c r="C22" s="4184" t="s">
        <v>373</v>
      </c>
      <c r="D22" s="4185"/>
      <c r="E22" s="2986">
        <f t="shared" si="9"/>
        <v>0</v>
      </c>
      <c r="F22" s="2986">
        <f t="shared" si="9"/>
        <v>0</v>
      </c>
      <c r="G22" s="2986">
        <f t="shared" si="9"/>
        <v>0</v>
      </c>
      <c r="H22" s="2986">
        <f t="shared" si="9"/>
        <v>0</v>
      </c>
      <c r="I22" s="2986">
        <f t="shared" ca="1" si="9"/>
        <v>0</v>
      </c>
      <c r="J22" s="2986">
        <f t="shared" ca="1" si="9"/>
        <v>0</v>
      </c>
      <c r="K22" s="2986">
        <f t="shared" ca="1" si="9"/>
        <v>0</v>
      </c>
      <c r="L22" s="1524">
        <f t="shared" ca="1" si="2"/>
        <v>0</v>
      </c>
      <c r="M22" s="1524">
        <f t="shared" ca="1" si="3"/>
        <v>0</v>
      </c>
      <c r="N22" s="1524">
        <f t="shared" ca="1" si="4"/>
        <v>0</v>
      </c>
      <c r="P22" s="2021">
        <f t="shared" si="5"/>
        <v>0</v>
      </c>
      <c r="Q22" s="1938">
        <f t="shared" si="6"/>
        <v>0</v>
      </c>
      <c r="R22" s="1938">
        <f t="shared" si="7"/>
        <v>0</v>
      </c>
      <c r="S22" s="1569" t="str">
        <f>+IF(R22=0,"S.D.",IF((Q22/R22)&lt;151,"O.K.","VERIFICAR"))</f>
        <v>S.D.</v>
      </c>
      <c r="T22" s="1659"/>
      <c r="U22" s="3401">
        <f t="shared" si="10"/>
        <v>0</v>
      </c>
    </row>
    <row r="23" spans="1:21" ht="89.1" customHeight="1" thickBot="1" x14ac:dyDescent="0.5">
      <c r="A23" s="4488"/>
      <c r="B23" s="3538">
        <v>5501</v>
      </c>
      <c r="C23" s="3539" t="s">
        <v>1309</v>
      </c>
      <c r="D23" s="5807" t="s">
        <v>1253</v>
      </c>
      <c r="E23" s="2986">
        <f t="shared" si="9"/>
        <v>0</v>
      </c>
      <c r="F23" s="2986">
        <f t="shared" si="9"/>
        <v>0</v>
      </c>
      <c r="G23" s="2986">
        <f t="shared" si="9"/>
        <v>0</v>
      </c>
      <c r="H23" s="2986">
        <f t="shared" si="9"/>
        <v>0</v>
      </c>
      <c r="I23" s="2986">
        <f t="shared" ca="1" si="9"/>
        <v>0</v>
      </c>
      <c r="J23" s="2986">
        <f t="shared" ca="1" si="9"/>
        <v>0</v>
      </c>
      <c r="K23" s="2986">
        <f t="shared" ca="1" si="9"/>
        <v>0</v>
      </c>
      <c r="L23" s="1524">
        <f t="shared" ca="1" si="2"/>
        <v>0</v>
      </c>
      <c r="M23" s="1524">
        <f t="shared" ca="1" si="3"/>
        <v>0</v>
      </c>
      <c r="N23" s="1524">
        <f t="shared" ca="1" si="4"/>
        <v>0</v>
      </c>
      <c r="P23" s="2021">
        <f t="shared" si="5"/>
        <v>0</v>
      </c>
      <c r="Q23" s="1938">
        <f t="shared" si="6"/>
        <v>0</v>
      </c>
      <c r="R23" s="1938">
        <f t="shared" si="7"/>
        <v>0</v>
      </c>
      <c r="S23" s="1569" t="str">
        <f>+IF(R23=0,"S.D.",IF((Q23/R23)&lt;=120,"O.K.","VERIFICAR"))</f>
        <v>S.D.</v>
      </c>
      <c r="T23" s="1659"/>
      <c r="U23" s="3401" t="str">
        <f t="shared" si="10"/>
        <v xml:space="preserve">N2 HOGARES POBRES O CARENCIADOS- Consumo &lt;= 120 kWh/mes </v>
      </c>
    </row>
    <row r="24" spans="1:21" ht="89.1" customHeight="1" thickBot="1" x14ac:dyDescent="0.5">
      <c r="A24" s="4487"/>
      <c r="B24" s="3540">
        <v>5502</v>
      </c>
      <c r="C24" s="3539" t="s">
        <v>1309</v>
      </c>
      <c r="D24" s="3605" t="s">
        <v>1254</v>
      </c>
      <c r="E24" s="2986">
        <f t="shared" si="9"/>
        <v>0</v>
      </c>
      <c r="F24" s="2986">
        <f t="shared" si="9"/>
        <v>0</v>
      </c>
      <c r="G24" s="2986">
        <f t="shared" si="9"/>
        <v>0</v>
      </c>
      <c r="H24" s="2986">
        <f t="shared" si="9"/>
        <v>0</v>
      </c>
      <c r="I24" s="2986">
        <f t="shared" ca="1" si="9"/>
        <v>0</v>
      </c>
      <c r="J24" s="2986">
        <f t="shared" ca="1" si="9"/>
        <v>0</v>
      </c>
      <c r="K24" s="2986">
        <f t="shared" ca="1" si="9"/>
        <v>0</v>
      </c>
      <c r="L24" s="1524">
        <f t="shared" ref="L24:L31" ca="1" si="11">+F24+I24</f>
        <v>0</v>
      </c>
      <c r="M24" s="1524">
        <f t="shared" ref="M24:M31" ca="1" si="12">+G24+J24</f>
        <v>0</v>
      </c>
      <c r="N24" s="1524">
        <f t="shared" ref="N24:N31" ca="1" si="13">+H24+K24</f>
        <v>0</v>
      </c>
      <c r="P24" s="2021">
        <f t="shared" ref="P24:P31" si="14">+IF(E24=0,0,Q24/R24)</f>
        <v>0</v>
      </c>
      <c r="Q24" s="1938">
        <f t="shared" ref="Q24:Q31" si="15">+SUM(F24:H24)</f>
        <v>0</v>
      </c>
      <c r="R24" s="1938">
        <f t="shared" ref="R24:R31" si="16">+E24</f>
        <v>0</v>
      </c>
      <c r="S24" s="1569" t="str">
        <f>+IF(R24=0,"S.D.",IF(AND((Q24/R24)&gt;120,(Q24/R24)&lt;=150),"O.K.","VERIFICAR"))</f>
        <v>S.D.</v>
      </c>
      <c r="T24" s="1659"/>
      <c r="U24" s="3401" t="str">
        <f t="shared" si="10"/>
        <v>N2  HOGARES POBRES O CARENCIADOS &gt; 120 kWh/mes y &lt;= 150 kWh/mes</v>
      </c>
    </row>
    <row r="25" spans="1:21" ht="89.1" customHeight="1" thickBot="1" x14ac:dyDescent="0.5">
      <c r="A25" s="4487"/>
      <c r="B25" s="3541">
        <v>5551</v>
      </c>
      <c r="C25" s="3539" t="s">
        <v>1309</v>
      </c>
      <c r="D25" s="3606" t="s">
        <v>1255</v>
      </c>
      <c r="E25" s="2986">
        <f t="shared" si="9"/>
        <v>0</v>
      </c>
      <c r="F25" s="2986">
        <f t="shared" si="9"/>
        <v>0</v>
      </c>
      <c r="G25" s="2986">
        <f t="shared" si="9"/>
        <v>0</v>
      </c>
      <c r="H25" s="2986">
        <f t="shared" si="9"/>
        <v>0</v>
      </c>
      <c r="I25" s="2986">
        <f t="shared" ca="1" si="9"/>
        <v>0</v>
      </c>
      <c r="J25" s="2986">
        <f t="shared" ca="1" si="9"/>
        <v>0</v>
      </c>
      <c r="K25" s="2986">
        <f t="shared" ca="1" si="9"/>
        <v>0</v>
      </c>
      <c r="L25" s="1524">
        <f t="shared" ca="1" si="11"/>
        <v>0</v>
      </c>
      <c r="M25" s="1524">
        <f t="shared" ca="1" si="12"/>
        <v>0</v>
      </c>
      <c r="N25" s="1524">
        <f t="shared" ca="1" si="13"/>
        <v>0</v>
      </c>
      <c r="P25" s="2021">
        <f t="shared" si="14"/>
        <v>0</v>
      </c>
      <c r="Q25" s="1938">
        <f t="shared" si="15"/>
        <v>0</v>
      </c>
      <c r="R25" s="1938">
        <f t="shared" si="16"/>
        <v>0</v>
      </c>
      <c r="S25" s="1569" t="str">
        <f>+IF(R25=0,"S.D.",IF((Q25/R25)&lt;=120,"O.K.","VERIFICAR"))</f>
        <v>S.D.</v>
      </c>
      <c r="T25" s="1659"/>
      <c r="U25" s="3401" t="str">
        <f t="shared" si="10"/>
        <v xml:space="preserve">N2 HOGARES INDIGENTES: &lt;=120 kWh/mes  </v>
      </c>
    </row>
    <row r="26" spans="1:21" ht="89.1" customHeight="1" thickBot="1" x14ac:dyDescent="0.5">
      <c r="A26" s="4487"/>
      <c r="B26" s="3542">
        <v>5552</v>
      </c>
      <c r="C26" s="3539" t="s">
        <v>1309</v>
      </c>
      <c r="D26" s="5808" t="s">
        <v>1256</v>
      </c>
      <c r="E26" s="2986">
        <f t="shared" si="9"/>
        <v>0</v>
      </c>
      <c r="F26" s="2986">
        <f t="shared" si="9"/>
        <v>0</v>
      </c>
      <c r="G26" s="2986">
        <f t="shared" si="9"/>
        <v>0</v>
      </c>
      <c r="H26" s="2986">
        <f t="shared" si="9"/>
        <v>0</v>
      </c>
      <c r="I26" s="2986">
        <f t="shared" ca="1" si="9"/>
        <v>0</v>
      </c>
      <c r="J26" s="2986">
        <f t="shared" ca="1" si="9"/>
        <v>0</v>
      </c>
      <c r="K26" s="2986">
        <f t="shared" ca="1" si="9"/>
        <v>0</v>
      </c>
      <c r="L26" s="1524">
        <f t="shared" ca="1" si="11"/>
        <v>0</v>
      </c>
      <c r="M26" s="1524">
        <f t="shared" ca="1" si="12"/>
        <v>0</v>
      </c>
      <c r="N26" s="1524">
        <f t="shared" ca="1" si="13"/>
        <v>0</v>
      </c>
      <c r="P26" s="2021">
        <f t="shared" si="14"/>
        <v>0</v>
      </c>
      <c r="Q26" s="1938">
        <f t="shared" si="15"/>
        <v>0</v>
      </c>
      <c r="R26" s="1938">
        <f t="shared" si="16"/>
        <v>0</v>
      </c>
      <c r="S26" s="1569" t="str">
        <f>+IF(R26=0,"S.D.",IF(AND((Q26/R26)&gt;120,(Q26/R26)&lt;=150),"O.K.","VERIFICAR"))</f>
        <v>S.D.</v>
      </c>
      <c r="T26" s="1659"/>
      <c r="U26" s="3401" t="str">
        <f t="shared" si="10"/>
        <v xml:space="preserve">N2 HOGARES INDIGENTES:- Consumo &gt; 120 kWh/mes y &lt;= 150 kWh/mes </v>
      </c>
    </row>
    <row r="27" spans="1:21" ht="89.1" customHeight="1" thickBot="1" x14ac:dyDescent="0.5">
      <c r="A27" s="4487"/>
      <c r="B27" s="3544">
        <v>5050</v>
      </c>
      <c r="C27" s="4551" t="s">
        <v>374</v>
      </c>
      <c r="D27" s="5809"/>
      <c r="E27" s="2986">
        <f t="shared" si="9"/>
        <v>0</v>
      </c>
      <c r="F27" s="2986">
        <f t="shared" si="9"/>
        <v>0</v>
      </c>
      <c r="G27" s="2986">
        <f t="shared" si="9"/>
        <v>0</v>
      </c>
      <c r="H27" s="2986">
        <f t="shared" si="9"/>
        <v>0</v>
      </c>
      <c r="I27" s="2986">
        <f t="shared" ca="1" si="9"/>
        <v>0</v>
      </c>
      <c r="J27" s="2986">
        <f t="shared" ca="1" si="9"/>
        <v>0</v>
      </c>
      <c r="K27" s="2986">
        <f t="shared" ca="1" si="9"/>
        <v>0</v>
      </c>
      <c r="L27" s="1524">
        <f t="shared" ca="1" si="11"/>
        <v>0</v>
      </c>
      <c r="M27" s="1524">
        <f t="shared" ca="1" si="12"/>
        <v>0</v>
      </c>
      <c r="N27" s="1524">
        <f t="shared" ca="1" si="13"/>
        <v>0</v>
      </c>
      <c r="P27" s="2021">
        <f t="shared" si="14"/>
        <v>0</v>
      </c>
      <c r="Q27" s="1938">
        <f t="shared" si="15"/>
        <v>0</v>
      </c>
      <c r="R27" s="1938">
        <f t="shared" si="16"/>
        <v>0</v>
      </c>
      <c r="S27" s="1569" t="str">
        <f>+IF(R27=0,"S.D.",IF((Q27/R27)&lt;151,"O.K.","VERIFICAR"))</f>
        <v>S.D.</v>
      </c>
      <c r="T27" s="1659"/>
      <c r="U27" s="3401">
        <f t="shared" si="10"/>
        <v>0</v>
      </c>
    </row>
    <row r="28" spans="1:21" ht="89.1" customHeight="1" thickBot="1" x14ac:dyDescent="0.5">
      <c r="A28" s="4487"/>
      <c r="B28" s="3494">
        <v>5590</v>
      </c>
      <c r="C28" s="3539" t="s">
        <v>1310</v>
      </c>
      <c r="D28" s="3605" t="s">
        <v>1257</v>
      </c>
      <c r="E28" s="2986">
        <f t="shared" si="9"/>
        <v>0</v>
      </c>
      <c r="F28" s="2986">
        <f t="shared" si="9"/>
        <v>0</v>
      </c>
      <c r="G28" s="2986">
        <f t="shared" si="9"/>
        <v>0</v>
      </c>
      <c r="H28" s="2986">
        <f t="shared" si="9"/>
        <v>0</v>
      </c>
      <c r="I28" s="2986">
        <f t="shared" ca="1" si="9"/>
        <v>0</v>
      </c>
      <c r="J28" s="2986">
        <f t="shared" ca="1" si="9"/>
        <v>0</v>
      </c>
      <c r="K28" s="2986">
        <f t="shared" ca="1" si="9"/>
        <v>0</v>
      </c>
      <c r="L28" s="1524">
        <f t="shared" ca="1" si="11"/>
        <v>0</v>
      </c>
      <c r="M28" s="1524">
        <f t="shared" ca="1" si="12"/>
        <v>0</v>
      </c>
      <c r="N28" s="1524">
        <f t="shared" ca="1" si="13"/>
        <v>0</v>
      </c>
      <c r="P28" s="2021">
        <f t="shared" si="14"/>
        <v>0</v>
      </c>
      <c r="Q28" s="1938">
        <f t="shared" si="15"/>
        <v>0</v>
      </c>
      <c r="R28" s="1938">
        <f t="shared" si="16"/>
        <v>0</v>
      </c>
      <c r="S28" s="1569" t="str">
        <f>+IF(R28=0,"S.D.",IF((Q28/R28)&lt;=120,"O.K.","VERIFICAR"))</f>
        <v>S.D.</v>
      </c>
      <c r="T28" s="1659"/>
      <c r="U28" s="3401" t="str">
        <f t="shared" si="10"/>
        <v xml:space="preserve">N3 HOGARES POBRES O CARENCIADOS- Consumo &lt;= 120 kWh/mes </v>
      </c>
    </row>
    <row r="29" spans="1:21" ht="89.1" customHeight="1" thickBot="1" x14ac:dyDescent="0.5">
      <c r="A29" s="4487"/>
      <c r="B29" s="3494">
        <v>5591</v>
      </c>
      <c r="C29" s="3539" t="s">
        <v>1310</v>
      </c>
      <c r="D29" s="3605" t="s">
        <v>1258</v>
      </c>
      <c r="E29" s="2986">
        <f t="shared" si="9"/>
        <v>0</v>
      </c>
      <c r="F29" s="2986">
        <f t="shared" si="9"/>
        <v>0</v>
      </c>
      <c r="G29" s="2986">
        <f t="shared" si="9"/>
        <v>0</v>
      </c>
      <c r="H29" s="2986">
        <f t="shared" si="9"/>
        <v>0</v>
      </c>
      <c r="I29" s="2986">
        <f t="shared" ca="1" si="9"/>
        <v>0</v>
      </c>
      <c r="J29" s="2986">
        <f t="shared" ca="1" si="9"/>
        <v>0</v>
      </c>
      <c r="K29" s="2986">
        <f t="shared" ca="1" si="9"/>
        <v>0</v>
      </c>
      <c r="L29" s="1524">
        <f t="shared" ca="1" si="11"/>
        <v>0</v>
      </c>
      <c r="M29" s="1524">
        <f t="shared" ca="1" si="12"/>
        <v>0</v>
      </c>
      <c r="N29" s="1524">
        <f t="shared" ca="1" si="13"/>
        <v>0</v>
      </c>
      <c r="P29" s="2021">
        <f t="shared" si="14"/>
        <v>0</v>
      </c>
      <c r="Q29" s="1938">
        <f t="shared" si="15"/>
        <v>0</v>
      </c>
      <c r="R29" s="1938">
        <f t="shared" si="16"/>
        <v>0</v>
      </c>
      <c r="S29" s="1569" t="str">
        <f>+IF(R29=0,"S.D.",IF(AND((Q29/R29)&gt;120,(Q29/R29)&lt;=150),"O.K.","VERIFICAR"))</f>
        <v>S.D.</v>
      </c>
      <c r="T29" s="1659"/>
      <c r="U29" s="3401" t="str">
        <f t="shared" si="10"/>
        <v>N3 HOGARES POBRES O CARENCIADOS &gt; 120 kWh/mes y &lt;= 150 kWh/mes</v>
      </c>
    </row>
    <row r="30" spans="1:21" ht="89.1" customHeight="1" thickBot="1" x14ac:dyDescent="0.5">
      <c r="A30" s="4487"/>
      <c r="B30" s="3495">
        <v>5600</v>
      </c>
      <c r="C30" s="3539" t="s">
        <v>1310</v>
      </c>
      <c r="D30" s="3606" t="s">
        <v>1259</v>
      </c>
      <c r="E30" s="2986">
        <f t="shared" si="9"/>
        <v>0</v>
      </c>
      <c r="F30" s="2986">
        <f t="shared" si="9"/>
        <v>0</v>
      </c>
      <c r="G30" s="2986">
        <f t="shared" si="9"/>
        <v>0</v>
      </c>
      <c r="H30" s="2986">
        <f t="shared" si="9"/>
        <v>0</v>
      </c>
      <c r="I30" s="2986">
        <f t="shared" ca="1" si="9"/>
        <v>0</v>
      </c>
      <c r="J30" s="2986">
        <f t="shared" ca="1" si="9"/>
        <v>0</v>
      </c>
      <c r="K30" s="2986">
        <f t="shared" ca="1" si="9"/>
        <v>0</v>
      </c>
      <c r="L30" s="1524">
        <f t="shared" ca="1" si="11"/>
        <v>0</v>
      </c>
      <c r="M30" s="1524">
        <f t="shared" ca="1" si="12"/>
        <v>0</v>
      </c>
      <c r="N30" s="1524">
        <f t="shared" ca="1" si="13"/>
        <v>0</v>
      </c>
      <c r="P30" s="2021">
        <f t="shared" si="14"/>
        <v>0</v>
      </c>
      <c r="Q30" s="1938">
        <f t="shared" si="15"/>
        <v>0</v>
      </c>
      <c r="R30" s="1938">
        <f t="shared" si="16"/>
        <v>0</v>
      </c>
      <c r="S30" s="1569" t="str">
        <f>+IF(R30=0,"S.D.",IF((Q30/R30)&lt;=120,"O.K.","VERIFICAR"))</f>
        <v>S.D.</v>
      </c>
      <c r="T30" s="1659"/>
      <c r="U30" s="3401" t="str">
        <f t="shared" si="10"/>
        <v xml:space="preserve">N3 HOGARES INDIGENTES: &lt;=120 kWh/mes  </v>
      </c>
    </row>
    <row r="31" spans="1:21" ht="89.1" customHeight="1" thickBot="1" x14ac:dyDescent="0.5">
      <c r="A31" s="4487"/>
      <c r="B31" s="3545">
        <v>5601</v>
      </c>
      <c r="C31" s="3539" t="s">
        <v>1310</v>
      </c>
      <c r="D31" s="5810" t="s">
        <v>1260</v>
      </c>
      <c r="E31" s="2986">
        <f t="shared" si="9"/>
        <v>0</v>
      </c>
      <c r="F31" s="2986">
        <f t="shared" si="9"/>
        <v>0</v>
      </c>
      <c r="G31" s="2986">
        <f t="shared" si="9"/>
        <v>0</v>
      </c>
      <c r="H31" s="2986">
        <f t="shared" si="9"/>
        <v>0</v>
      </c>
      <c r="I31" s="2986">
        <f t="shared" ca="1" si="9"/>
        <v>0</v>
      </c>
      <c r="J31" s="2986">
        <f t="shared" ca="1" si="9"/>
        <v>0</v>
      </c>
      <c r="K31" s="2986">
        <f t="shared" ca="1" si="9"/>
        <v>0</v>
      </c>
      <c r="L31" s="1524">
        <f t="shared" ca="1" si="11"/>
        <v>0</v>
      </c>
      <c r="M31" s="1524">
        <f t="shared" ca="1" si="12"/>
        <v>0</v>
      </c>
      <c r="N31" s="1524">
        <f t="shared" ca="1" si="13"/>
        <v>0</v>
      </c>
      <c r="P31" s="2021">
        <f t="shared" si="14"/>
        <v>0</v>
      </c>
      <c r="Q31" s="1938">
        <f t="shared" si="15"/>
        <v>0</v>
      </c>
      <c r="R31" s="1938">
        <f t="shared" si="16"/>
        <v>0</v>
      </c>
      <c r="S31" s="1569" t="str">
        <f>+IF(R31=0,"S.D.",IF(AND((Q31/R31)&gt;120,(Q31/R31)&lt;=150),"O.K.","VERIFICAR"))</f>
        <v>S.D.</v>
      </c>
      <c r="T31" s="1659"/>
      <c r="U31" s="3401" t="str">
        <f t="shared" si="10"/>
        <v xml:space="preserve">N3 HOGARES INDIGENTES:- Consumo &gt; 120 kWh/mes y &lt;= 150 kWh/mes </v>
      </c>
    </row>
    <row r="32" spans="1:21" ht="89.1" customHeight="1" thickBot="1" x14ac:dyDescent="0.5">
      <c r="A32" s="4489"/>
      <c r="B32" s="4232" t="s">
        <v>375</v>
      </c>
      <c r="C32" s="4233"/>
      <c r="D32" s="4233"/>
      <c r="E32" s="1557">
        <f>SUM(E17:E31)</f>
        <v>0</v>
      </c>
      <c r="F32" s="1557">
        <f t="shared" ref="F32:N32" si="17">SUM(F17:F31)</f>
        <v>0</v>
      </c>
      <c r="G32" s="1557">
        <f t="shared" si="17"/>
        <v>0</v>
      </c>
      <c r="H32" s="1557">
        <f t="shared" si="17"/>
        <v>0</v>
      </c>
      <c r="I32" s="1557">
        <f t="shared" ca="1" si="17"/>
        <v>0</v>
      </c>
      <c r="J32" s="1557">
        <f t="shared" ca="1" si="17"/>
        <v>0</v>
      </c>
      <c r="K32" s="1557">
        <f t="shared" ca="1" si="17"/>
        <v>0</v>
      </c>
      <c r="L32" s="1557">
        <f t="shared" ca="1" si="17"/>
        <v>0</v>
      </c>
      <c r="M32" s="1557">
        <f t="shared" ca="1" si="17"/>
        <v>0</v>
      </c>
      <c r="N32" s="1557">
        <f t="shared" ca="1" si="17"/>
        <v>0</v>
      </c>
      <c r="O32" s="2518">
        <f ca="1">SUM(L32:N32)</f>
        <v>0</v>
      </c>
      <c r="P32" s="2021"/>
      <c r="Q32" s="1938"/>
      <c r="R32" s="1938"/>
      <c r="S32" s="1569"/>
      <c r="T32" s="1659"/>
    </row>
    <row r="33" spans="1:78" s="1540" customFormat="1" ht="49.5" customHeight="1" x14ac:dyDescent="0.45">
      <c r="A33" s="3379"/>
      <c r="B33" s="3380"/>
      <c r="C33" s="3380"/>
      <c r="D33" s="3380"/>
      <c r="E33" s="5811"/>
      <c r="F33" s="5811"/>
      <c r="G33" s="5811"/>
      <c r="H33" s="5812">
        <f>+H32+G32+F32</f>
        <v>0</v>
      </c>
      <c r="I33" s="5811"/>
      <c r="J33" s="5811"/>
      <c r="K33" s="5811"/>
      <c r="L33" s="5811"/>
      <c r="M33" s="5811"/>
      <c r="N33" s="3389"/>
      <c r="O33" s="1541"/>
      <c r="P33" s="1541"/>
      <c r="V33" s="1489"/>
      <c r="W33" s="1489"/>
      <c r="X33" s="1489"/>
      <c r="Y33" s="1489"/>
      <c r="Z33" s="1489"/>
      <c r="AA33" s="1489"/>
      <c r="AB33" s="1489"/>
      <c r="AC33" s="1489"/>
      <c r="AD33" s="1489"/>
      <c r="AE33" s="1489"/>
      <c r="AF33" s="1489"/>
      <c r="AG33" s="1489"/>
      <c r="AH33" s="1489"/>
      <c r="AI33" s="1489"/>
      <c r="AJ33" s="1489"/>
      <c r="AK33" s="1489"/>
      <c r="AL33" s="1489"/>
      <c r="AM33" s="1489"/>
      <c r="AN33" s="1489"/>
      <c r="AO33" s="1489"/>
      <c r="AP33" s="1489"/>
      <c r="AQ33" s="1489"/>
      <c r="AR33" s="1489"/>
      <c r="AS33" s="1489"/>
    </row>
    <row r="34" spans="1:78" s="1540" customFormat="1" ht="49.5" customHeight="1" thickBot="1" x14ac:dyDescent="0.5">
      <c r="A34" s="3381"/>
      <c r="B34" s="3382"/>
      <c r="C34" s="3382"/>
      <c r="D34" s="3382"/>
      <c r="E34" s="5811"/>
      <c r="F34" s="5811"/>
      <c r="G34" s="5811"/>
      <c r="H34" s="5811"/>
      <c r="I34" s="5811"/>
      <c r="J34" s="5811"/>
      <c r="K34" s="5811"/>
      <c r="L34" s="3382"/>
      <c r="M34" s="3382"/>
      <c r="N34" s="3383"/>
      <c r="P34" s="1541"/>
      <c r="V34" s="1489"/>
      <c r="W34" s="1489"/>
      <c r="X34" s="1489"/>
      <c r="Y34" s="1489"/>
      <c r="Z34" s="1489"/>
      <c r="AA34" s="1489"/>
      <c r="AB34" s="1489"/>
      <c r="AC34" s="1489"/>
      <c r="AD34" s="1489"/>
      <c r="AE34" s="1489"/>
      <c r="AF34" s="1489"/>
      <c r="AG34" s="1489"/>
      <c r="AH34" s="1489"/>
      <c r="AI34" s="1489"/>
      <c r="AJ34" s="1489"/>
      <c r="AK34" s="1489"/>
      <c r="AL34" s="1489"/>
      <c r="AM34" s="1489"/>
      <c r="AN34" s="1489"/>
      <c r="AO34" s="1489"/>
      <c r="AP34" s="1489"/>
      <c r="AQ34" s="1489"/>
      <c r="AR34" s="1489"/>
      <c r="AS34" s="1489"/>
    </row>
    <row r="35" spans="1:78" ht="49.5" customHeight="1" x14ac:dyDescent="0.5">
      <c r="A35" s="4188" t="s">
        <v>376</v>
      </c>
      <c r="B35" s="4189"/>
      <c r="C35" s="4189"/>
      <c r="D35" s="4189"/>
      <c r="E35" s="5814" t="s">
        <v>101</v>
      </c>
      <c r="F35" s="4510" t="s">
        <v>304</v>
      </c>
      <c r="G35" s="4510"/>
      <c r="H35" s="4510"/>
      <c r="I35" s="4510" t="s">
        <v>368</v>
      </c>
      <c r="J35" s="4510"/>
      <c r="K35" s="4510"/>
      <c r="L35" s="4234" t="s">
        <v>377</v>
      </c>
      <c r="M35" s="4235"/>
      <c r="N35" s="4236"/>
      <c r="P35" s="2537" t="s">
        <v>241</v>
      </c>
      <c r="Q35" s="2537"/>
      <c r="R35" s="2537"/>
      <c r="S35" s="2537"/>
      <c r="T35" s="2537"/>
      <c r="V35" s="1638"/>
      <c r="AD35" s="3378"/>
      <c r="AE35" s="3378"/>
      <c r="AF35" s="3378"/>
      <c r="AG35" s="3378"/>
      <c r="AH35" s="3378"/>
      <c r="AI35" s="3378"/>
      <c r="AJ35" s="3378"/>
      <c r="AK35" s="3378"/>
      <c r="AL35" s="3378"/>
      <c r="AM35" s="3378"/>
      <c r="AN35" s="3378"/>
      <c r="AO35" s="3378"/>
      <c r="AP35" s="3378"/>
      <c r="AQ35" s="3378"/>
      <c r="AR35" s="3378"/>
      <c r="AS35" s="3378"/>
    </row>
    <row r="36" spans="1:78" ht="49.5" customHeight="1" thickBot="1" x14ac:dyDescent="0.5">
      <c r="A36" s="4191"/>
      <c r="B36" s="4192"/>
      <c r="C36" s="4192"/>
      <c r="D36" s="4192"/>
      <c r="E36" s="5814"/>
      <c r="F36" s="1515" t="s">
        <v>287</v>
      </c>
      <c r="G36" s="1515" t="s">
        <v>289</v>
      </c>
      <c r="H36" s="1515" t="s">
        <v>288</v>
      </c>
      <c r="I36" s="1515" t="s">
        <v>287</v>
      </c>
      <c r="J36" s="1515" t="s">
        <v>289</v>
      </c>
      <c r="K36" s="1515" t="s">
        <v>288</v>
      </c>
      <c r="L36" s="1515" t="s">
        <v>287</v>
      </c>
      <c r="M36" s="1515" t="s">
        <v>289</v>
      </c>
      <c r="N36" s="1517" t="s">
        <v>288</v>
      </c>
      <c r="P36" s="979" t="s">
        <v>370</v>
      </c>
      <c r="Q36" s="979" t="s">
        <v>25</v>
      </c>
      <c r="R36" s="979" t="s">
        <v>371</v>
      </c>
      <c r="S36" s="979" t="s">
        <v>241</v>
      </c>
      <c r="T36" s="979"/>
      <c r="V36" s="1638"/>
      <c r="AD36" s="1638"/>
      <c r="AE36" s="1638"/>
      <c r="AF36" s="1638"/>
      <c r="AG36" s="1638"/>
      <c r="AH36" s="1638"/>
      <c r="AI36" s="1638"/>
      <c r="AJ36" s="1638"/>
      <c r="AK36" s="1638"/>
      <c r="AL36" s="1638"/>
      <c r="AM36" s="1638"/>
      <c r="AN36" s="1638"/>
      <c r="AO36" s="1638"/>
      <c r="AP36" s="1638"/>
      <c r="AQ36" s="1638"/>
      <c r="AR36" s="1638"/>
      <c r="AS36" s="1638"/>
    </row>
    <row r="37" spans="1:78" ht="66" customHeight="1" x14ac:dyDescent="0.45">
      <c r="A37" s="4247" t="s">
        <v>52</v>
      </c>
      <c r="B37" s="3547">
        <v>5030</v>
      </c>
      <c r="C37" s="4183" t="s">
        <v>217</v>
      </c>
      <c r="D37" s="5805"/>
      <c r="E37" s="2986">
        <f>+E333</f>
        <v>0</v>
      </c>
      <c r="F37" s="2986">
        <f t="shared" ref="F37:K37" si="18">+F333</f>
        <v>0</v>
      </c>
      <c r="G37" s="2986">
        <f t="shared" si="18"/>
        <v>0</v>
      </c>
      <c r="H37" s="2986">
        <f t="shared" si="18"/>
        <v>0</v>
      </c>
      <c r="I37" s="2986">
        <f t="shared" ca="1" si="18"/>
        <v>0</v>
      </c>
      <c r="J37" s="2986">
        <f t="shared" ca="1" si="18"/>
        <v>0</v>
      </c>
      <c r="K37" s="2986">
        <f t="shared" ca="1" si="18"/>
        <v>0</v>
      </c>
      <c r="L37" s="1524">
        <f t="shared" ref="L37" ca="1" si="19">+F37+I37</f>
        <v>0</v>
      </c>
      <c r="M37" s="1524">
        <f t="shared" ref="M37" ca="1" si="20">+G37+J37</f>
        <v>0</v>
      </c>
      <c r="N37" s="1545">
        <f t="shared" ref="N37" ca="1" si="21">+H37+K37</f>
        <v>0</v>
      </c>
      <c r="O37" s="2519"/>
      <c r="P37" s="2021">
        <f t="shared" ref="P37:P48" si="22">+IF(E37=0,0,Q37/R37)</f>
        <v>0</v>
      </c>
      <c r="Q37" s="1938">
        <f t="shared" ref="Q37:Q48" si="23">+SUM(F37:H37)</f>
        <v>0</v>
      </c>
      <c r="R37" s="1938">
        <f t="shared" ref="R37:R48" si="24">+E37</f>
        <v>0</v>
      </c>
      <c r="S37" s="1569" t="str">
        <f>+IF(R37=0,"S.D.",IF(AND((Q37/R37)&gt;150,(Q37/R37)&lt;=500),"O.K.","VERIFICAR"))</f>
        <v>S.D.</v>
      </c>
      <c r="T37" s="1659"/>
      <c r="V37" s="2179"/>
      <c r="AD37" s="2523"/>
      <c r="AE37" s="2523"/>
      <c r="AF37" s="2523"/>
      <c r="AG37" s="2523"/>
      <c r="AH37" s="2523"/>
      <c r="AI37" s="2523"/>
      <c r="AJ37" s="2523"/>
      <c r="AK37" s="2523"/>
      <c r="AL37" s="2523"/>
      <c r="AM37" s="2523"/>
      <c r="AN37" s="2523"/>
      <c r="AO37" s="2523"/>
      <c r="AP37" s="2523"/>
      <c r="AQ37" s="1573"/>
    </row>
    <row r="38" spans="1:78" ht="66" customHeight="1" x14ac:dyDescent="0.45">
      <c r="A38" s="4248"/>
      <c r="B38" s="3494">
        <v>5572</v>
      </c>
      <c r="C38" s="3534" t="s">
        <v>1308</v>
      </c>
      <c r="D38" s="3605" t="s">
        <v>1261</v>
      </c>
      <c r="E38" s="2986">
        <f t="shared" ref="E38:K59" si="25">+E334</f>
        <v>0</v>
      </c>
      <c r="F38" s="2986">
        <f t="shared" si="25"/>
        <v>0</v>
      </c>
      <c r="G38" s="2986">
        <f t="shared" si="25"/>
        <v>0</v>
      </c>
      <c r="H38" s="2986">
        <f t="shared" si="25"/>
        <v>0</v>
      </c>
      <c r="I38" s="2986">
        <f t="shared" ca="1" si="25"/>
        <v>0</v>
      </c>
      <c r="J38" s="2986">
        <f t="shared" ca="1" si="25"/>
        <v>0</v>
      </c>
      <c r="K38" s="2986">
        <f t="shared" ca="1" si="25"/>
        <v>0</v>
      </c>
      <c r="L38" s="1524">
        <f t="shared" ref="L38:L59" ca="1" si="26">+F38+I38</f>
        <v>0</v>
      </c>
      <c r="M38" s="1524">
        <f t="shared" ref="M38:M59" ca="1" si="27">+G38+J38</f>
        <v>0</v>
      </c>
      <c r="N38" s="1545">
        <f t="shared" ref="N38:N59" ca="1" si="28">+H38+K38</f>
        <v>0</v>
      </c>
      <c r="O38" s="2519"/>
      <c r="P38" s="2021">
        <f t="shared" si="22"/>
        <v>0</v>
      </c>
      <c r="Q38" s="1938">
        <f t="shared" si="23"/>
        <v>0</v>
      </c>
      <c r="R38" s="1938">
        <f t="shared" si="24"/>
        <v>0</v>
      </c>
      <c r="S38" s="1569" t="str">
        <f>+IF(R38=0,"S.D.",IF(AND((Q38/R38)&gt;150,(Q38/R38)&lt;=300),"O.K.","VERIFICAR"))</f>
        <v>S.D.</v>
      </c>
      <c r="T38" s="1659"/>
      <c r="V38" s="2179"/>
      <c r="AD38" s="2523"/>
      <c r="AE38" s="2523"/>
      <c r="AF38" s="2523"/>
      <c r="AG38" s="2523"/>
      <c r="AH38" s="2523"/>
      <c r="AI38" s="2523"/>
      <c r="AJ38" s="2523"/>
      <c r="AK38" s="2523"/>
      <c r="AL38" s="2523"/>
      <c r="AM38" s="2523"/>
      <c r="AN38" s="2523"/>
      <c r="AO38" s="2523"/>
      <c r="AP38" s="2523"/>
      <c r="AQ38" s="1573"/>
    </row>
    <row r="39" spans="1:78" ht="66" customHeight="1" x14ac:dyDescent="0.45">
      <c r="A39" s="4248"/>
      <c r="B39" s="3494">
        <v>5573</v>
      </c>
      <c r="C39" s="3534" t="s">
        <v>1308</v>
      </c>
      <c r="D39" s="3605" t="s">
        <v>1262</v>
      </c>
      <c r="E39" s="2986">
        <f t="shared" si="25"/>
        <v>0</v>
      </c>
      <c r="F39" s="2986">
        <f t="shared" si="25"/>
        <v>0</v>
      </c>
      <c r="G39" s="2986">
        <f t="shared" si="25"/>
        <v>0</v>
      </c>
      <c r="H39" s="2986">
        <f t="shared" si="25"/>
        <v>0</v>
      </c>
      <c r="I39" s="2986">
        <f t="shared" ca="1" si="25"/>
        <v>0</v>
      </c>
      <c r="J39" s="2986">
        <f t="shared" ca="1" si="25"/>
        <v>0</v>
      </c>
      <c r="K39" s="2986">
        <f t="shared" ca="1" si="25"/>
        <v>0</v>
      </c>
      <c r="L39" s="1524">
        <f t="shared" ca="1" si="26"/>
        <v>0</v>
      </c>
      <c r="M39" s="1524">
        <f t="shared" ca="1" si="27"/>
        <v>0</v>
      </c>
      <c r="N39" s="1545">
        <f t="shared" ca="1" si="28"/>
        <v>0</v>
      </c>
      <c r="O39" s="2519"/>
      <c r="P39" s="2021">
        <f t="shared" ref="P39" si="29">+IF(E39=0,0,Q39/R39)</f>
        <v>0</v>
      </c>
      <c r="Q39" s="1938">
        <f t="shared" ref="Q39" si="30">+SUM(F39:H39)</f>
        <v>0</v>
      </c>
      <c r="R39" s="1938">
        <f t="shared" ref="R39" si="31">+E39</f>
        <v>0</v>
      </c>
      <c r="S39" s="1569" t="str">
        <f>+IF(R39=0,"S.D.",IF(AND((Q39/R39)&gt;300,(Q39/R39)&lt;=500),"O.K.","VERIFICAR"))</f>
        <v>S.D.</v>
      </c>
      <c r="T39" s="1659"/>
      <c r="V39" s="2179"/>
      <c r="AD39" s="2523"/>
      <c r="AE39" s="2523"/>
      <c r="AF39" s="2523"/>
      <c r="AG39" s="2523"/>
      <c r="AH39" s="2523"/>
      <c r="AI39" s="2523"/>
      <c r="AJ39" s="2523"/>
      <c r="AK39" s="2523"/>
      <c r="AL39" s="2523"/>
      <c r="AM39" s="2523"/>
      <c r="AN39" s="2523"/>
      <c r="AO39" s="2523"/>
      <c r="AP39" s="2523"/>
      <c r="AQ39" s="1573"/>
    </row>
    <row r="40" spans="1:78" ht="66" customHeight="1" x14ac:dyDescent="0.45">
      <c r="A40" s="4248"/>
      <c r="B40" s="3495">
        <v>5582</v>
      </c>
      <c r="C40" s="3534" t="s">
        <v>1308</v>
      </c>
      <c r="D40" s="3606" t="s">
        <v>1263</v>
      </c>
      <c r="E40" s="2986">
        <f t="shared" si="25"/>
        <v>0</v>
      </c>
      <c r="F40" s="2986">
        <f t="shared" si="25"/>
        <v>0</v>
      </c>
      <c r="G40" s="2986">
        <f t="shared" si="25"/>
        <v>0</v>
      </c>
      <c r="H40" s="2986">
        <f t="shared" si="25"/>
        <v>0</v>
      </c>
      <c r="I40" s="2986">
        <f t="shared" ca="1" si="25"/>
        <v>0</v>
      </c>
      <c r="J40" s="2986">
        <f t="shared" ca="1" si="25"/>
        <v>0</v>
      </c>
      <c r="K40" s="2986">
        <f t="shared" ca="1" si="25"/>
        <v>0</v>
      </c>
      <c r="L40" s="1524">
        <f t="shared" ca="1" si="26"/>
        <v>0</v>
      </c>
      <c r="M40" s="1524">
        <f t="shared" ca="1" si="27"/>
        <v>0</v>
      </c>
      <c r="N40" s="1545">
        <f t="shared" ca="1" si="28"/>
        <v>0</v>
      </c>
      <c r="O40" s="2519"/>
      <c r="P40" s="2021">
        <f t="shared" si="22"/>
        <v>0</v>
      </c>
      <c r="Q40" s="1938">
        <f t="shared" si="23"/>
        <v>0</v>
      </c>
      <c r="R40" s="1938">
        <f t="shared" si="24"/>
        <v>0</v>
      </c>
      <c r="S40" s="1569" t="str">
        <f>+IF(R40=0,"S.D.",IF(AND((Q40/R40)&gt;150,(Q40/R40)&lt;=300),"O.K.","VERIFICAR"))</f>
        <v>S.D.</v>
      </c>
      <c r="T40" s="1659"/>
      <c r="V40" s="2179"/>
      <c r="AD40" s="2523"/>
      <c r="AE40" s="2523"/>
      <c r="AF40" s="2523"/>
      <c r="AG40" s="2523"/>
      <c r="AH40" s="2523"/>
      <c r="AI40" s="2523"/>
      <c r="AJ40" s="2523"/>
      <c r="AK40" s="2523"/>
      <c r="AL40" s="2523"/>
      <c r="AM40" s="2523"/>
      <c r="AN40" s="2523"/>
      <c r="AO40" s="2523"/>
      <c r="AP40" s="2523"/>
      <c r="AQ40" s="1573"/>
    </row>
    <row r="41" spans="1:78" ht="66" customHeight="1" x14ac:dyDescent="0.45">
      <c r="A41" s="4248"/>
      <c r="B41" s="3495">
        <v>5583</v>
      </c>
      <c r="C41" s="3534" t="s">
        <v>1308</v>
      </c>
      <c r="D41" s="3606" t="s">
        <v>1264</v>
      </c>
      <c r="E41" s="2986">
        <f t="shared" si="25"/>
        <v>0</v>
      </c>
      <c r="F41" s="2986">
        <f t="shared" si="25"/>
        <v>0</v>
      </c>
      <c r="G41" s="2986">
        <f t="shared" si="25"/>
        <v>0</v>
      </c>
      <c r="H41" s="2986">
        <f t="shared" si="25"/>
        <v>0</v>
      </c>
      <c r="I41" s="2986">
        <f t="shared" ca="1" si="25"/>
        <v>0</v>
      </c>
      <c r="J41" s="2986">
        <f t="shared" ca="1" si="25"/>
        <v>0</v>
      </c>
      <c r="K41" s="2986">
        <f t="shared" ca="1" si="25"/>
        <v>0</v>
      </c>
      <c r="L41" s="1524">
        <f t="shared" ca="1" si="26"/>
        <v>0</v>
      </c>
      <c r="M41" s="1524">
        <f t="shared" ca="1" si="27"/>
        <v>0</v>
      </c>
      <c r="N41" s="1545">
        <f t="shared" ca="1" si="28"/>
        <v>0</v>
      </c>
      <c r="O41" s="2519"/>
      <c r="P41" s="2021">
        <f t="shared" si="22"/>
        <v>0</v>
      </c>
      <c r="Q41" s="1938">
        <f t="shared" si="23"/>
        <v>0</v>
      </c>
      <c r="R41" s="1938">
        <f t="shared" si="24"/>
        <v>0</v>
      </c>
      <c r="S41" s="1569" t="str">
        <f>+IF(R41=0,"S.D.",IF(AND((Q41/R41)&gt;300,(Q41/R41)&lt;=500),"O.K.","VERIFICAR"))</f>
        <v>S.D.</v>
      </c>
      <c r="T41" s="1659"/>
      <c r="V41" s="2179"/>
      <c r="W41" s="1489" t="s">
        <v>380</v>
      </c>
      <c r="X41" s="1489" t="s">
        <v>381</v>
      </c>
      <c r="Y41" s="1489" t="s">
        <v>382</v>
      </c>
      <c r="Z41" s="1489" t="s">
        <v>383</v>
      </c>
      <c r="AA41" s="1489" t="s">
        <v>384</v>
      </c>
      <c r="AB41" s="1489" t="s">
        <v>385</v>
      </c>
      <c r="AC41" s="1489" t="s">
        <v>386</v>
      </c>
      <c r="AD41" s="2523"/>
      <c r="AE41" s="2523"/>
      <c r="AF41" s="2523"/>
      <c r="AG41" s="2523"/>
      <c r="AH41" s="2523"/>
      <c r="AI41" s="2523"/>
      <c r="AJ41" s="2523"/>
      <c r="AK41" s="2523"/>
      <c r="AL41" s="2523"/>
      <c r="AM41" s="2523"/>
      <c r="AN41" s="2523"/>
      <c r="AO41" s="2523"/>
      <c r="AP41" s="2523"/>
      <c r="AQ41" s="1573"/>
      <c r="BO41" s="896"/>
      <c r="BP41" s="896"/>
      <c r="BQ41" s="896"/>
      <c r="BR41" s="896"/>
      <c r="BS41" s="896"/>
      <c r="BT41" s="896"/>
      <c r="BU41" s="896"/>
      <c r="BV41" s="896"/>
      <c r="BW41" s="896"/>
      <c r="BX41" s="896"/>
      <c r="BY41" s="896"/>
      <c r="BZ41" s="896"/>
    </row>
    <row r="42" spans="1:78" ht="66" customHeight="1" x14ac:dyDescent="0.45">
      <c r="A42" s="4248"/>
      <c r="B42" s="3537">
        <v>5040</v>
      </c>
      <c r="C42" s="4184" t="s">
        <v>373</v>
      </c>
      <c r="D42" s="4185"/>
      <c r="E42" s="2986">
        <f t="shared" si="25"/>
        <v>0</v>
      </c>
      <c r="F42" s="2986">
        <f t="shared" si="25"/>
        <v>0</v>
      </c>
      <c r="G42" s="2986">
        <f t="shared" si="25"/>
        <v>0</v>
      </c>
      <c r="H42" s="2986">
        <f t="shared" si="25"/>
        <v>0</v>
      </c>
      <c r="I42" s="2986">
        <f t="shared" ca="1" si="25"/>
        <v>0</v>
      </c>
      <c r="J42" s="2986">
        <f t="shared" ca="1" si="25"/>
        <v>0</v>
      </c>
      <c r="K42" s="2986">
        <f t="shared" ca="1" si="25"/>
        <v>0</v>
      </c>
      <c r="L42" s="1524">
        <f t="shared" ca="1" si="26"/>
        <v>0</v>
      </c>
      <c r="M42" s="1524">
        <f t="shared" ca="1" si="27"/>
        <v>0</v>
      </c>
      <c r="N42" s="1545">
        <f t="shared" ca="1" si="28"/>
        <v>0</v>
      </c>
      <c r="O42" s="2519"/>
      <c r="P42" s="2021">
        <f t="shared" ref="P42" si="32">+IF(E42=0,0,Q42/R42)</f>
        <v>0</v>
      </c>
      <c r="Q42" s="1938">
        <f t="shared" ref="Q42" si="33">+SUM(F42:H42)</f>
        <v>0</v>
      </c>
      <c r="R42" s="1938">
        <f t="shared" ref="R42" si="34">+E42</f>
        <v>0</v>
      </c>
      <c r="S42" s="1569" t="str">
        <f>+IF(R42=0,"S.D.",IF(AND((Q42/R42)&gt;150,(Q42/R42)&lt;=350),"O.K.","VERIFICAR"))</f>
        <v>S.D.</v>
      </c>
      <c r="T42" s="1659"/>
      <c r="V42" s="2179"/>
      <c r="AD42" s="2523"/>
      <c r="AE42" s="2523"/>
      <c r="AF42" s="2523"/>
      <c r="AG42" s="2523"/>
      <c r="AH42" s="2523"/>
      <c r="AI42" s="2523"/>
      <c r="AJ42" s="2523"/>
      <c r="AK42" s="2523"/>
      <c r="AL42" s="2523"/>
      <c r="AM42" s="2523"/>
      <c r="AN42" s="2523"/>
      <c r="AO42" s="2523"/>
      <c r="AP42" s="2523"/>
      <c r="AQ42" s="1573"/>
      <c r="BO42" s="896"/>
      <c r="BP42" s="896"/>
      <c r="BQ42" s="896"/>
      <c r="BR42" s="896"/>
      <c r="BS42" s="896"/>
      <c r="BT42" s="896"/>
      <c r="BU42" s="896"/>
      <c r="BV42" s="896"/>
      <c r="BW42" s="896"/>
      <c r="BX42" s="896"/>
      <c r="BY42" s="896"/>
      <c r="BZ42" s="896"/>
    </row>
    <row r="43" spans="1:78" ht="66" hidden="1" customHeight="1" x14ac:dyDescent="0.45">
      <c r="A43" s="4248"/>
      <c r="B43" s="3537">
        <v>5041</v>
      </c>
      <c r="C43" s="4186" t="s">
        <v>1265</v>
      </c>
      <c r="D43" s="4187"/>
      <c r="E43" s="2986">
        <f t="shared" si="25"/>
        <v>0</v>
      </c>
      <c r="F43" s="2986">
        <f t="shared" si="25"/>
        <v>0</v>
      </c>
      <c r="G43" s="2986">
        <f t="shared" si="25"/>
        <v>0</v>
      </c>
      <c r="H43" s="2986">
        <f t="shared" si="25"/>
        <v>0</v>
      </c>
      <c r="I43" s="2986">
        <f t="shared" ca="1" si="25"/>
        <v>0</v>
      </c>
      <c r="J43" s="2986">
        <f t="shared" ca="1" si="25"/>
        <v>0</v>
      </c>
      <c r="K43" s="2986">
        <f t="shared" ca="1" si="25"/>
        <v>0</v>
      </c>
      <c r="L43" s="1524">
        <f t="shared" ca="1" si="26"/>
        <v>0</v>
      </c>
      <c r="M43" s="1524">
        <f t="shared" ca="1" si="27"/>
        <v>0</v>
      </c>
      <c r="N43" s="1545">
        <f t="shared" ca="1" si="28"/>
        <v>0</v>
      </c>
      <c r="O43" s="2519"/>
      <c r="P43" s="2021">
        <f t="shared" si="22"/>
        <v>0</v>
      </c>
      <c r="Q43" s="1938">
        <f t="shared" si="23"/>
        <v>0</v>
      </c>
      <c r="R43" s="1938">
        <f t="shared" si="24"/>
        <v>0</v>
      </c>
      <c r="S43" s="1569" t="str">
        <f>+IF(R43=0,"S.D.",IF(AND((Q43/R43)&gt;150,(Q43/R43)&lt;=500),"O.K.","VERIFICAR"))</f>
        <v>S.D.</v>
      </c>
      <c r="T43" s="1659"/>
      <c r="V43" s="559"/>
      <c r="W43" s="585"/>
      <c r="X43" s="2526" t="s">
        <v>290</v>
      </c>
      <c r="Y43" s="2526" t="s">
        <v>388</v>
      </c>
      <c r="Z43" s="2526" t="s">
        <v>389</v>
      </c>
      <c r="AA43" s="2526" t="s">
        <v>388</v>
      </c>
      <c r="AB43" s="2526" t="s">
        <v>390</v>
      </c>
      <c r="AC43" s="2526" t="s">
        <v>391</v>
      </c>
      <c r="AD43" s="2525"/>
      <c r="AE43" s="1528"/>
      <c r="AF43" s="1528"/>
      <c r="AG43" s="1528"/>
      <c r="AH43" s="1528"/>
      <c r="AI43" s="2523"/>
      <c r="AJ43" s="2523"/>
      <c r="AK43" s="2523"/>
      <c r="AL43" s="2523"/>
      <c r="AM43" s="2523"/>
      <c r="AN43" s="2523"/>
      <c r="AO43" s="2523"/>
      <c r="AP43" s="2523"/>
      <c r="AQ43" s="1573"/>
      <c r="BG43" s="2698"/>
      <c r="BH43" s="2698"/>
      <c r="BI43" s="2698"/>
      <c r="BJ43" s="2698"/>
      <c r="BK43" s="2698"/>
      <c r="BL43" s="2698"/>
      <c r="BM43" s="2698"/>
      <c r="BN43" s="2698"/>
      <c r="BO43" s="2697"/>
      <c r="BP43" s="2697"/>
      <c r="BQ43" s="2697"/>
      <c r="BR43" s="2697"/>
      <c r="BS43" s="2697"/>
      <c r="BT43" s="2697"/>
      <c r="BU43" s="2697"/>
      <c r="BV43" s="2697"/>
      <c r="BW43" s="2697"/>
      <c r="BX43" s="2697"/>
      <c r="BY43" s="2697"/>
      <c r="BZ43" s="2697"/>
    </row>
    <row r="44" spans="1:78" ht="66" customHeight="1" thickBot="1" x14ac:dyDescent="0.5">
      <c r="A44" s="4248"/>
      <c r="B44" s="3537">
        <v>5045</v>
      </c>
      <c r="C44" s="4184" t="s">
        <v>378</v>
      </c>
      <c r="D44" s="4185"/>
      <c r="E44" s="2986">
        <f t="shared" si="25"/>
        <v>0</v>
      </c>
      <c r="F44" s="2986">
        <f t="shared" si="25"/>
        <v>0</v>
      </c>
      <c r="G44" s="2986">
        <f t="shared" si="25"/>
        <v>0</v>
      </c>
      <c r="H44" s="2986">
        <f t="shared" si="25"/>
        <v>0</v>
      </c>
      <c r="I44" s="2986">
        <f t="shared" ca="1" si="25"/>
        <v>0</v>
      </c>
      <c r="J44" s="2986">
        <f t="shared" ca="1" si="25"/>
        <v>0</v>
      </c>
      <c r="K44" s="2986">
        <f t="shared" ca="1" si="25"/>
        <v>0</v>
      </c>
      <c r="L44" s="1524">
        <f t="shared" ca="1" si="26"/>
        <v>0</v>
      </c>
      <c r="M44" s="1524">
        <f t="shared" ca="1" si="27"/>
        <v>0</v>
      </c>
      <c r="N44" s="1545">
        <f t="shared" ca="1" si="28"/>
        <v>0</v>
      </c>
      <c r="O44" s="2519"/>
      <c r="P44" s="2021">
        <f t="shared" si="22"/>
        <v>0</v>
      </c>
      <c r="Q44" s="1938">
        <f t="shared" si="23"/>
        <v>0</v>
      </c>
      <c r="R44" s="1938">
        <f t="shared" si="24"/>
        <v>0</v>
      </c>
      <c r="S44" s="1569" t="str">
        <f>+IF(R44=0,"S.D.",IF(AND((Q44/R44)&gt;0,(Q44/R44)&lt;=500),"O.K.","VERIFICAR"))</f>
        <v>S.D.</v>
      </c>
      <c r="T44" s="1659"/>
      <c r="V44" s="2288">
        <f>+SUM(F44:H44)</f>
        <v>0</v>
      </c>
      <c r="W44" s="2180">
        <f>+E44</f>
        <v>0</v>
      </c>
      <c r="X44" s="2528">
        <f>+V44</f>
        <v>0</v>
      </c>
      <c r="Y44" s="2527">
        <v>0</v>
      </c>
      <c r="Z44" s="2529">
        <f>+X44</f>
        <v>0</v>
      </c>
      <c r="AA44" s="2527"/>
      <c r="AB44" s="2530"/>
      <c r="AC44" s="2525">
        <f t="shared" ref="AC44:AC48" si="35">X44-(Z44+AB44)</f>
        <v>0</v>
      </c>
      <c r="AD44" s="2525"/>
      <c r="AE44" s="1528"/>
      <c r="AF44" s="1528"/>
      <c r="AG44" s="1528"/>
      <c r="AH44" s="1528"/>
      <c r="AI44" s="2523"/>
      <c r="AJ44" s="2523"/>
      <c r="AK44" s="2523"/>
      <c r="AL44" s="2523"/>
      <c r="AM44" s="2523"/>
      <c r="AN44" s="2523"/>
      <c r="AO44" s="2523"/>
      <c r="AP44" s="2523"/>
      <c r="AQ44" s="1573"/>
      <c r="BG44" s="1573"/>
      <c r="BH44" s="1573"/>
      <c r="BI44" s="2699"/>
      <c r="BJ44" s="2700"/>
      <c r="BK44" s="2701"/>
      <c r="BL44" s="2700"/>
      <c r="BM44" s="2701"/>
      <c r="BN44" s="2702"/>
    </row>
    <row r="45" spans="1:78" ht="66" customHeight="1" thickBot="1" x14ac:dyDescent="0.5">
      <c r="A45" s="4248"/>
      <c r="B45" s="3494">
        <v>5503</v>
      </c>
      <c r="C45" s="3539" t="s">
        <v>1309</v>
      </c>
      <c r="D45" s="3605" t="s">
        <v>1266</v>
      </c>
      <c r="E45" s="2986">
        <f t="shared" si="25"/>
        <v>0</v>
      </c>
      <c r="F45" s="2986">
        <f t="shared" si="25"/>
        <v>0</v>
      </c>
      <c r="G45" s="2986">
        <f t="shared" si="25"/>
        <v>0</v>
      </c>
      <c r="H45" s="2986">
        <f t="shared" si="25"/>
        <v>0</v>
      </c>
      <c r="I45" s="2986">
        <f t="shared" ca="1" si="25"/>
        <v>0</v>
      </c>
      <c r="J45" s="2986">
        <f t="shared" ca="1" si="25"/>
        <v>0</v>
      </c>
      <c r="K45" s="2986">
        <f t="shared" ca="1" si="25"/>
        <v>0</v>
      </c>
      <c r="L45" s="1524">
        <f t="shared" ca="1" si="26"/>
        <v>0</v>
      </c>
      <c r="M45" s="1524">
        <f t="shared" ca="1" si="27"/>
        <v>0</v>
      </c>
      <c r="N45" s="1545">
        <f t="shared" ca="1" si="28"/>
        <v>0</v>
      </c>
      <c r="O45" s="2519"/>
      <c r="P45" s="2021">
        <f t="shared" si="22"/>
        <v>0</v>
      </c>
      <c r="Q45" s="1938">
        <f t="shared" si="23"/>
        <v>0</v>
      </c>
      <c r="R45" s="1938">
        <f t="shared" si="24"/>
        <v>0</v>
      </c>
      <c r="S45" s="1569" t="str">
        <f>+IF(R45=0,"S.D.",IF(AND((Q45/R45)&gt;150,(Q45/R45)&lt;=300),"O.K.","VERIFICAR"))</f>
        <v>S.D.</v>
      </c>
      <c r="T45" s="1659"/>
      <c r="V45" s="2288">
        <f t="shared" ref="V45:V48" si="36">+SUM(F45:H45)</f>
        <v>0</v>
      </c>
      <c r="W45" s="2180">
        <f t="shared" ref="W45:W48" si="37">+E45</f>
        <v>0</v>
      </c>
      <c r="X45" s="2528">
        <f t="shared" ref="X45:X48" si="38">+V45</f>
        <v>0</v>
      </c>
      <c r="Y45" s="2527">
        <v>350</v>
      </c>
      <c r="Z45" s="2530">
        <f>IF((X45*W45)&gt;(Y45*W45),(Y45*W45),X45)</f>
        <v>0</v>
      </c>
      <c r="AA45" s="2527"/>
      <c r="AB45" s="2530"/>
      <c r="AC45" s="2525">
        <f t="shared" si="35"/>
        <v>0</v>
      </c>
      <c r="AD45" s="2525"/>
      <c r="AE45" s="1528"/>
      <c r="AF45" s="1528"/>
      <c r="AG45" s="1528"/>
      <c r="AH45" s="1528"/>
      <c r="AI45" s="2523"/>
      <c r="AJ45" s="2523"/>
      <c r="AK45" s="2523"/>
      <c r="AL45" s="2523"/>
      <c r="AM45" s="2523"/>
      <c r="AN45" s="2523"/>
      <c r="AO45" s="2523"/>
      <c r="AP45" s="2523"/>
      <c r="AQ45" s="1573"/>
      <c r="BG45" s="1573"/>
      <c r="BH45" s="1573"/>
      <c r="BI45" s="2699"/>
      <c r="BJ45" s="2700"/>
      <c r="BK45" s="2701"/>
      <c r="BL45" s="2700"/>
      <c r="BM45" s="2701"/>
      <c r="BN45" s="2702"/>
    </row>
    <row r="46" spans="1:78" ht="66" customHeight="1" thickBot="1" x14ac:dyDescent="0.5">
      <c r="A46" s="4248"/>
      <c r="B46" s="3494">
        <v>5504</v>
      </c>
      <c r="C46" s="3539" t="s">
        <v>1309</v>
      </c>
      <c r="D46" s="3605" t="s">
        <v>1267</v>
      </c>
      <c r="E46" s="2986">
        <f t="shared" si="25"/>
        <v>0</v>
      </c>
      <c r="F46" s="2986">
        <f t="shared" si="25"/>
        <v>0</v>
      </c>
      <c r="G46" s="2986">
        <f t="shared" si="25"/>
        <v>0</v>
      </c>
      <c r="H46" s="2986">
        <f t="shared" si="25"/>
        <v>0</v>
      </c>
      <c r="I46" s="2986">
        <f t="shared" ca="1" si="25"/>
        <v>0</v>
      </c>
      <c r="J46" s="2986">
        <f t="shared" ca="1" si="25"/>
        <v>0</v>
      </c>
      <c r="K46" s="2986">
        <f t="shared" ca="1" si="25"/>
        <v>0</v>
      </c>
      <c r="L46" s="1524">
        <f t="shared" ca="1" si="26"/>
        <v>0</v>
      </c>
      <c r="M46" s="1524">
        <f t="shared" ca="1" si="27"/>
        <v>0</v>
      </c>
      <c r="N46" s="1545">
        <f t="shared" ca="1" si="28"/>
        <v>0</v>
      </c>
      <c r="O46" s="2519"/>
      <c r="P46" s="2021">
        <f t="shared" ref="P46" si="39">+IF(E46=0,0,Q46/R46)</f>
        <v>0</v>
      </c>
      <c r="Q46" s="1938">
        <f t="shared" ref="Q46" si="40">+SUM(F46:H46)</f>
        <v>0</v>
      </c>
      <c r="R46" s="1938">
        <f t="shared" ref="R46" si="41">+E46</f>
        <v>0</v>
      </c>
      <c r="S46" s="1569" t="str">
        <f>+IF(R46=0,"S.D.",IF(AND((Q46/R46)&gt;300,(Q46/R46)&lt;=500),"O.K.","VERIFICAR"))</f>
        <v>S.D.</v>
      </c>
      <c r="T46" s="1659"/>
      <c r="V46" s="2288"/>
      <c r="W46" s="2180"/>
      <c r="X46" s="2528"/>
      <c r="Y46" s="2527"/>
      <c r="Z46" s="2530"/>
      <c r="AA46" s="2527"/>
      <c r="AB46" s="2530"/>
      <c r="AC46" s="2525"/>
      <c r="AD46" s="2525"/>
      <c r="AE46" s="1528"/>
      <c r="AF46" s="1528"/>
      <c r="AG46" s="1528"/>
      <c r="AH46" s="1528"/>
      <c r="AI46" s="2523"/>
      <c r="AJ46" s="2523"/>
      <c r="AK46" s="2523"/>
      <c r="AL46" s="2523"/>
      <c r="AM46" s="2523"/>
      <c r="AN46" s="2523"/>
      <c r="AO46" s="2523"/>
      <c r="AP46" s="2523"/>
      <c r="AQ46" s="1573"/>
      <c r="BG46" s="1573"/>
      <c r="BH46" s="1573"/>
      <c r="BI46" s="2699"/>
      <c r="BJ46" s="2700"/>
      <c r="BK46" s="2701"/>
      <c r="BL46" s="2700"/>
      <c r="BM46" s="2701"/>
      <c r="BN46" s="2702"/>
    </row>
    <row r="47" spans="1:78" ht="66" hidden="1" customHeight="1" thickBot="1" x14ac:dyDescent="0.5">
      <c r="A47" s="4248"/>
      <c r="B47" s="3494">
        <v>5505</v>
      </c>
      <c r="C47" s="3539" t="s">
        <v>1309</v>
      </c>
      <c r="D47" s="3605" t="s">
        <v>1362</v>
      </c>
      <c r="E47" s="2986">
        <f t="shared" si="25"/>
        <v>0</v>
      </c>
      <c r="F47" s="2986">
        <f t="shared" si="25"/>
        <v>0</v>
      </c>
      <c r="G47" s="2986">
        <f t="shared" si="25"/>
        <v>0</v>
      </c>
      <c r="H47" s="2986">
        <f t="shared" si="25"/>
        <v>0</v>
      </c>
      <c r="I47" s="2986">
        <f t="shared" ca="1" si="25"/>
        <v>0</v>
      </c>
      <c r="J47" s="2986">
        <f t="shared" ca="1" si="25"/>
        <v>0</v>
      </c>
      <c r="K47" s="2986">
        <f t="shared" ca="1" si="25"/>
        <v>0</v>
      </c>
      <c r="L47" s="1524">
        <f t="shared" ca="1" si="26"/>
        <v>0</v>
      </c>
      <c r="M47" s="1524">
        <f t="shared" ca="1" si="27"/>
        <v>0</v>
      </c>
      <c r="N47" s="1545">
        <f t="shared" ca="1" si="28"/>
        <v>0</v>
      </c>
      <c r="O47" s="2519"/>
      <c r="P47" s="2021">
        <f t="shared" si="22"/>
        <v>0</v>
      </c>
      <c r="Q47" s="1938">
        <f t="shared" si="23"/>
        <v>0</v>
      </c>
      <c r="R47" s="1938">
        <f t="shared" si="24"/>
        <v>0</v>
      </c>
      <c r="S47" s="1569" t="str">
        <f>+IF(R47=0,"S.D.",IF(AND((Q47/R47)&gt;350,(Q47/R47)&lt;=500),"O.K.","VERIFICAR"))</f>
        <v>S.D.</v>
      </c>
      <c r="T47" s="1659"/>
      <c r="V47" s="2288">
        <f t="shared" si="36"/>
        <v>0</v>
      </c>
      <c r="W47" s="2180">
        <f t="shared" si="37"/>
        <v>0</v>
      </c>
      <c r="X47" s="2528">
        <f t="shared" si="38"/>
        <v>0</v>
      </c>
      <c r="Y47" s="2527">
        <v>350</v>
      </c>
      <c r="Z47" s="2529">
        <f>+X47</f>
        <v>0</v>
      </c>
      <c r="AA47" s="2527"/>
      <c r="AB47" s="2530"/>
      <c r="AC47" s="2525">
        <f t="shared" si="35"/>
        <v>0</v>
      </c>
      <c r="AD47" s="2525"/>
      <c r="AE47" s="1528"/>
      <c r="AF47" s="1528"/>
      <c r="AG47" s="1528"/>
      <c r="AH47" s="1528"/>
      <c r="AI47" s="2523"/>
      <c r="AJ47" s="2523"/>
      <c r="AK47" s="2523"/>
      <c r="AL47" s="2523"/>
      <c r="AM47" s="2523"/>
      <c r="AN47" s="2523"/>
      <c r="AO47" s="2523"/>
      <c r="AP47" s="2523"/>
      <c r="AQ47" s="1573"/>
      <c r="BG47" s="1573"/>
      <c r="BH47" s="1573"/>
      <c r="BI47" s="2699"/>
      <c r="BJ47" s="2700"/>
      <c r="BK47" s="2701"/>
      <c r="BL47" s="2700"/>
      <c r="BM47" s="2701"/>
      <c r="BN47" s="2702"/>
    </row>
    <row r="48" spans="1:78" ht="66" customHeight="1" thickBot="1" x14ac:dyDescent="0.55000000000000004">
      <c r="A48" s="4248"/>
      <c r="B48" s="3495">
        <v>5553</v>
      </c>
      <c r="C48" s="3539" t="s">
        <v>1309</v>
      </c>
      <c r="D48" s="3606" t="s">
        <v>1269</v>
      </c>
      <c r="E48" s="2986">
        <f t="shared" si="25"/>
        <v>0</v>
      </c>
      <c r="F48" s="2986">
        <f t="shared" si="25"/>
        <v>0</v>
      </c>
      <c r="G48" s="2986">
        <f t="shared" si="25"/>
        <v>0</v>
      </c>
      <c r="H48" s="2986">
        <f t="shared" si="25"/>
        <v>0</v>
      </c>
      <c r="I48" s="2986">
        <f t="shared" ca="1" si="25"/>
        <v>0</v>
      </c>
      <c r="J48" s="2986">
        <f t="shared" ca="1" si="25"/>
        <v>0</v>
      </c>
      <c r="K48" s="2986">
        <f t="shared" ca="1" si="25"/>
        <v>0</v>
      </c>
      <c r="L48" s="1524">
        <f t="shared" ca="1" si="26"/>
        <v>0</v>
      </c>
      <c r="M48" s="1524">
        <f t="shared" ca="1" si="27"/>
        <v>0</v>
      </c>
      <c r="N48" s="1545">
        <f t="shared" ca="1" si="28"/>
        <v>0</v>
      </c>
      <c r="O48" s="2519"/>
      <c r="P48" s="2021">
        <f t="shared" si="22"/>
        <v>0</v>
      </c>
      <c r="Q48" s="1938">
        <f t="shared" si="23"/>
        <v>0</v>
      </c>
      <c r="R48" s="1938">
        <f t="shared" si="24"/>
        <v>0</v>
      </c>
      <c r="S48" s="1569" t="str">
        <f>+IF(R48=0,"S.D.",IF(AND((Q48/R48)&gt;150,(Q48/R48)&lt;=300),"O.K.","VERIFICAR"))</f>
        <v>S.D.</v>
      </c>
      <c r="T48" s="1659"/>
      <c r="V48" s="2288">
        <f t="shared" si="36"/>
        <v>0</v>
      </c>
      <c r="W48" s="2180">
        <f t="shared" si="37"/>
        <v>0</v>
      </c>
      <c r="X48" s="2528">
        <f t="shared" si="38"/>
        <v>0</v>
      </c>
      <c r="Y48" s="2527">
        <v>350</v>
      </c>
      <c r="Z48" s="2530">
        <f>IF((X48*W48)&gt;(Y48*W48),(Y48*W48),X48)</f>
        <v>0</v>
      </c>
      <c r="AA48" s="2527"/>
      <c r="AB48" s="2530"/>
      <c r="AC48" s="2525">
        <f t="shared" si="35"/>
        <v>0</v>
      </c>
      <c r="AD48" s="2525"/>
      <c r="AE48" s="1528"/>
      <c r="AF48" s="1528"/>
      <c r="AG48" s="1528"/>
      <c r="AH48" s="1528"/>
      <c r="AI48" s="2523"/>
      <c r="AJ48" s="2523"/>
      <c r="AK48" s="2523"/>
      <c r="AL48" s="2523"/>
      <c r="AM48" s="2523"/>
      <c r="AN48" s="2523"/>
      <c r="AO48" s="2523"/>
      <c r="AP48" s="2523"/>
      <c r="AQ48" s="2524"/>
      <c r="AR48" s="2524"/>
      <c r="AS48" s="2524"/>
      <c r="BG48" s="1573"/>
      <c r="BH48" s="1573"/>
      <c r="BI48" s="2699"/>
      <c r="BJ48" s="2700"/>
      <c r="BK48" s="2701"/>
      <c r="BL48" s="2700"/>
      <c r="BM48" s="2701"/>
      <c r="BN48" s="2702"/>
    </row>
    <row r="49" spans="1:66" ht="66" customHeight="1" x14ac:dyDescent="0.5">
      <c r="A49" s="4248"/>
      <c r="B49" s="3495">
        <v>5554</v>
      </c>
      <c r="C49" s="3539" t="s">
        <v>1309</v>
      </c>
      <c r="D49" s="3606" t="s">
        <v>1270</v>
      </c>
      <c r="E49" s="2986">
        <f t="shared" si="25"/>
        <v>0</v>
      </c>
      <c r="F49" s="2986">
        <f t="shared" si="25"/>
        <v>0</v>
      </c>
      <c r="G49" s="2986">
        <f t="shared" si="25"/>
        <v>0</v>
      </c>
      <c r="H49" s="2986">
        <f t="shared" si="25"/>
        <v>0</v>
      </c>
      <c r="I49" s="2986">
        <f t="shared" ca="1" si="25"/>
        <v>0</v>
      </c>
      <c r="J49" s="2986">
        <f t="shared" ca="1" si="25"/>
        <v>0</v>
      </c>
      <c r="K49" s="2986">
        <f t="shared" ca="1" si="25"/>
        <v>0</v>
      </c>
      <c r="L49" s="1524">
        <f t="shared" ca="1" si="26"/>
        <v>0</v>
      </c>
      <c r="M49" s="1524">
        <f t="shared" ca="1" si="27"/>
        <v>0</v>
      </c>
      <c r="N49" s="1545">
        <f t="shared" ca="1" si="28"/>
        <v>0</v>
      </c>
      <c r="O49" s="2519"/>
      <c r="P49" s="2021">
        <f t="shared" ref="P49" si="42">+IF(E49=0,0,Q49/R49)</f>
        <v>0</v>
      </c>
      <c r="Q49" s="1938">
        <f t="shared" ref="Q49" si="43">+SUM(F49:H49)</f>
        <v>0</v>
      </c>
      <c r="R49" s="1938">
        <f t="shared" ref="R49" si="44">+E49</f>
        <v>0</v>
      </c>
      <c r="S49" s="1569" t="str">
        <f>+IF(R49=0,"S.D.",IF(AND((Q49/R49)&gt;300,(Q49/R49)&lt;=500),"O.K.","VERIFICAR"))</f>
        <v>S.D.</v>
      </c>
      <c r="T49" s="1659"/>
      <c r="V49" s="3384"/>
      <c r="W49" s="1653"/>
      <c r="X49" s="3385"/>
      <c r="Y49" s="2700"/>
      <c r="Z49" s="3386"/>
      <c r="AA49" s="2700"/>
      <c r="AB49" s="3386"/>
      <c r="AC49" s="3387"/>
      <c r="AD49" s="3387"/>
      <c r="AE49" s="2523"/>
      <c r="AF49" s="2523"/>
      <c r="AG49" s="2523"/>
      <c r="AH49" s="2523"/>
      <c r="AI49" s="2523"/>
      <c r="AJ49" s="2523"/>
      <c r="AK49" s="2523"/>
      <c r="AL49" s="2523"/>
      <c r="AM49" s="2523"/>
      <c r="AN49" s="2523"/>
      <c r="AO49" s="2523"/>
      <c r="AP49" s="2523"/>
      <c r="AQ49" s="2524"/>
      <c r="AR49" s="2524"/>
      <c r="AS49" s="2524"/>
      <c r="BG49" s="1573"/>
      <c r="BH49" s="1573"/>
      <c r="BI49" s="2699"/>
      <c r="BJ49" s="2700"/>
      <c r="BK49" s="2701"/>
      <c r="BL49" s="2700"/>
      <c r="BM49" s="2701"/>
      <c r="BN49" s="2702"/>
    </row>
    <row r="50" spans="1:66" ht="66" hidden="1" customHeight="1" x14ac:dyDescent="0.5">
      <c r="A50" s="4248"/>
      <c r="B50" s="3495">
        <v>5555</v>
      </c>
      <c r="C50" s="3539" t="s">
        <v>1309</v>
      </c>
      <c r="D50" s="3606" t="s">
        <v>1363</v>
      </c>
      <c r="E50" s="2986">
        <f t="shared" si="25"/>
        <v>0</v>
      </c>
      <c r="F50" s="2986">
        <f t="shared" si="25"/>
        <v>0</v>
      </c>
      <c r="G50" s="2986">
        <f t="shared" si="25"/>
        <v>0</v>
      </c>
      <c r="H50" s="2986">
        <f t="shared" si="25"/>
        <v>0</v>
      </c>
      <c r="I50" s="2986">
        <f t="shared" ca="1" si="25"/>
        <v>0</v>
      </c>
      <c r="J50" s="2986">
        <f t="shared" ca="1" si="25"/>
        <v>0</v>
      </c>
      <c r="K50" s="2986">
        <f t="shared" ca="1" si="25"/>
        <v>0</v>
      </c>
      <c r="L50" s="1524">
        <f t="shared" ca="1" si="26"/>
        <v>0</v>
      </c>
      <c r="M50" s="1524">
        <f t="shared" ca="1" si="27"/>
        <v>0</v>
      </c>
      <c r="N50" s="1545">
        <f t="shared" ca="1" si="28"/>
        <v>0</v>
      </c>
      <c r="O50" s="2519"/>
      <c r="P50" s="2021">
        <f t="shared" ref="P50:P56" si="45">+IF(E50=0,0,Q50/R50)</f>
        <v>0</v>
      </c>
      <c r="Q50" s="1938">
        <f t="shared" ref="Q50:Q56" si="46">+SUM(F50:H50)</f>
        <v>0</v>
      </c>
      <c r="R50" s="1938">
        <f t="shared" ref="R50:R56" si="47">+E50</f>
        <v>0</v>
      </c>
      <c r="S50" s="1569" t="str">
        <f>+IF(R50=0,"S.D.",IF(AND((Q50/R50)&gt;350,(Q50/R50)&lt;=500),"O.K.","VERIFICAR"))</f>
        <v>S.D.</v>
      </c>
      <c r="T50" s="1659"/>
      <c r="V50" s="3384"/>
      <c r="W50" s="1653"/>
      <c r="X50" s="3385"/>
      <c r="Y50" s="2700"/>
      <c r="Z50" s="3386"/>
      <c r="AA50" s="2700"/>
      <c r="AB50" s="3386"/>
      <c r="AC50" s="3387"/>
      <c r="AD50" s="3387"/>
      <c r="AE50" s="2523"/>
      <c r="AF50" s="2523"/>
      <c r="AG50" s="2523"/>
      <c r="AH50" s="2523"/>
      <c r="AI50" s="2523"/>
      <c r="AJ50" s="2523"/>
      <c r="AK50" s="2523"/>
      <c r="AL50" s="2523"/>
      <c r="AM50" s="2523"/>
      <c r="AN50" s="2523"/>
      <c r="AO50" s="2523"/>
      <c r="AP50" s="2523"/>
      <c r="AQ50" s="2524"/>
      <c r="AR50" s="2524"/>
      <c r="AS50" s="2524"/>
      <c r="BG50" s="1573"/>
      <c r="BH50" s="1573"/>
      <c r="BI50" s="2699"/>
      <c r="BJ50" s="2700"/>
      <c r="BK50" s="2701"/>
      <c r="BL50" s="2700"/>
      <c r="BM50" s="2701"/>
      <c r="BN50" s="2702"/>
    </row>
    <row r="51" spans="1:66" ht="66" customHeight="1" x14ac:dyDescent="0.5">
      <c r="A51" s="4248"/>
      <c r="B51" s="3548">
        <v>5050</v>
      </c>
      <c r="C51" s="4552" t="s">
        <v>379</v>
      </c>
      <c r="D51" s="5813"/>
      <c r="E51" s="2986">
        <f t="shared" si="25"/>
        <v>0</v>
      </c>
      <c r="F51" s="2986">
        <f t="shared" si="25"/>
        <v>0</v>
      </c>
      <c r="G51" s="2986">
        <f t="shared" si="25"/>
        <v>0</v>
      </c>
      <c r="H51" s="2986">
        <f t="shared" si="25"/>
        <v>0</v>
      </c>
      <c r="I51" s="2986">
        <f t="shared" ca="1" si="25"/>
        <v>0</v>
      </c>
      <c r="J51" s="2986">
        <f t="shared" ca="1" si="25"/>
        <v>0</v>
      </c>
      <c r="K51" s="2986">
        <f t="shared" ca="1" si="25"/>
        <v>0</v>
      </c>
      <c r="L51" s="1524">
        <f t="shared" ca="1" si="26"/>
        <v>0</v>
      </c>
      <c r="M51" s="1524">
        <f t="shared" ca="1" si="27"/>
        <v>0</v>
      </c>
      <c r="N51" s="1545">
        <f t="shared" ca="1" si="28"/>
        <v>0</v>
      </c>
      <c r="O51" s="2519"/>
      <c r="P51" s="2021">
        <f t="shared" si="45"/>
        <v>0</v>
      </c>
      <c r="Q51" s="1938">
        <f t="shared" si="46"/>
        <v>0</v>
      </c>
      <c r="R51" s="1938">
        <f t="shared" si="47"/>
        <v>0</v>
      </c>
      <c r="S51" s="1569" t="str">
        <f>+IF(R51=0,"S.D.",IF(AND((Q51/R51)&gt;150,(Q51/R51)&lt;=250),"O.K.","VERIFICAR"))</f>
        <v>S.D.</v>
      </c>
      <c r="T51" s="1659"/>
      <c r="V51" s="3384"/>
      <c r="W51" s="1653"/>
      <c r="X51" s="3385"/>
      <c r="Y51" s="2700"/>
      <c r="Z51" s="3386"/>
      <c r="AA51" s="2700"/>
      <c r="AB51" s="3386"/>
      <c r="AC51" s="3387"/>
      <c r="AD51" s="3387"/>
      <c r="AE51" s="2523"/>
      <c r="AF51" s="2523"/>
      <c r="AG51" s="2523"/>
      <c r="AH51" s="2523"/>
      <c r="AI51" s="2523"/>
      <c r="AJ51" s="2523"/>
      <c r="AK51" s="2523"/>
      <c r="AL51" s="2523"/>
      <c r="AM51" s="2523"/>
      <c r="AN51" s="2523"/>
      <c r="AO51" s="2523"/>
      <c r="AP51" s="2523"/>
      <c r="AQ51" s="2524"/>
      <c r="AR51" s="2524"/>
      <c r="AS51" s="2524"/>
      <c r="BG51" s="1573"/>
      <c r="BH51" s="1573"/>
      <c r="BI51" s="2699"/>
      <c r="BJ51" s="2700"/>
      <c r="BK51" s="2701"/>
      <c r="BL51" s="2700"/>
      <c r="BM51" s="2701"/>
      <c r="BN51" s="2702"/>
    </row>
    <row r="52" spans="1:66" ht="66" hidden="1" customHeight="1" x14ac:dyDescent="0.5">
      <c r="A52" s="4248"/>
      <c r="B52" s="3548">
        <v>5051</v>
      </c>
      <c r="C52" s="4552" t="s">
        <v>1246</v>
      </c>
      <c r="D52" s="5813"/>
      <c r="E52" s="2986">
        <f t="shared" si="25"/>
        <v>0</v>
      </c>
      <c r="F52" s="2986">
        <f t="shared" si="25"/>
        <v>0</v>
      </c>
      <c r="G52" s="2986">
        <f t="shared" si="25"/>
        <v>0</v>
      </c>
      <c r="H52" s="2986">
        <f t="shared" si="25"/>
        <v>0</v>
      </c>
      <c r="I52" s="2986">
        <f t="shared" ca="1" si="25"/>
        <v>0</v>
      </c>
      <c r="J52" s="2986">
        <f t="shared" ca="1" si="25"/>
        <v>0</v>
      </c>
      <c r="K52" s="2986">
        <f t="shared" ca="1" si="25"/>
        <v>0</v>
      </c>
      <c r="L52" s="1524">
        <f t="shared" ca="1" si="26"/>
        <v>0</v>
      </c>
      <c r="M52" s="1524">
        <f t="shared" ca="1" si="27"/>
        <v>0</v>
      </c>
      <c r="N52" s="1545">
        <f t="shared" ca="1" si="28"/>
        <v>0</v>
      </c>
      <c r="O52" s="2519"/>
      <c r="P52" s="2021">
        <f t="shared" si="45"/>
        <v>0</v>
      </c>
      <c r="Q52" s="1938">
        <f t="shared" si="46"/>
        <v>0</v>
      </c>
      <c r="R52" s="1938">
        <f t="shared" si="47"/>
        <v>0</v>
      </c>
      <c r="S52" s="1569" t="str">
        <f>+IF(R52=0,"S.D.",IF(AND((Q52/R52)&gt;150,(Q52/R52)&lt;=500),"O.K.","VERIFICAR"))</f>
        <v>S.D.</v>
      </c>
      <c r="T52" s="1659"/>
      <c r="V52" s="3384"/>
      <c r="W52" s="1653"/>
      <c r="X52" s="3385"/>
      <c r="Y52" s="2700"/>
      <c r="Z52" s="3386"/>
      <c r="AA52" s="2700"/>
      <c r="AB52" s="3386"/>
      <c r="AC52" s="3387"/>
      <c r="AD52" s="3387"/>
      <c r="AE52" s="2523"/>
      <c r="AF52" s="2523"/>
      <c r="AG52" s="2523"/>
      <c r="AH52" s="2523"/>
      <c r="AI52" s="2523"/>
      <c r="AJ52" s="2523"/>
      <c r="AK52" s="2523"/>
      <c r="AL52" s="2523"/>
      <c r="AM52" s="2523"/>
      <c r="AN52" s="2523"/>
      <c r="AO52" s="2523"/>
      <c r="AP52" s="2523"/>
      <c r="AQ52" s="2524"/>
      <c r="AR52" s="2524"/>
      <c r="AS52" s="2524"/>
      <c r="BG52" s="1573"/>
      <c r="BH52" s="1573"/>
      <c r="BI52" s="2699"/>
      <c r="BJ52" s="2700"/>
      <c r="BK52" s="2701"/>
      <c r="BL52" s="2700"/>
      <c r="BM52" s="2701"/>
      <c r="BN52" s="2702"/>
    </row>
    <row r="53" spans="1:66" ht="66" customHeight="1" thickBot="1" x14ac:dyDescent="0.55000000000000004">
      <c r="A53" s="4248"/>
      <c r="B53" s="3548">
        <v>5055</v>
      </c>
      <c r="C53" s="4552" t="s">
        <v>387</v>
      </c>
      <c r="D53" s="5813"/>
      <c r="E53" s="2986">
        <f t="shared" si="25"/>
        <v>0</v>
      </c>
      <c r="F53" s="2986">
        <f t="shared" si="25"/>
        <v>0</v>
      </c>
      <c r="G53" s="2986">
        <f t="shared" si="25"/>
        <v>0</v>
      </c>
      <c r="H53" s="2986">
        <f t="shared" si="25"/>
        <v>0</v>
      </c>
      <c r="I53" s="2986">
        <f t="shared" ca="1" si="25"/>
        <v>0</v>
      </c>
      <c r="J53" s="2986">
        <f t="shared" ca="1" si="25"/>
        <v>0</v>
      </c>
      <c r="K53" s="2986">
        <f t="shared" ca="1" si="25"/>
        <v>0</v>
      </c>
      <c r="L53" s="1524">
        <f t="shared" ca="1" si="26"/>
        <v>0</v>
      </c>
      <c r="M53" s="1524">
        <f t="shared" ca="1" si="27"/>
        <v>0</v>
      </c>
      <c r="N53" s="1545">
        <f t="shared" ca="1" si="28"/>
        <v>0</v>
      </c>
      <c r="O53" s="2519"/>
      <c r="P53" s="2021">
        <f t="shared" si="45"/>
        <v>0</v>
      </c>
      <c r="Q53" s="1938">
        <f t="shared" si="46"/>
        <v>0</v>
      </c>
      <c r="R53" s="1938">
        <f t="shared" si="47"/>
        <v>0</v>
      </c>
      <c r="S53" s="1569" t="str">
        <f>+IF(R53=0,"S.D.",IF(AND((Q53/R53)&gt;0,(Q53/R53)&lt;=500),"O.K.","VERIFICAR"))</f>
        <v>S.D.</v>
      </c>
      <c r="T53" s="1659"/>
      <c r="V53" s="3384"/>
      <c r="W53" s="1653"/>
      <c r="X53" s="3385"/>
      <c r="Y53" s="2700"/>
      <c r="Z53" s="3386"/>
      <c r="AA53" s="2700"/>
      <c r="AB53" s="3386"/>
      <c r="AC53" s="3387"/>
      <c r="AD53" s="3387"/>
      <c r="AE53" s="2523"/>
      <c r="AF53" s="2523"/>
      <c r="AG53" s="2523"/>
      <c r="AH53" s="2523"/>
      <c r="AI53" s="2523"/>
      <c r="AJ53" s="2523"/>
      <c r="AK53" s="2523"/>
      <c r="AL53" s="2523"/>
      <c r="AM53" s="2523"/>
      <c r="AN53" s="2523"/>
      <c r="AO53" s="2523"/>
      <c r="AP53" s="2523"/>
      <c r="AQ53" s="2524"/>
      <c r="AR53" s="2524"/>
      <c r="AS53" s="2524"/>
      <c r="BG53" s="1573"/>
      <c r="BH53" s="1573"/>
      <c r="BI53" s="2699"/>
      <c r="BJ53" s="2700"/>
      <c r="BK53" s="2701"/>
      <c r="BL53" s="2700"/>
      <c r="BM53" s="2701"/>
      <c r="BN53" s="2702"/>
    </row>
    <row r="54" spans="1:66" ht="66" customHeight="1" thickBot="1" x14ac:dyDescent="0.55000000000000004">
      <c r="A54" s="4248"/>
      <c r="B54" s="3494">
        <v>5592</v>
      </c>
      <c r="C54" s="3539" t="s">
        <v>1310</v>
      </c>
      <c r="D54" s="3605" t="s">
        <v>1272</v>
      </c>
      <c r="E54" s="2986">
        <f t="shared" si="25"/>
        <v>0</v>
      </c>
      <c r="F54" s="2986">
        <f t="shared" si="25"/>
        <v>0</v>
      </c>
      <c r="G54" s="2986">
        <f t="shared" si="25"/>
        <v>0</v>
      </c>
      <c r="H54" s="2986">
        <f t="shared" si="25"/>
        <v>0</v>
      </c>
      <c r="I54" s="2986">
        <f t="shared" ca="1" si="25"/>
        <v>0</v>
      </c>
      <c r="J54" s="2986">
        <f t="shared" ca="1" si="25"/>
        <v>0</v>
      </c>
      <c r="K54" s="2986">
        <f t="shared" ca="1" si="25"/>
        <v>0</v>
      </c>
      <c r="L54" s="1524">
        <f t="shared" ca="1" si="26"/>
        <v>0</v>
      </c>
      <c r="M54" s="1524">
        <f t="shared" ca="1" si="27"/>
        <v>0</v>
      </c>
      <c r="N54" s="1545">
        <f t="shared" ca="1" si="28"/>
        <v>0</v>
      </c>
      <c r="O54" s="2519"/>
      <c r="P54" s="2021">
        <f t="shared" si="45"/>
        <v>0</v>
      </c>
      <c r="Q54" s="1938">
        <f t="shared" si="46"/>
        <v>0</v>
      </c>
      <c r="R54" s="1938">
        <f t="shared" si="47"/>
        <v>0</v>
      </c>
      <c r="S54" s="1569" t="str">
        <f>+IF(R54=0,"S.D.",IF(AND((Q54/R54)&gt;150,(Q54/R54)&lt;=300),"O.K.","VERIFICAR"))</f>
        <v>S.D.</v>
      </c>
      <c r="T54" s="1659"/>
      <c r="V54" s="3384"/>
      <c r="W54" s="1653"/>
      <c r="X54" s="3385"/>
      <c r="Y54" s="2700"/>
      <c r="Z54" s="3386"/>
      <c r="AA54" s="2700"/>
      <c r="AB54" s="3386"/>
      <c r="AC54" s="3387"/>
      <c r="AD54" s="3387"/>
      <c r="AE54" s="2523"/>
      <c r="AF54" s="2523"/>
      <c r="AG54" s="2523"/>
      <c r="AH54" s="2523"/>
      <c r="AI54" s="2523"/>
      <c r="AJ54" s="2523"/>
      <c r="AK54" s="2523"/>
      <c r="AL54" s="2523"/>
      <c r="AM54" s="2523"/>
      <c r="AN54" s="2523"/>
      <c r="AO54" s="2523"/>
      <c r="AP54" s="2523"/>
      <c r="AQ54" s="2524"/>
      <c r="AR54" s="2524"/>
      <c r="AS54" s="2524"/>
      <c r="BG54" s="1573"/>
      <c r="BH54" s="1573"/>
      <c r="BI54" s="2699"/>
      <c r="BJ54" s="2700"/>
      <c r="BK54" s="2701"/>
      <c r="BL54" s="2700"/>
      <c r="BM54" s="2701"/>
      <c r="BN54" s="2702"/>
    </row>
    <row r="55" spans="1:66" ht="66" customHeight="1" thickBot="1" x14ac:dyDescent="0.55000000000000004">
      <c r="A55" s="4248"/>
      <c r="B55" s="3494">
        <v>5593</v>
      </c>
      <c r="C55" s="3539" t="s">
        <v>1310</v>
      </c>
      <c r="D55" s="3605" t="s">
        <v>1273</v>
      </c>
      <c r="E55" s="2986">
        <f t="shared" si="25"/>
        <v>0</v>
      </c>
      <c r="F55" s="2986">
        <f t="shared" si="25"/>
        <v>0</v>
      </c>
      <c r="G55" s="2986">
        <f t="shared" si="25"/>
        <v>0</v>
      </c>
      <c r="H55" s="2986">
        <f t="shared" si="25"/>
        <v>0</v>
      </c>
      <c r="I55" s="2986">
        <f t="shared" ca="1" si="25"/>
        <v>0</v>
      </c>
      <c r="J55" s="2986">
        <f t="shared" ca="1" si="25"/>
        <v>0</v>
      </c>
      <c r="K55" s="2986">
        <f t="shared" ca="1" si="25"/>
        <v>0</v>
      </c>
      <c r="L55" s="1524">
        <f t="shared" ca="1" si="26"/>
        <v>0</v>
      </c>
      <c r="M55" s="1524">
        <f t="shared" ca="1" si="27"/>
        <v>0</v>
      </c>
      <c r="N55" s="1545">
        <f t="shared" ca="1" si="28"/>
        <v>0</v>
      </c>
      <c r="O55" s="2519"/>
      <c r="P55" s="2021">
        <f t="shared" si="45"/>
        <v>0</v>
      </c>
      <c r="Q55" s="1938">
        <f t="shared" si="46"/>
        <v>0</v>
      </c>
      <c r="R55" s="1938">
        <f t="shared" si="47"/>
        <v>0</v>
      </c>
      <c r="S55" s="1569" t="str">
        <f>+IF(R55=0,"S.D.",IF(AND((Q55/R55)&gt;300,(Q55/R55)&lt;=500),"O.K.","VERIFICAR"))</f>
        <v>S.D.</v>
      </c>
      <c r="T55" s="1659"/>
      <c r="V55" s="3384"/>
      <c r="W55" s="1653"/>
      <c r="X55" s="3385"/>
      <c r="Y55" s="2700"/>
      <c r="Z55" s="3386"/>
      <c r="AA55" s="2700"/>
      <c r="AB55" s="3386"/>
      <c r="AC55" s="3387"/>
      <c r="AD55" s="3387"/>
      <c r="AE55" s="2523"/>
      <c r="AF55" s="2523"/>
      <c r="AG55" s="2523"/>
      <c r="AH55" s="2523"/>
      <c r="AI55" s="2523"/>
      <c r="AJ55" s="2523"/>
      <c r="AK55" s="2523"/>
      <c r="AL55" s="2523"/>
      <c r="AM55" s="2523"/>
      <c r="AN55" s="2523"/>
      <c r="AO55" s="2523"/>
      <c r="AP55" s="2523"/>
      <c r="AQ55" s="2524"/>
      <c r="AR55" s="2524"/>
      <c r="AS55" s="2524"/>
      <c r="BG55" s="1573"/>
      <c r="BH55" s="1573"/>
      <c r="BI55" s="2699"/>
      <c r="BJ55" s="2700"/>
      <c r="BK55" s="2701"/>
      <c r="BL55" s="2700"/>
      <c r="BM55" s="2701"/>
      <c r="BN55" s="2702"/>
    </row>
    <row r="56" spans="1:66" ht="66" hidden="1" customHeight="1" thickBot="1" x14ac:dyDescent="0.55000000000000004">
      <c r="A56" s="4248"/>
      <c r="B56" s="3494">
        <v>5512</v>
      </c>
      <c r="C56" s="3539" t="s">
        <v>1310</v>
      </c>
      <c r="D56" s="3605" t="s">
        <v>1364</v>
      </c>
      <c r="E56" s="2986">
        <f t="shared" si="25"/>
        <v>0</v>
      </c>
      <c r="F56" s="2986">
        <f t="shared" si="25"/>
        <v>0</v>
      </c>
      <c r="G56" s="2986">
        <f t="shared" si="25"/>
        <v>0</v>
      </c>
      <c r="H56" s="2986">
        <f t="shared" si="25"/>
        <v>0</v>
      </c>
      <c r="I56" s="2986">
        <f t="shared" ca="1" si="25"/>
        <v>0</v>
      </c>
      <c r="J56" s="2986">
        <f t="shared" ca="1" si="25"/>
        <v>0</v>
      </c>
      <c r="K56" s="2986">
        <f t="shared" ca="1" si="25"/>
        <v>0</v>
      </c>
      <c r="L56" s="1524">
        <f t="shared" ca="1" si="26"/>
        <v>0</v>
      </c>
      <c r="M56" s="1524">
        <f t="shared" ca="1" si="27"/>
        <v>0</v>
      </c>
      <c r="N56" s="1545">
        <f t="shared" ca="1" si="28"/>
        <v>0</v>
      </c>
      <c r="O56" s="2519"/>
      <c r="P56" s="2021">
        <f t="shared" si="45"/>
        <v>0</v>
      </c>
      <c r="Q56" s="1938">
        <f t="shared" si="46"/>
        <v>0</v>
      </c>
      <c r="R56" s="1938">
        <f t="shared" si="47"/>
        <v>0</v>
      </c>
      <c r="S56" s="1569" t="str">
        <f>+IF(R56=0,"S.D.",IF(AND((Q56/R56)&gt;250,(Q56/R56)&lt;=500),"O.K.","VERIFICAR"))</f>
        <v>S.D.</v>
      </c>
      <c r="T56" s="1659"/>
      <c r="V56" s="3384"/>
      <c r="W56" s="1653"/>
      <c r="X56" s="3385"/>
      <c r="Y56" s="2700"/>
      <c r="Z56" s="3386"/>
      <c r="AA56" s="2700"/>
      <c r="AB56" s="3386"/>
      <c r="AC56" s="3387"/>
      <c r="AD56" s="3387"/>
      <c r="AE56" s="2523"/>
      <c r="AF56" s="2523"/>
      <c r="AG56" s="2523"/>
      <c r="AH56" s="2523"/>
      <c r="AI56" s="2523"/>
      <c r="AJ56" s="2523"/>
      <c r="AK56" s="2523"/>
      <c r="AL56" s="2523"/>
      <c r="AM56" s="2523"/>
      <c r="AN56" s="2523"/>
      <c r="AO56" s="2523"/>
      <c r="AP56" s="2523"/>
      <c r="AQ56" s="2524"/>
      <c r="AR56" s="2524"/>
      <c r="AS56" s="2524"/>
      <c r="BG56" s="1573"/>
      <c r="BH56" s="1573"/>
      <c r="BI56" s="2699"/>
      <c r="BJ56" s="2700"/>
      <c r="BK56" s="2701"/>
      <c r="BL56" s="2700"/>
      <c r="BM56" s="2701"/>
      <c r="BN56" s="2702"/>
    </row>
    <row r="57" spans="1:66" ht="66" customHeight="1" thickBot="1" x14ac:dyDescent="0.55000000000000004">
      <c r="A57" s="4248"/>
      <c r="B57" s="3495">
        <v>5602</v>
      </c>
      <c r="C57" s="3539" t="s">
        <v>1310</v>
      </c>
      <c r="D57" s="3606" t="s">
        <v>1275</v>
      </c>
      <c r="E57" s="2986">
        <f t="shared" si="25"/>
        <v>0</v>
      </c>
      <c r="F57" s="2986">
        <f t="shared" si="25"/>
        <v>0</v>
      </c>
      <c r="G57" s="2986">
        <f t="shared" si="25"/>
        <v>0</v>
      </c>
      <c r="H57" s="2986">
        <f t="shared" si="25"/>
        <v>0</v>
      </c>
      <c r="I57" s="2986">
        <f t="shared" ca="1" si="25"/>
        <v>0</v>
      </c>
      <c r="J57" s="2986">
        <f t="shared" ca="1" si="25"/>
        <v>0</v>
      </c>
      <c r="K57" s="2986">
        <f t="shared" ca="1" si="25"/>
        <v>0</v>
      </c>
      <c r="L57" s="1524">
        <f t="shared" ca="1" si="26"/>
        <v>0</v>
      </c>
      <c r="M57" s="1524">
        <f t="shared" ca="1" si="27"/>
        <v>0</v>
      </c>
      <c r="N57" s="1545">
        <f t="shared" ca="1" si="28"/>
        <v>0</v>
      </c>
      <c r="O57" s="2519"/>
      <c r="P57" s="2021">
        <f t="shared" ref="P57:P59" si="48">+IF(E57=0,0,Q57/R57)</f>
        <v>0</v>
      </c>
      <c r="Q57" s="1938">
        <f t="shared" ref="Q57:Q59" si="49">+SUM(F57:H57)</f>
        <v>0</v>
      </c>
      <c r="R57" s="1938">
        <f t="shared" ref="R57:R59" si="50">+E57</f>
        <v>0</v>
      </c>
      <c r="S57" s="1569" t="str">
        <f>+IF(R57=0,"S.D.",IF(AND((Q57/R57)&gt;150,(Q57/R57)&lt;=300),"O.K.","VERIFICAR"))</f>
        <v>S.D.</v>
      </c>
      <c r="T57" s="1659"/>
      <c r="V57" s="3384"/>
      <c r="W57" s="1653"/>
      <c r="X57" s="3385"/>
      <c r="Y57" s="2700"/>
      <c r="Z57" s="3386"/>
      <c r="AA57" s="2700"/>
      <c r="AB57" s="3386"/>
      <c r="AC57" s="3387"/>
      <c r="AD57" s="3387"/>
      <c r="AE57" s="2523"/>
      <c r="AF57" s="2523"/>
      <c r="AG57" s="2523"/>
      <c r="AH57" s="2523"/>
      <c r="AI57" s="2523"/>
      <c r="AJ57" s="2523"/>
      <c r="AK57" s="2523"/>
      <c r="AL57" s="2523"/>
      <c r="AM57" s="2523"/>
      <c r="AN57" s="2523"/>
      <c r="AO57" s="2523"/>
      <c r="AP57" s="2523"/>
      <c r="AQ57" s="2524"/>
      <c r="AR57" s="2524"/>
      <c r="AS57" s="2524"/>
      <c r="BG57" s="1573"/>
      <c r="BH57" s="1573"/>
      <c r="BI57" s="2699"/>
      <c r="BJ57" s="2700"/>
      <c r="BK57" s="2701"/>
      <c r="BL57" s="2700"/>
      <c r="BM57" s="2701"/>
      <c r="BN57" s="2702"/>
    </row>
    <row r="58" spans="1:66" ht="66" customHeight="1" thickBot="1" x14ac:dyDescent="0.55000000000000004">
      <c r="A58" s="4248"/>
      <c r="B58" s="3545">
        <v>5603</v>
      </c>
      <c r="C58" s="3539" t="s">
        <v>1310</v>
      </c>
      <c r="D58" s="5810" t="s">
        <v>1276</v>
      </c>
      <c r="E58" s="2986">
        <f t="shared" si="25"/>
        <v>0</v>
      </c>
      <c r="F58" s="2986">
        <f t="shared" si="25"/>
        <v>0</v>
      </c>
      <c r="G58" s="2986">
        <f t="shared" si="25"/>
        <v>0</v>
      </c>
      <c r="H58" s="2986">
        <f t="shared" si="25"/>
        <v>0</v>
      </c>
      <c r="I58" s="2986">
        <f t="shared" ca="1" si="25"/>
        <v>0</v>
      </c>
      <c r="J58" s="2986">
        <f t="shared" ca="1" si="25"/>
        <v>0</v>
      </c>
      <c r="K58" s="2986">
        <f t="shared" ca="1" si="25"/>
        <v>0</v>
      </c>
      <c r="L58" s="1524">
        <f t="shared" ca="1" si="26"/>
        <v>0</v>
      </c>
      <c r="M58" s="1524">
        <f t="shared" ca="1" si="27"/>
        <v>0</v>
      </c>
      <c r="N58" s="1545">
        <f t="shared" ca="1" si="28"/>
        <v>0</v>
      </c>
      <c r="O58" s="2519"/>
      <c r="P58" s="2021">
        <f t="shared" si="48"/>
        <v>0</v>
      </c>
      <c r="Q58" s="1938">
        <f t="shared" si="49"/>
        <v>0</v>
      </c>
      <c r="R58" s="1938">
        <f t="shared" si="50"/>
        <v>0</v>
      </c>
      <c r="S58" s="1569" t="str">
        <f>+IF(R58=0,"S.D.",IF(AND((Q58/R58)&gt;300,(Q58/R58)&lt;=500),"O.K.","VERIFICAR"))</f>
        <v>S.D.</v>
      </c>
      <c r="T58" s="1659"/>
      <c r="V58" s="3384"/>
      <c r="W58" s="1653"/>
      <c r="X58" s="3385"/>
      <c r="Y58" s="2700"/>
      <c r="Z58" s="3386"/>
      <c r="AA58" s="2700"/>
      <c r="AB58" s="3386"/>
      <c r="AC58" s="3387"/>
      <c r="AD58" s="3387"/>
      <c r="AE58" s="2523"/>
      <c r="AF58" s="2523"/>
      <c r="AG58" s="2523"/>
      <c r="AH58" s="2523"/>
      <c r="AI58" s="2523"/>
      <c r="AJ58" s="2523"/>
      <c r="AK58" s="2523"/>
      <c r="AL58" s="2523"/>
      <c r="AM58" s="2523"/>
      <c r="AN58" s="2523"/>
      <c r="AO58" s="2523"/>
      <c r="AP58" s="2523"/>
      <c r="AQ58" s="2524"/>
      <c r="AR58" s="2524"/>
      <c r="AS58" s="2524"/>
      <c r="BG58" s="1573"/>
      <c r="BH58" s="1573"/>
      <c r="BI58" s="2699"/>
      <c r="BJ58" s="2700"/>
      <c r="BK58" s="2701"/>
      <c r="BL58" s="2700"/>
      <c r="BM58" s="2701"/>
      <c r="BN58" s="2702"/>
    </row>
    <row r="59" spans="1:66" ht="66" hidden="1" customHeight="1" thickBot="1" x14ac:dyDescent="0.55000000000000004">
      <c r="A59" s="4248"/>
      <c r="B59" s="3545">
        <v>5562</v>
      </c>
      <c r="C59" s="3539" t="s">
        <v>1310</v>
      </c>
      <c r="D59" s="5810" t="s">
        <v>1365</v>
      </c>
      <c r="E59" s="2986">
        <f t="shared" si="25"/>
        <v>0</v>
      </c>
      <c r="F59" s="2986">
        <f t="shared" si="25"/>
        <v>0</v>
      </c>
      <c r="G59" s="2986">
        <f t="shared" si="25"/>
        <v>0</v>
      </c>
      <c r="H59" s="2986">
        <f t="shared" si="25"/>
        <v>0</v>
      </c>
      <c r="I59" s="2986">
        <f t="shared" ca="1" si="25"/>
        <v>0</v>
      </c>
      <c r="J59" s="2986">
        <f t="shared" ca="1" si="25"/>
        <v>0</v>
      </c>
      <c r="K59" s="2986">
        <f t="shared" ca="1" si="25"/>
        <v>0</v>
      </c>
      <c r="L59" s="1524">
        <f t="shared" ca="1" si="26"/>
        <v>0</v>
      </c>
      <c r="M59" s="1524">
        <f t="shared" ca="1" si="27"/>
        <v>0</v>
      </c>
      <c r="N59" s="1545">
        <f t="shared" ca="1" si="28"/>
        <v>0</v>
      </c>
      <c r="O59" s="2519"/>
      <c r="P59" s="2021">
        <f t="shared" si="48"/>
        <v>0</v>
      </c>
      <c r="Q59" s="1938">
        <f t="shared" si="49"/>
        <v>0</v>
      </c>
      <c r="R59" s="1938">
        <f t="shared" si="50"/>
        <v>0</v>
      </c>
      <c r="S59" s="1569" t="str">
        <f>+IF(R59=0,"S.D.",IF(AND((Q59/R59)&gt;250,(Q59/R59)&lt;=500),"O.K.","VERIFICAR"))</f>
        <v>S.D.</v>
      </c>
      <c r="T59" s="1659"/>
      <c r="V59" s="3384"/>
      <c r="W59" s="1653"/>
      <c r="X59" s="3385"/>
      <c r="Y59" s="2700"/>
      <c r="Z59" s="3386"/>
      <c r="AA59" s="2700"/>
      <c r="AB59" s="3386"/>
      <c r="AC59" s="3387"/>
      <c r="AD59" s="3387"/>
      <c r="AE59" s="2523"/>
      <c r="AF59" s="2523"/>
      <c r="AG59" s="2523"/>
      <c r="AH59" s="2523"/>
      <c r="AI59" s="2523"/>
      <c r="AJ59" s="2523"/>
      <c r="AK59" s="2523"/>
      <c r="AL59" s="2523"/>
      <c r="AM59" s="2523"/>
      <c r="AN59" s="2523"/>
      <c r="AO59" s="2523"/>
      <c r="AP59" s="2523"/>
      <c r="AQ59" s="2524"/>
      <c r="AR59" s="2524"/>
      <c r="AS59" s="2524"/>
      <c r="BG59" s="1573"/>
      <c r="BH59" s="1573"/>
      <c r="BI59" s="2699"/>
      <c r="BJ59" s="2700"/>
      <c r="BK59" s="2701"/>
      <c r="BL59" s="2700"/>
      <c r="BM59" s="2701"/>
      <c r="BN59" s="2702"/>
    </row>
    <row r="60" spans="1:66" ht="49.5" customHeight="1" thickBot="1" x14ac:dyDescent="0.5">
      <c r="A60" s="4249"/>
      <c r="B60" s="4250" t="s">
        <v>392</v>
      </c>
      <c r="C60" s="4251"/>
      <c r="D60" s="4251"/>
      <c r="E60" s="1557">
        <f>SUM(E37:E59)</f>
        <v>0</v>
      </c>
      <c r="F60" s="1557">
        <f t="shared" ref="F60:N60" si="51">SUM(F37:F59)</f>
        <v>0</v>
      </c>
      <c r="G60" s="1557">
        <f t="shared" si="51"/>
        <v>0</v>
      </c>
      <c r="H60" s="1557">
        <f t="shared" si="51"/>
        <v>0</v>
      </c>
      <c r="I60" s="1557">
        <f t="shared" ca="1" si="51"/>
        <v>0</v>
      </c>
      <c r="J60" s="1557">
        <f t="shared" ca="1" si="51"/>
        <v>0</v>
      </c>
      <c r="K60" s="1557">
        <f t="shared" ca="1" si="51"/>
        <v>0</v>
      </c>
      <c r="L60" s="2031">
        <f t="shared" ca="1" si="51"/>
        <v>0</v>
      </c>
      <c r="M60" s="2031">
        <f t="shared" ca="1" si="51"/>
        <v>0</v>
      </c>
      <c r="N60" s="2031">
        <f t="shared" ca="1" si="51"/>
        <v>0</v>
      </c>
      <c r="O60" s="2520">
        <f ca="1">SUM(L60:N60)</f>
        <v>0</v>
      </c>
      <c r="P60" s="2021"/>
      <c r="Q60" s="1938"/>
      <c r="R60" s="1938"/>
      <c r="S60" s="1569"/>
      <c r="T60" s="1549"/>
      <c r="V60" s="1605">
        <f>SUM(V44:V48)</f>
        <v>0</v>
      </c>
      <c r="W60" s="1605"/>
      <c r="X60" s="1605"/>
      <c r="Y60" s="1605"/>
      <c r="Z60" s="1605"/>
      <c r="AA60" s="1605"/>
      <c r="AB60" s="1605"/>
      <c r="AC60" s="1605"/>
      <c r="AD60" s="1605"/>
      <c r="AE60" s="1605"/>
      <c r="AF60" s="1605"/>
      <c r="AG60" s="1605"/>
      <c r="AH60" s="1605"/>
      <c r="AI60" s="1605"/>
      <c r="AJ60" s="1605"/>
      <c r="AK60" s="1605"/>
      <c r="AL60" s="1605"/>
      <c r="AM60" s="1605"/>
      <c r="AN60" s="1605"/>
      <c r="AO60" s="1605"/>
      <c r="AP60" s="1605"/>
    </row>
    <row r="61" spans="1:66" s="1540" customFormat="1" ht="49.5" customHeight="1" x14ac:dyDescent="0.45">
      <c r="A61" s="1561"/>
      <c r="B61" s="2260"/>
      <c r="C61" s="2239"/>
      <c r="D61" s="2239"/>
      <c r="E61" s="2187"/>
      <c r="F61" s="2187"/>
      <c r="G61" s="2187"/>
      <c r="H61" s="3445">
        <f>+F60+G60+H60</f>
        <v>0</v>
      </c>
      <c r="I61" s="2187"/>
      <c r="J61" s="2187"/>
      <c r="K61" s="2187"/>
      <c r="L61" s="1562"/>
      <c r="M61" s="1562"/>
      <c r="N61" s="1563"/>
      <c r="O61" s="1541"/>
      <c r="P61" s="1541"/>
      <c r="V61" s="1605"/>
      <c r="W61" s="1605"/>
      <c r="X61" s="1489"/>
      <c r="Y61" s="1489"/>
      <c r="Z61" s="1489"/>
      <c r="AA61" s="1489"/>
      <c r="AB61" s="1489"/>
      <c r="AC61" s="1489"/>
      <c r="AD61" s="1489"/>
      <c r="AE61" s="1489"/>
      <c r="AF61" s="1489"/>
      <c r="AG61" s="1489"/>
      <c r="AH61" s="1489"/>
      <c r="AI61" s="1489"/>
      <c r="AJ61" s="1489"/>
      <c r="AK61" s="1489"/>
      <c r="AL61" s="1489"/>
      <c r="AM61" s="1489"/>
      <c r="AN61" s="1489"/>
      <c r="AO61" s="1489"/>
      <c r="AP61" s="1489"/>
      <c r="AQ61" s="1489"/>
      <c r="AR61" s="1489"/>
      <c r="AS61" s="1489"/>
    </row>
    <row r="62" spans="1:66" s="1540" customFormat="1" ht="49.5" customHeight="1" thickBot="1" x14ac:dyDescent="0.5">
      <c r="A62" s="1565"/>
      <c r="B62" s="1566"/>
      <c r="C62" s="2188"/>
      <c r="D62" s="2188"/>
      <c r="E62" s="2188"/>
      <c r="F62" s="2188"/>
      <c r="G62" s="2188"/>
      <c r="H62" s="2188"/>
      <c r="I62" s="2188"/>
      <c r="J62" s="2188"/>
      <c r="K62" s="2188"/>
      <c r="L62" s="1566"/>
      <c r="M62" s="1566"/>
      <c r="N62" s="1567"/>
      <c r="P62" s="1541"/>
      <c r="V62" s="1489"/>
      <c r="W62" s="1489"/>
      <c r="X62" s="1489"/>
      <c r="Y62" s="1489"/>
      <c r="Z62" s="1489"/>
      <c r="AA62" s="1489"/>
      <c r="AB62" s="1489"/>
      <c r="AC62" s="1489"/>
      <c r="AD62" s="1489"/>
      <c r="AE62" s="1489"/>
      <c r="AF62" s="1489"/>
      <c r="AG62" s="1489"/>
      <c r="AH62" s="1489"/>
      <c r="AI62" s="1489"/>
      <c r="AJ62" s="1489"/>
      <c r="AK62" s="1489"/>
      <c r="AL62" s="1489"/>
      <c r="AM62" s="1489"/>
      <c r="AN62" s="1489"/>
      <c r="AO62" s="1489"/>
      <c r="AP62" s="1489"/>
      <c r="AQ62" s="1489"/>
      <c r="AR62" s="1489"/>
      <c r="AS62" s="1489"/>
    </row>
    <row r="63" spans="1:66" ht="49.5" customHeight="1" x14ac:dyDescent="0.5">
      <c r="A63" s="4188" t="s">
        <v>393</v>
      </c>
      <c r="B63" s="4189"/>
      <c r="C63" s="4189"/>
      <c r="D63" s="4189"/>
      <c r="E63" s="5814" t="s">
        <v>101</v>
      </c>
      <c r="F63" s="4510" t="s">
        <v>304</v>
      </c>
      <c r="G63" s="4510"/>
      <c r="H63" s="4510"/>
      <c r="I63" s="4510" t="s">
        <v>368</v>
      </c>
      <c r="J63" s="4510"/>
      <c r="K63" s="4510"/>
      <c r="L63" s="4237" t="s">
        <v>377</v>
      </c>
      <c r="M63" s="4238"/>
      <c r="N63" s="4239"/>
      <c r="P63" s="2537" t="s">
        <v>241</v>
      </c>
      <c r="Q63" s="2537"/>
      <c r="R63" s="2537"/>
      <c r="S63" s="2537"/>
      <c r="T63" s="2537"/>
      <c r="V63" s="1638"/>
      <c r="W63" s="1638"/>
      <c r="X63" s="3378"/>
      <c r="Y63" s="3378"/>
      <c r="Z63" s="3378"/>
      <c r="AA63" s="3378"/>
      <c r="AB63" s="3378"/>
      <c r="AC63" s="3378"/>
      <c r="AD63" s="3378"/>
      <c r="AE63" s="3378"/>
      <c r="AF63" s="3378"/>
      <c r="AG63" s="3378"/>
      <c r="AH63" s="3378"/>
      <c r="AI63" s="3378"/>
      <c r="AJ63" s="3378"/>
      <c r="AK63" s="3378"/>
      <c r="AL63" s="3378"/>
      <c r="AM63" s="3378"/>
      <c r="AN63" s="3378"/>
      <c r="AO63" s="3378"/>
      <c r="AP63" s="3378"/>
      <c r="AQ63" s="3378"/>
      <c r="AR63" s="3378"/>
      <c r="AS63" s="3378"/>
    </row>
    <row r="64" spans="1:66" ht="49.5" customHeight="1" thickBot="1" x14ac:dyDescent="0.5">
      <c r="A64" s="4191"/>
      <c r="B64" s="4192"/>
      <c r="C64" s="4192"/>
      <c r="D64" s="4192"/>
      <c r="E64" s="5814"/>
      <c r="F64" s="1515" t="s">
        <v>287</v>
      </c>
      <c r="G64" s="1515" t="s">
        <v>289</v>
      </c>
      <c r="H64" s="1515" t="s">
        <v>288</v>
      </c>
      <c r="I64" s="1515" t="s">
        <v>287</v>
      </c>
      <c r="J64" s="1515" t="s">
        <v>289</v>
      </c>
      <c r="K64" s="1515" t="s">
        <v>288</v>
      </c>
      <c r="L64" s="1515" t="s">
        <v>287</v>
      </c>
      <c r="M64" s="1515" t="s">
        <v>289</v>
      </c>
      <c r="N64" s="1517" t="s">
        <v>288</v>
      </c>
      <c r="P64" s="979" t="s">
        <v>370</v>
      </c>
      <c r="Q64" s="979" t="s">
        <v>25</v>
      </c>
      <c r="R64" s="979" t="s">
        <v>371</v>
      </c>
      <c r="S64" s="979" t="s">
        <v>241</v>
      </c>
      <c r="T64" s="979"/>
      <c r="V64" s="1638"/>
      <c r="W64" s="1638"/>
      <c r="X64" s="1638"/>
      <c r="Y64" s="1638"/>
      <c r="Z64" s="1638"/>
      <c r="AA64" s="1638"/>
      <c r="AB64" s="1638"/>
      <c r="AC64" s="1638"/>
      <c r="AD64" s="1638"/>
      <c r="AE64" s="1638"/>
      <c r="AF64" s="1638"/>
      <c r="AG64" s="1638"/>
      <c r="AH64" s="1638"/>
      <c r="AI64" s="1638"/>
      <c r="AJ64" s="1638"/>
      <c r="AK64" s="1638"/>
      <c r="AL64" s="1638"/>
      <c r="AM64" s="1638"/>
      <c r="AN64" s="1638"/>
      <c r="AO64" s="1638"/>
      <c r="AP64" s="1638"/>
      <c r="AQ64" s="1638"/>
      <c r="AR64" s="1638"/>
      <c r="AS64" s="1638"/>
    </row>
    <row r="65" spans="1:43" ht="83.1" customHeight="1" x14ac:dyDescent="0.45">
      <c r="A65" s="4065" t="s">
        <v>57</v>
      </c>
      <c r="B65" s="3547">
        <v>5030</v>
      </c>
      <c r="C65" s="4183" t="s">
        <v>217</v>
      </c>
      <c r="D65" s="5805"/>
      <c r="E65" s="2986">
        <f>+E356</f>
        <v>0</v>
      </c>
      <c r="F65" s="2986">
        <f t="shared" ref="F65:K65" si="52">+F356</f>
        <v>0</v>
      </c>
      <c r="G65" s="2986">
        <f t="shared" si="52"/>
        <v>0</v>
      </c>
      <c r="H65" s="2986">
        <f t="shared" si="52"/>
        <v>0</v>
      </c>
      <c r="I65" s="2986">
        <f t="shared" ca="1" si="52"/>
        <v>0</v>
      </c>
      <c r="J65" s="2986">
        <f t="shared" ca="1" si="52"/>
        <v>0</v>
      </c>
      <c r="K65" s="2986">
        <f t="shared" ca="1" si="52"/>
        <v>0</v>
      </c>
      <c r="L65" s="1524">
        <f t="shared" ref="L65:N65" ca="1" si="53">+F65+I65</f>
        <v>0</v>
      </c>
      <c r="M65" s="1524">
        <f t="shared" ca="1" si="53"/>
        <v>0</v>
      </c>
      <c r="N65" s="1545">
        <f t="shared" ca="1" si="53"/>
        <v>0</v>
      </c>
      <c r="O65" s="3376" t="s">
        <v>394</v>
      </c>
      <c r="P65" s="1659">
        <f t="shared" ref="P65:P82" si="54">+IF(E65=0,0,Q65/R65)</f>
        <v>0</v>
      </c>
      <c r="Q65" s="1938">
        <f t="shared" ref="Q65:Q82" si="55">+SUM(F65:H65)</f>
        <v>0</v>
      </c>
      <c r="R65" s="1938">
        <f t="shared" ref="R65:R82" si="56">+E65</f>
        <v>0</v>
      </c>
      <c r="S65" s="1569" t="str">
        <f t="shared" ref="S65" si="57">IF(R65=0,"S.D.",+IF(AND((Q65/R65)&gt;500,(Q65/R65)&lt;=700),"O.K.","VERIFICAR"))</f>
        <v>S.D.</v>
      </c>
      <c r="T65" s="1659"/>
      <c r="V65" s="2179"/>
      <c r="W65" s="2179"/>
      <c r="AA65" s="2179"/>
      <c r="AB65" s="2179"/>
      <c r="AC65" s="2179"/>
      <c r="AD65" s="2523"/>
      <c r="AE65" s="2523"/>
      <c r="AF65" s="2523"/>
      <c r="AG65" s="2523"/>
      <c r="AH65" s="2523"/>
      <c r="AI65" s="2523"/>
      <c r="AJ65" s="2523"/>
      <c r="AK65" s="2523"/>
      <c r="AL65" s="2523"/>
      <c r="AM65" s="2523"/>
      <c r="AN65" s="2523"/>
      <c r="AO65" s="2523"/>
      <c r="AP65" s="2523"/>
      <c r="AQ65" s="1573"/>
    </row>
    <row r="66" spans="1:43" ht="83.1" customHeight="1" x14ac:dyDescent="0.45">
      <c r="A66" s="4066"/>
      <c r="B66" s="3494">
        <v>5574</v>
      </c>
      <c r="C66" s="3534" t="s">
        <v>1308</v>
      </c>
      <c r="D66" s="3605" t="s">
        <v>1278</v>
      </c>
      <c r="E66" s="2986">
        <f t="shared" ref="E66:K81" si="58">+E357</f>
        <v>0</v>
      </c>
      <c r="F66" s="2986">
        <f t="shared" si="58"/>
        <v>0</v>
      </c>
      <c r="G66" s="2986">
        <f t="shared" si="58"/>
        <v>0</v>
      </c>
      <c r="H66" s="2986">
        <f t="shared" si="58"/>
        <v>0</v>
      </c>
      <c r="I66" s="2986">
        <f t="shared" ca="1" si="58"/>
        <v>0</v>
      </c>
      <c r="J66" s="2986">
        <f t="shared" ca="1" si="58"/>
        <v>0</v>
      </c>
      <c r="K66" s="2986">
        <f t="shared" ca="1" si="58"/>
        <v>0</v>
      </c>
      <c r="L66" s="1524">
        <f t="shared" ref="L66:L74" ca="1" si="59">+F66+I66</f>
        <v>0</v>
      </c>
      <c r="M66" s="1524">
        <f t="shared" ref="M66:M74" ca="1" si="60">+G66+J66</f>
        <v>0</v>
      </c>
      <c r="N66" s="1545">
        <f t="shared" ref="N66:N74" ca="1" si="61">+H66+K66</f>
        <v>0</v>
      </c>
      <c r="O66" s="3377"/>
      <c r="P66" s="1659">
        <f t="shared" si="54"/>
        <v>0</v>
      </c>
      <c r="Q66" s="1938">
        <f t="shared" si="55"/>
        <v>0</v>
      </c>
      <c r="R66" s="1938">
        <f t="shared" si="56"/>
        <v>0</v>
      </c>
      <c r="S66" s="1569" t="str">
        <f>IF(R66=0,"S.D.",+IF(AND((Q66/R66)&gt;500,(Q66/R66)&lt;=700),"O.K.","VERIFICAR"))</f>
        <v>S.D.</v>
      </c>
      <c r="T66" s="1659"/>
      <c r="V66" s="2179"/>
      <c r="W66" s="2179"/>
      <c r="AA66" s="2179"/>
      <c r="AB66" s="2179"/>
      <c r="AC66" s="2179"/>
      <c r="AD66" s="2523"/>
      <c r="AE66" s="2523"/>
      <c r="AF66" s="2523"/>
      <c r="AG66" s="2523"/>
      <c r="AH66" s="2523"/>
      <c r="AI66" s="2523"/>
      <c r="AJ66" s="2523"/>
      <c r="AK66" s="2523"/>
      <c r="AL66" s="2523"/>
      <c r="AM66" s="2523"/>
      <c r="AN66" s="2523"/>
      <c r="AO66" s="2523"/>
      <c r="AP66" s="2523"/>
      <c r="AQ66" s="1573"/>
    </row>
    <row r="67" spans="1:43" ht="83.1" customHeight="1" x14ac:dyDescent="0.45">
      <c r="A67" s="4066"/>
      <c r="B67" s="3495">
        <v>5584</v>
      </c>
      <c r="C67" s="3534" t="s">
        <v>1308</v>
      </c>
      <c r="D67" s="3606" t="s">
        <v>1279</v>
      </c>
      <c r="E67" s="2986">
        <f t="shared" si="58"/>
        <v>0</v>
      </c>
      <c r="F67" s="2986">
        <f t="shared" si="58"/>
        <v>0</v>
      </c>
      <c r="G67" s="2986">
        <f t="shared" si="58"/>
        <v>0</v>
      </c>
      <c r="H67" s="2986">
        <f t="shared" si="58"/>
        <v>0</v>
      </c>
      <c r="I67" s="2986">
        <f t="shared" ca="1" si="58"/>
        <v>0</v>
      </c>
      <c r="J67" s="2986">
        <f t="shared" ca="1" si="58"/>
        <v>0</v>
      </c>
      <c r="K67" s="2986">
        <f t="shared" ca="1" si="58"/>
        <v>0</v>
      </c>
      <c r="L67" s="1524">
        <f t="shared" ref="L67" ca="1" si="62">+F67+I67</f>
        <v>0</v>
      </c>
      <c r="M67" s="1524">
        <f t="shared" ref="M67" ca="1" si="63">+G67+J67</f>
        <v>0</v>
      </c>
      <c r="N67" s="1545">
        <f t="shared" ref="N67" ca="1" si="64">+H67+K67</f>
        <v>0</v>
      </c>
      <c r="O67" s="3377"/>
      <c r="P67" s="1659">
        <f t="shared" ref="P67" si="65">+IF(E67=0,0,Q67/R67)</f>
        <v>0</v>
      </c>
      <c r="Q67" s="1938">
        <f t="shared" ref="Q67" si="66">+SUM(F67:H67)</f>
        <v>0</v>
      </c>
      <c r="R67" s="1938">
        <f t="shared" ref="R67" si="67">+E67</f>
        <v>0</v>
      </c>
      <c r="S67" s="1569" t="str">
        <f>IF(R67=0,"S.D.",+IF(AND((Q67/R67)&gt;500,(Q67/R67)&lt;=700),"O.K.","VERIFICAR"))</f>
        <v>S.D.</v>
      </c>
      <c r="T67" s="1659"/>
      <c r="V67" s="2179"/>
      <c r="W67" s="2179"/>
      <c r="AA67" s="2179"/>
      <c r="AB67" s="2179"/>
      <c r="AC67" s="2179"/>
      <c r="AD67" s="2523"/>
      <c r="AE67" s="2523"/>
      <c r="AF67" s="2523"/>
      <c r="AG67" s="2523"/>
      <c r="AH67" s="2523"/>
      <c r="AI67" s="2523"/>
      <c r="AJ67" s="2523"/>
      <c r="AK67" s="2523"/>
      <c r="AL67" s="2523"/>
      <c r="AM67" s="2523"/>
      <c r="AN67" s="2523"/>
      <c r="AO67" s="2523"/>
      <c r="AP67" s="2523"/>
      <c r="AQ67" s="1573"/>
    </row>
    <row r="68" spans="1:43" ht="83.1" customHeight="1" x14ac:dyDescent="0.45">
      <c r="A68" s="4066"/>
      <c r="B68" s="3537">
        <v>5040</v>
      </c>
      <c r="C68" s="4184" t="s">
        <v>218</v>
      </c>
      <c r="D68" s="4185"/>
      <c r="E68" s="2986">
        <f t="shared" si="58"/>
        <v>0</v>
      </c>
      <c r="F68" s="2986">
        <f t="shared" si="58"/>
        <v>0</v>
      </c>
      <c r="G68" s="2986">
        <f t="shared" si="58"/>
        <v>0</v>
      </c>
      <c r="H68" s="2986">
        <f t="shared" si="58"/>
        <v>0</v>
      </c>
      <c r="I68" s="2986">
        <f t="shared" ca="1" si="58"/>
        <v>0</v>
      </c>
      <c r="J68" s="2986">
        <f t="shared" ca="1" si="58"/>
        <v>0</v>
      </c>
      <c r="K68" s="2986">
        <f t="shared" ca="1" si="58"/>
        <v>0</v>
      </c>
      <c r="L68" s="1524">
        <f t="shared" ca="1" si="59"/>
        <v>0</v>
      </c>
      <c r="M68" s="1524">
        <f t="shared" ca="1" si="60"/>
        <v>0</v>
      </c>
      <c r="N68" s="1545">
        <f t="shared" ca="1" si="61"/>
        <v>0</v>
      </c>
      <c r="O68" s="3377"/>
      <c r="P68" s="1659">
        <f t="shared" si="54"/>
        <v>0</v>
      </c>
      <c r="Q68" s="1938">
        <f t="shared" si="55"/>
        <v>0</v>
      </c>
      <c r="R68" s="1938">
        <f t="shared" si="56"/>
        <v>0</v>
      </c>
      <c r="S68" s="1569" t="str">
        <f>+IF(R68=0,"S.D.",IF(AND((Q68/R68)&gt;0,(Q68/R68)&lt;=350),"O.K.","VERIFICAR"))</f>
        <v>S.D.</v>
      </c>
      <c r="T68" s="1659"/>
      <c r="V68" s="2179"/>
      <c r="W68" s="2179"/>
      <c r="AA68" s="2179"/>
      <c r="AB68" s="2179"/>
      <c r="AC68" s="2179"/>
      <c r="AD68" s="2523"/>
      <c r="AE68" s="2523"/>
      <c r="AF68" s="2523"/>
      <c r="AG68" s="2523"/>
      <c r="AH68" s="2523"/>
      <c r="AI68" s="2523"/>
      <c r="AJ68" s="2523"/>
      <c r="AK68" s="2523"/>
      <c r="AL68" s="2523"/>
      <c r="AM68" s="2523"/>
      <c r="AN68" s="2523"/>
      <c r="AO68" s="2523"/>
      <c r="AP68" s="2523"/>
      <c r="AQ68" s="1573"/>
    </row>
    <row r="69" spans="1:43" ht="83.1" hidden="1" customHeight="1" x14ac:dyDescent="0.45">
      <c r="A69" s="4066"/>
      <c r="B69" s="3537">
        <v>5041</v>
      </c>
      <c r="C69" s="4184" t="s">
        <v>620</v>
      </c>
      <c r="D69" s="4185"/>
      <c r="E69" s="2986">
        <f t="shared" si="58"/>
        <v>0</v>
      </c>
      <c r="F69" s="2986">
        <f t="shared" si="58"/>
        <v>0</v>
      </c>
      <c r="G69" s="2986">
        <f t="shared" si="58"/>
        <v>0</v>
      </c>
      <c r="H69" s="2986">
        <f t="shared" si="58"/>
        <v>0</v>
      </c>
      <c r="I69" s="2986">
        <f t="shared" ca="1" si="58"/>
        <v>0</v>
      </c>
      <c r="J69" s="2986">
        <f t="shared" ca="1" si="58"/>
        <v>0</v>
      </c>
      <c r="K69" s="2986">
        <f t="shared" ca="1" si="58"/>
        <v>0</v>
      </c>
      <c r="L69" s="1524">
        <f t="shared" ca="1" si="59"/>
        <v>0</v>
      </c>
      <c r="M69" s="1524">
        <f t="shared" ca="1" si="60"/>
        <v>0</v>
      </c>
      <c r="N69" s="1545">
        <f t="shared" ca="1" si="61"/>
        <v>0</v>
      </c>
      <c r="O69" s="3377"/>
      <c r="P69" s="1659">
        <f t="shared" si="54"/>
        <v>0</v>
      </c>
      <c r="Q69" s="1938">
        <f t="shared" si="55"/>
        <v>0</v>
      </c>
      <c r="R69" s="1938">
        <f t="shared" si="56"/>
        <v>0</v>
      </c>
      <c r="S69" s="1569" t="str">
        <f>IF(R69=0,"S.D.",+IF(AND((Q69/R69)&gt;0,(Q69/R69)&lt;=700),"O.K.","VERIFICAR"))</f>
        <v>S.D.</v>
      </c>
      <c r="T69" s="1659"/>
      <c r="V69" s="2179"/>
      <c r="W69" s="2179"/>
      <c r="AA69" s="2179"/>
      <c r="AB69" s="2179"/>
      <c r="AC69" s="2179"/>
      <c r="AD69" s="2523"/>
      <c r="AE69" s="2523"/>
      <c r="AF69" s="2523"/>
      <c r="AG69" s="2523"/>
      <c r="AH69" s="2523"/>
      <c r="AI69" s="2523"/>
      <c r="AJ69" s="2523"/>
      <c r="AK69" s="2523"/>
      <c r="AL69" s="2523"/>
      <c r="AM69" s="2523"/>
      <c r="AN69" s="2523"/>
      <c r="AO69" s="2523"/>
      <c r="AP69" s="2523"/>
      <c r="AQ69" s="1573"/>
    </row>
    <row r="70" spans="1:43" ht="83.1" customHeight="1" thickBot="1" x14ac:dyDescent="0.5">
      <c r="A70" s="4066"/>
      <c r="B70" s="3537">
        <v>5045</v>
      </c>
      <c r="C70" s="4184" t="s">
        <v>378</v>
      </c>
      <c r="D70" s="4185"/>
      <c r="E70" s="2986">
        <f t="shared" si="58"/>
        <v>0</v>
      </c>
      <c r="F70" s="2986">
        <f t="shared" si="58"/>
        <v>0</v>
      </c>
      <c r="G70" s="2986">
        <f t="shared" si="58"/>
        <v>0</v>
      </c>
      <c r="H70" s="2986">
        <f t="shared" si="58"/>
        <v>0</v>
      </c>
      <c r="I70" s="2986">
        <f t="shared" ca="1" si="58"/>
        <v>0</v>
      </c>
      <c r="J70" s="2986">
        <f t="shared" ca="1" si="58"/>
        <v>0</v>
      </c>
      <c r="K70" s="2986">
        <f t="shared" ca="1" si="58"/>
        <v>0</v>
      </c>
      <c r="L70" s="1524">
        <f t="shared" ref="L70" ca="1" si="68">+F70+I70</f>
        <v>0</v>
      </c>
      <c r="M70" s="1524">
        <f t="shared" ref="M70" ca="1" si="69">+G70+J70</f>
        <v>0</v>
      </c>
      <c r="N70" s="1545">
        <f t="shared" ref="N70" ca="1" si="70">+H70+K70</f>
        <v>0</v>
      </c>
      <c r="O70" s="3377"/>
      <c r="P70" s="1659">
        <f t="shared" ref="P70" si="71">+IF(E70=0,0,Q70/R70)</f>
        <v>0</v>
      </c>
      <c r="Q70" s="1938">
        <f t="shared" ref="Q70" si="72">+SUM(F70:H70)</f>
        <v>0</v>
      </c>
      <c r="R70" s="1938">
        <f t="shared" ref="R70" si="73">+E70</f>
        <v>0</v>
      </c>
      <c r="S70" s="1569" t="str">
        <f>+IF(R70=0,"S.D.",IF(AND((Q70/R70)&gt;0,(Q70/R70)&lt;=700),"O.K.","VERIFICAR"))</f>
        <v>S.D.</v>
      </c>
      <c r="T70" s="1659"/>
      <c r="V70" s="2179"/>
      <c r="W70" s="2179"/>
      <c r="AA70" s="2179"/>
      <c r="AB70" s="2179"/>
      <c r="AC70" s="2179"/>
      <c r="AD70" s="2523"/>
      <c r="AE70" s="2523"/>
      <c r="AF70" s="2523"/>
      <c r="AG70" s="2523"/>
      <c r="AH70" s="2523"/>
      <c r="AI70" s="2523"/>
      <c r="AJ70" s="2523"/>
      <c r="AK70" s="2523"/>
      <c r="AL70" s="2523"/>
      <c r="AM70" s="2523"/>
      <c r="AN70" s="2523"/>
      <c r="AO70" s="2523"/>
      <c r="AP70" s="2523"/>
      <c r="AQ70" s="1573"/>
    </row>
    <row r="71" spans="1:43" ht="83.1" customHeight="1" thickBot="1" x14ac:dyDescent="0.5">
      <c r="A71" s="4066"/>
      <c r="B71" s="3494">
        <v>5506</v>
      </c>
      <c r="C71" s="3539" t="s">
        <v>1309</v>
      </c>
      <c r="D71" s="3605" t="s">
        <v>1280</v>
      </c>
      <c r="E71" s="2986">
        <f t="shared" si="58"/>
        <v>0</v>
      </c>
      <c r="F71" s="2986">
        <f t="shared" si="58"/>
        <v>0</v>
      </c>
      <c r="G71" s="2986">
        <f t="shared" si="58"/>
        <v>0</v>
      </c>
      <c r="H71" s="2986">
        <f t="shared" si="58"/>
        <v>0</v>
      </c>
      <c r="I71" s="2986">
        <f t="shared" ca="1" si="58"/>
        <v>0</v>
      </c>
      <c r="J71" s="2986">
        <f t="shared" ca="1" si="58"/>
        <v>0</v>
      </c>
      <c r="K71" s="2986">
        <f t="shared" ca="1" si="58"/>
        <v>0</v>
      </c>
      <c r="L71" s="1524">
        <f t="shared" ca="1" si="59"/>
        <v>0</v>
      </c>
      <c r="M71" s="1524">
        <f t="shared" ca="1" si="60"/>
        <v>0</v>
      </c>
      <c r="N71" s="1545">
        <f t="shared" ca="1" si="61"/>
        <v>0</v>
      </c>
      <c r="O71" s="3377"/>
      <c r="P71" s="1659">
        <f t="shared" si="54"/>
        <v>0</v>
      </c>
      <c r="Q71" s="1938">
        <f t="shared" si="55"/>
        <v>0</v>
      </c>
      <c r="R71" s="1938">
        <f t="shared" si="56"/>
        <v>0</v>
      </c>
      <c r="S71" s="1569" t="str">
        <f>IF(R71=0,"S.D.",+IF(AND((Q71/R71)&gt;500,(Q71/R71)&lt;=700),"O.K.","VERIFICAR"))</f>
        <v>S.D.</v>
      </c>
      <c r="T71" s="1659"/>
      <c r="V71" s="2179"/>
      <c r="W71" s="2179"/>
      <c r="AA71" s="2179"/>
      <c r="AB71" s="2179"/>
      <c r="AC71" s="2179"/>
      <c r="AD71" s="2523"/>
      <c r="AE71" s="2523"/>
      <c r="AF71" s="2523"/>
      <c r="AG71" s="2523"/>
      <c r="AH71" s="2523"/>
      <c r="AI71" s="2523"/>
      <c r="AJ71" s="2523"/>
      <c r="AK71" s="2523"/>
      <c r="AL71" s="2523"/>
      <c r="AM71" s="2523"/>
      <c r="AN71" s="2523"/>
      <c r="AO71" s="2523"/>
      <c r="AP71" s="2523"/>
      <c r="AQ71" s="1573"/>
    </row>
    <row r="72" spans="1:43" ht="83.1" hidden="1" customHeight="1" thickBot="1" x14ac:dyDescent="0.5">
      <c r="A72" s="4066"/>
      <c r="B72" s="3494">
        <v>5507</v>
      </c>
      <c r="C72" s="3539" t="s">
        <v>1309</v>
      </c>
      <c r="D72" s="3605" t="s">
        <v>1281</v>
      </c>
      <c r="E72" s="2986">
        <f t="shared" si="58"/>
        <v>0</v>
      </c>
      <c r="F72" s="2986">
        <f t="shared" si="58"/>
        <v>0</v>
      </c>
      <c r="G72" s="2986">
        <f t="shared" si="58"/>
        <v>0</v>
      </c>
      <c r="H72" s="2986">
        <f t="shared" si="58"/>
        <v>0</v>
      </c>
      <c r="I72" s="2986">
        <f t="shared" ca="1" si="58"/>
        <v>0</v>
      </c>
      <c r="J72" s="2986">
        <f t="shared" ca="1" si="58"/>
        <v>0</v>
      </c>
      <c r="K72" s="2986">
        <f t="shared" ca="1" si="58"/>
        <v>0</v>
      </c>
      <c r="L72" s="1524">
        <f t="shared" ca="1" si="59"/>
        <v>0</v>
      </c>
      <c r="M72" s="1524">
        <f t="shared" ca="1" si="60"/>
        <v>0</v>
      </c>
      <c r="N72" s="1545">
        <f t="shared" ca="1" si="61"/>
        <v>0</v>
      </c>
      <c r="O72" s="3377"/>
      <c r="P72" s="1659">
        <f t="shared" si="54"/>
        <v>0</v>
      </c>
      <c r="Q72" s="1938">
        <f t="shared" si="55"/>
        <v>0</v>
      </c>
      <c r="R72" s="1938">
        <f t="shared" si="56"/>
        <v>0</v>
      </c>
      <c r="S72" s="1569" t="str">
        <f>IF(R72=0,"S.D.",+IF(AND((Q72/R72)&gt;500,(Q72/R72)&lt;=700),"O.K.","VERIFICAR"))</f>
        <v>S.D.</v>
      </c>
      <c r="T72" s="1659"/>
      <c r="V72" s="2179"/>
      <c r="W72" s="2179"/>
      <c r="AA72" s="2179"/>
      <c r="AB72" s="2179"/>
      <c r="AC72" s="2179"/>
      <c r="AD72" s="2523"/>
      <c r="AE72" s="2523"/>
      <c r="AF72" s="2523"/>
      <c r="AG72" s="2523"/>
      <c r="AH72" s="2523"/>
      <c r="AI72" s="2523"/>
      <c r="AJ72" s="2523"/>
      <c r="AK72" s="2523"/>
      <c r="AL72" s="2523"/>
      <c r="AM72" s="2523"/>
      <c r="AN72" s="2523"/>
      <c r="AO72" s="2523"/>
      <c r="AP72" s="2523"/>
      <c r="AQ72" s="1573"/>
    </row>
    <row r="73" spans="1:43" ht="83.1" customHeight="1" x14ac:dyDescent="0.45">
      <c r="A73" s="4066"/>
      <c r="B73" s="3495">
        <v>5556</v>
      </c>
      <c r="C73" s="3539" t="s">
        <v>1309</v>
      </c>
      <c r="D73" s="3606" t="s">
        <v>1282</v>
      </c>
      <c r="E73" s="2986">
        <f t="shared" si="58"/>
        <v>0</v>
      </c>
      <c r="F73" s="2986">
        <f t="shared" si="58"/>
        <v>0</v>
      </c>
      <c r="G73" s="2986">
        <f t="shared" si="58"/>
        <v>0</v>
      </c>
      <c r="H73" s="2986">
        <f t="shared" si="58"/>
        <v>0</v>
      </c>
      <c r="I73" s="2986">
        <f t="shared" ca="1" si="58"/>
        <v>0</v>
      </c>
      <c r="J73" s="2986">
        <f t="shared" ca="1" si="58"/>
        <v>0</v>
      </c>
      <c r="K73" s="2986">
        <f t="shared" ca="1" si="58"/>
        <v>0</v>
      </c>
      <c r="L73" s="1524">
        <f t="shared" ref="L73" ca="1" si="74">+F73+I73</f>
        <v>0</v>
      </c>
      <c r="M73" s="1524">
        <f t="shared" ref="M73" ca="1" si="75">+G73+J73</f>
        <v>0</v>
      </c>
      <c r="N73" s="1545">
        <f t="shared" ref="N73" ca="1" si="76">+H73+K73</f>
        <v>0</v>
      </c>
      <c r="O73" s="3377"/>
      <c r="P73" s="1659">
        <f t="shared" ref="P73" si="77">+IF(E73=0,0,Q73/R73)</f>
        <v>0</v>
      </c>
      <c r="Q73" s="1938">
        <f t="shared" ref="Q73" si="78">+SUM(F73:H73)</f>
        <v>0</v>
      </c>
      <c r="R73" s="1938">
        <f t="shared" ref="R73" si="79">+E73</f>
        <v>0</v>
      </c>
      <c r="S73" s="1569" t="str">
        <f t="shared" ref="S73:S74" si="80">IF(R73=0,"S.D.",+IF(AND((Q73/R73)&gt;500,(Q73/R73)&lt;=700),"O.K.","VERIFICAR"))</f>
        <v>S.D.</v>
      </c>
      <c r="T73" s="1659"/>
      <c r="V73" s="2179"/>
      <c r="W73" s="2179"/>
      <c r="AA73" s="2179"/>
      <c r="AB73" s="2179"/>
      <c r="AC73" s="2179"/>
      <c r="AD73" s="2523"/>
      <c r="AE73" s="2523"/>
      <c r="AF73" s="2523"/>
      <c r="AG73" s="2523"/>
      <c r="AH73" s="2523"/>
      <c r="AI73" s="2523"/>
      <c r="AJ73" s="2523"/>
      <c r="AK73" s="2523"/>
      <c r="AL73" s="2523"/>
      <c r="AM73" s="2523"/>
      <c r="AN73" s="2523"/>
      <c r="AO73" s="2523"/>
      <c r="AP73" s="2523"/>
      <c r="AQ73" s="1573"/>
    </row>
    <row r="74" spans="1:43" ht="83.1" hidden="1" customHeight="1" x14ac:dyDescent="0.45">
      <c r="A74" s="4066"/>
      <c r="B74" s="3495">
        <v>5557</v>
      </c>
      <c r="C74" s="3539" t="s">
        <v>1309</v>
      </c>
      <c r="D74" s="3606" t="s">
        <v>1283</v>
      </c>
      <c r="E74" s="2986">
        <f t="shared" si="58"/>
        <v>0</v>
      </c>
      <c r="F74" s="2986">
        <f t="shared" si="58"/>
        <v>0</v>
      </c>
      <c r="G74" s="2986">
        <f t="shared" si="58"/>
        <v>0</v>
      </c>
      <c r="H74" s="2986">
        <f t="shared" si="58"/>
        <v>0</v>
      </c>
      <c r="I74" s="2986">
        <f t="shared" ca="1" si="58"/>
        <v>0</v>
      </c>
      <c r="J74" s="2986">
        <f t="shared" ca="1" si="58"/>
        <v>0</v>
      </c>
      <c r="K74" s="2986">
        <f t="shared" ca="1" si="58"/>
        <v>0</v>
      </c>
      <c r="L74" s="1524">
        <f t="shared" ca="1" si="59"/>
        <v>0</v>
      </c>
      <c r="M74" s="1524">
        <f t="shared" ca="1" si="60"/>
        <v>0</v>
      </c>
      <c r="N74" s="1545">
        <f t="shared" ca="1" si="61"/>
        <v>0</v>
      </c>
      <c r="O74" s="3377"/>
      <c r="P74" s="1659">
        <f t="shared" si="54"/>
        <v>0</v>
      </c>
      <c r="Q74" s="1938">
        <f t="shared" si="55"/>
        <v>0</v>
      </c>
      <c r="R74" s="1938">
        <f t="shared" si="56"/>
        <v>0</v>
      </c>
      <c r="S74" s="1569" t="str">
        <f t="shared" si="80"/>
        <v>S.D.</v>
      </c>
      <c r="T74" s="1569"/>
      <c r="V74" s="2179"/>
      <c r="W74" s="2179"/>
      <c r="AA74" s="2179"/>
      <c r="AB74" s="2179"/>
      <c r="AC74" s="2179"/>
      <c r="AD74" s="2523"/>
      <c r="AE74" s="2523"/>
      <c r="AF74" s="2523"/>
      <c r="AG74" s="2523"/>
      <c r="AH74" s="2523"/>
      <c r="AI74" s="2523"/>
      <c r="AJ74" s="2523"/>
      <c r="AK74" s="2523"/>
      <c r="AL74" s="2523"/>
      <c r="AM74" s="2523"/>
      <c r="AN74" s="2523"/>
      <c r="AO74" s="2523"/>
      <c r="AP74" s="2523"/>
      <c r="AQ74" s="1573"/>
    </row>
    <row r="75" spans="1:43" ht="83.1" customHeight="1" x14ac:dyDescent="0.45">
      <c r="A75" s="4066"/>
      <c r="B75" s="3548">
        <v>5050</v>
      </c>
      <c r="C75" s="4552" t="s">
        <v>379</v>
      </c>
      <c r="D75" s="5813"/>
      <c r="E75" s="2986">
        <f t="shared" si="58"/>
        <v>0</v>
      </c>
      <c r="F75" s="2986">
        <f t="shared" si="58"/>
        <v>0</v>
      </c>
      <c r="G75" s="2986">
        <f t="shared" si="58"/>
        <v>0</v>
      </c>
      <c r="H75" s="2986">
        <f t="shared" si="58"/>
        <v>0</v>
      </c>
      <c r="I75" s="2986">
        <f t="shared" ca="1" si="58"/>
        <v>0</v>
      </c>
      <c r="J75" s="2986">
        <f t="shared" ca="1" si="58"/>
        <v>0</v>
      </c>
      <c r="K75" s="2986">
        <f t="shared" ca="1" si="58"/>
        <v>0</v>
      </c>
      <c r="L75" s="1524">
        <f t="shared" ref="L75" ca="1" si="81">+F75+I75</f>
        <v>0</v>
      </c>
      <c r="M75" s="1524">
        <f t="shared" ref="M75" ca="1" si="82">+G75+J75</f>
        <v>0</v>
      </c>
      <c r="N75" s="1545">
        <f t="shared" ref="N75" ca="1" si="83">+H75+K75</f>
        <v>0</v>
      </c>
      <c r="O75" s="3390"/>
      <c r="P75" s="1659">
        <f t="shared" ref="P75" si="84">+IF(E75=0,0,Q75/R75)</f>
        <v>0</v>
      </c>
      <c r="Q75" s="1938">
        <f t="shared" ref="Q75" si="85">+SUM(F75:H75)</f>
        <v>0</v>
      </c>
      <c r="R75" s="1938">
        <f t="shared" ref="R75" si="86">+E75</f>
        <v>0</v>
      </c>
      <c r="S75" s="1569" t="str">
        <f>IF(R75=0,"S.D.",+IF(AND((Q75/R75)&gt;0,(Q75/R75)&lt;=250),"O.K.","VERIFICAR"))</f>
        <v>S.D.</v>
      </c>
      <c r="T75" s="1569"/>
      <c r="V75" s="2179"/>
      <c r="W75" s="2179"/>
      <c r="AA75" s="2179"/>
      <c r="AB75" s="2179"/>
      <c r="AC75" s="2179"/>
      <c r="AD75" s="2523"/>
      <c r="AE75" s="2523"/>
      <c r="AF75" s="2523"/>
      <c r="AG75" s="2523"/>
      <c r="AH75" s="2523"/>
      <c r="AI75" s="2523"/>
      <c r="AJ75" s="2523"/>
      <c r="AK75" s="2523"/>
      <c r="AL75" s="2523"/>
      <c r="AM75" s="2523"/>
      <c r="AN75" s="2523"/>
      <c r="AO75" s="2523"/>
      <c r="AP75" s="2523"/>
      <c r="AQ75" s="1573"/>
    </row>
    <row r="76" spans="1:43" ht="83.1" hidden="1" customHeight="1" x14ac:dyDescent="0.45">
      <c r="A76" s="4066"/>
      <c r="B76" s="3548">
        <v>5051</v>
      </c>
      <c r="C76" s="4552" t="s">
        <v>1245</v>
      </c>
      <c r="D76" s="5813"/>
      <c r="E76" s="2986">
        <f t="shared" si="58"/>
        <v>0</v>
      </c>
      <c r="F76" s="2986">
        <f t="shared" si="58"/>
        <v>0</v>
      </c>
      <c r="G76" s="2986">
        <f t="shared" si="58"/>
        <v>0</v>
      </c>
      <c r="H76" s="2986">
        <f t="shared" si="58"/>
        <v>0</v>
      </c>
      <c r="I76" s="2986">
        <f t="shared" ca="1" si="58"/>
        <v>0</v>
      </c>
      <c r="J76" s="2986">
        <f t="shared" ca="1" si="58"/>
        <v>0</v>
      </c>
      <c r="K76" s="2986">
        <f t="shared" ca="1" si="58"/>
        <v>0</v>
      </c>
      <c r="L76" s="1524">
        <f t="shared" ref="L76:L78" ca="1" si="87">+F76+I76</f>
        <v>0</v>
      </c>
      <c r="M76" s="1524">
        <f t="shared" ref="M76:M78" ca="1" si="88">+G76+J76</f>
        <v>0</v>
      </c>
      <c r="N76" s="1545">
        <f t="shared" ref="N76:N78" ca="1" si="89">+H76+K76</f>
        <v>0</v>
      </c>
      <c r="O76" s="3390"/>
      <c r="P76" s="1659">
        <f t="shared" ref="P76:P78" si="90">+IF(E76=0,0,Q76/R76)</f>
        <v>0</v>
      </c>
      <c r="Q76" s="1938">
        <f t="shared" ref="Q76:Q78" si="91">+SUM(F76:H76)</f>
        <v>0</v>
      </c>
      <c r="R76" s="1938">
        <f t="shared" ref="R76:R78" si="92">+E76</f>
        <v>0</v>
      </c>
      <c r="S76" s="1569" t="str">
        <f>IF(R76=0,"S.D.",+IF(AND((Q76/R76)&gt;0,(Q76/R76)&lt;=500),"O.K.","VERIFICAR"))</f>
        <v>S.D.</v>
      </c>
      <c r="T76" s="1659"/>
      <c r="V76" s="2179"/>
      <c r="W76" s="2179"/>
      <c r="AA76" s="2179"/>
      <c r="AB76" s="2179"/>
      <c r="AC76" s="2179"/>
      <c r="AD76" s="2523"/>
      <c r="AE76" s="2523"/>
      <c r="AF76" s="2523"/>
      <c r="AG76" s="2523"/>
      <c r="AH76" s="2523"/>
      <c r="AI76" s="2523"/>
      <c r="AJ76" s="2523"/>
      <c r="AK76" s="2523"/>
      <c r="AL76" s="2523"/>
      <c r="AM76" s="2523"/>
      <c r="AN76" s="2523"/>
      <c r="AO76" s="2523"/>
      <c r="AP76" s="2523"/>
      <c r="AQ76" s="1573"/>
    </row>
    <row r="77" spans="1:43" ht="83.1" customHeight="1" thickBot="1" x14ac:dyDescent="0.5">
      <c r="A77" s="4066"/>
      <c r="B77" s="3548">
        <v>5055</v>
      </c>
      <c r="C77" s="4552" t="s">
        <v>387</v>
      </c>
      <c r="D77" s="5813"/>
      <c r="E77" s="2986">
        <f t="shared" si="58"/>
        <v>0</v>
      </c>
      <c r="F77" s="2986">
        <f t="shared" si="58"/>
        <v>0</v>
      </c>
      <c r="G77" s="2986">
        <f t="shared" si="58"/>
        <v>0</v>
      </c>
      <c r="H77" s="2986">
        <f t="shared" si="58"/>
        <v>0</v>
      </c>
      <c r="I77" s="2986">
        <f t="shared" ca="1" si="58"/>
        <v>0</v>
      </c>
      <c r="J77" s="2986">
        <f t="shared" ca="1" si="58"/>
        <v>0</v>
      </c>
      <c r="K77" s="2986">
        <f t="shared" ca="1" si="58"/>
        <v>0</v>
      </c>
      <c r="L77" s="1524">
        <f t="shared" ca="1" si="87"/>
        <v>0</v>
      </c>
      <c r="M77" s="1524">
        <f t="shared" ca="1" si="88"/>
        <v>0</v>
      </c>
      <c r="N77" s="1545">
        <f t="shared" ca="1" si="89"/>
        <v>0</v>
      </c>
      <c r="O77" s="3390"/>
      <c r="P77" s="1659">
        <f t="shared" si="90"/>
        <v>0</v>
      </c>
      <c r="Q77" s="1938">
        <f t="shared" si="91"/>
        <v>0</v>
      </c>
      <c r="R77" s="1938">
        <f t="shared" si="92"/>
        <v>0</v>
      </c>
      <c r="S77" s="1569" t="str">
        <f>IF(R77=0,"S.D.",+IF(AND((Q77/R77)&gt;0,(Q77/R77)&lt;=700),"O.K.","VERIFICAR"))</f>
        <v>S.D.</v>
      </c>
      <c r="T77" s="1569"/>
      <c r="V77" s="2179"/>
      <c r="W77" s="2179"/>
      <c r="AA77" s="2179"/>
      <c r="AB77" s="2179"/>
      <c r="AC77" s="2179"/>
      <c r="AD77" s="2523"/>
      <c r="AE77" s="2523"/>
      <c r="AF77" s="2523"/>
      <c r="AG77" s="2523"/>
      <c r="AH77" s="2523"/>
      <c r="AI77" s="2523"/>
      <c r="AJ77" s="2523"/>
      <c r="AK77" s="2523"/>
      <c r="AL77" s="2523"/>
      <c r="AM77" s="2523"/>
      <c r="AN77" s="2523"/>
      <c r="AO77" s="2523"/>
      <c r="AP77" s="2523"/>
      <c r="AQ77" s="1573"/>
    </row>
    <row r="78" spans="1:43" ht="83.1" customHeight="1" thickBot="1" x14ac:dyDescent="0.5">
      <c r="A78" s="4066"/>
      <c r="B78" s="3494">
        <v>5594</v>
      </c>
      <c r="C78" s="3539" t="s">
        <v>1310</v>
      </c>
      <c r="D78" s="3605" t="s">
        <v>1371</v>
      </c>
      <c r="E78" s="2986">
        <f t="shared" si="58"/>
        <v>0</v>
      </c>
      <c r="F78" s="2986">
        <f t="shared" si="58"/>
        <v>0</v>
      </c>
      <c r="G78" s="2986">
        <f t="shared" si="58"/>
        <v>0</v>
      </c>
      <c r="H78" s="2986">
        <f t="shared" si="58"/>
        <v>0</v>
      </c>
      <c r="I78" s="2986">
        <f t="shared" ca="1" si="58"/>
        <v>0</v>
      </c>
      <c r="J78" s="2986">
        <f t="shared" ca="1" si="58"/>
        <v>0</v>
      </c>
      <c r="K78" s="2986">
        <f t="shared" ca="1" si="58"/>
        <v>0</v>
      </c>
      <c r="L78" s="1524">
        <f t="shared" ca="1" si="87"/>
        <v>0</v>
      </c>
      <c r="M78" s="1524">
        <f t="shared" ca="1" si="88"/>
        <v>0</v>
      </c>
      <c r="N78" s="1545">
        <f t="shared" ca="1" si="89"/>
        <v>0</v>
      </c>
      <c r="O78" s="3390"/>
      <c r="P78" s="1659">
        <f t="shared" si="90"/>
        <v>0</v>
      </c>
      <c r="Q78" s="1938">
        <f t="shared" si="91"/>
        <v>0</v>
      </c>
      <c r="R78" s="1938">
        <f t="shared" si="92"/>
        <v>0</v>
      </c>
      <c r="S78" s="1569" t="str">
        <f t="shared" ref="S78:S81" si="93">IF(R78=0,"S.D.",+IF(AND((Q78/R78)&gt;500,(Q78/R78)&lt;=700),"O.K.","VERIFICAR"))</f>
        <v>S.D.</v>
      </c>
      <c r="T78" s="1659"/>
      <c r="V78" s="2179"/>
      <c r="W78" s="2179"/>
      <c r="AA78" s="2179"/>
      <c r="AB78" s="2179"/>
      <c r="AC78" s="2179"/>
      <c r="AD78" s="2523"/>
      <c r="AE78" s="2523"/>
      <c r="AF78" s="2523"/>
      <c r="AG78" s="2523"/>
      <c r="AH78" s="2523"/>
      <c r="AI78" s="2523"/>
      <c r="AJ78" s="2523"/>
      <c r="AK78" s="2523"/>
      <c r="AL78" s="2523"/>
      <c r="AM78" s="2523"/>
      <c r="AN78" s="2523"/>
      <c r="AO78" s="2523"/>
      <c r="AP78" s="2523"/>
      <c r="AQ78" s="1573"/>
    </row>
    <row r="79" spans="1:43" ht="83.1" hidden="1" customHeight="1" thickBot="1" x14ac:dyDescent="0.5">
      <c r="A79" s="4066"/>
      <c r="B79" s="3549">
        <v>5513</v>
      </c>
      <c r="C79" s="3539" t="s">
        <v>1310</v>
      </c>
      <c r="D79" s="3605" t="s">
        <v>1284</v>
      </c>
      <c r="E79" s="2986">
        <f t="shared" si="58"/>
        <v>0</v>
      </c>
      <c r="F79" s="2986">
        <f t="shared" si="58"/>
        <v>0</v>
      </c>
      <c r="G79" s="2986">
        <f t="shared" si="58"/>
        <v>0</v>
      </c>
      <c r="H79" s="2986">
        <f t="shared" si="58"/>
        <v>0</v>
      </c>
      <c r="I79" s="2986">
        <f t="shared" ca="1" si="58"/>
        <v>0</v>
      </c>
      <c r="J79" s="2986">
        <f t="shared" ca="1" si="58"/>
        <v>0</v>
      </c>
      <c r="K79" s="2986">
        <f t="shared" ca="1" si="58"/>
        <v>0</v>
      </c>
      <c r="L79" s="1524">
        <f t="shared" ref="L79:L81" ca="1" si="94">+F79+I79</f>
        <v>0</v>
      </c>
      <c r="M79" s="1524">
        <f t="shared" ref="M79:M81" ca="1" si="95">+G79+J79</f>
        <v>0</v>
      </c>
      <c r="N79" s="1545">
        <f t="shared" ref="N79:N81" ca="1" si="96">+H79+K79</f>
        <v>0</v>
      </c>
      <c r="O79" s="3390"/>
      <c r="P79" s="1659">
        <f t="shared" ref="P79:P81" si="97">+IF(E79=0,0,Q79/R79)</f>
        <v>0</v>
      </c>
      <c r="Q79" s="1938">
        <f t="shared" ref="Q79:Q81" si="98">+SUM(F79:H79)</f>
        <v>0</v>
      </c>
      <c r="R79" s="1938">
        <f t="shared" ref="R79:R81" si="99">+E79</f>
        <v>0</v>
      </c>
      <c r="S79" s="1569" t="str">
        <f t="shared" si="93"/>
        <v>S.D.</v>
      </c>
      <c r="T79" s="1659"/>
      <c r="V79" s="2179"/>
      <c r="W79" s="2179"/>
      <c r="AA79" s="2179"/>
      <c r="AB79" s="2179"/>
      <c r="AC79" s="2179"/>
      <c r="AD79" s="2523"/>
      <c r="AE79" s="2523"/>
      <c r="AF79" s="2523"/>
      <c r="AG79" s="2523"/>
      <c r="AH79" s="2523"/>
      <c r="AI79" s="2523"/>
      <c r="AJ79" s="2523"/>
      <c r="AK79" s="2523"/>
      <c r="AL79" s="2523"/>
      <c r="AM79" s="2523"/>
      <c r="AN79" s="2523"/>
      <c r="AO79" s="2523"/>
      <c r="AP79" s="2523"/>
      <c r="AQ79" s="1573"/>
    </row>
    <row r="80" spans="1:43" ht="83.1" customHeight="1" thickBot="1" x14ac:dyDescent="0.5">
      <c r="A80" s="4066"/>
      <c r="B80" s="3545">
        <v>5604</v>
      </c>
      <c r="C80" s="3539" t="s">
        <v>1310</v>
      </c>
      <c r="D80" s="5810" t="s">
        <v>1285</v>
      </c>
      <c r="E80" s="2986">
        <f t="shared" si="58"/>
        <v>0</v>
      </c>
      <c r="F80" s="2986">
        <f t="shared" si="58"/>
        <v>0</v>
      </c>
      <c r="G80" s="2986">
        <f t="shared" si="58"/>
        <v>0</v>
      </c>
      <c r="H80" s="2986">
        <f t="shared" si="58"/>
        <v>0</v>
      </c>
      <c r="I80" s="2986">
        <f t="shared" ca="1" si="58"/>
        <v>0</v>
      </c>
      <c r="J80" s="2986">
        <f t="shared" ca="1" si="58"/>
        <v>0</v>
      </c>
      <c r="K80" s="2986">
        <f t="shared" ca="1" si="58"/>
        <v>0</v>
      </c>
      <c r="L80" s="1524">
        <f t="shared" ca="1" si="94"/>
        <v>0</v>
      </c>
      <c r="M80" s="1524">
        <f t="shared" ca="1" si="95"/>
        <v>0</v>
      </c>
      <c r="N80" s="1545">
        <f t="shared" ca="1" si="96"/>
        <v>0</v>
      </c>
      <c r="O80" s="3390"/>
      <c r="P80" s="1659">
        <f t="shared" si="97"/>
        <v>0</v>
      </c>
      <c r="Q80" s="1938">
        <f t="shared" si="98"/>
        <v>0</v>
      </c>
      <c r="R80" s="1938">
        <f t="shared" si="99"/>
        <v>0</v>
      </c>
      <c r="S80" s="1569" t="str">
        <f t="shared" si="93"/>
        <v>S.D.</v>
      </c>
      <c r="T80" s="1569"/>
      <c r="V80" s="2179"/>
      <c r="W80" s="2179"/>
      <c r="AA80" s="2179"/>
      <c r="AB80" s="2179"/>
      <c r="AC80" s="2179"/>
      <c r="AD80" s="2523"/>
      <c r="AE80" s="2523"/>
      <c r="AF80" s="2523"/>
      <c r="AG80" s="2523"/>
      <c r="AH80" s="2523"/>
      <c r="AI80" s="2523"/>
      <c r="AJ80" s="2523"/>
      <c r="AK80" s="2523"/>
      <c r="AL80" s="2523"/>
      <c r="AM80" s="2523"/>
      <c r="AN80" s="2523"/>
      <c r="AO80" s="2523"/>
      <c r="AP80" s="2523"/>
      <c r="AQ80" s="1573"/>
    </row>
    <row r="81" spans="1:45" ht="83.1" hidden="1" customHeight="1" thickBot="1" x14ac:dyDescent="0.5">
      <c r="A81" s="4181"/>
      <c r="B81" s="3545">
        <v>5563</v>
      </c>
      <c r="C81" s="3539" t="s">
        <v>1310</v>
      </c>
      <c r="D81" s="5810" t="s">
        <v>1286</v>
      </c>
      <c r="E81" s="2986">
        <f t="shared" si="58"/>
        <v>0</v>
      </c>
      <c r="F81" s="2986">
        <f t="shared" si="58"/>
        <v>0</v>
      </c>
      <c r="G81" s="2986">
        <f t="shared" si="58"/>
        <v>0</v>
      </c>
      <c r="H81" s="2986">
        <f t="shared" si="58"/>
        <v>0</v>
      </c>
      <c r="I81" s="2986">
        <f t="shared" ca="1" si="58"/>
        <v>0</v>
      </c>
      <c r="J81" s="2986">
        <f t="shared" ca="1" si="58"/>
        <v>0</v>
      </c>
      <c r="K81" s="2986">
        <f t="shared" ca="1" si="58"/>
        <v>0</v>
      </c>
      <c r="L81" s="1524">
        <f t="shared" ca="1" si="94"/>
        <v>0</v>
      </c>
      <c r="M81" s="1524">
        <f t="shared" ca="1" si="95"/>
        <v>0</v>
      </c>
      <c r="N81" s="1545">
        <f t="shared" ca="1" si="96"/>
        <v>0</v>
      </c>
      <c r="O81" s="3390"/>
      <c r="P81" s="1659">
        <f t="shared" si="97"/>
        <v>0</v>
      </c>
      <c r="Q81" s="1938">
        <f t="shared" si="98"/>
        <v>0</v>
      </c>
      <c r="R81" s="1938">
        <f t="shared" si="99"/>
        <v>0</v>
      </c>
      <c r="S81" s="1569" t="str">
        <f t="shared" si="93"/>
        <v>S.D.</v>
      </c>
      <c r="T81" s="1569"/>
      <c r="V81" s="2179"/>
      <c r="W81" s="2179"/>
      <c r="AA81" s="2179"/>
      <c r="AB81" s="2179"/>
      <c r="AC81" s="2179"/>
      <c r="AD81" s="2523"/>
      <c r="AE81" s="2523"/>
      <c r="AF81" s="2523"/>
      <c r="AG81" s="2523"/>
      <c r="AH81" s="2523"/>
      <c r="AI81" s="2523"/>
      <c r="AJ81" s="2523"/>
      <c r="AK81" s="2523"/>
      <c r="AL81" s="2523"/>
      <c r="AM81" s="2523"/>
      <c r="AN81" s="2523"/>
      <c r="AO81" s="2523"/>
      <c r="AP81" s="2523"/>
      <c r="AQ81" s="1573"/>
    </row>
    <row r="82" spans="1:45" ht="83.1" customHeight="1" thickBot="1" x14ac:dyDescent="0.5">
      <c r="A82" s="4182"/>
      <c r="B82" s="4179" t="s">
        <v>395</v>
      </c>
      <c r="C82" s="4180"/>
      <c r="D82" s="4180"/>
      <c r="E82" s="1557">
        <f>SUM(E65:E80)</f>
        <v>0</v>
      </c>
      <c r="F82" s="1557">
        <f t="shared" ref="F82:O82" si="100">SUM(F65:F80)</f>
        <v>0</v>
      </c>
      <c r="G82" s="1557">
        <f t="shared" si="100"/>
        <v>0</v>
      </c>
      <c r="H82" s="1557">
        <f t="shared" si="100"/>
        <v>0</v>
      </c>
      <c r="I82" s="1557">
        <f t="shared" ca="1" si="100"/>
        <v>0</v>
      </c>
      <c r="J82" s="1557">
        <f t="shared" ca="1" si="100"/>
        <v>0</v>
      </c>
      <c r="K82" s="1557">
        <f t="shared" ca="1" si="100"/>
        <v>0</v>
      </c>
      <c r="L82" s="2031">
        <f t="shared" ca="1" si="100"/>
        <v>0</v>
      </c>
      <c r="M82" s="2031">
        <f t="shared" ca="1" si="100"/>
        <v>0</v>
      </c>
      <c r="N82" s="2031">
        <f t="shared" ca="1" si="100"/>
        <v>0</v>
      </c>
      <c r="O82" s="2031">
        <f t="shared" si="100"/>
        <v>0</v>
      </c>
      <c r="P82" s="1659">
        <f t="shared" si="54"/>
        <v>0</v>
      </c>
      <c r="Q82" s="1938">
        <f t="shared" si="55"/>
        <v>0</v>
      </c>
      <c r="R82" s="1938">
        <f t="shared" si="56"/>
        <v>0</v>
      </c>
      <c r="S82" s="1569"/>
      <c r="T82" s="1549"/>
      <c r="V82" s="1605"/>
      <c r="W82" s="1605"/>
      <c r="X82" s="1605"/>
      <c r="Y82" s="1605"/>
      <c r="Z82" s="1605"/>
      <c r="AA82" s="1605"/>
      <c r="AB82" s="1605"/>
      <c r="AC82" s="1605"/>
      <c r="AD82" s="1605"/>
      <c r="AE82" s="1605"/>
      <c r="AF82" s="1605"/>
      <c r="AG82" s="1605"/>
      <c r="AH82" s="1605"/>
      <c r="AI82" s="1605"/>
      <c r="AJ82" s="1605"/>
      <c r="AK82" s="1605"/>
      <c r="AL82" s="1605"/>
      <c r="AM82" s="1605"/>
      <c r="AN82" s="1605"/>
      <c r="AO82" s="1605"/>
      <c r="AP82" s="1605"/>
      <c r="AQ82" s="1605"/>
      <c r="AR82" s="1605"/>
      <c r="AS82" s="1605"/>
    </row>
    <row r="83" spans="1:45" ht="49.5" customHeight="1" x14ac:dyDescent="0.45">
      <c r="A83" s="1561"/>
      <c r="B83" s="2260"/>
      <c r="C83" s="2260"/>
      <c r="D83" s="2260"/>
      <c r="E83" s="1562"/>
      <c r="F83" s="1562"/>
      <c r="G83" s="1562"/>
      <c r="H83" s="3446">
        <f>+H82+G82+F82</f>
        <v>0</v>
      </c>
      <c r="I83" s="1562"/>
      <c r="J83" s="1562"/>
      <c r="K83" s="1562"/>
      <c r="L83" s="1562"/>
      <c r="M83" s="1562"/>
      <c r="N83" s="1563"/>
      <c r="O83" s="1573"/>
      <c r="P83" s="1490"/>
    </row>
    <row r="84" spans="1:45" ht="49.5" customHeight="1" thickBot="1" x14ac:dyDescent="0.5">
      <c r="A84" s="3388"/>
      <c r="B84" s="2260"/>
      <c r="C84" s="2260"/>
      <c r="D84" s="2260"/>
      <c r="E84" s="2260"/>
      <c r="F84" s="2260"/>
      <c r="G84" s="2260"/>
      <c r="H84" s="2260"/>
      <c r="I84" s="2260"/>
      <c r="J84" s="2260"/>
      <c r="K84" s="2260"/>
      <c r="L84" s="2260"/>
      <c r="M84" s="2260"/>
      <c r="N84" s="3389"/>
      <c r="O84" s="1573"/>
      <c r="P84" s="1490"/>
    </row>
    <row r="85" spans="1:45" s="1540" customFormat="1" ht="49.5" customHeight="1" x14ac:dyDescent="0.5">
      <c r="A85" s="4188" t="s">
        <v>396</v>
      </c>
      <c r="B85" s="4189"/>
      <c r="C85" s="4189"/>
      <c r="D85" s="4189"/>
      <c r="E85" s="5817" t="s">
        <v>101</v>
      </c>
      <c r="F85" s="5285" t="s">
        <v>304</v>
      </c>
      <c r="G85" s="5285"/>
      <c r="H85" s="5285"/>
      <c r="I85" s="5285" t="s">
        <v>368</v>
      </c>
      <c r="J85" s="5285"/>
      <c r="K85" s="5285"/>
      <c r="L85" s="4237" t="s">
        <v>377</v>
      </c>
      <c r="M85" s="4238"/>
      <c r="N85" s="4239"/>
      <c r="O85" s="1574"/>
      <c r="P85" s="4253" t="s">
        <v>241</v>
      </c>
      <c r="Q85" s="4253"/>
      <c r="R85" s="4253"/>
      <c r="S85" s="4253"/>
      <c r="T85" s="4253"/>
      <c r="V85" s="1638"/>
      <c r="W85" s="1638"/>
      <c r="X85" s="4252"/>
      <c r="Y85" s="4252"/>
      <c r="Z85" s="4252"/>
      <c r="AA85" s="4252"/>
      <c r="AB85" s="4252"/>
      <c r="AC85" s="4252"/>
      <c r="AD85" s="4252"/>
      <c r="AE85" s="4252"/>
      <c r="AF85" s="4252"/>
      <c r="AG85" s="4252"/>
      <c r="AH85" s="4252"/>
      <c r="AI85" s="4252"/>
      <c r="AJ85" s="4252"/>
      <c r="AK85" s="4252"/>
      <c r="AL85" s="4252"/>
      <c r="AM85" s="4252"/>
      <c r="AN85" s="4252"/>
      <c r="AO85" s="4252"/>
      <c r="AP85" s="4252"/>
      <c r="AQ85" s="4252"/>
      <c r="AR85" s="4252"/>
      <c r="AS85" s="4252"/>
    </row>
    <row r="86" spans="1:45" s="1540" customFormat="1" ht="49.5" customHeight="1" thickBot="1" x14ac:dyDescent="0.5">
      <c r="A86" s="4191"/>
      <c r="B86" s="4192"/>
      <c r="C86" s="4192"/>
      <c r="D86" s="4192"/>
      <c r="E86" s="5817"/>
      <c r="F86" s="1575" t="s">
        <v>287</v>
      </c>
      <c r="G86" s="1575" t="s">
        <v>289</v>
      </c>
      <c r="H86" s="1575" t="s">
        <v>288</v>
      </c>
      <c r="I86" s="1575" t="s">
        <v>287</v>
      </c>
      <c r="J86" s="1575" t="s">
        <v>289</v>
      </c>
      <c r="K86" s="1575" t="s">
        <v>288</v>
      </c>
      <c r="L86" s="1515" t="s">
        <v>287</v>
      </c>
      <c r="M86" s="1515" t="s">
        <v>289</v>
      </c>
      <c r="N86" s="1517" t="s">
        <v>288</v>
      </c>
      <c r="O86" s="1574"/>
      <c r="P86" s="979" t="s">
        <v>370</v>
      </c>
      <c r="Q86" s="979" t="s">
        <v>25</v>
      </c>
      <c r="R86" s="979" t="s">
        <v>371</v>
      </c>
      <c r="S86" s="979" t="s">
        <v>241</v>
      </c>
      <c r="T86" s="979"/>
      <c r="V86" s="1638"/>
      <c r="W86" s="1638"/>
      <c r="X86" s="1638"/>
      <c r="Y86" s="1638"/>
      <c r="Z86" s="1638"/>
      <c r="AA86" s="1638"/>
      <c r="AB86" s="1638"/>
      <c r="AC86" s="1638"/>
      <c r="AD86" s="1638"/>
      <c r="AE86" s="1638"/>
      <c r="AF86" s="1638"/>
      <c r="AG86" s="1638"/>
      <c r="AH86" s="1638"/>
      <c r="AI86" s="1638"/>
      <c r="AJ86" s="1638"/>
      <c r="AK86" s="1638"/>
      <c r="AL86" s="1638"/>
      <c r="AM86" s="1638"/>
      <c r="AN86" s="1638"/>
      <c r="AO86" s="1638"/>
      <c r="AP86" s="1638"/>
      <c r="AQ86" s="1638"/>
      <c r="AR86" s="1638"/>
      <c r="AS86" s="1638"/>
    </row>
    <row r="87" spans="1:45" ht="68.45" customHeight="1" x14ac:dyDescent="0.45">
      <c r="A87" s="4068" t="s">
        <v>62</v>
      </c>
      <c r="B87" s="3547">
        <v>5030</v>
      </c>
      <c r="C87" s="4231" t="s">
        <v>217</v>
      </c>
      <c r="D87" s="5815"/>
      <c r="E87" s="2986">
        <f>+E373</f>
        <v>0</v>
      </c>
      <c r="F87" s="2986">
        <f t="shared" ref="F87:K87" si="101">+F373</f>
        <v>0</v>
      </c>
      <c r="G87" s="2986">
        <f t="shared" si="101"/>
        <v>0</v>
      </c>
      <c r="H87" s="2986">
        <f t="shared" si="101"/>
        <v>0</v>
      </c>
      <c r="I87" s="2986">
        <f t="shared" ca="1" si="101"/>
        <v>0</v>
      </c>
      <c r="J87" s="2986">
        <f t="shared" ca="1" si="101"/>
        <v>0</v>
      </c>
      <c r="K87" s="2986">
        <f t="shared" ca="1" si="101"/>
        <v>0</v>
      </c>
      <c r="L87" s="1524">
        <f t="shared" ref="L87:N87" ca="1" si="102">+F87+I87</f>
        <v>0</v>
      </c>
      <c r="M87" s="1524">
        <f t="shared" ca="1" si="102"/>
        <v>0</v>
      </c>
      <c r="N87" s="1545">
        <f t="shared" ca="1" si="102"/>
        <v>0</v>
      </c>
      <c r="O87" s="2521" t="s">
        <v>396</v>
      </c>
      <c r="P87" s="1659">
        <f t="shared" ref="P87:P104" si="103">+IF(E87=0,0,Q87/R87)</f>
        <v>0</v>
      </c>
      <c r="Q87" s="1938">
        <f t="shared" ref="Q87:Q104" si="104">+SUM(F87:H87)</f>
        <v>0</v>
      </c>
      <c r="R87" s="1938">
        <f t="shared" ref="R87:R104" si="105">+E87</f>
        <v>0</v>
      </c>
      <c r="S87" s="1569" t="str">
        <f t="shared" ref="S87:S96" si="106">IF(R87=0,"S.D.",+IF(AND((Q87/R87)&gt;700,(Q87/R87)&lt;=1400),"O.K.","VERIFICAR"))</f>
        <v>S.D.</v>
      </c>
      <c r="T87" s="1659"/>
      <c r="V87" s="2179"/>
      <c r="W87" s="2179"/>
      <c r="AA87" s="2179"/>
      <c r="AB87" s="2179"/>
      <c r="AC87" s="2179"/>
      <c r="AD87" s="2523"/>
      <c r="AE87" s="2523"/>
      <c r="AF87" s="2523"/>
      <c r="AG87" s="2523"/>
      <c r="AH87" s="2523"/>
      <c r="AI87" s="2523"/>
      <c r="AJ87" s="2523"/>
      <c r="AK87" s="2523"/>
      <c r="AL87" s="2523"/>
      <c r="AM87" s="2523"/>
      <c r="AN87" s="2523"/>
      <c r="AO87" s="2523"/>
      <c r="AP87" s="2523"/>
      <c r="AQ87" s="1573"/>
    </row>
    <row r="88" spans="1:45" ht="68.45" customHeight="1" x14ac:dyDescent="0.45">
      <c r="A88" s="4069"/>
      <c r="B88" s="3494">
        <v>5575</v>
      </c>
      <c r="C88" s="3534" t="s">
        <v>1308</v>
      </c>
      <c r="D88" s="3605" t="s">
        <v>1287</v>
      </c>
      <c r="E88" s="2986">
        <f t="shared" ref="E88:K103" si="107">+E374</f>
        <v>0</v>
      </c>
      <c r="F88" s="2986">
        <f t="shared" si="107"/>
        <v>0</v>
      </c>
      <c r="G88" s="2986">
        <f t="shared" si="107"/>
        <v>0</v>
      </c>
      <c r="H88" s="2986">
        <f t="shared" si="107"/>
        <v>0</v>
      </c>
      <c r="I88" s="2986">
        <f t="shared" ca="1" si="107"/>
        <v>0</v>
      </c>
      <c r="J88" s="2986">
        <f t="shared" ca="1" si="107"/>
        <v>0</v>
      </c>
      <c r="K88" s="2986">
        <f t="shared" ca="1" si="107"/>
        <v>0</v>
      </c>
      <c r="L88" s="1524">
        <f t="shared" ref="L88:L96" ca="1" si="108">+F88+I88</f>
        <v>0</v>
      </c>
      <c r="M88" s="1524">
        <f t="shared" ref="M88:M96" ca="1" si="109">+G88+J88</f>
        <v>0</v>
      </c>
      <c r="N88" s="1545">
        <f t="shared" ref="N88:N96" ca="1" si="110">+H88+K88</f>
        <v>0</v>
      </c>
      <c r="O88" s="2522"/>
      <c r="P88" s="1659">
        <f t="shared" si="103"/>
        <v>0</v>
      </c>
      <c r="Q88" s="1938">
        <f t="shared" si="104"/>
        <v>0</v>
      </c>
      <c r="R88" s="1938">
        <f t="shared" si="105"/>
        <v>0</v>
      </c>
      <c r="S88" s="1569" t="str">
        <f t="shared" si="106"/>
        <v>S.D.</v>
      </c>
      <c r="T88" s="1569"/>
      <c r="V88" s="2179"/>
      <c r="W88" s="2179"/>
      <c r="AA88" s="2179"/>
      <c r="AB88" s="2179"/>
      <c r="AC88" s="2179"/>
      <c r="AD88" s="2523"/>
      <c r="AE88" s="2523"/>
      <c r="AF88" s="2523"/>
      <c r="AG88" s="2523"/>
      <c r="AH88" s="2523"/>
      <c r="AI88" s="2523"/>
      <c r="AJ88" s="2523"/>
      <c r="AK88" s="2523"/>
      <c r="AL88" s="2523"/>
      <c r="AM88" s="2523"/>
      <c r="AN88" s="2523"/>
      <c r="AO88" s="2523"/>
      <c r="AP88" s="2523"/>
      <c r="AQ88" s="1573"/>
    </row>
    <row r="89" spans="1:45" ht="68.45" customHeight="1" x14ac:dyDescent="0.45">
      <c r="A89" s="4069"/>
      <c r="B89" s="3495">
        <v>5585</v>
      </c>
      <c r="C89" s="3534" t="s">
        <v>1308</v>
      </c>
      <c r="D89" s="3606" t="s">
        <v>1288</v>
      </c>
      <c r="E89" s="2986">
        <f t="shared" si="107"/>
        <v>0</v>
      </c>
      <c r="F89" s="2986">
        <f t="shared" si="107"/>
        <v>0</v>
      </c>
      <c r="G89" s="2986">
        <f t="shared" si="107"/>
        <v>0</v>
      </c>
      <c r="H89" s="2986">
        <f t="shared" si="107"/>
        <v>0</v>
      </c>
      <c r="I89" s="2986">
        <f t="shared" ca="1" si="107"/>
        <v>0</v>
      </c>
      <c r="J89" s="2986">
        <f t="shared" ca="1" si="107"/>
        <v>0</v>
      </c>
      <c r="K89" s="2986">
        <f t="shared" ca="1" si="107"/>
        <v>0</v>
      </c>
      <c r="L89" s="1524">
        <f t="shared" ref="L89" ca="1" si="111">+F89+I89</f>
        <v>0</v>
      </c>
      <c r="M89" s="1524">
        <f t="shared" ref="M89" ca="1" si="112">+G89+J89</f>
        <v>0</v>
      </c>
      <c r="N89" s="1545">
        <f t="shared" ref="N89" ca="1" si="113">+H89+K89</f>
        <v>0</v>
      </c>
      <c r="O89" s="2522"/>
      <c r="P89" s="1659">
        <f t="shared" ref="P89" si="114">+IF(E89=0,0,Q89/R89)</f>
        <v>0</v>
      </c>
      <c r="Q89" s="1938">
        <f t="shared" ref="Q89" si="115">+SUM(F89:H89)</f>
        <v>0</v>
      </c>
      <c r="R89" s="1938">
        <f t="shared" ref="R89" si="116">+E89</f>
        <v>0</v>
      </c>
      <c r="S89" s="1569" t="str">
        <f t="shared" si="106"/>
        <v>S.D.</v>
      </c>
      <c r="T89" s="1569"/>
      <c r="V89" s="2179"/>
      <c r="W89" s="2179"/>
      <c r="AA89" s="2179"/>
      <c r="AB89" s="2179"/>
      <c r="AC89" s="2179"/>
      <c r="AD89" s="2523"/>
      <c r="AE89" s="2523"/>
      <c r="AF89" s="2523"/>
      <c r="AG89" s="2523"/>
      <c r="AH89" s="2523"/>
      <c r="AI89" s="2523"/>
      <c r="AJ89" s="2523"/>
      <c r="AK89" s="2523"/>
      <c r="AL89" s="2523"/>
      <c r="AM89" s="2523"/>
      <c r="AN89" s="2523"/>
      <c r="AO89" s="2523"/>
      <c r="AP89" s="2523"/>
      <c r="AQ89" s="1573"/>
    </row>
    <row r="90" spans="1:45" ht="68.45" customHeight="1" x14ac:dyDescent="0.45">
      <c r="A90" s="4069"/>
      <c r="B90" s="3537">
        <v>5040</v>
      </c>
      <c r="C90" s="4254" t="s">
        <v>218</v>
      </c>
      <c r="D90" s="4255"/>
      <c r="E90" s="2986">
        <f t="shared" si="107"/>
        <v>0</v>
      </c>
      <c r="F90" s="2986">
        <f t="shared" si="107"/>
        <v>0</v>
      </c>
      <c r="G90" s="2986">
        <f t="shared" si="107"/>
        <v>0</v>
      </c>
      <c r="H90" s="2986">
        <f t="shared" si="107"/>
        <v>0</v>
      </c>
      <c r="I90" s="2986">
        <f t="shared" ca="1" si="107"/>
        <v>0</v>
      </c>
      <c r="J90" s="2986">
        <f t="shared" ca="1" si="107"/>
        <v>0</v>
      </c>
      <c r="K90" s="2986">
        <f t="shared" ca="1" si="107"/>
        <v>0</v>
      </c>
      <c r="L90" s="1524">
        <f t="shared" ca="1" si="108"/>
        <v>0</v>
      </c>
      <c r="M90" s="1524">
        <f t="shared" ca="1" si="109"/>
        <v>0</v>
      </c>
      <c r="N90" s="1545">
        <f t="shared" ca="1" si="110"/>
        <v>0</v>
      </c>
      <c r="O90" s="2522"/>
      <c r="P90" s="1659">
        <f t="shared" si="103"/>
        <v>0</v>
      </c>
      <c r="Q90" s="1938">
        <f t="shared" si="104"/>
        <v>0</v>
      </c>
      <c r="R90" s="1938">
        <f t="shared" si="105"/>
        <v>0</v>
      </c>
      <c r="S90" s="1569" t="str">
        <f>IF(R90=0,"S.D.",+IF(AND((Q90/R90)&gt;0,(Q90/R90)&lt;=350),"O.K.","VERIFICAR"))</f>
        <v>S.D.</v>
      </c>
      <c r="T90" s="1659"/>
      <c r="V90" s="2179"/>
      <c r="W90" s="2179"/>
      <c r="AA90" s="2179"/>
      <c r="AB90" s="2179"/>
      <c r="AC90" s="2179"/>
      <c r="AD90" s="2523"/>
      <c r="AE90" s="2523"/>
      <c r="AF90" s="2523"/>
      <c r="AG90" s="2523"/>
      <c r="AH90" s="2523"/>
      <c r="AI90" s="2523"/>
      <c r="AJ90" s="2523"/>
      <c r="AK90" s="2523"/>
      <c r="AL90" s="2523"/>
      <c r="AM90" s="2523"/>
      <c r="AN90" s="2523"/>
      <c r="AO90" s="2523"/>
      <c r="AP90" s="2523"/>
      <c r="AQ90" s="1573"/>
    </row>
    <row r="91" spans="1:45" ht="68.45" hidden="1" customHeight="1" x14ac:dyDescent="0.45">
      <c r="A91" s="4069"/>
      <c r="B91" s="3537">
        <v>5041</v>
      </c>
      <c r="C91" s="4254" t="s">
        <v>1265</v>
      </c>
      <c r="D91" s="4255"/>
      <c r="E91" s="2986">
        <f t="shared" si="107"/>
        <v>0</v>
      </c>
      <c r="F91" s="2986">
        <f t="shared" si="107"/>
        <v>0</v>
      </c>
      <c r="G91" s="2986">
        <f t="shared" si="107"/>
        <v>0</v>
      </c>
      <c r="H91" s="2986">
        <f t="shared" si="107"/>
        <v>0</v>
      </c>
      <c r="I91" s="2986">
        <f t="shared" ca="1" si="107"/>
        <v>0</v>
      </c>
      <c r="J91" s="2986">
        <f t="shared" ca="1" si="107"/>
        <v>0</v>
      </c>
      <c r="K91" s="2986">
        <f t="shared" ca="1" si="107"/>
        <v>0</v>
      </c>
      <c r="L91" s="1524">
        <f t="shared" ca="1" si="108"/>
        <v>0</v>
      </c>
      <c r="M91" s="1524">
        <f t="shared" ca="1" si="109"/>
        <v>0</v>
      </c>
      <c r="N91" s="1545">
        <f t="shared" ca="1" si="110"/>
        <v>0</v>
      </c>
      <c r="O91" s="2522"/>
      <c r="P91" s="1659">
        <f t="shared" si="103"/>
        <v>0</v>
      </c>
      <c r="Q91" s="1938">
        <f t="shared" si="104"/>
        <v>0</v>
      </c>
      <c r="R91" s="1938">
        <f t="shared" si="105"/>
        <v>0</v>
      </c>
      <c r="S91" s="1569" t="str">
        <f>+IF(R91=0,"S.D.",IF(AND((Q91/R91)&gt;0,(Q91/R91)&lt;=700),"O.K.","VERIFICAR"))</f>
        <v>S.D.</v>
      </c>
      <c r="T91" s="1659"/>
      <c r="V91" s="2179"/>
      <c r="W91" s="2179"/>
      <c r="AA91" s="2179"/>
      <c r="AB91" s="2179"/>
      <c r="AC91" s="2179"/>
      <c r="AD91" s="2523"/>
      <c r="AE91" s="2523"/>
      <c r="AF91" s="2523"/>
      <c r="AG91" s="2523"/>
      <c r="AH91" s="2523"/>
      <c r="AI91" s="2523"/>
      <c r="AJ91" s="2523"/>
      <c r="AK91" s="2523"/>
      <c r="AL91" s="2523"/>
      <c r="AM91" s="2523"/>
      <c r="AN91" s="2523"/>
      <c r="AO91" s="2523"/>
      <c r="AP91" s="2523"/>
      <c r="AQ91" s="1573"/>
    </row>
    <row r="92" spans="1:45" ht="68.45" customHeight="1" thickBot="1" x14ac:dyDescent="0.5">
      <c r="A92" s="4069"/>
      <c r="B92" s="3537">
        <v>5045</v>
      </c>
      <c r="C92" s="4254" t="s">
        <v>1373</v>
      </c>
      <c r="D92" s="4255"/>
      <c r="E92" s="2986">
        <f t="shared" si="107"/>
        <v>0</v>
      </c>
      <c r="F92" s="2986">
        <f t="shared" si="107"/>
        <v>0</v>
      </c>
      <c r="G92" s="2986">
        <f t="shared" si="107"/>
        <v>0</v>
      </c>
      <c r="H92" s="2986">
        <f t="shared" si="107"/>
        <v>0</v>
      </c>
      <c r="I92" s="2986">
        <f t="shared" ca="1" si="107"/>
        <v>0</v>
      </c>
      <c r="J92" s="2986">
        <f t="shared" ca="1" si="107"/>
        <v>0</v>
      </c>
      <c r="K92" s="2986">
        <f t="shared" ca="1" si="107"/>
        <v>0</v>
      </c>
      <c r="L92" s="1524">
        <f t="shared" ref="L92" ca="1" si="117">+F92+I92</f>
        <v>0</v>
      </c>
      <c r="M92" s="1524">
        <f t="shared" ref="M92" ca="1" si="118">+G92+J92</f>
        <v>0</v>
      </c>
      <c r="N92" s="1545">
        <f t="shared" ref="N92" ca="1" si="119">+H92+K92</f>
        <v>0</v>
      </c>
      <c r="O92" s="2522"/>
      <c r="P92" s="1659">
        <f t="shared" ref="P92" si="120">+IF(E92=0,0,Q92/R92)</f>
        <v>0</v>
      </c>
      <c r="Q92" s="1938">
        <f t="shared" ref="Q92" si="121">+SUM(F92:H92)</f>
        <v>0</v>
      </c>
      <c r="R92" s="1938">
        <f t="shared" ref="R92" si="122">+E92</f>
        <v>0</v>
      </c>
      <c r="S92" s="1569" t="str">
        <f>+IF(R92=0,"S.D.",IF(AND((Q92/R92)&gt;0,(Q92/R92)&lt;=1400),"O.K.","VERIFICAR"))</f>
        <v>S.D.</v>
      </c>
      <c r="T92" s="1659"/>
      <c r="V92" s="2179"/>
      <c r="W92" s="2179"/>
      <c r="AA92" s="2179"/>
      <c r="AB92" s="2179"/>
      <c r="AC92" s="2179"/>
      <c r="AD92" s="2523"/>
      <c r="AE92" s="2523"/>
      <c r="AF92" s="2523"/>
      <c r="AG92" s="2523"/>
      <c r="AH92" s="2523"/>
      <c r="AI92" s="2523"/>
      <c r="AJ92" s="2523"/>
      <c r="AK92" s="2523"/>
      <c r="AL92" s="2523"/>
      <c r="AM92" s="2523"/>
      <c r="AN92" s="2523"/>
      <c r="AO92" s="2523"/>
      <c r="AP92" s="2523"/>
      <c r="AQ92" s="1573"/>
    </row>
    <row r="93" spans="1:45" ht="68.45" customHeight="1" thickBot="1" x14ac:dyDescent="0.5">
      <c r="A93" s="4069"/>
      <c r="B93" s="3494">
        <v>5508</v>
      </c>
      <c r="C93" s="3539" t="s">
        <v>1309</v>
      </c>
      <c r="D93" s="3605" t="s">
        <v>1289</v>
      </c>
      <c r="E93" s="2986">
        <f t="shared" si="107"/>
        <v>0</v>
      </c>
      <c r="F93" s="2986">
        <f t="shared" si="107"/>
        <v>0</v>
      </c>
      <c r="G93" s="2986">
        <f t="shared" si="107"/>
        <v>0</v>
      </c>
      <c r="H93" s="2986">
        <f t="shared" si="107"/>
        <v>0</v>
      </c>
      <c r="I93" s="2986">
        <f t="shared" ca="1" si="107"/>
        <v>0</v>
      </c>
      <c r="J93" s="2986">
        <f t="shared" ca="1" si="107"/>
        <v>0</v>
      </c>
      <c r="K93" s="2986">
        <f t="shared" ca="1" si="107"/>
        <v>0</v>
      </c>
      <c r="L93" s="1524">
        <f t="shared" ca="1" si="108"/>
        <v>0</v>
      </c>
      <c r="M93" s="1524">
        <f t="shared" ca="1" si="109"/>
        <v>0</v>
      </c>
      <c r="N93" s="1545">
        <f t="shared" ca="1" si="110"/>
        <v>0</v>
      </c>
      <c r="O93" s="2522"/>
      <c r="P93" s="1659">
        <f t="shared" si="103"/>
        <v>0</v>
      </c>
      <c r="Q93" s="1938">
        <f t="shared" si="104"/>
        <v>0</v>
      </c>
      <c r="R93" s="1938">
        <f t="shared" si="105"/>
        <v>0</v>
      </c>
      <c r="S93" s="1569" t="str">
        <f t="shared" si="106"/>
        <v>S.D.</v>
      </c>
      <c r="T93" s="1659"/>
      <c r="V93" s="2179"/>
      <c r="W93" s="2179"/>
      <c r="AA93" s="2179"/>
      <c r="AB93" s="2179"/>
      <c r="AC93" s="2179"/>
      <c r="AD93" s="2523"/>
      <c r="AE93" s="2523"/>
      <c r="AF93" s="2523"/>
      <c r="AG93" s="2523"/>
      <c r="AH93" s="2523"/>
      <c r="AI93" s="2523"/>
      <c r="AJ93" s="2523"/>
      <c r="AK93" s="2523"/>
      <c r="AL93" s="2523"/>
      <c r="AM93" s="2523"/>
      <c r="AN93" s="2523"/>
      <c r="AO93" s="2523"/>
      <c r="AP93" s="2523"/>
      <c r="AQ93" s="1573"/>
    </row>
    <row r="94" spans="1:45" ht="68.45" hidden="1" customHeight="1" thickBot="1" x14ac:dyDescent="0.5">
      <c r="A94" s="4069"/>
      <c r="B94" s="3494">
        <v>5509</v>
      </c>
      <c r="C94" s="3539" t="s">
        <v>1309</v>
      </c>
      <c r="D94" s="3605" t="s">
        <v>1366</v>
      </c>
      <c r="E94" s="2986">
        <f t="shared" si="107"/>
        <v>0</v>
      </c>
      <c r="F94" s="2986">
        <f t="shared" si="107"/>
        <v>0</v>
      </c>
      <c r="G94" s="2986">
        <f t="shared" si="107"/>
        <v>0</v>
      </c>
      <c r="H94" s="2986">
        <f t="shared" si="107"/>
        <v>0</v>
      </c>
      <c r="I94" s="2986">
        <f t="shared" ca="1" si="107"/>
        <v>0</v>
      </c>
      <c r="J94" s="2986">
        <f t="shared" ca="1" si="107"/>
        <v>0</v>
      </c>
      <c r="K94" s="2986">
        <f t="shared" ca="1" si="107"/>
        <v>0</v>
      </c>
      <c r="L94" s="1524">
        <f t="shared" ca="1" si="108"/>
        <v>0</v>
      </c>
      <c r="M94" s="1524">
        <f t="shared" ca="1" si="109"/>
        <v>0</v>
      </c>
      <c r="N94" s="1545">
        <f t="shared" ca="1" si="110"/>
        <v>0</v>
      </c>
      <c r="O94" s="2522"/>
      <c r="P94" s="1659">
        <f t="shared" si="103"/>
        <v>0</v>
      </c>
      <c r="Q94" s="1938">
        <f t="shared" si="104"/>
        <v>0</v>
      </c>
      <c r="R94" s="1938">
        <f t="shared" si="105"/>
        <v>0</v>
      </c>
      <c r="S94" s="1569" t="str">
        <f t="shared" si="106"/>
        <v>S.D.</v>
      </c>
      <c r="T94" s="1659"/>
      <c r="V94" s="2179"/>
      <c r="W94" s="2179"/>
      <c r="AA94" s="2179"/>
      <c r="AB94" s="2179"/>
      <c r="AC94" s="2179"/>
      <c r="AD94" s="2523"/>
      <c r="AE94" s="2523"/>
      <c r="AF94" s="2523"/>
      <c r="AG94" s="2523"/>
      <c r="AH94" s="2523"/>
      <c r="AI94" s="2523"/>
      <c r="AJ94" s="2523"/>
      <c r="AK94" s="2523"/>
      <c r="AL94" s="2523"/>
      <c r="AM94" s="2523"/>
      <c r="AN94" s="2523"/>
      <c r="AO94" s="2523"/>
      <c r="AP94" s="2523"/>
      <c r="AQ94" s="1573"/>
    </row>
    <row r="95" spans="1:45" ht="68.45" customHeight="1" x14ac:dyDescent="0.45">
      <c r="A95" s="4069"/>
      <c r="B95" s="3495">
        <v>5558</v>
      </c>
      <c r="C95" s="3539" t="s">
        <v>1309</v>
      </c>
      <c r="D95" s="3606" t="s">
        <v>1290</v>
      </c>
      <c r="E95" s="2986">
        <f t="shared" si="107"/>
        <v>0</v>
      </c>
      <c r="F95" s="2986">
        <f t="shared" si="107"/>
        <v>0</v>
      </c>
      <c r="G95" s="2986">
        <f t="shared" si="107"/>
        <v>0</v>
      </c>
      <c r="H95" s="2986">
        <f t="shared" si="107"/>
        <v>0</v>
      </c>
      <c r="I95" s="2986">
        <f t="shared" ca="1" si="107"/>
        <v>0</v>
      </c>
      <c r="J95" s="2986">
        <f t="shared" ca="1" si="107"/>
        <v>0</v>
      </c>
      <c r="K95" s="2986">
        <f t="shared" ca="1" si="107"/>
        <v>0</v>
      </c>
      <c r="L95" s="1524">
        <f t="shared" ref="L95" ca="1" si="123">+F95+I95</f>
        <v>0</v>
      </c>
      <c r="M95" s="1524">
        <f t="shared" ref="M95" ca="1" si="124">+G95+J95</f>
        <v>0</v>
      </c>
      <c r="N95" s="1545">
        <f t="shared" ref="N95" ca="1" si="125">+H95+K95</f>
        <v>0</v>
      </c>
      <c r="O95" s="2522"/>
      <c r="P95" s="1659">
        <f t="shared" ref="P95" si="126">+IF(E95=0,0,Q95/R95)</f>
        <v>0</v>
      </c>
      <c r="Q95" s="1938">
        <f t="shared" ref="Q95" si="127">+SUM(F95:H95)</f>
        <v>0</v>
      </c>
      <c r="R95" s="1938">
        <f t="shared" ref="R95" si="128">+E95</f>
        <v>0</v>
      </c>
      <c r="S95" s="1569" t="str">
        <f t="shared" si="106"/>
        <v>S.D.</v>
      </c>
      <c r="T95" s="1659"/>
      <c r="V95" s="2179"/>
      <c r="W95" s="2179"/>
      <c r="AA95" s="2179"/>
      <c r="AB95" s="2179"/>
      <c r="AC95" s="2179"/>
      <c r="AD95" s="2523"/>
      <c r="AE95" s="2523"/>
      <c r="AF95" s="2523"/>
      <c r="AG95" s="2523"/>
      <c r="AH95" s="2523"/>
      <c r="AI95" s="2523"/>
      <c r="AJ95" s="2523"/>
      <c r="AK95" s="2523"/>
      <c r="AL95" s="2523"/>
      <c r="AM95" s="2523"/>
      <c r="AN95" s="2523"/>
      <c r="AO95" s="2523"/>
      <c r="AP95" s="2523"/>
      <c r="AQ95" s="1573"/>
    </row>
    <row r="96" spans="1:45" ht="68.45" hidden="1" customHeight="1" x14ac:dyDescent="0.45">
      <c r="A96" s="4069"/>
      <c r="B96" s="3495">
        <v>5559</v>
      </c>
      <c r="C96" s="3539" t="s">
        <v>1309</v>
      </c>
      <c r="D96" s="3606" t="s">
        <v>1367</v>
      </c>
      <c r="E96" s="2986">
        <f t="shared" si="107"/>
        <v>0</v>
      </c>
      <c r="F96" s="2986">
        <f t="shared" si="107"/>
        <v>0</v>
      </c>
      <c r="G96" s="2986">
        <f t="shared" si="107"/>
        <v>0</v>
      </c>
      <c r="H96" s="2986">
        <f t="shared" si="107"/>
        <v>0</v>
      </c>
      <c r="I96" s="2986">
        <f t="shared" ca="1" si="107"/>
        <v>0</v>
      </c>
      <c r="J96" s="2986">
        <f t="shared" ca="1" si="107"/>
        <v>0</v>
      </c>
      <c r="K96" s="2986">
        <f t="shared" ca="1" si="107"/>
        <v>0</v>
      </c>
      <c r="L96" s="1524">
        <f t="shared" ca="1" si="108"/>
        <v>0</v>
      </c>
      <c r="M96" s="1524">
        <f t="shared" ca="1" si="109"/>
        <v>0</v>
      </c>
      <c r="N96" s="1545">
        <f t="shared" ca="1" si="110"/>
        <v>0</v>
      </c>
      <c r="O96" s="2522"/>
      <c r="P96" s="1659">
        <f t="shared" si="103"/>
        <v>0</v>
      </c>
      <c r="Q96" s="1938">
        <f t="shared" si="104"/>
        <v>0</v>
      </c>
      <c r="R96" s="1938">
        <f t="shared" si="105"/>
        <v>0</v>
      </c>
      <c r="S96" s="1569" t="str">
        <f t="shared" si="106"/>
        <v>S.D.</v>
      </c>
      <c r="T96" s="1659"/>
      <c r="V96" s="2179"/>
      <c r="W96" s="2179"/>
      <c r="AA96" s="2179"/>
      <c r="AB96" s="2179"/>
      <c r="AC96" s="2179"/>
      <c r="AD96" s="2523"/>
      <c r="AE96" s="2523"/>
      <c r="AF96" s="2523"/>
      <c r="AG96" s="2523"/>
      <c r="AH96" s="2523"/>
      <c r="AI96" s="2523"/>
      <c r="AJ96" s="2523"/>
      <c r="AK96" s="2523"/>
      <c r="AL96" s="2523"/>
      <c r="AM96" s="2523"/>
      <c r="AN96" s="2523"/>
      <c r="AO96" s="2523"/>
      <c r="AP96" s="2523"/>
      <c r="AQ96" s="1573"/>
    </row>
    <row r="97" spans="1:124" ht="68.45" customHeight="1" x14ac:dyDescent="0.45">
      <c r="A97" s="4069"/>
      <c r="B97" s="3548">
        <v>5050</v>
      </c>
      <c r="C97" s="4263" t="s">
        <v>1374</v>
      </c>
      <c r="D97" s="5816"/>
      <c r="E97" s="2986">
        <f t="shared" si="107"/>
        <v>0</v>
      </c>
      <c r="F97" s="2986">
        <f t="shared" si="107"/>
        <v>0</v>
      </c>
      <c r="G97" s="2986">
        <f t="shared" si="107"/>
        <v>0</v>
      </c>
      <c r="H97" s="2986">
        <f t="shared" si="107"/>
        <v>0</v>
      </c>
      <c r="I97" s="2986">
        <f t="shared" ca="1" si="107"/>
        <v>0</v>
      </c>
      <c r="J97" s="2986">
        <f t="shared" ca="1" si="107"/>
        <v>0</v>
      </c>
      <c r="K97" s="2986">
        <f t="shared" ca="1" si="107"/>
        <v>0</v>
      </c>
      <c r="L97" s="1524">
        <f t="shared" ref="L97" ca="1" si="129">+F97+I97</f>
        <v>0</v>
      </c>
      <c r="M97" s="1524">
        <f t="shared" ref="M97" ca="1" si="130">+G97+J97</f>
        <v>0</v>
      </c>
      <c r="N97" s="1545">
        <f t="shared" ref="N97" ca="1" si="131">+H97+K97</f>
        <v>0</v>
      </c>
      <c r="O97" s="2522"/>
      <c r="P97" s="1659">
        <f t="shared" ref="P97" si="132">+IF(E97=0,0,Q97/R97)</f>
        <v>0</v>
      </c>
      <c r="Q97" s="1938">
        <f t="shared" ref="Q97" si="133">+SUM(F97:H97)</f>
        <v>0</v>
      </c>
      <c r="R97" s="1938">
        <f t="shared" ref="R97" si="134">+E97</f>
        <v>0</v>
      </c>
      <c r="S97" s="1569" t="str">
        <f>IF(R97=0,"S.D.",+IF(AND((Q97/R97)&gt;0,(Q97/R97)&lt;=250),"O.K.","VERIFICAR"))</f>
        <v>S.D.</v>
      </c>
      <c r="T97" s="1659"/>
      <c r="V97" s="2179"/>
      <c r="W97" s="2179"/>
      <c r="AA97" s="2179"/>
      <c r="AB97" s="2179"/>
      <c r="AC97" s="2179"/>
      <c r="AD97" s="2523"/>
      <c r="AE97" s="2523"/>
      <c r="AF97" s="2523"/>
      <c r="AG97" s="2523"/>
      <c r="AH97" s="2523"/>
      <c r="AI97" s="2523"/>
      <c r="AJ97" s="2523"/>
      <c r="AK97" s="2523"/>
      <c r="AL97" s="2523"/>
      <c r="AM97" s="2523"/>
      <c r="AN97" s="2523"/>
      <c r="AO97" s="2523"/>
      <c r="AP97" s="2523"/>
      <c r="AQ97" s="1573"/>
    </row>
    <row r="98" spans="1:124" ht="68.45" hidden="1" customHeight="1" x14ac:dyDescent="0.45">
      <c r="A98" s="4069"/>
      <c r="B98" s="3548">
        <v>5051</v>
      </c>
      <c r="C98" s="4263" t="s">
        <v>1303</v>
      </c>
      <c r="D98" s="5816"/>
      <c r="E98" s="2986">
        <f t="shared" si="107"/>
        <v>0</v>
      </c>
      <c r="F98" s="2986">
        <f t="shared" si="107"/>
        <v>0</v>
      </c>
      <c r="G98" s="2986">
        <f t="shared" si="107"/>
        <v>0</v>
      </c>
      <c r="H98" s="2986">
        <f t="shared" si="107"/>
        <v>0</v>
      </c>
      <c r="I98" s="2986">
        <f t="shared" ca="1" si="107"/>
        <v>0</v>
      </c>
      <c r="J98" s="2986">
        <f t="shared" ca="1" si="107"/>
        <v>0</v>
      </c>
      <c r="K98" s="2986">
        <f t="shared" ca="1" si="107"/>
        <v>0</v>
      </c>
      <c r="L98" s="1524">
        <f t="shared" ref="L98:L100" ca="1" si="135">+F98+I98</f>
        <v>0</v>
      </c>
      <c r="M98" s="1524">
        <f t="shared" ref="M98:M100" ca="1" si="136">+G98+J98</f>
        <v>0</v>
      </c>
      <c r="N98" s="1545">
        <f t="shared" ref="N98:N100" ca="1" si="137">+H98+K98</f>
        <v>0</v>
      </c>
      <c r="O98" s="2522"/>
      <c r="P98" s="1659">
        <f t="shared" ref="P98:P100" si="138">+IF(E98=0,0,Q98/R98)</f>
        <v>0</v>
      </c>
      <c r="Q98" s="1938">
        <f t="shared" ref="Q98:Q100" si="139">+SUM(F98:H98)</f>
        <v>0</v>
      </c>
      <c r="R98" s="1938">
        <f t="shared" ref="R98:R100" si="140">+E98</f>
        <v>0</v>
      </c>
      <c r="S98" s="1569" t="str">
        <f>IF(R98=0,"S.D.",+IF(AND((Q98/R98)&gt;0,(Q98/R98)&lt;=500),"O.K.","VERIFICAR"))</f>
        <v>S.D.</v>
      </c>
      <c r="T98" s="1659"/>
      <c r="V98" s="2179"/>
      <c r="W98" s="2179"/>
      <c r="AA98" s="2179"/>
      <c r="AB98" s="2179"/>
      <c r="AC98" s="2179"/>
      <c r="AD98" s="2523"/>
      <c r="AE98" s="2523"/>
      <c r="AF98" s="2523"/>
      <c r="AG98" s="2523"/>
      <c r="AH98" s="2523"/>
      <c r="AI98" s="2523"/>
      <c r="AJ98" s="2523"/>
      <c r="AK98" s="2523"/>
      <c r="AL98" s="2523"/>
      <c r="AM98" s="2523"/>
      <c r="AN98" s="2523"/>
      <c r="AO98" s="2523"/>
      <c r="AP98" s="2523"/>
      <c r="AQ98" s="1573"/>
    </row>
    <row r="99" spans="1:124" ht="68.45" customHeight="1" thickBot="1" x14ac:dyDescent="0.5">
      <c r="A99" s="4069"/>
      <c r="B99" s="3548">
        <v>5055</v>
      </c>
      <c r="C99" s="4263" t="s">
        <v>1375</v>
      </c>
      <c r="D99" s="5816"/>
      <c r="E99" s="2986">
        <f t="shared" si="107"/>
        <v>0</v>
      </c>
      <c r="F99" s="2986">
        <f t="shared" si="107"/>
        <v>0</v>
      </c>
      <c r="G99" s="2986">
        <f t="shared" si="107"/>
        <v>0</v>
      </c>
      <c r="H99" s="2986">
        <f t="shared" si="107"/>
        <v>0</v>
      </c>
      <c r="I99" s="2986">
        <f t="shared" ca="1" si="107"/>
        <v>0</v>
      </c>
      <c r="J99" s="2986">
        <f t="shared" ca="1" si="107"/>
        <v>0</v>
      </c>
      <c r="K99" s="2986">
        <f t="shared" ca="1" si="107"/>
        <v>0</v>
      </c>
      <c r="L99" s="1524">
        <f t="shared" ca="1" si="135"/>
        <v>0</v>
      </c>
      <c r="M99" s="1524">
        <f t="shared" ca="1" si="136"/>
        <v>0</v>
      </c>
      <c r="N99" s="1545">
        <f t="shared" ca="1" si="137"/>
        <v>0</v>
      </c>
      <c r="O99" s="2522"/>
      <c r="P99" s="1659">
        <f t="shared" si="138"/>
        <v>0</v>
      </c>
      <c r="Q99" s="1938">
        <f t="shared" si="139"/>
        <v>0</v>
      </c>
      <c r="R99" s="1938">
        <f t="shared" si="140"/>
        <v>0</v>
      </c>
      <c r="S99" s="1569" t="str">
        <f>IF(R99=0,"S.D.",+IF(AND((Q99/R99)&gt;0,(Q99/R99)&lt;=1400),"O.K.","VERIFICAR"))</f>
        <v>S.D.</v>
      </c>
      <c r="T99" s="1659"/>
      <c r="V99" s="2179"/>
      <c r="W99" s="2179"/>
      <c r="AA99" s="2179"/>
      <c r="AB99" s="2179"/>
      <c r="AC99" s="2179"/>
      <c r="AD99" s="2523"/>
      <c r="AE99" s="2523"/>
      <c r="AF99" s="2523"/>
      <c r="AG99" s="2523"/>
      <c r="AH99" s="2523"/>
      <c r="AI99" s="2523"/>
      <c r="AJ99" s="2523"/>
      <c r="AK99" s="2523"/>
      <c r="AL99" s="2523"/>
      <c r="AM99" s="2523"/>
      <c r="AN99" s="2523"/>
      <c r="AO99" s="2523"/>
      <c r="AP99" s="2523"/>
      <c r="AQ99" s="1573"/>
    </row>
    <row r="100" spans="1:124" ht="68.45" customHeight="1" thickBot="1" x14ac:dyDescent="0.5">
      <c r="A100" s="4069"/>
      <c r="B100" s="3494">
        <v>5595</v>
      </c>
      <c r="C100" s="3539" t="s">
        <v>1310</v>
      </c>
      <c r="D100" s="3605" t="s">
        <v>1292</v>
      </c>
      <c r="E100" s="2986">
        <f t="shared" si="107"/>
        <v>0</v>
      </c>
      <c r="F100" s="2986">
        <f t="shared" si="107"/>
        <v>0</v>
      </c>
      <c r="G100" s="2986">
        <f t="shared" si="107"/>
        <v>0</v>
      </c>
      <c r="H100" s="2986">
        <f t="shared" si="107"/>
        <v>0</v>
      </c>
      <c r="I100" s="2986">
        <f t="shared" ca="1" si="107"/>
        <v>0</v>
      </c>
      <c r="J100" s="2986">
        <f t="shared" ca="1" si="107"/>
        <v>0</v>
      </c>
      <c r="K100" s="2986">
        <f t="shared" ca="1" si="107"/>
        <v>0</v>
      </c>
      <c r="L100" s="1524">
        <f t="shared" ca="1" si="135"/>
        <v>0</v>
      </c>
      <c r="M100" s="1524">
        <f t="shared" ca="1" si="136"/>
        <v>0</v>
      </c>
      <c r="N100" s="1545">
        <f t="shared" ca="1" si="137"/>
        <v>0</v>
      </c>
      <c r="O100" s="2522"/>
      <c r="P100" s="1659">
        <f t="shared" si="138"/>
        <v>0</v>
      </c>
      <c r="Q100" s="1938">
        <f t="shared" si="139"/>
        <v>0</v>
      </c>
      <c r="R100" s="1938">
        <f t="shared" si="140"/>
        <v>0</v>
      </c>
      <c r="S100" s="1569" t="str">
        <f t="shared" ref="S100:S103" si="141">IF(R100=0,"S.D.",+IF(AND((Q100/R100)&gt;700,(Q100/R100)&lt;=1400),"O.K.","VERIFICAR"))</f>
        <v>S.D.</v>
      </c>
      <c r="T100" s="1659"/>
      <c r="V100" s="2179"/>
      <c r="W100" s="2179"/>
      <c r="AA100" s="2179"/>
      <c r="AB100" s="2179"/>
      <c r="AC100" s="2179"/>
      <c r="AD100" s="2523"/>
      <c r="AE100" s="2523"/>
      <c r="AF100" s="2523"/>
      <c r="AG100" s="2523"/>
      <c r="AH100" s="2523"/>
      <c r="AI100" s="2523"/>
      <c r="AJ100" s="2523"/>
      <c r="AK100" s="2523"/>
      <c r="AL100" s="2523"/>
      <c r="AM100" s="2523"/>
      <c r="AN100" s="2523"/>
      <c r="AO100" s="2523"/>
      <c r="AP100" s="2523"/>
      <c r="AQ100" s="1573"/>
    </row>
    <row r="101" spans="1:124" ht="68.45" hidden="1" customHeight="1" thickBot="1" x14ac:dyDescent="0.5">
      <c r="A101" s="4069"/>
      <c r="B101" s="3549">
        <v>5514</v>
      </c>
      <c r="C101" s="3539" t="s">
        <v>1310</v>
      </c>
      <c r="D101" s="3605" t="s">
        <v>1293</v>
      </c>
      <c r="E101" s="2986">
        <f t="shared" si="107"/>
        <v>0</v>
      </c>
      <c r="F101" s="2986">
        <f t="shared" si="107"/>
        <v>0</v>
      </c>
      <c r="G101" s="2986">
        <f t="shared" si="107"/>
        <v>0</v>
      </c>
      <c r="H101" s="2986">
        <f t="shared" si="107"/>
        <v>0</v>
      </c>
      <c r="I101" s="2986">
        <f t="shared" ca="1" si="107"/>
        <v>0</v>
      </c>
      <c r="J101" s="2986">
        <f t="shared" ca="1" si="107"/>
        <v>0</v>
      </c>
      <c r="K101" s="2986">
        <f t="shared" ca="1" si="107"/>
        <v>0</v>
      </c>
      <c r="L101" s="1524">
        <f t="shared" ref="L101:L103" ca="1" si="142">+F101+I101</f>
        <v>0</v>
      </c>
      <c r="M101" s="1524">
        <f t="shared" ref="M101:M103" ca="1" si="143">+G101+J101</f>
        <v>0</v>
      </c>
      <c r="N101" s="1545">
        <f t="shared" ref="N101:N103" ca="1" si="144">+H101+K101</f>
        <v>0</v>
      </c>
      <c r="O101" s="2522"/>
      <c r="P101" s="1659">
        <f t="shared" ref="P101:P103" si="145">+IF(E101=0,0,Q101/R101)</f>
        <v>0</v>
      </c>
      <c r="Q101" s="1938">
        <f t="shared" ref="Q101:Q103" si="146">+SUM(F101:H101)</f>
        <v>0</v>
      </c>
      <c r="R101" s="1938">
        <f t="shared" ref="R101:R103" si="147">+E101</f>
        <v>0</v>
      </c>
      <c r="S101" s="1569" t="str">
        <f t="shared" si="141"/>
        <v>S.D.</v>
      </c>
      <c r="T101" s="1659"/>
      <c r="V101" s="2179"/>
      <c r="W101" s="2179"/>
      <c r="AA101" s="2179"/>
      <c r="AB101" s="2179"/>
      <c r="AC101" s="2179"/>
      <c r="AD101" s="2523"/>
      <c r="AE101" s="2523"/>
      <c r="AF101" s="2523"/>
      <c r="AG101" s="2523"/>
      <c r="AH101" s="2523"/>
      <c r="AI101" s="2523"/>
      <c r="AJ101" s="2523"/>
      <c r="AK101" s="2523"/>
      <c r="AL101" s="2523"/>
      <c r="AM101" s="2523"/>
      <c r="AN101" s="2523"/>
      <c r="AO101" s="2523"/>
      <c r="AP101" s="2523"/>
      <c r="AQ101" s="1573"/>
    </row>
    <row r="102" spans="1:124" ht="68.45" customHeight="1" thickBot="1" x14ac:dyDescent="0.5">
      <c r="A102" s="4069"/>
      <c r="B102" s="3545">
        <v>5605</v>
      </c>
      <c r="C102" s="3539" t="s">
        <v>1310</v>
      </c>
      <c r="D102" s="5810" t="s">
        <v>1294</v>
      </c>
      <c r="E102" s="2986">
        <f t="shared" si="107"/>
        <v>0</v>
      </c>
      <c r="F102" s="2986">
        <f t="shared" si="107"/>
        <v>0</v>
      </c>
      <c r="G102" s="2986">
        <f t="shared" si="107"/>
        <v>0</v>
      </c>
      <c r="H102" s="2986">
        <f t="shared" si="107"/>
        <v>0</v>
      </c>
      <c r="I102" s="2986">
        <f t="shared" ca="1" si="107"/>
        <v>0</v>
      </c>
      <c r="J102" s="2986">
        <f t="shared" ca="1" si="107"/>
        <v>0</v>
      </c>
      <c r="K102" s="2986">
        <f t="shared" ca="1" si="107"/>
        <v>0</v>
      </c>
      <c r="L102" s="1524">
        <f t="shared" ca="1" si="142"/>
        <v>0</v>
      </c>
      <c r="M102" s="1524">
        <f t="shared" ca="1" si="143"/>
        <v>0</v>
      </c>
      <c r="N102" s="1545">
        <f t="shared" ca="1" si="144"/>
        <v>0</v>
      </c>
      <c r="O102" s="2522"/>
      <c r="P102" s="1659">
        <f t="shared" si="145"/>
        <v>0</v>
      </c>
      <c r="Q102" s="1938">
        <f t="shared" si="146"/>
        <v>0</v>
      </c>
      <c r="R102" s="1938">
        <f t="shared" si="147"/>
        <v>0</v>
      </c>
      <c r="S102" s="1569" t="str">
        <f t="shared" si="141"/>
        <v>S.D.</v>
      </c>
      <c r="T102" s="1659"/>
      <c r="V102" s="2179"/>
      <c r="W102" s="2179"/>
      <c r="AA102" s="2179"/>
      <c r="AB102" s="2179"/>
      <c r="AC102" s="2179"/>
      <c r="AD102" s="2523"/>
      <c r="AE102" s="2523"/>
      <c r="AF102" s="2523"/>
      <c r="AG102" s="2523"/>
      <c r="AH102" s="2523"/>
      <c r="AI102" s="2523"/>
      <c r="AJ102" s="2523"/>
      <c r="AK102" s="2523"/>
      <c r="AL102" s="2523"/>
      <c r="AM102" s="2523"/>
      <c r="AN102" s="2523"/>
      <c r="AO102" s="2523"/>
      <c r="AP102" s="2523"/>
      <c r="AQ102" s="1573"/>
    </row>
    <row r="103" spans="1:124" ht="68.45" hidden="1" customHeight="1" thickBot="1" x14ac:dyDescent="0.5">
      <c r="A103" s="4490"/>
      <c r="B103" s="3545">
        <v>5564</v>
      </c>
      <c r="C103" s="3539" t="s">
        <v>1310</v>
      </c>
      <c r="D103" s="5810" t="s">
        <v>1295</v>
      </c>
      <c r="E103" s="2986">
        <f t="shared" si="107"/>
        <v>0</v>
      </c>
      <c r="F103" s="2986">
        <f t="shared" si="107"/>
        <v>0</v>
      </c>
      <c r="G103" s="2986">
        <f t="shared" si="107"/>
        <v>0</v>
      </c>
      <c r="H103" s="2986">
        <f t="shared" si="107"/>
        <v>0</v>
      </c>
      <c r="I103" s="2986">
        <f t="shared" ca="1" si="107"/>
        <v>0</v>
      </c>
      <c r="J103" s="2986">
        <f t="shared" ca="1" si="107"/>
        <v>0</v>
      </c>
      <c r="K103" s="2986">
        <f t="shared" ca="1" si="107"/>
        <v>0</v>
      </c>
      <c r="L103" s="1524">
        <f t="shared" ca="1" si="142"/>
        <v>0</v>
      </c>
      <c r="M103" s="1524">
        <f t="shared" ca="1" si="143"/>
        <v>0</v>
      </c>
      <c r="N103" s="1545">
        <f t="shared" ca="1" si="144"/>
        <v>0</v>
      </c>
      <c r="O103" s="2522"/>
      <c r="P103" s="1659">
        <f t="shared" si="145"/>
        <v>0</v>
      </c>
      <c r="Q103" s="1938">
        <f t="shared" si="146"/>
        <v>0</v>
      </c>
      <c r="R103" s="1938">
        <f t="shared" si="147"/>
        <v>0</v>
      </c>
      <c r="S103" s="1569" t="str">
        <f t="shared" si="141"/>
        <v>S.D.</v>
      </c>
      <c r="T103" s="1659"/>
      <c r="V103" s="2179"/>
      <c r="W103" s="2179"/>
      <c r="AA103" s="2179"/>
      <c r="AB103" s="2179"/>
      <c r="AC103" s="2179"/>
      <c r="AD103" s="2523"/>
      <c r="AE103" s="2523"/>
      <c r="AF103" s="2523"/>
      <c r="AG103" s="2523"/>
      <c r="AH103" s="2523"/>
      <c r="AI103" s="2523"/>
      <c r="AJ103" s="2523"/>
      <c r="AK103" s="2523"/>
      <c r="AL103" s="2523"/>
      <c r="AM103" s="2523"/>
      <c r="AN103" s="2523"/>
      <c r="AO103" s="2523"/>
      <c r="AP103" s="2523"/>
      <c r="AQ103" s="1573"/>
    </row>
    <row r="104" spans="1:124" ht="68.45" customHeight="1" thickBot="1" x14ac:dyDescent="0.5">
      <c r="A104" s="4491"/>
      <c r="B104" s="4245" t="s">
        <v>400</v>
      </c>
      <c r="C104" s="4246"/>
      <c r="D104" s="4246"/>
      <c r="E104" s="1557">
        <f>SUM(E87:E102)</f>
        <v>0</v>
      </c>
      <c r="F104" s="1557">
        <f t="shared" ref="F104:N104" si="148">SUM(F87:F102)</f>
        <v>0</v>
      </c>
      <c r="G104" s="1557">
        <f t="shared" si="148"/>
        <v>0</v>
      </c>
      <c r="H104" s="1557">
        <f t="shared" si="148"/>
        <v>0</v>
      </c>
      <c r="I104" s="1557">
        <f t="shared" ca="1" si="148"/>
        <v>0</v>
      </c>
      <c r="J104" s="1557">
        <f t="shared" ca="1" si="148"/>
        <v>0</v>
      </c>
      <c r="K104" s="1557">
        <f t="shared" ca="1" si="148"/>
        <v>0</v>
      </c>
      <c r="L104" s="2031">
        <f t="shared" ca="1" si="148"/>
        <v>0</v>
      </c>
      <c r="M104" s="2031">
        <f t="shared" ca="1" si="148"/>
        <v>0</v>
      </c>
      <c r="N104" s="2031">
        <f t="shared" ca="1" si="148"/>
        <v>0</v>
      </c>
      <c r="O104" s="2520">
        <f ca="1">SUM(L104:N104)</f>
        <v>0</v>
      </c>
      <c r="P104" s="1659">
        <f t="shared" si="103"/>
        <v>0</v>
      </c>
      <c r="Q104" s="1938">
        <f t="shared" si="104"/>
        <v>0</v>
      </c>
      <c r="R104" s="1938">
        <f t="shared" si="105"/>
        <v>0</v>
      </c>
      <c r="S104" s="1569"/>
      <c r="T104" s="1549"/>
      <c r="V104" s="1605"/>
      <c r="W104" s="1605"/>
      <c r="X104" s="1605"/>
      <c r="Y104" s="1605"/>
      <c r="Z104" s="1605"/>
      <c r="AA104" s="1605"/>
      <c r="AB104" s="1605"/>
      <c r="AC104" s="1605"/>
      <c r="AD104" s="1605"/>
      <c r="AE104" s="1605"/>
      <c r="AF104" s="1605"/>
      <c r="AG104" s="1605"/>
      <c r="AH104" s="1605"/>
      <c r="AI104" s="1605"/>
      <c r="AJ104" s="1605"/>
      <c r="AK104" s="1605"/>
      <c r="AL104" s="1605"/>
      <c r="AM104" s="1605"/>
      <c r="AN104" s="1605"/>
      <c r="AO104" s="1605"/>
      <c r="AP104" s="1605"/>
      <c r="AQ104" s="1605"/>
      <c r="AR104" s="1605"/>
      <c r="AS104" s="1605"/>
    </row>
    <row r="105" spans="1:124" ht="68.45" customHeight="1" x14ac:dyDescent="0.45">
      <c r="A105" s="1561"/>
      <c r="B105" s="2260"/>
      <c r="C105" s="2260"/>
      <c r="D105" s="2260"/>
      <c r="E105" s="1562"/>
      <c r="F105" s="1562"/>
      <c r="G105" s="1562"/>
      <c r="H105" s="3446">
        <f>+H104+G104+F104</f>
        <v>0</v>
      </c>
      <c r="I105" s="1562"/>
      <c r="J105" s="1562"/>
      <c r="K105" s="1562"/>
      <c r="L105" s="1562"/>
      <c r="M105" s="1562"/>
      <c r="N105" s="1563"/>
      <c r="O105" s="1490"/>
      <c r="P105" s="1490"/>
    </row>
    <row r="106" spans="1:124" ht="49.5" customHeight="1" thickBot="1" x14ac:dyDescent="0.5">
      <c r="A106" s="3388"/>
      <c r="B106" s="2260"/>
      <c r="C106" s="2260"/>
      <c r="D106" s="2260"/>
      <c r="E106" s="2260"/>
      <c r="F106" s="2260"/>
      <c r="G106" s="2260"/>
      <c r="H106" s="2260"/>
      <c r="I106" s="2260"/>
      <c r="J106" s="2260"/>
      <c r="K106" s="2260"/>
      <c r="L106" s="2260"/>
      <c r="M106" s="2260"/>
      <c r="N106" s="3389"/>
      <c r="P106" s="1490"/>
    </row>
    <row r="107" spans="1:124" s="1540" customFormat="1" ht="49.5" customHeight="1" x14ac:dyDescent="0.5">
      <c r="A107" s="4188" t="s">
        <v>401</v>
      </c>
      <c r="B107" s="4189"/>
      <c r="C107" s="4189"/>
      <c r="D107" s="4190"/>
      <c r="E107" s="4256" t="s">
        <v>101</v>
      </c>
      <c r="F107" s="4258" t="s">
        <v>304</v>
      </c>
      <c r="G107" s="4259"/>
      <c r="H107" s="4260"/>
      <c r="I107" s="4258" t="s">
        <v>368</v>
      </c>
      <c r="J107" s="4259"/>
      <c r="K107" s="4260"/>
      <c r="L107" s="4237" t="s">
        <v>377</v>
      </c>
      <c r="M107" s="4238"/>
      <c r="N107" s="4239"/>
      <c r="P107" s="4253" t="s">
        <v>241</v>
      </c>
      <c r="Q107" s="4253"/>
      <c r="R107" s="4253"/>
      <c r="S107" s="4253"/>
      <c r="T107" s="4253"/>
      <c r="V107" s="1638"/>
      <c r="W107" s="1638"/>
      <c r="X107" s="4252"/>
      <c r="Y107" s="4252"/>
      <c r="Z107" s="4252"/>
      <c r="AA107" s="4252"/>
      <c r="AB107" s="4252"/>
      <c r="AC107" s="4252"/>
      <c r="AD107" s="4252"/>
      <c r="AE107" s="4252"/>
      <c r="AF107" s="4252"/>
      <c r="AG107" s="4252"/>
      <c r="AH107" s="4252"/>
      <c r="AI107" s="4252"/>
      <c r="AJ107" s="4252"/>
      <c r="AK107" s="4252"/>
      <c r="AL107" s="4252"/>
      <c r="AM107" s="4252"/>
      <c r="AN107" s="4252"/>
      <c r="AO107" s="4252"/>
      <c r="AP107" s="4252"/>
      <c r="AQ107" s="4252"/>
      <c r="AR107" s="4252"/>
      <c r="AS107" s="4252"/>
    </row>
    <row r="108" spans="1:124" s="1540" customFormat="1" ht="49.5" customHeight="1" thickBot="1" x14ac:dyDescent="0.5">
      <c r="A108" s="4191"/>
      <c r="B108" s="4192"/>
      <c r="C108" s="4192"/>
      <c r="D108" s="4193"/>
      <c r="E108" s="4257"/>
      <c r="F108" s="1575" t="s">
        <v>287</v>
      </c>
      <c r="G108" s="1575" t="s">
        <v>289</v>
      </c>
      <c r="H108" s="1575" t="s">
        <v>288</v>
      </c>
      <c r="I108" s="1575" t="s">
        <v>287</v>
      </c>
      <c r="J108" s="1575" t="s">
        <v>289</v>
      </c>
      <c r="K108" s="1575" t="s">
        <v>288</v>
      </c>
      <c r="L108" s="1582" t="s">
        <v>287</v>
      </c>
      <c r="M108" s="1515" t="s">
        <v>289</v>
      </c>
      <c r="N108" s="1517" t="s">
        <v>288</v>
      </c>
      <c r="P108" s="979" t="s">
        <v>370</v>
      </c>
      <c r="Q108" s="979" t="s">
        <v>25</v>
      </c>
      <c r="R108" s="979" t="s">
        <v>371</v>
      </c>
      <c r="S108" s="979" t="s">
        <v>241</v>
      </c>
      <c r="T108" s="979"/>
      <c r="V108" s="1638"/>
      <c r="W108" s="1638"/>
      <c r="X108" s="1638"/>
      <c r="Y108" s="1638"/>
      <c r="Z108" s="1638"/>
      <c r="AA108" s="1638"/>
      <c r="AB108" s="1638"/>
      <c r="AC108" s="1638"/>
      <c r="AD108" s="1638"/>
      <c r="AE108" s="1638"/>
      <c r="AF108" s="1638"/>
      <c r="AG108" s="1638"/>
      <c r="AH108" s="1638"/>
      <c r="AI108" s="1638"/>
      <c r="AJ108" s="1638"/>
      <c r="AK108" s="1638"/>
      <c r="AL108" s="1638"/>
      <c r="AM108" s="1638"/>
      <c r="AN108" s="1638"/>
      <c r="AO108" s="1638"/>
      <c r="AP108" s="1638"/>
      <c r="AQ108" s="1638"/>
      <c r="AR108" s="1638"/>
      <c r="AS108" s="1638"/>
    </row>
    <row r="109" spans="1:124" ht="66" customHeight="1" x14ac:dyDescent="0.45">
      <c r="A109" s="4174" t="s">
        <v>67</v>
      </c>
      <c r="B109" s="3550">
        <v>5030</v>
      </c>
      <c r="C109" s="4183" t="s">
        <v>217</v>
      </c>
      <c r="D109" s="4262"/>
      <c r="E109" s="2988">
        <f>+E390</f>
        <v>0</v>
      </c>
      <c r="F109" s="2988">
        <f t="shared" ref="F109:K109" si="149">+F390</f>
        <v>0</v>
      </c>
      <c r="G109" s="2988">
        <f t="shared" si="149"/>
        <v>0</v>
      </c>
      <c r="H109" s="2988">
        <f t="shared" si="149"/>
        <v>0</v>
      </c>
      <c r="I109" s="2988">
        <f t="shared" ca="1" si="149"/>
        <v>0</v>
      </c>
      <c r="J109" s="2988">
        <f t="shared" ca="1" si="149"/>
        <v>0</v>
      </c>
      <c r="K109" s="2988">
        <f t="shared" ca="1" si="149"/>
        <v>0</v>
      </c>
      <c r="L109" s="1583">
        <f t="shared" ref="L109:N109" ca="1" si="150">+F109+I109</f>
        <v>0</v>
      </c>
      <c r="M109" s="1524">
        <f t="shared" ca="1" si="150"/>
        <v>0</v>
      </c>
      <c r="N109" s="1545">
        <f t="shared" ca="1" si="150"/>
        <v>0</v>
      </c>
      <c r="O109" s="1584" t="s">
        <v>402</v>
      </c>
      <c r="P109" s="2021">
        <f t="shared" ref="P109:P126" si="151">+IF(E109=0,0,Q109/R109)</f>
        <v>0</v>
      </c>
      <c r="Q109" s="1938">
        <f t="shared" ref="Q109:Q126" si="152">+SUM(F109:H109)</f>
        <v>0</v>
      </c>
      <c r="R109" s="1938">
        <f t="shared" ref="R109:R126" si="153">+E109</f>
        <v>0</v>
      </c>
      <c r="S109" s="1569" t="str">
        <f t="shared" ref="S109:S118" si="154">IF(R109=0,"S.D.",+IF(AND((Q109/R109)&gt;1400,(Q109/R109)&lt;=2999),"O.K.","VERIFICAR"))</f>
        <v>S.D.</v>
      </c>
      <c r="T109" s="1659"/>
      <c r="V109" s="2179"/>
      <c r="W109" s="2179"/>
      <c r="AA109" s="2179"/>
      <c r="AB109" s="2179"/>
      <c r="AC109" s="2179"/>
      <c r="AD109" s="2523"/>
      <c r="AE109" s="2523"/>
      <c r="AF109" s="2523"/>
      <c r="AG109" s="2523"/>
      <c r="AH109" s="2523"/>
      <c r="AI109" s="2523"/>
      <c r="AJ109" s="2523"/>
      <c r="AK109" s="2523"/>
      <c r="AL109" s="2523"/>
      <c r="AM109" s="2523"/>
      <c r="AN109" s="2523"/>
      <c r="AO109" s="2523"/>
      <c r="AP109" s="2523"/>
      <c r="AQ109" s="1573"/>
    </row>
    <row r="110" spans="1:124" ht="66" customHeight="1" x14ac:dyDescent="0.45">
      <c r="A110" s="4175"/>
      <c r="B110" s="3540">
        <v>5576</v>
      </c>
      <c r="C110" s="3534" t="s">
        <v>1308</v>
      </c>
      <c r="D110" s="3535" t="s">
        <v>1296</v>
      </c>
      <c r="E110" s="2988">
        <f t="shared" ref="E110:K125" si="155">+E391</f>
        <v>0</v>
      </c>
      <c r="F110" s="2988">
        <f t="shared" si="155"/>
        <v>0</v>
      </c>
      <c r="G110" s="2988">
        <f t="shared" si="155"/>
        <v>0</v>
      </c>
      <c r="H110" s="2988">
        <f t="shared" si="155"/>
        <v>0</v>
      </c>
      <c r="I110" s="2988">
        <f t="shared" ca="1" si="155"/>
        <v>0</v>
      </c>
      <c r="J110" s="2988">
        <f t="shared" ca="1" si="155"/>
        <v>0</v>
      </c>
      <c r="K110" s="2988">
        <f t="shared" ca="1" si="155"/>
        <v>0</v>
      </c>
      <c r="L110" s="1583">
        <f t="shared" ref="L110:L118" ca="1" si="156">+F110+I110</f>
        <v>0</v>
      </c>
      <c r="M110" s="1524">
        <f t="shared" ref="M110:M118" ca="1" si="157">+G110+J110</f>
        <v>0</v>
      </c>
      <c r="N110" s="1545">
        <f t="shared" ref="N110:N118" ca="1" si="158">+H110+K110</f>
        <v>0</v>
      </c>
      <c r="O110" s="1585"/>
      <c r="P110" s="2021">
        <f t="shared" si="151"/>
        <v>0</v>
      </c>
      <c r="Q110" s="1938">
        <f t="shared" si="152"/>
        <v>0</v>
      </c>
      <c r="R110" s="1938">
        <f t="shared" si="153"/>
        <v>0</v>
      </c>
      <c r="S110" s="1569" t="str">
        <f t="shared" si="154"/>
        <v>S.D.</v>
      </c>
      <c r="T110" s="1659"/>
      <c r="V110" s="2179"/>
      <c r="W110" s="2179"/>
      <c r="AA110" s="2179"/>
      <c r="AB110" s="2179"/>
      <c r="AC110" s="2179"/>
      <c r="AD110" s="2523"/>
      <c r="AE110" s="2523"/>
      <c r="AF110" s="2523"/>
      <c r="AG110" s="2523"/>
      <c r="AH110" s="2523"/>
      <c r="AI110" s="2523"/>
      <c r="AJ110" s="2523"/>
      <c r="AK110" s="2523"/>
      <c r="AL110" s="2523"/>
      <c r="AM110" s="2523"/>
      <c r="AN110" s="2523"/>
      <c r="AO110" s="2523"/>
      <c r="AP110" s="2523"/>
      <c r="AQ110" s="1573"/>
    </row>
    <row r="111" spans="1:124" ht="66" customHeight="1" x14ac:dyDescent="0.45">
      <c r="A111" s="4175"/>
      <c r="B111" s="3541">
        <v>5586</v>
      </c>
      <c r="C111" s="3534" t="s">
        <v>1308</v>
      </c>
      <c r="D111" s="3536" t="s">
        <v>1297</v>
      </c>
      <c r="E111" s="2988">
        <f t="shared" si="155"/>
        <v>0</v>
      </c>
      <c r="F111" s="2988">
        <f t="shared" si="155"/>
        <v>0</v>
      </c>
      <c r="G111" s="2988">
        <f t="shared" si="155"/>
        <v>0</v>
      </c>
      <c r="H111" s="2988">
        <f t="shared" si="155"/>
        <v>0</v>
      </c>
      <c r="I111" s="2988">
        <f t="shared" ca="1" si="155"/>
        <v>0</v>
      </c>
      <c r="J111" s="2988">
        <f t="shared" ca="1" si="155"/>
        <v>0</v>
      </c>
      <c r="K111" s="2988">
        <f t="shared" ca="1" si="155"/>
        <v>0</v>
      </c>
      <c r="L111" s="1583">
        <f t="shared" ref="L111" ca="1" si="159">+F111+I111</f>
        <v>0</v>
      </c>
      <c r="M111" s="1524">
        <f t="shared" ref="M111" ca="1" si="160">+G111+J111</f>
        <v>0</v>
      </c>
      <c r="N111" s="1545">
        <f t="shared" ref="N111" ca="1" si="161">+H111+K111</f>
        <v>0</v>
      </c>
      <c r="O111" s="1585"/>
      <c r="P111" s="2021">
        <f t="shared" ref="P111" si="162">+IF(E111=0,0,Q111/R111)</f>
        <v>0</v>
      </c>
      <c r="Q111" s="1938">
        <f t="shared" ref="Q111" si="163">+SUM(F111:H111)</f>
        <v>0</v>
      </c>
      <c r="R111" s="1938">
        <f t="shared" ref="R111" si="164">+E111</f>
        <v>0</v>
      </c>
      <c r="S111" s="1569" t="str">
        <f t="shared" si="154"/>
        <v>S.D.</v>
      </c>
      <c r="T111" s="1659"/>
      <c r="V111" s="2179"/>
      <c r="W111" s="2179"/>
      <c r="AA111" s="2179"/>
      <c r="AB111" s="2179"/>
      <c r="AC111" s="2179"/>
      <c r="AD111" s="2523"/>
      <c r="AE111" s="2523"/>
      <c r="AF111" s="2523"/>
      <c r="AG111" s="2523"/>
      <c r="AH111" s="2523"/>
      <c r="AI111" s="2523"/>
      <c r="AJ111" s="2523"/>
      <c r="AK111" s="2523"/>
      <c r="AL111" s="2523"/>
      <c r="AM111" s="2523"/>
      <c r="AN111" s="2523"/>
      <c r="AO111" s="2523"/>
      <c r="AP111" s="2523"/>
      <c r="AQ111" s="1573"/>
    </row>
    <row r="112" spans="1:124" ht="66" customHeight="1" x14ac:dyDescent="0.45">
      <c r="A112" s="4175"/>
      <c r="B112" s="3551">
        <v>5040</v>
      </c>
      <c r="C112" s="4184" t="s">
        <v>218</v>
      </c>
      <c r="D112" s="4261"/>
      <c r="E112" s="2988">
        <f t="shared" si="155"/>
        <v>0</v>
      </c>
      <c r="F112" s="2988">
        <f t="shared" si="155"/>
        <v>0</v>
      </c>
      <c r="G112" s="2988">
        <f t="shared" si="155"/>
        <v>0</v>
      </c>
      <c r="H112" s="2988">
        <f t="shared" si="155"/>
        <v>0</v>
      </c>
      <c r="I112" s="2988">
        <f t="shared" ca="1" si="155"/>
        <v>0</v>
      </c>
      <c r="J112" s="2988">
        <f t="shared" ca="1" si="155"/>
        <v>0</v>
      </c>
      <c r="K112" s="2988">
        <f t="shared" ca="1" si="155"/>
        <v>0</v>
      </c>
      <c r="L112" s="1583">
        <f t="shared" ca="1" si="156"/>
        <v>0</v>
      </c>
      <c r="M112" s="1524">
        <f t="shared" ca="1" si="157"/>
        <v>0</v>
      </c>
      <c r="N112" s="1545">
        <f t="shared" ca="1" si="158"/>
        <v>0</v>
      </c>
      <c r="O112" s="1585"/>
      <c r="P112" s="2021">
        <f t="shared" si="151"/>
        <v>0</v>
      </c>
      <c r="Q112" s="1938">
        <f t="shared" si="152"/>
        <v>0</v>
      </c>
      <c r="R112" s="1938">
        <f t="shared" si="153"/>
        <v>0</v>
      </c>
      <c r="S112" s="1569" t="str">
        <f>IF(R112=0,"S.D.",+IF(AND((Q112/R112)&gt;0,(Q112/R112)&lt;=350),"O.K.","VERIFICAR"))</f>
        <v>S.D.</v>
      </c>
      <c r="T112" s="1659"/>
      <c r="V112" s="2179"/>
      <c r="W112" s="2179"/>
      <c r="AA112" s="2179"/>
      <c r="AB112" s="2179"/>
      <c r="AC112" s="2179"/>
      <c r="AD112" s="2523"/>
      <c r="AE112" s="2523"/>
      <c r="AF112" s="2523"/>
      <c r="AG112" s="2523"/>
      <c r="AH112" s="2523"/>
      <c r="AI112" s="2523"/>
      <c r="AJ112" s="2523"/>
      <c r="AK112" s="2523"/>
      <c r="AL112" s="2523"/>
      <c r="AM112" s="2523"/>
      <c r="AN112" s="2523"/>
      <c r="AO112" s="2523"/>
      <c r="AP112" s="2523"/>
      <c r="AQ112" s="1573"/>
      <c r="DS112" s="1489">
        <v>3000</v>
      </c>
      <c r="DT112" s="1489">
        <f>+DS112-500</f>
        <v>2500</v>
      </c>
    </row>
    <row r="113" spans="1:125" ht="66" hidden="1" customHeight="1" x14ac:dyDescent="0.45">
      <c r="A113" s="4175"/>
      <c r="B113" s="3551">
        <v>5041</v>
      </c>
      <c r="C113" s="4184" t="s">
        <v>1298</v>
      </c>
      <c r="D113" s="4261"/>
      <c r="E113" s="2988">
        <f t="shared" si="155"/>
        <v>0</v>
      </c>
      <c r="F113" s="2988">
        <f t="shared" si="155"/>
        <v>0</v>
      </c>
      <c r="G113" s="2988">
        <f t="shared" si="155"/>
        <v>0</v>
      </c>
      <c r="H113" s="2988">
        <f t="shared" si="155"/>
        <v>0</v>
      </c>
      <c r="I113" s="2988">
        <f t="shared" ca="1" si="155"/>
        <v>0</v>
      </c>
      <c r="J113" s="2988">
        <f t="shared" ca="1" si="155"/>
        <v>0</v>
      </c>
      <c r="K113" s="2988">
        <f t="shared" ca="1" si="155"/>
        <v>0</v>
      </c>
      <c r="L113" s="1583">
        <f t="shared" ca="1" si="156"/>
        <v>0</v>
      </c>
      <c r="M113" s="1524">
        <f t="shared" ca="1" si="157"/>
        <v>0</v>
      </c>
      <c r="N113" s="1545">
        <f t="shared" ca="1" si="158"/>
        <v>0</v>
      </c>
      <c r="O113" s="1585"/>
      <c r="P113" s="2021">
        <f t="shared" si="151"/>
        <v>0</v>
      </c>
      <c r="Q113" s="1938">
        <f t="shared" si="152"/>
        <v>0</v>
      </c>
      <c r="R113" s="1938">
        <f t="shared" si="153"/>
        <v>0</v>
      </c>
      <c r="S113" s="1569" t="str">
        <f>+IF(R113=0,"S.D.",IF(AND((Q113/R113)&gt;0,(Q113/R113)&lt;=700),"O.K.","VERIFICAR"))</f>
        <v>S.D.</v>
      </c>
      <c r="T113" s="1659"/>
      <c r="U113" s="1490"/>
      <c r="V113" s="2179"/>
      <c r="W113" s="2179"/>
      <c r="AA113" s="2179"/>
      <c r="AB113" s="2179"/>
      <c r="AC113" s="2179"/>
      <c r="AD113" s="2523"/>
      <c r="AE113" s="2523"/>
      <c r="AF113" s="2523"/>
      <c r="AG113" s="2523"/>
      <c r="AH113" s="2523"/>
      <c r="AI113" s="2523"/>
      <c r="AJ113" s="2523"/>
      <c r="AK113" s="2523"/>
      <c r="AL113" s="2523"/>
      <c r="AM113" s="2523"/>
      <c r="AN113" s="2523"/>
      <c r="AO113" s="2523"/>
      <c r="AP113" s="2523"/>
      <c r="AQ113" s="1573"/>
      <c r="DT113" s="1489" t="e">
        <f>+DT112+#REF!</f>
        <v>#REF!</v>
      </c>
      <c r="DU113" s="1489" t="e">
        <f>+DT113/2</f>
        <v>#REF!</v>
      </c>
    </row>
    <row r="114" spans="1:125" ht="66" customHeight="1" thickBot="1" x14ac:dyDescent="0.5">
      <c r="A114" s="4175"/>
      <c r="B114" s="3551">
        <v>5045</v>
      </c>
      <c r="C114" s="4184" t="s">
        <v>221</v>
      </c>
      <c r="D114" s="4261"/>
      <c r="E114" s="2988">
        <f t="shared" si="155"/>
        <v>0</v>
      </c>
      <c r="F114" s="2988">
        <f t="shared" si="155"/>
        <v>0</v>
      </c>
      <c r="G114" s="2988">
        <f t="shared" si="155"/>
        <v>0</v>
      </c>
      <c r="H114" s="2988">
        <f t="shared" si="155"/>
        <v>0</v>
      </c>
      <c r="I114" s="2988">
        <f t="shared" ca="1" si="155"/>
        <v>0</v>
      </c>
      <c r="J114" s="2988">
        <f t="shared" ca="1" si="155"/>
        <v>0</v>
      </c>
      <c r="K114" s="2988">
        <f t="shared" ca="1" si="155"/>
        <v>0</v>
      </c>
      <c r="L114" s="1583">
        <f t="shared" ref="L114" ca="1" si="165">+F114+I114</f>
        <v>0</v>
      </c>
      <c r="M114" s="1524">
        <f t="shared" ref="M114" ca="1" si="166">+G114+J114</f>
        <v>0</v>
      </c>
      <c r="N114" s="1545">
        <f t="shared" ref="N114" ca="1" si="167">+H114+K114</f>
        <v>0</v>
      </c>
      <c r="O114" s="1585"/>
      <c r="P114" s="2021">
        <f t="shared" ref="P114" si="168">+IF(E114=0,0,Q114/R114)</f>
        <v>0</v>
      </c>
      <c r="Q114" s="1938">
        <f t="shared" ref="Q114" si="169">+SUM(F114:H114)</f>
        <v>0</v>
      </c>
      <c r="R114" s="1938">
        <f t="shared" ref="R114" si="170">+E114</f>
        <v>0</v>
      </c>
      <c r="S114" s="1569" t="str">
        <f>+IF(R114=0,"S.D.",IF(AND((Q114/R114)&gt;0,(Q114/R114)&lt;=2999),"O.K.","VERIFICAR"))</f>
        <v>S.D.</v>
      </c>
      <c r="T114" s="1659"/>
      <c r="U114" s="1490"/>
      <c r="V114" s="2179"/>
      <c r="W114" s="2179"/>
      <c r="AA114" s="2179"/>
      <c r="AB114" s="2179"/>
      <c r="AC114" s="2179"/>
      <c r="AD114" s="2523"/>
      <c r="AE114" s="2523"/>
      <c r="AF114" s="2523"/>
      <c r="AG114" s="2523"/>
      <c r="AH114" s="2523"/>
      <c r="AI114" s="2523"/>
      <c r="AJ114" s="2523"/>
      <c r="AK114" s="2523"/>
      <c r="AL114" s="2523"/>
      <c r="AM114" s="2523"/>
      <c r="AN114" s="2523"/>
      <c r="AO114" s="2523"/>
      <c r="AP114" s="2523"/>
      <c r="AQ114" s="1573"/>
    </row>
    <row r="115" spans="1:125" ht="66" customHeight="1" thickBot="1" x14ac:dyDescent="0.5">
      <c r="A115" s="4175"/>
      <c r="B115" s="3540">
        <v>5510</v>
      </c>
      <c r="C115" s="3539" t="s">
        <v>1309</v>
      </c>
      <c r="D115" s="3535" t="s">
        <v>1299</v>
      </c>
      <c r="E115" s="2988">
        <f t="shared" si="155"/>
        <v>0</v>
      </c>
      <c r="F115" s="2988">
        <f t="shared" si="155"/>
        <v>0</v>
      </c>
      <c r="G115" s="2988">
        <f t="shared" si="155"/>
        <v>0</v>
      </c>
      <c r="H115" s="2988">
        <f t="shared" si="155"/>
        <v>0</v>
      </c>
      <c r="I115" s="2988">
        <f t="shared" ca="1" si="155"/>
        <v>0</v>
      </c>
      <c r="J115" s="2988">
        <f t="shared" ca="1" si="155"/>
        <v>0</v>
      </c>
      <c r="K115" s="2988">
        <f t="shared" ca="1" si="155"/>
        <v>0</v>
      </c>
      <c r="L115" s="1583">
        <f t="shared" ca="1" si="156"/>
        <v>0</v>
      </c>
      <c r="M115" s="1524">
        <f t="shared" ca="1" si="157"/>
        <v>0</v>
      </c>
      <c r="N115" s="1545">
        <f t="shared" ca="1" si="158"/>
        <v>0</v>
      </c>
      <c r="O115" s="1585"/>
      <c r="P115" s="2021">
        <f t="shared" si="151"/>
        <v>0</v>
      </c>
      <c r="Q115" s="1938">
        <f t="shared" si="152"/>
        <v>0</v>
      </c>
      <c r="R115" s="1938">
        <f t="shared" si="153"/>
        <v>0</v>
      </c>
      <c r="S115" s="1569" t="str">
        <f t="shared" si="154"/>
        <v>S.D.</v>
      </c>
      <c r="T115" s="1659"/>
      <c r="U115" s="1490"/>
      <c r="V115" s="2179"/>
      <c r="W115" s="2179"/>
      <c r="AA115" s="2179"/>
      <c r="AB115" s="2179"/>
      <c r="AC115" s="2179"/>
      <c r="AD115" s="2523"/>
      <c r="AE115" s="2523"/>
      <c r="AF115" s="2523"/>
      <c r="AG115" s="2523"/>
      <c r="AH115" s="2523"/>
      <c r="AI115" s="2523"/>
      <c r="AJ115" s="2523"/>
      <c r="AK115" s="2523"/>
      <c r="AL115" s="2523"/>
      <c r="AM115" s="2523"/>
      <c r="AN115" s="2523"/>
      <c r="AO115" s="2523"/>
      <c r="AP115" s="2523"/>
      <c r="AQ115" s="1573"/>
    </row>
    <row r="116" spans="1:125" ht="66" hidden="1" customHeight="1" thickBot="1" x14ac:dyDescent="0.5">
      <c r="A116" s="4175"/>
      <c r="B116" s="3540">
        <v>5511</v>
      </c>
      <c r="C116" s="3539" t="s">
        <v>1309</v>
      </c>
      <c r="D116" s="3535" t="s">
        <v>1300</v>
      </c>
      <c r="E116" s="2988">
        <f t="shared" si="155"/>
        <v>0</v>
      </c>
      <c r="F116" s="2988">
        <f t="shared" si="155"/>
        <v>0</v>
      </c>
      <c r="G116" s="2988">
        <f t="shared" si="155"/>
        <v>0</v>
      </c>
      <c r="H116" s="2988">
        <f t="shared" si="155"/>
        <v>0</v>
      </c>
      <c r="I116" s="2988">
        <f t="shared" ca="1" si="155"/>
        <v>0</v>
      </c>
      <c r="J116" s="2988">
        <f t="shared" ca="1" si="155"/>
        <v>0</v>
      </c>
      <c r="K116" s="2988">
        <f t="shared" ca="1" si="155"/>
        <v>0</v>
      </c>
      <c r="L116" s="1583">
        <f t="shared" ca="1" si="156"/>
        <v>0</v>
      </c>
      <c r="M116" s="1524">
        <f t="shared" ca="1" si="157"/>
        <v>0</v>
      </c>
      <c r="N116" s="1545">
        <f t="shared" ca="1" si="158"/>
        <v>0</v>
      </c>
      <c r="O116" s="1585"/>
      <c r="P116" s="2021">
        <f t="shared" si="151"/>
        <v>0</v>
      </c>
      <c r="Q116" s="1938">
        <f t="shared" si="152"/>
        <v>0</v>
      </c>
      <c r="R116" s="1938">
        <f t="shared" si="153"/>
        <v>0</v>
      </c>
      <c r="S116" s="1569" t="str">
        <f t="shared" si="154"/>
        <v>S.D.</v>
      </c>
      <c r="T116" s="1659"/>
      <c r="U116" s="1490"/>
      <c r="V116" s="2179"/>
      <c r="W116" s="2179"/>
      <c r="AA116" s="2179"/>
      <c r="AB116" s="2179"/>
      <c r="AC116" s="2179"/>
      <c r="AD116" s="2523"/>
      <c r="AE116" s="2523"/>
      <c r="AF116" s="2523"/>
      <c r="AG116" s="2523"/>
      <c r="AH116" s="2523"/>
      <c r="AI116" s="2523"/>
      <c r="AJ116" s="2523"/>
      <c r="AK116" s="2523"/>
      <c r="AL116" s="2523"/>
      <c r="AM116" s="2523"/>
      <c r="AN116" s="2523"/>
      <c r="AO116" s="2523"/>
      <c r="AP116" s="2523"/>
      <c r="AQ116" s="1573"/>
    </row>
    <row r="117" spans="1:125" ht="66" customHeight="1" x14ac:dyDescent="0.45">
      <c r="A117" s="4175"/>
      <c r="B117" s="3541">
        <v>5560</v>
      </c>
      <c r="C117" s="3539" t="s">
        <v>1309</v>
      </c>
      <c r="D117" s="3536" t="s">
        <v>1301</v>
      </c>
      <c r="E117" s="2988">
        <f t="shared" si="155"/>
        <v>0</v>
      </c>
      <c r="F117" s="2988">
        <f t="shared" si="155"/>
        <v>0</v>
      </c>
      <c r="G117" s="2988">
        <f t="shared" si="155"/>
        <v>0</v>
      </c>
      <c r="H117" s="2988">
        <f t="shared" si="155"/>
        <v>0</v>
      </c>
      <c r="I117" s="2988">
        <f t="shared" ca="1" si="155"/>
        <v>0</v>
      </c>
      <c r="J117" s="2988">
        <f t="shared" ca="1" si="155"/>
        <v>0</v>
      </c>
      <c r="K117" s="2988">
        <f t="shared" ca="1" si="155"/>
        <v>0</v>
      </c>
      <c r="L117" s="1583">
        <f t="shared" ref="L117" ca="1" si="171">+F117+I117</f>
        <v>0</v>
      </c>
      <c r="M117" s="1524">
        <f t="shared" ref="M117" ca="1" si="172">+G117+J117</f>
        <v>0</v>
      </c>
      <c r="N117" s="1545">
        <f t="shared" ref="N117" ca="1" si="173">+H117+K117</f>
        <v>0</v>
      </c>
      <c r="O117" s="1585"/>
      <c r="P117" s="2021">
        <f t="shared" ref="P117" si="174">+IF(E117=0,0,Q117/R117)</f>
        <v>0</v>
      </c>
      <c r="Q117" s="1938">
        <f t="shared" ref="Q117" si="175">+SUM(F117:H117)</f>
        <v>0</v>
      </c>
      <c r="R117" s="1938">
        <f t="shared" ref="R117" si="176">+E117</f>
        <v>0</v>
      </c>
      <c r="S117" s="1569" t="str">
        <f t="shared" si="154"/>
        <v>S.D.</v>
      </c>
      <c r="T117" s="1659"/>
      <c r="U117" s="1490"/>
      <c r="V117" s="2179"/>
      <c r="W117" s="2179"/>
      <c r="AA117" s="2179"/>
      <c r="AB117" s="2179"/>
      <c r="AC117" s="2179"/>
      <c r="AD117" s="2523"/>
      <c r="AE117" s="2523"/>
      <c r="AF117" s="2523"/>
      <c r="AG117" s="2523"/>
      <c r="AH117" s="2523"/>
      <c r="AI117" s="2523"/>
      <c r="AJ117" s="2523"/>
      <c r="AK117" s="2523"/>
      <c r="AL117" s="2523"/>
      <c r="AM117" s="2523"/>
      <c r="AN117" s="2523"/>
      <c r="AO117" s="2523"/>
      <c r="AP117" s="2523"/>
      <c r="AQ117" s="1573"/>
    </row>
    <row r="118" spans="1:125" ht="66" hidden="1" customHeight="1" x14ac:dyDescent="0.45">
      <c r="A118" s="4175"/>
      <c r="B118" s="3541">
        <v>5561</v>
      </c>
      <c r="C118" s="3539" t="s">
        <v>1309</v>
      </c>
      <c r="D118" s="3536" t="s">
        <v>1302</v>
      </c>
      <c r="E118" s="2988">
        <f t="shared" si="155"/>
        <v>0</v>
      </c>
      <c r="F118" s="2988">
        <f t="shared" si="155"/>
        <v>0</v>
      </c>
      <c r="G118" s="2988">
        <f t="shared" si="155"/>
        <v>0</v>
      </c>
      <c r="H118" s="2988">
        <f t="shared" si="155"/>
        <v>0</v>
      </c>
      <c r="I118" s="2988">
        <f t="shared" ca="1" si="155"/>
        <v>0</v>
      </c>
      <c r="J118" s="2988">
        <f t="shared" ca="1" si="155"/>
        <v>0</v>
      </c>
      <c r="K118" s="2988">
        <f t="shared" ca="1" si="155"/>
        <v>0</v>
      </c>
      <c r="L118" s="1583">
        <f t="shared" ca="1" si="156"/>
        <v>0</v>
      </c>
      <c r="M118" s="1524">
        <f t="shared" ca="1" si="157"/>
        <v>0</v>
      </c>
      <c r="N118" s="1545">
        <f t="shared" ca="1" si="158"/>
        <v>0</v>
      </c>
      <c r="O118" s="1585"/>
      <c r="P118" s="2021">
        <f t="shared" si="151"/>
        <v>0</v>
      </c>
      <c r="Q118" s="1938">
        <f t="shared" si="152"/>
        <v>0</v>
      </c>
      <c r="R118" s="1938">
        <f t="shared" si="153"/>
        <v>0</v>
      </c>
      <c r="S118" s="1569" t="str">
        <f t="shared" si="154"/>
        <v>S.D.</v>
      </c>
      <c r="T118" s="1659"/>
      <c r="V118" s="2179"/>
      <c r="W118" s="2179"/>
      <c r="AA118" s="2179"/>
      <c r="AB118" s="2179"/>
      <c r="AC118" s="2179"/>
      <c r="AD118" s="2523"/>
      <c r="AE118" s="2523"/>
      <c r="AF118" s="2523"/>
      <c r="AG118" s="2523"/>
      <c r="AH118" s="2523"/>
      <c r="AI118" s="2523"/>
      <c r="AJ118" s="2523"/>
      <c r="AK118" s="2523"/>
      <c r="AL118" s="2523"/>
      <c r="AM118" s="2523"/>
      <c r="AN118" s="2523"/>
      <c r="AO118" s="2523"/>
      <c r="AP118" s="2523"/>
      <c r="AQ118" s="1573"/>
    </row>
    <row r="119" spans="1:125" ht="66" customHeight="1" x14ac:dyDescent="0.45">
      <c r="A119" s="4175"/>
      <c r="B119" s="3552">
        <v>5050</v>
      </c>
      <c r="C119" s="4552" t="s">
        <v>379</v>
      </c>
      <c r="D119" s="4553"/>
      <c r="E119" s="2988">
        <f t="shared" si="155"/>
        <v>0</v>
      </c>
      <c r="F119" s="2988">
        <f t="shared" si="155"/>
        <v>0</v>
      </c>
      <c r="G119" s="2988">
        <f t="shared" si="155"/>
        <v>0</v>
      </c>
      <c r="H119" s="2988">
        <f t="shared" si="155"/>
        <v>0</v>
      </c>
      <c r="I119" s="2988">
        <f t="shared" ca="1" si="155"/>
        <v>0</v>
      </c>
      <c r="J119" s="2988">
        <f t="shared" ca="1" si="155"/>
        <v>0</v>
      </c>
      <c r="K119" s="2988">
        <f t="shared" ca="1" si="155"/>
        <v>0</v>
      </c>
      <c r="L119" s="1583">
        <f t="shared" ref="L119" ca="1" si="177">+F119+I119</f>
        <v>0</v>
      </c>
      <c r="M119" s="1524">
        <f t="shared" ref="M119" ca="1" si="178">+G119+J119</f>
        <v>0</v>
      </c>
      <c r="N119" s="1545">
        <f t="shared" ref="N119" ca="1" si="179">+H119+K119</f>
        <v>0</v>
      </c>
      <c r="O119" s="1585"/>
      <c r="P119" s="2021">
        <f t="shared" ref="P119" si="180">+IF(E119=0,0,Q119/R119)</f>
        <v>0</v>
      </c>
      <c r="Q119" s="1938">
        <f t="shared" ref="Q119" si="181">+SUM(F119:H119)</f>
        <v>0</v>
      </c>
      <c r="R119" s="1938">
        <f t="shared" ref="R119" si="182">+E119</f>
        <v>0</v>
      </c>
      <c r="S119" s="1569" t="str">
        <f>IF(R119=0,"S.D.",+IF(AND((Q119/R119)&gt;0,(Q119/R119)&lt;=250),"O.K.","VERIFICAR"))</f>
        <v>S.D.</v>
      </c>
      <c r="T119" s="1659"/>
      <c r="V119" s="2179"/>
      <c r="W119" s="2179"/>
      <c r="AA119" s="2179"/>
      <c r="AB119" s="2179"/>
      <c r="AC119" s="2179"/>
      <c r="AD119" s="2523"/>
      <c r="AE119" s="2523"/>
      <c r="AF119" s="2523"/>
      <c r="AG119" s="2523"/>
      <c r="AH119" s="2523"/>
      <c r="AI119" s="2523"/>
      <c r="AJ119" s="2523"/>
      <c r="AK119" s="2523"/>
      <c r="AL119" s="2523"/>
      <c r="AM119" s="2523"/>
      <c r="AN119" s="2523"/>
      <c r="AO119" s="2523"/>
      <c r="AP119" s="2523"/>
      <c r="AQ119" s="1573"/>
    </row>
    <row r="120" spans="1:125" ht="66" hidden="1" customHeight="1" x14ac:dyDescent="0.45">
      <c r="A120" s="4175"/>
      <c r="B120" s="3552">
        <v>5051</v>
      </c>
      <c r="C120" s="4552" t="s">
        <v>1303</v>
      </c>
      <c r="D120" s="4553"/>
      <c r="E120" s="2988">
        <f t="shared" si="155"/>
        <v>0</v>
      </c>
      <c r="F120" s="2988">
        <f t="shared" si="155"/>
        <v>0</v>
      </c>
      <c r="G120" s="2988">
        <f t="shared" si="155"/>
        <v>0</v>
      </c>
      <c r="H120" s="2988">
        <f t="shared" si="155"/>
        <v>0</v>
      </c>
      <c r="I120" s="2988">
        <f t="shared" ca="1" si="155"/>
        <v>0</v>
      </c>
      <c r="J120" s="2988">
        <f t="shared" ca="1" si="155"/>
        <v>0</v>
      </c>
      <c r="K120" s="2988">
        <f t="shared" ca="1" si="155"/>
        <v>0</v>
      </c>
      <c r="L120" s="1583">
        <f t="shared" ref="L120:L122" ca="1" si="183">+F120+I120</f>
        <v>0</v>
      </c>
      <c r="M120" s="1524">
        <f t="shared" ref="M120:M122" ca="1" si="184">+G120+J120</f>
        <v>0</v>
      </c>
      <c r="N120" s="1545">
        <f t="shared" ref="N120:N122" ca="1" si="185">+H120+K120</f>
        <v>0</v>
      </c>
      <c r="O120" s="1585"/>
      <c r="P120" s="2021">
        <f t="shared" ref="P120:P122" si="186">+IF(E120=0,0,Q120/R120)</f>
        <v>0</v>
      </c>
      <c r="Q120" s="1938">
        <f t="shared" ref="Q120:Q122" si="187">+SUM(F120:H120)</f>
        <v>0</v>
      </c>
      <c r="R120" s="1938">
        <f t="shared" ref="R120:R122" si="188">+E120</f>
        <v>0</v>
      </c>
      <c r="S120" s="1569" t="str">
        <f>IF(R120=0,"S.D.",+IF(AND((Q120/R120)&gt;0,(Q120/R120)&lt;=500),"O.K.","VERIFICAR"))</f>
        <v>S.D.</v>
      </c>
      <c r="T120" s="1659"/>
      <c r="V120" s="2179"/>
      <c r="W120" s="2179"/>
      <c r="AA120" s="2179"/>
      <c r="AB120" s="2179"/>
      <c r="AC120" s="2179"/>
      <c r="AD120" s="2523"/>
      <c r="AE120" s="2523"/>
      <c r="AF120" s="2523"/>
      <c r="AG120" s="2523"/>
      <c r="AH120" s="2523"/>
      <c r="AI120" s="2523"/>
      <c r="AJ120" s="2523"/>
      <c r="AK120" s="2523"/>
      <c r="AL120" s="2523"/>
      <c r="AM120" s="2523"/>
      <c r="AN120" s="2523"/>
      <c r="AO120" s="2523"/>
      <c r="AP120" s="2523"/>
      <c r="AQ120" s="1573"/>
    </row>
    <row r="121" spans="1:125" ht="66" customHeight="1" thickBot="1" x14ac:dyDescent="0.5">
      <c r="A121" s="4175"/>
      <c r="B121" s="3552">
        <v>5055</v>
      </c>
      <c r="C121" s="4552" t="s">
        <v>387</v>
      </c>
      <c r="D121" s="4553"/>
      <c r="E121" s="2988">
        <f t="shared" si="155"/>
        <v>0</v>
      </c>
      <c r="F121" s="2988">
        <f t="shared" si="155"/>
        <v>0</v>
      </c>
      <c r="G121" s="2988">
        <f t="shared" si="155"/>
        <v>0</v>
      </c>
      <c r="H121" s="2988">
        <f t="shared" si="155"/>
        <v>0</v>
      </c>
      <c r="I121" s="2988">
        <f t="shared" ca="1" si="155"/>
        <v>0</v>
      </c>
      <c r="J121" s="2988">
        <f t="shared" ca="1" si="155"/>
        <v>0</v>
      </c>
      <c r="K121" s="2988">
        <f t="shared" ca="1" si="155"/>
        <v>0</v>
      </c>
      <c r="L121" s="1583">
        <f t="shared" ca="1" si="183"/>
        <v>0</v>
      </c>
      <c r="M121" s="1524">
        <f t="shared" ca="1" si="184"/>
        <v>0</v>
      </c>
      <c r="N121" s="1545">
        <f t="shared" ca="1" si="185"/>
        <v>0</v>
      </c>
      <c r="O121" s="1585"/>
      <c r="P121" s="2021">
        <f t="shared" si="186"/>
        <v>0</v>
      </c>
      <c r="Q121" s="1938">
        <f t="shared" si="187"/>
        <v>0</v>
      </c>
      <c r="R121" s="1938">
        <f t="shared" si="188"/>
        <v>0</v>
      </c>
      <c r="S121" s="1569" t="str">
        <f>IF(R121=0,"S.D.",+IF(AND((Q121/R121)&gt;0,(Q121/R121)&lt;=2999),"O.K.","VERIFICAR"))</f>
        <v>S.D.</v>
      </c>
      <c r="T121" s="1659"/>
      <c r="V121" s="2179"/>
      <c r="W121" s="2179"/>
      <c r="AA121" s="2179"/>
      <c r="AB121" s="2179"/>
      <c r="AC121" s="2179"/>
      <c r="AD121" s="2523"/>
      <c r="AE121" s="2523"/>
      <c r="AF121" s="2523"/>
      <c r="AG121" s="2523"/>
      <c r="AH121" s="2523"/>
      <c r="AI121" s="2523"/>
      <c r="AJ121" s="2523"/>
      <c r="AK121" s="2523"/>
      <c r="AL121" s="2523"/>
      <c r="AM121" s="2523"/>
      <c r="AN121" s="2523"/>
      <c r="AO121" s="2523"/>
      <c r="AP121" s="2523"/>
      <c r="AQ121" s="1573"/>
    </row>
    <row r="122" spans="1:125" ht="66" customHeight="1" thickBot="1" x14ac:dyDescent="0.5">
      <c r="A122" s="4175"/>
      <c r="B122" s="3540">
        <v>5596</v>
      </c>
      <c r="C122" s="3539" t="s">
        <v>1310</v>
      </c>
      <c r="D122" s="3535" t="s">
        <v>1304</v>
      </c>
      <c r="E122" s="2988">
        <f t="shared" si="155"/>
        <v>0</v>
      </c>
      <c r="F122" s="2988">
        <f t="shared" si="155"/>
        <v>0</v>
      </c>
      <c r="G122" s="2988">
        <f t="shared" si="155"/>
        <v>0</v>
      </c>
      <c r="H122" s="2988">
        <f t="shared" si="155"/>
        <v>0</v>
      </c>
      <c r="I122" s="2988">
        <f t="shared" ca="1" si="155"/>
        <v>0</v>
      </c>
      <c r="J122" s="2988">
        <f t="shared" ca="1" si="155"/>
        <v>0</v>
      </c>
      <c r="K122" s="2988">
        <f t="shared" ca="1" si="155"/>
        <v>0</v>
      </c>
      <c r="L122" s="1583">
        <f t="shared" ca="1" si="183"/>
        <v>0</v>
      </c>
      <c r="M122" s="1524">
        <f t="shared" ca="1" si="184"/>
        <v>0</v>
      </c>
      <c r="N122" s="1545">
        <f t="shared" ca="1" si="185"/>
        <v>0</v>
      </c>
      <c r="O122" s="1585"/>
      <c r="P122" s="2021">
        <f t="shared" si="186"/>
        <v>0</v>
      </c>
      <c r="Q122" s="1938">
        <f t="shared" si="187"/>
        <v>0</v>
      </c>
      <c r="R122" s="1938">
        <f t="shared" si="188"/>
        <v>0</v>
      </c>
      <c r="S122" s="1569" t="str">
        <f t="shared" ref="S122:S125" si="189">IF(R122=0,"S.D.",+IF(AND((Q122/R122)&gt;1400,(Q122/R122)&lt;=2999),"O.K.","VERIFICAR"))</f>
        <v>S.D.</v>
      </c>
      <c r="T122" s="1659"/>
      <c r="V122" s="2179"/>
      <c r="W122" s="2179"/>
      <c r="AA122" s="2179"/>
      <c r="AB122" s="2179"/>
      <c r="AC122" s="2179"/>
      <c r="AD122" s="2523"/>
      <c r="AE122" s="2523"/>
      <c r="AF122" s="2523"/>
      <c r="AG122" s="2523"/>
      <c r="AH122" s="2523"/>
      <c r="AI122" s="2523"/>
      <c r="AJ122" s="2523"/>
      <c r="AK122" s="2523"/>
      <c r="AL122" s="2523"/>
      <c r="AM122" s="2523"/>
      <c r="AN122" s="2523"/>
      <c r="AO122" s="2523"/>
      <c r="AP122" s="2523"/>
      <c r="AQ122" s="1573"/>
    </row>
    <row r="123" spans="1:125" ht="66" hidden="1" customHeight="1" thickBot="1" x14ac:dyDescent="0.5">
      <c r="A123" s="4175"/>
      <c r="B123" s="3553">
        <v>5515</v>
      </c>
      <c r="C123" s="3539" t="s">
        <v>1310</v>
      </c>
      <c r="D123" s="3535" t="s">
        <v>1305</v>
      </c>
      <c r="E123" s="2988">
        <f t="shared" si="155"/>
        <v>0</v>
      </c>
      <c r="F123" s="2988">
        <f t="shared" si="155"/>
        <v>0</v>
      </c>
      <c r="G123" s="2988">
        <f t="shared" si="155"/>
        <v>0</v>
      </c>
      <c r="H123" s="2988">
        <f t="shared" si="155"/>
        <v>0</v>
      </c>
      <c r="I123" s="2988">
        <f t="shared" ca="1" si="155"/>
        <v>0</v>
      </c>
      <c r="J123" s="2988">
        <f t="shared" ca="1" si="155"/>
        <v>0</v>
      </c>
      <c r="K123" s="2988">
        <f t="shared" ca="1" si="155"/>
        <v>0</v>
      </c>
      <c r="L123" s="1583">
        <f t="shared" ref="L123:L125" ca="1" si="190">+F123+I123</f>
        <v>0</v>
      </c>
      <c r="M123" s="1524">
        <f t="shared" ref="M123:M125" ca="1" si="191">+G123+J123</f>
        <v>0</v>
      </c>
      <c r="N123" s="1545">
        <f t="shared" ref="N123:N125" ca="1" si="192">+H123+K123</f>
        <v>0</v>
      </c>
      <c r="O123" s="1585"/>
      <c r="P123" s="2021">
        <f t="shared" ref="P123:P125" si="193">+IF(E123=0,0,Q123/R123)</f>
        <v>0</v>
      </c>
      <c r="Q123" s="1938">
        <f t="shared" ref="Q123:Q125" si="194">+SUM(F123:H123)</f>
        <v>0</v>
      </c>
      <c r="R123" s="1938">
        <f t="shared" ref="R123:R125" si="195">+E123</f>
        <v>0</v>
      </c>
      <c r="S123" s="1569" t="str">
        <f t="shared" si="189"/>
        <v>S.D.</v>
      </c>
      <c r="T123" s="1659"/>
      <c r="V123" s="2179"/>
      <c r="W123" s="2179"/>
      <c r="AA123" s="2179"/>
      <c r="AB123" s="2179"/>
      <c r="AC123" s="2179"/>
      <c r="AD123" s="2523"/>
      <c r="AE123" s="2523"/>
      <c r="AF123" s="2523"/>
      <c r="AG123" s="2523"/>
      <c r="AH123" s="2523"/>
      <c r="AI123" s="2523"/>
      <c r="AJ123" s="2523"/>
      <c r="AK123" s="2523"/>
      <c r="AL123" s="2523"/>
      <c r="AM123" s="2523"/>
      <c r="AN123" s="2523"/>
      <c r="AO123" s="2523"/>
      <c r="AP123" s="2523"/>
      <c r="AQ123" s="1573"/>
    </row>
    <row r="124" spans="1:125" ht="66" customHeight="1" thickBot="1" x14ac:dyDescent="0.5">
      <c r="A124" s="4175"/>
      <c r="B124" s="3554">
        <v>5606</v>
      </c>
      <c r="C124" s="3539" t="s">
        <v>1310</v>
      </c>
      <c r="D124" s="3546" t="s">
        <v>1306</v>
      </c>
      <c r="E124" s="2988">
        <f t="shared" si="155"/>
        <v>0</v>
      </c>
      <c r="F124" s="2988">
        <f t="shared" si="155"/>
        <v>0</v>
      </c>
      <c r="G124" s="2988">
        <f t="shared" si="155"/>
        <v>0</v>
      </c>
      <c r="H124" s="2988">
        <f t="shared" si="155"/>
        <v>0</v>
      </c>
      <c r="I124" s="2988">
        <f t="shared" ca="1" si="155"/>
        <v>0</v>
      </c>
      <c r="J124" s="2988">
        <f t="shared" ca="1" si="155"/>
        <v>0</v>
      </c>
      <c r="K124" s="2988">
        <f t="shared" ca="1" si="155"/>
        <v>0</v>
      </c>
      <c r="L124" s="1583">
        <f t="shared" ca="1" si="190"/>
        <v>0</v>
      </c>
      <c r="M124" s="1524">
        <f t="shared" ca="1" si="191"/>
        <v>0</v>
      </c>
      <c r="N124" s="1545">
        <f t="shared" ca="1" si="192"/>
        <v>0</v>
      </c>
      <c r="O124" s="1585"/>
      <c r="P124" s="2021">
        <f t="shared" si="193"/>
        <v>0</v>
      </c>
      <c r="Q124" s="1938">
        <f t="shared" si="194"/>
        <v>0</v>
      </c>
      <c r="R124" s="1938">
        <f t="shared" si="195"/>
        <v>0</v>
      </c>
      <c r="S124" s="1569" t="str">
        <f t="shared" si="189"/>
        <v>S.D.</v>
      </c>
      <c r="T124" s="1659"/>
      <c r="V124" s="2179"/>
      <c r="W124" s="2179"/>
      <c r="AA124" s="2179"/>
      <c r="AB124" s="2179"/>
      <c r="AC124" s="2179"/>
      <c r="AD124" s="2523"/>
      <c r="AE124" s="2523"/>
      <c r="AF124" s="2523"/>
      <c r="AG124" s="2523"/>
      <c r="AH124" s="2523"/>
      <c r="AI124" s="2523"/>
      <c r="AJ124" s="2523"/>
      <c r="AK124" s="2523"/>
      <c r="AL124" s="2523"/>
      <c r="AM124" s="2523"/>
      <c r="AN124" s="2523"/>
      <c r="AO124" s="2523"/>
      <c r="AP124" s="2523"/>
      <c r="AQ124" s="1573"/>
    </row>
    <row r="125" spans="1:125" ht="66" hidden="1" customHeight="1" thickBot="1" x14ac:dyDescent="0.5">
      <c r="A125" s="4175"/>
      <c r="B125" s="3542">
        <v>5565</v>
      </c>
      <c r="C125" s="3539" t="s">
        <v>1310</v>
      </c>
      <c r="D125" s="3543" t="s">
        <v>1307</v>
      </c>
      <c r="E125" s="2988">
        <f t="shared" si="155"/>
        <v>0</v>
      </c>
      <c r="F125" s="2988">
        <f t="shared" si="155"/>
        <v>0</v>
      </c>
      <c r="G125" s="2988">
        <f t="shared" si="155"/>
        <v>0</v>
      </c>
      <c r="H125" s="2988">
        <f t="shared" si="155"/>
        <v>0</v>
      </c>
      <c r="I125" s="2988">
        <f t="shared" ca="1" si="155"/>
        <v>0</v>
      </c>
      <c r="J125" s="2988">
        <f t="shared" ca="1" si="155"/>
        <v>0</v>
      </c>
      <c r="K125" s="2988">
        <f t="shared" ca="1" si="155"/>
        <v>0</v>
      </c>
      <c r="L125" s="1583">
        <f t="shared" ca="1" si="190"/>
        <v>0</v>
      </c>
      <c r="M125" s="1524">
        <f t="shared" ca="1" si="191"/>
        <v>0</v>
      </c>
      <c r="N125" s="1545">
        <f t="shared" ca="1" si="192"/>
        <v>0</v>
      </c>
      <c r="O125" s="1585"/>
      <c r="P125" s="2021">
        <f t="shared" si="193"/>
        <v>0</v>
      </c>
      <c r="Q125" s="1938">
        <f t="shared" si="194"/>
        <v>0</v>
      </c>
      <c r="R125" s="1938">
        <f t="shared" si="195"/>
        <v>0</v>
      </c>
      <c r="S125" s="1569" t="str">
        <f t="shared" si="189"/>
        <v>S.D.</v>
      </c>
      <c r="T125" s="1659"/>
      <c r="V125" s="2179"/>
      <c r="W125" s="2179"/>
      <c r="AA125" s="2179"/>
      <c r="AB125" s="2179"/>
      <c r="AC125" s="2179"/>
      <c r="AD125" s="2523"/>
      <c r="AE125" s="2523"/>
      <c r="AF125" s="2523"/>
      <c r="AG125" s="2523"/>
      <c r="AH125" s="2523"/>
      <c r="AI125" s="2523"/>
      <c r="AJ125" s="2523"/>
      <c r="AK125" s="2523"/>
      <c r="AL125" s="2523"/>
      <c r="AM125" s="2523"/>
      <c r="AN125" s="2523"/>
      <c r="AO125" s="2523"/>
      <c r="AP125" s="2523"/>
      <c r="AQ125" s="1573"/>
    </row>
    <row r="126" spans="1:125" ht="66" customHeight="1" thickBot="1" x14ac:dyDescent="0.5">
      <c r="A126" s="4175"/>
      <c r="B126" s="4176" t="s">
        <v>403</v>
      </c>
      <c r="C126" s="4177"/>
      <c r="D126" s="4178"/>
      <c r="E126" s="2031">
        <f>SUM(E109:E124)</f>
        <v>0</v>
      </c>
      <c r="F126" s="2031">
        <f t="shared" ref="F126:N126" si="196">SUM(F109:F124)</f>
        <v>0</v>
      </c>
      <c r="G126" s="2031">
        <f t="shared" si="196"/>
        <v>0</v>
      </c>
      <c r="H126" s="2031">
        <f t="shared" si="196"/>
        <v>0</v>
      </c>
      <c r="I126" s="2031">
        <f t="shared" ca="1" si="196"/>
        <v>0</v>
      </c>
      <c r="J126" s="2031">
        <f t="shared" ca="1" si="196"/>
        <v>0</v>
      </c>
      <c r="K126" s="2031">
        <f t="shared" ca="1" si="196"/>
        <v>0</v>
      </c>
      <c r="L126" s="2031">
        <f t="shared" ca="1" si="196"/>
        <v>0</v>
      </c>
      <c r="M126" s="2031">
        <f t="shared" ca="1" si="196"/>
        <v>0</v>
      </c>
      <c r="N126" s="2031">
        <f t="shared" ca="1" si="196"/>
        <v>0</v>
      </c>
      <c r="O126" s="1587">
        <f ca="1">SUM(L126:N126)</f>
        <v>0</v>
      </c>
      <c r="P126" s="2021">
        <f t="shared" si="151"/>
        <v>0</v>
      </c>
      <c r="Q126" s="1938">
        <f t="shared" si="152"/>
        <v>0</v>
      </c>
      <c r="R126" s="1938">
        <f t="shared" si="153"/>
        <v>0</v>
      </c>
      <c r="S126" s="1569"/>
      <c r="T126" s="1549"/>
      <c r="V126" s="1605"/>
      <c r="W126" s="1605"/>
      <c r="X126" s="1605"/>
      <c r="Y126" s="1605"/>
      <c r="Z126" s="1605"/>
      <c r="AA126" s="1605"/>
      <c r="AB126" s="1605"/>
      <c r="AC126" s="1605"/>
      <c r="AD126" s="1605"/>
      <c r="AE126" s="1605"/>
      <c r="AF126" s="1605"/>
      <c r="AG126" s="1605"/>
      <c r="AH126" s="1605"/>
      <c r="AI126" s="1605"/>
      <c r="AJ126" s="1605"/>
      <c r="AK126" s="1605"/>
      <c r="AL126" s="1605"/>
      <c r="AM126" s="1605"/>
      <c r="AN126" s="1605"/>
      <c r="AO126" s="1605"/>
      <c r="AP126" s="1605"/>
      <c r="AQ126" s="1605"/>
      <c r="AR126" s="1605"/>
      <c r="AS126" s="1605"/>
    </row>
    <row r="127" spans="1:125" ht="49.5" customHeight="1" x14ac:dyDescent="0.45">
      <c r="A127" s="3388"/>
      <c r="B127" s="2260"/>
      <c r="C127" s="2260"/>
      <c r="D127" s="2260"/>
      <c r="E127" s="2260"/>
      <c r="F127" s="2260"/>
      <c r="G127" s="2260"/>
      <c r="H127" s="3448">
        <f>+H126+G126+F126</f>
        <v>0</v>
      </c>
      <c r="I127" s="2260"/>
      <c r="J127" s="2260"/>
      <c r="K127" s="2260"/>
      <c r="L127" s="2260"/>
      <c r="M127" s="2260"/>
      <c r="N127" s="3389"/>
      <c r="O127" s="1490"/>
      <c r="P127" s="1490"/>
    </row>
    <row r="128" spans="1:125" ht="49.5" customHeight="1" x14ac:dyDescent="0.45">
      <c r="A128" s="3388"/>
      <c r="B128" s="2260"/>
      <c r="C128" s="2260"/>
      <c r="D128" s="2260"/>
      <c r="E128" s="2260"/>
      <c r="F128" s="2260"/>
      <c r="G128" s="2260"/>
      <c r="H128" s="2260"/>
      <c r="I128" s="2260"/>
      <c r="J128" s="2260"/>
      <c r="K128" s="2260"/>
      <c r="L128" s="2260"/>
      <c r="M128" s="2260"/>
      <c r="N128" s="3389"/>
      <c r="P128" s="1490"/>
    </row>
    <row r="129" spans="1:45" s="1540" customFormat="1" ht="49.5" customHeight="1" x14ac:dyDescent="0.45">
      <c r="A129" s="4399"/>
      <c r="B129" s="4400"/>
      <c r="C129" s="4400"/>
      <c r="D129" s="4401"/>
      <c r="E129" s="4397" t="s">
        <v>101</v>
      </c>
      <c r="F129" s="4258" t="s">
        <v>304</v>
      </c>
      <c r="G129" s="4259"/>
      <c r="H129" s="4260"/>
      <c r="I129" s="4258" t="s">
        <v>368</v>
      </c>
      <c r="J129" s="4259"/>
      <c r="K129" s="4260"/>
      <c r="L129" s="4237" t="s">
        <v>377</v>
      </c>
      <c r="M129" s="4238"/>
      <c r="N129" s="4239"/>
      <c r="P129" s="1541"/>
      <c r="V129" s="1638"/>
      <c r="W129" s="1638"/>
      <c r="X129" s="4252"/>
      <c r="Y129" s="4252"/>
      <c r="Z129" s="4252"/>
      <c r="AA129" s="4252"/>
      <c r="AB129" s="4252"/>
      <c r="AC129" s="4252"/>
      <c r="AD129" s="4252"/>
      <c r="AE129" s="4252"/>
      <c r="AF129" s="4252"/>
      <c r="AG129" s="4252"/>
      <c r="AH129" s="4252"/>
      <c r="AI129" s="4252"/>
      <c r="AJ129" s="4252"/>
      <c r="AK129" s="4252"/>
      <c r="AL129" s="4252"/>
      <c r="AM129" s="4252"/>
      <c r="AN129" s="4252"/>
      <c r="AO129" s="4252"/>
      <c r="AP129" s="4252"/>
      <c r="AQ129" s="4252"/>
      <c r="AR129" s="4252"/>
      <c r="AS129" s="4252"/>
    </row>
    <row r="130" spans="1:45" s="1540" customFormat="1" ht="49.5" customHeight="1" thickBot="1" x14ac:dyDescent="0.5">
      <c r="A130" s="4399"/>
      <c r="B130" s="4400"/>
      <c r="C130" s="4400"/>
      <c r="D130" s="4401"/>
      <c r="E130" s="4398"/>
      <c r="F130" s="3418" t="s">
        <v>287</v>
      </c>
      <c r="G130" s="3418" t="s">
        <v>289</v>
      </c>
      <c r="H130" s="3418" t="s">
        <v>288</v>
      </c>
      <c r="I130" s="3418" t="s">
        <v>287</v>
      </c>
      <c r="J130" s="3418" t="s">
        <v>289</v>
      </c>
      <c r="K130" s="3418" t="s">
        <v>288</v>
      </c>
      <c r="L130" s="1600" t="s">
        <v>287</v>
      </c>
      <c r="M130" s="1600" t="s">
        <v>289</v>
      </c>
      <c r="N130" s="3336" t="s">
        <v>288</v>
      </c>
      <c r="P130" s="1541"/>
      <c r="V130" s="1638"/>
      <c r="W130" s="1638"/>
      <c r="X130" s="1638"/>
      <c r="Y130" s="1638"/>
      <c r="Z130" s="1638"/>
      <c r="AA130" s="1638"/>
      <c r="AB130" s="1638"/>
      <c r="AC130" s="1638"/>
      <c r="AD130" s="1638"/>
      <c r="AE130" s="1638"/>
      <c r="AF130" s="1638"/>
      <c r="AG130" s="1638"/>
      <c r="AH130" s="1638"/>
      <c r="AI130" s="1638"/>
      <c r="AJ130" s="1638"/>
      <c r="AK130" s="1638"/>
      <c r="AL130" s="1638"/>
      <c r="AM130" s="1638"/>
      <c r="AN130" s="1638"/>
      <c r="AO130" s="1638"/>
      <c r="AP130" s="1638"/>
      <c r="AQ130" s="1638"/>
      <c r="AR130" s="1638"/>
      <c r="AS130" s="1638"/>
    </row>
    <row r="131" spans="1:45" s="1540" customFormat="1" ht="87" customHeight="1" x14ac:dyDescent="0.45">
      <c r="A131" s="4411" t="s">
        <v>404</v>
      </c>
      <c r="B131" s="1947">
        <v>5030</v>
      </c>
      <c r="C131" s="4228" t="s">
        <v>217</v>
      </c>
      <c r="D131" s="4229"/>
      <c r="E131" s="3414">
        <f>+E109+E87+E65+E37+E17</f>
        <v>0</v>
      </c>
      <c r="F131" s="3414">
        <f t="shared" ref="F131:N131" si="197">+F109+F87+F65+F37+F17</f>
        <v>0</v>
      </c>
      <c r="G131" s="3414">
        <f t="shared" si="197"/>
        <v>0</v>
      </c>
      <c r="H131" s="3414">
        <f t="shared" si="197"/>
        <v>0</v>
      </c>
      <c r="I131" s="3414">
        <f t="shared" ca="1" si="197"/>
        <v>0</v>
      </c>
      <c r="J131" s="3414">
        <f t="shared" ca="1" si="197"/>
        <v>0</v>
      </c>
      <c r="K131" s="3414">
        <f t="shared" ca="1" si="197"/>
        <v>0</v>
      </c>
      <c r="L131" s="3414">
        <f t="shared" ca="1" si="197"/>
        <v>0</v>
      </c>
      <c r="M131" s="3414">
        <f t="shared" ca="1" si="197"/>
        <v>0</v>
      </c>
      <c r="N131" s="3414">
        <f t="shared" ca="1" si="197"/>
        <v>0</v>
      </c>
      <c r="P131" s="1541"/>
      <c r="V131" s="2179"/>
      <c r="W131" s="2179"/>
      <c r="X131" s="1489"/>
      <c r="Y131" s="1489"/>
      <c r="Z131" s="1489"/>
      <c r="AA131" s="2179"/>
      <c r="AB131" s="2179"/>
      <c r="AC131" s="2179"/>
      <c r="AD131" s="2523"/>
      <c r="AE131" s="2523"/>
      <c r="AF131" s="2523"/>
      <c r="AG131" s="2523"/>
      <c r="AH131" s="2523"/>
      <c r="AI131" s="2523"/>
      <c r="AJ131" s="2523"/>
      <c r="AK131" s="2523"/>
      <c r="AL131" s="2523"/>
      <c r="AM131" s="2523"/>
      <c r="AN131" s="2523"/>
      <c r="AO131" s="2523"/>
      <c r="AP131" s="2523"/>
      <c r="AQ131" s="1573"/>
      <c r="AR131" s="1489"/>
      <c r="AS131" s="1489"/>
    </row>
    <row r="132" spans="1:45" s="1540" customFormat="1" ht="87" customHeight="1" x14ac:dyDescent="0.45">
      <c r="A132" s="4412"/>
      <c r="B132" s="2842">
        <v>5041</v>
      </c>
      <c r="C132" s="3790" t="s">
        <v>218</v>
      </c>
      <c r="D132" s="4230"/>
      <c r="E132" s="1564">
        <f>+E112+E90+E68+E42+E22</f>
        <v>0</v>
      </c>
      <c r="F132" s="1564">
        <f t="shared" ref="F132:N132" si="198">+F112+F90+F68+F42+F22</f>
        <v>0</v>
      </c>
      <c r="G132" s="1564">
        <f t="shared" si="198"/>
        <v>0</v>
      </c>
      <c r="H132" s="1564">
        <f t="shared" si="198"/>
        <v>0</v>
      </c>
      <c r="I132" s="1564">
        <f t="shared" ca="1" si="198"/>
        <v>0</v>
      </c>
      <c r="J132" s="1564">
        <f t="shared" ca="1" si="198"/>
        <v>0</v>
      </c>
      <c r="K132" s="1564">
        <f t="shared" ca="1" si="198"/>
        <v>0</v>
      </c>
      <c r="L132" s="1564">
        <f t="shared" ca="1" si="198"/>
        <v>0</v>
      </c>
      <c r="M132" s="1564">
        <f t="shared" ca="1" si="198"/>
        <v>0</v>
      </c>
      <c r="N132" s="1564">
        <f t="shared" ca="1" si="198"/>
        <v>0</v>
      </c>
      <c r="P132" s="1541"/>
      <c r="V132" s="2179"/>
      <c r="W132" s="2179"/>
      <c r="X132" s="1489"/>
      <c r="Y132" s="1489"/>
      <c r="Z132" s="1489"/>
      <c r="AA132" s="2179"/>
      <c r="AB132" s="2179"/>
      <c r="AC132" s="2179"/>
      <c r="AD132" s="2523"/>
      <c r="AE132" s="2523"/>
      <c r="AF132" s="2523"/>
      <c r="AG132" s="2523"/>
      <c r="AH132" s="2523"/>
      <c r="AI132" s="2523"/>
      <c r="AJ132" s="2523"/>
      <c r="AK132" s="2523"/>
      <c r="AL132" s="2523"/>
      <c r="AM132" s="2523"/>
      <c r="AN132" s="2523"/>
      <c r="AO132" s="2523"/>
      <c r="AP132" s="2523"/>
      <c r="AQ132" s="1573"/>
      <c r="AR132" s="1489"/>
      <c r="AS132" s="1489"/>
    </row>
    <row r="133" spans="1:45" s="1540" customFormat="1" ht="87" hidden="1" customHeight="1" x14ac:dyDescent="0.45">
      <c r="A133" s="4412"/>
      <c r="B133" s="2842">
        <v>5040</v>
      </c>
      <c r="C133" s="4429" t="s">
        <v>620</v>
      </c>
      <c r="D133" s="4430"/>
      <c r="E133" s="1564">
        <f>+E113+E91+E69+E43</f>
        <v>0</v>
      </c>
      <c r="F133" s="1564">
        <f t="shared" ref="F133:N133" si="199">+F113+F91+F69+F43</f>
        <v>0</v>
      </c>
      <c r="G133" s="1564">
        <f t="shared" si="199"/>
        <v>0</v>
      </c>
      <c r="H133" s="1564">
        <f t="shared" si="199"/>
        <v>0</v>
      </c>
      <c r="I133" s="1564">
        <f t="shared" ca="1" si="199"/>
        <v>0</v>
      </c>
      <c r="J133" s="1564">
        <f t="shared" ca="1" si="199"/>
        <v>0</v>
      </c>
      <c r="K133" s="1564">
        <f t="shared" ca="1" si="199"/>
        <v>0</v>
      </c>
      <c r="L133" s="1564">
        <f t="shared" ca="1" si="199"/>
        <v>0</v>
      </c>
      <c r="M133" s="1564">
        <f t="shared" ca="1" si="199"/>
        <v>0</v>
      </c>
      <c r="N133" s="1564">
        <f t="shared" ca="1" si="199"/>
        <v>0</v>
      </c>
      <c r="P133" s="1541"/>
      <c r="V133" s="2179"/>
      <c r="W133" s="2179"/>
      <c r="X133" s="1489"/>
      <c r="Y133" s="1489"/>
      <c r="Z133" s="1489"/>
      <c r="AA133" s="2179"/>
      <c r="AB133" s="2179"/>
      <c r="AC133" s="2179"/>
      <c r="AD133" s="2523"/>
      <c r="AE133" s="2523"/>
      <c r="AF133" s="2523"/>
      <c r="AG133" s="2523"/>
      <c r="AH133" s="2523"/>
      <c r="AI133" s="2523"/>
      <c r="AJ133" s="2523"/>
      <c r="AK133" s="2523"/>
      <c r="AL133" s="2523"/>
      <c r="AM133" s="2523"/>
      <c r="AN133" s="2523"/>
      <c r="AO133" s="2523"/>
      <c r="AP133" s="2523"/>
      <c r="AQ133" s="1573"/>
      <c r="AR133" s="1489"/>
      <c r="AS133" s="1489"/>
    </row>
    <row r="134" spans="1:45" s="1540" customFormat="1" ht="87" customHeight="1" x14ac:dyDescent="0.45">
      <c r="A134" s="4412"/>
      <c r="B134" s="2842">
        <v>5045</v>
      </c>
      <c r="C134" s="3790" t="s">
        <v>378</v>
      </c>
      <c r="D134" s="4230"/>
      <c r="E134" s="1564">
        <f>+E114+E92+E70+E44</f>
        <v>0</v>
      </c>
      <c r="F134" s="1564">
        <f t="shared" ref="F134:N134" si="200">+F114+F92+F70+F44</f>
        <v>0</v>
      </c>
      <c r="G134" s="1564">
        <f t="shared" si="200"/>
        <v>0</v>
      </c>
      <c r="H134" s="1564">
        <f t="shared" si="200"/>
        <v>0</v>
      </c>
      <c r="I134" s="1564">
        <f t="shared" ca="1" si="200"/>
        <v>0</v>
      </c>
      <c r="J134" s="1564">
        <f t="shared" ca="1" si="200"/>
        <v>0</v>
      </c>
      <c r="K134" s="1564">
        <f t="shared" ca="1" si="200"/>
        <v>0</v>
      </c>
      <c r="L134" s="1564">
        <f t="shared" ca="1" si="200"/>
        <v>0</v>
      </c>
      <c r="M134" s="1564">
        <f t="shared" ca="1" si="200"/>
        <v>0</v>
      </c>
      <c r="N134" s="1564">
        <f t="shared" ca="1" si="200"/>
        <v>0</v>
      </c>
      <c r="P134" s="1541"/>
      <c r="V134" s="2179"/>
      <c r="W134" s="2179"/>
      <c r="X134" s="1489"/>
      <c r="Y134" s="1489"/>
      <c r="Z134" s="1489"/>
      <c r="AA134" s="2179"/>
      <c r="AB134" s="2179"/>
      <c r="AC134" s="2179"/>
      <c r="AD134" s="2523"/>
      <c r="AE134" s="2523"/>
      <c r="AF134" s="2523"/>
      <c r="AG134" s="2523"/>
      <c r="AH134" s="2523"/>
      <c r="AI134" s="2523"/>
      <c r="AJ134" s="2523"/>
      <c r="AK134" s="2523"/>
      <c r="AL134" s="2523"/>
      <c r="AM134" s="2523"/>
      <c r="AN134" s="2523"/>
      <c r="AO134" s="2523"/>
      <c r="AP134" s="2523"/>
      <c r="AQ134" s="1573"/>
      <c r="AR134" s="1489"/>
      <c r="AS134" s="1489"/>
    </row>
    <row r="135" spans="1:45" s="1540" customFormat="1" ht="87" customHeight="1" x14ac:dyDescent="0.45">
      <c r="A135" s="4412"/>
      <c r="B135" s="1955">
        <v>5050</v>
      </c>
      <c r="C135" s="4433" t="s">
        <v>379</v>
      </c>
      <c r="D135" s="4434"/>
      <c r="E135" s="1564">
        <f>+E119+E97+E75+E51+E27</f>
        <v>0</v>
      </c>
      <c r="F135" s="1564">
        <f t="shared" ref="F135:N135" si="201">+F119+F97+F75+F51+F27</f>
        <v>0</v>
      </c>
      <c r="G135" s="1564">
        <f t="shared" si="201"/>
        <v>0</v>
      </c>
      <c r="H135" s="1564">
        <f t="shared" si="201"/>
        <v>0</v>
      </c>
      <c r="I135" s="1564">
        <f t="shared" ca="1" si="201"/>
        <v>0</v>
      </c>
      <c r="J135" s="1564">
        <f t="shared" ca="1" si="201"/>
        <v>0</v>
      </c>
      <c r="K135" s="1564">
        <f t="shared" ca="1" si="201"/>
        <v>0</v>
      </c>
      <c r="L135" s="1564">
        <f t="shared" ca="1" si="201"/>
        <v>0</v>
      </c>
      <c r="M135" s="1564">
        <f t="shared" ca="1" si="201"/>
        <v>0</v>
      </c>
      <c r="N135" s="1564">
        <f t="shared" ca="1" si="201"/>
        <v>0</v>
      </c>
      <c r="P135" s="1541"/>
      <c r="V135" s="2179"/>
      <c r="W135" s="2179"/>
      <c r="X135" s="1489"/>
      <c r="Y135" s="1489"/>
      <c r="Z135" s="1489"/>
      <c r="AA135" s="2179"/>
      <c r="AB135" s="2179"/>
      <c r="AC135" s="2179"/>
      <c r="AD135" s="2523"/>
      <c r="AE135" s="2523"/>
      <c r="AF135" s="2523"/>
      <c r="AG135" s="2523"/>
      <c r="AH135" s="2523"/>
      <c r="AI135" s="2523"/>
      <c r="AJ135" s="2523"/>
      <c r="AK135" s="2523"/>
      <c r="AL135" s="2523"/>
      <c r="AM135" s="2523"/>
      <c r="AN135" s="2523"/>
      <c r="AO135" s="2523"/>
      <c r="AP135" s="2523"/>
      <c r="AQ135" s="1573"/>
      <c r="AR135" s="1489"/>
      <c r="AS135" s="1489"/>
    </row>
    <row r="136" spans="1:45" s="1540" customFormat="1" ht="87" hidden="1" customHeight="1" x14ac:dyDescent="0.45">
      <c r="A136" s="4412"/>
      <c r="B136" s="1955">
        <v>5051</v>
      </c>
      <c r="C136" s="4431" t="s">
        <v>1246</v>
      </c>
      <c r="D136" s="4432"/>
      <c r="E136" s="3402">
        <f>+E120+E98+E76+E52</f>
        <v>0</v>
      </c>
      <c r="F136" s="3402">
        <f t="shared" ref="F136:N136" si="202">+F120+F98+F76+F52</f>
        <v>0</v>
      </c>
      <c r="G136" s="3402">
        <f t="shared" si="202"/>
        <v>0</v>
      </c>
      <c r="H136" s="3402">
        <f t="shared" si="202"/>
        <v>0</v>
      </c>
      <c r="I136" s="3402">
        <f t="shared" ca="1" si="202"/>
        <v>0</v>
      </c>
      <c r="J136" s="3402">
        <f t="shared" ca="1" si="202"/>
        <v>0</v>
      </c>
      <c r="K136" s="3402">
        <f t="shared" ca="1" si="202"/>
        <v>0</v>
      </c>
      <c r="L136" s="3402">
        <f t="shared" ca="1" si="202"/>
        <v>0</v>
      </c>
      <c r="M136" s="3402">
        <f t="shared" ca="1" si="202"/>
        <v>0</v>
      </c>
      <c r="N136" s="3402">
        <f t="shared" ca="1" si="202"/>
        <v>0</v>
      </c>
      <c r="P136" s="1541"/>
      <c r="V136" s="2179"/>
      <c r="W136" s="2179"/>
      <c r="X136" s="1489"/>
      <c r="Y136" s="1489"/>
      <c r="Z136" s="1489"/>
      <c r="AA136" s="2179"/>
      <c r="AB136" s="2179"/>
      <c r="AC136" s="2179"/>
      <c r="AD136" s="2523"/>
      <c r="AE136" s="2523"/>
      <c r="AF136" s="2523"/>
      <c r="AG136" s="2523"/>
      <c r="AH136" s="2523"/>
      <c r="AI136" s="2523"/>
      <c r="AJ136" s="2523"/>
      <c r="AK136" s="2523"/>
      <c r="AL136" s="2523"/>
      <c r="AM136" s="2523"/>
      <c r="AN136" s="2523"/>
      <c r="AO136" s="2523"/>
      <c r="AP136" s="2523"/>
      <c r="AQ136" s="1573"/>
      <c r="AR136" s="1489"/>
      <c r="AS136" s="1489"/>
    </row>
    <row r="137" spans="1:45" s="1540" customFormat="1" ht="87" customHeight="1" thickBot="1" x14ac:dyDescent="0.5">
      <c r="A137" s="4412"/>
      <c r="B137" s="1955">
        <v>5055</v>
      </c>
      <c r="C137" s="4435" t="s">
        <v>405</v>
      </c>
      <c r="D137" s="4436"/>
      <c r="E137" s="3410">
        <f>+E121+E99+E77+E53</f>
        <v>0</v>
      </c>
      <c r="F137" s="3410">
        <f t="shared" ref="F137:N137" si="203">+F121+F99+F77+F53</f>
        <v>0</v>
      </c>
      <c r="G137" s="3410">
        <f t="shared" si="203"/>
        <v>0</v>
      </c>
      <c r="H137" s="3410">
        <f t="shared" si="203"/>
        <v>0</v>
      </c>
      <c r="I137" s="3410">
        <f t="shared" ca="1" si="203"/>
        <v>0</v>
      </c>
      <c r="J137" s="3410">
        <f t="shared" ca="1" si="203"/>
        <v>0</v>
      </c>
      <c r="K137" s="3410">
        <f t="shared" ca="1" si="203"/>
        <v>0</v>
      </c>
      <c r="L137" s="3410">
        <f t="shared" ca="1" si="203"/>
        <v>0</v>
      </c>
      <c r="M137" s="3410">
        <f t="shared" ca="1" si="203"/>
        <v>0</v>
      </c>
      <c r="N137" s="3410">
        <f t="shared" ca="1" si="203"/>
        <v>0</v>
      </c>
      <c r="P137" s="1541"/>
      <c r="V137" s="2179"/>
      <c r="W137" s="2179"/>
      <c r="X137" s="1489"/>
      <c r="Y137" s="1489"/>
      <c r="Z137" s="1489"/>
      <c r="AA137" s="2179"/>
      <c r="AB137" s="2179"/>
      <c r="AC137" s="2179"/>
      <c r="AD137" s="2523"/>
      <c r="AE137" s="2523"/>
      <c r="AF137" s="2523"/>
      <c r="AG137" s="2523"/>
      <c r="AH137" s="2523"/>
      <c r="AI137" s="2523"/>
      <c r="AJ137" s="2523"/>
      <c r="AK137" s="2523"/>
      <c r="AL137" s="2523"/>
      <c r="AM137" s="2523"/>
      <c r="AN137" s="2523"/>
      <c r="AO137" s="2523"/>
      <c r="AP137" s="2523"/>
      <c r="AQ137" s="1573"/>
      <c r="AR137" s="1489"/>
      <c r="AS137" s="1489"/>
    </row>
    <row r="138" spans="1:45" s="1540" customFormat="1" ht="87" customHeight="1" x14ac:dyDescent="0.45">
      <c r="A138" s="4412"/>
      <c r="B138" s="1721">
        <v>5501</v>
      </c>
      <c r="C138" s="4364" t="s">
        <v>406</v>
      </c>
      <c r="D138" s="3412" t="s">
        <v>46</v>
      </c>
      <c r="E138" s="3413">
        <f>+E23</f>
        <v>0</v>
      </c>
      <c r="F138" s="3413">
        <f t="shared" ref="F138:N138" si="204">+F23</f>
        <v>0</v>
      </c>
      <c r="G138" s="3413">
        <f t="shared" si="204"/>
        <v>0</v>
      </c>
      <c r="H138" s="3413">
        <f t="shared" si="204"/>
        <v>0</v>
      </c>
      <c r="I138" s="3413">
        <f t="shared" ca="1" si="204"/>
        <v>0</v>
      </c>
      <c r="J138" s="3413">
        <f t="shared" ca="1" si="204"/>
        <v>0</v>
      </c>
      <c r="K138" s="3413">
        <f t="shared" ca="1" si="204"/>
        <v>0</v>
      </c>
      <c r="L138" s="3413">
        <f t="shared" ca="1" si="204"/>
        <v>0</v>
      </c>
      <c r="M138" s="3413">
        <f t="shared" ca="1" si="204"/>
        <v>0</v>
      </c>
      <c r="N138" s="3413">
        <f t="shared" ca="1" si="204"/>
        <v>0</v>
      </c>
      <c r="O138" s="1574"/>
      <c r="P138" s="1541"/>
      <c r="V138" s="2179"/>
      <c r="W138" s="2179"/>
      <c r="X138" s="1489"/>
      <c r="Y138" s="1489"/>
      <c r="Z138" s="1489"/>
      <c r="AA138" s="2179"/>
      <c r="AB138" s="2179"/>
      <c r="AC138" s="2179"/>
      <c r="AD138" s="2523"/>
      <c r="AE138" s="2523"/>
      <c r="AF138" s="2523"/>
      <c r="AG138" s="2523"/>
      <c r="AH138" s="2523"/>
      <c r="AI138" s="2523"/>
      <c r="AJ138" s="2523"/>
      <c r="AK138" s="2523"/>
      <c r="AL138" s="2523"/>
      <c r="AM138" s="2523"/>
      <c r="AN138" s="2523"/>
      <c r="AO138" s="2523"/>
      <c r="AP138" s="2523"/>
      <c r="AQ138" s="1573"/>
      <c r="AR138" s="1489"/>
      <c r="AS138" s="1489"/>
    </row>
    <row r="139" spans="1:45" s="1540" customFormat="1" ht="87" customHeight="1" x14ac:dyDescent="0.45">
      <c r="A139" s="4412"/>
      <c r="B139" s="1721">
        <v>5502</v>
      </c>
      <c r="C139" s="3749"/>
      <c r="D139" s="3405" t="s">
        <v>47</v>
      </c>
      <c r="E139" s="2547">
        <f>+E24</f>
        <v>0</v>
      </c>
      <c r="F139" s="2547">
        <f t="shared" ref="F139:N139" si="205">+F24</f>
        <v>0</v>
      </c>
      <c r="G139" s="2547">
        <f t="shared" si="205"/>
        <v>0</v>
      </c>
      <c r="H139" s="2547">
        <f t="shared" si="205"/>
        <v>0</v>
      </c>
      <c r="I139" s="2547">
        <f t="shared" ca="1" si="205"/>
        <v>0</v>
      </c>
      <c r="J139" s="2547">
        <f t="shared" ca="1" si="205"/>
        <v>0</v>
      </c>
      <c r="K139" s="2547">
        <f t="shared" ca="1" si="205"/>
        <v>0</v>
      </c>
      <c r="L139" s="2547">
        <f t="shared" ca="1" si="205"/>
        <v>0</v>
      </c>
      <c r="M139" s="2547">
        <f t="shared" ca="1" si="205"/>
        <v>0</v>
      </c>
      <c r="N139" s="2547">
        <f t="shared" ca="1" si="205"/>
        <v>0</v>
      </c>
      <c r="O139" s="1574"/>
      <c r="P139" s="1541"/>
      <c r="V139" s="2179"/>
      <c r="W139" s="2179"/>
      <c r="X139" s="1489"/>
      <c r="Y139" s="1489"/>
      <c r="Z139" s="1489"/>
      <c r="AA139" s="2179"/>
      <c r="AB139" s="2179"/>
      <c r="AC139" s="2179"/>
      <c r="AD139" s="2523"/>
      <c r="AE139" s="2523"/>
      <c r="AF139" s="2523"/>
      <c r="AG139" s="2523"/>
      <c r="AH139" s="2523"/>
      <c r="AI139" s="2523"/>
      <c r="AJ139" s="2523"/>
      <c r="AK139" s="2523"/>
      <c r="AL139" s="2523"/>
      <c r="AM139" s="2523"/>
      <c r="AN139" s="2523"/>
      <c r="AO139" s="2523"/>
      <c r="AP139" s="2523"/>
      <c r="AQ139" s="1573"/>
      <c r="AR139" s="1489"/>
      <c r="AS139" s="1489"/>
    </row>
    <row r="140" spans="1:45" s="1540" customFormat="1" ht="87" customHeight="1" x14ac:dyDescent="0.5">
      <c r="A140" s="4412"/>
      <c r="B140" s="1721">
        <v>5503</v>
      </c>
      <c r="C140" s="3749"/>
      <c r="D140" s="3405" t="s">
        <v>53</v>
      </c>
      <c r="E140" s="2547">
        <f>+E45</f>
        <v>0</v>
      </c>
      <c r="F140" s="2547">
        <f t="shared" ref="F140:N140" si="206">+F45</f>
        <v>0</v>
      </c>
      <c r="G140" s="2547">
        <f t="shared" si="206"/>
        <v>0</v>
      </c>
      <c r="H140" s="2547">
        <f t="shared" si="206"/>
        <v>0</v>
      </c>
      <c r="I140" s="2547">
        <f t="shared" ca="1" si="206"/>
        <v>0</v>
      </c>
      <c r="J140" s="2547">
        <f t="shared" ca="1" si="206"/>
        <v>0</v>
      </c>
      <c r="K140" s="2547">
        <f t="shared" ca="1" si="206"/>
        <v>0</v>
      </c>
      <c r="L140" s="2547">
        <f t="shared" ca="1" si="206"/>
        <v>0</v>
      </c>
      <c r="M140" s="2547">
        <f t="shared" ca="1" si="206"/>
        <v>0</v>
      </c>
      <c r="N140" s="2547">
        <f t="shared" ca="1" si="206"/>
        <v>0</v>
      </c>
      <c r="O140" s="1574"/>
      <c r="P140" s="1541"/>
      <c r="V140" s="2179"/>
      <c r="W140" s="2179"/>
      <c r="X140" s="2179"/>
      <c r="Y140" s="2179"/>
      <c r="Z140" s="2179"/>
      <c r="AA140" s="2523"/>
      <c r="AB140" s="2523"/>
      <c r="AC140" s="2523"/>
      <c r="AD140" s="2523"/>
      <c r="AE140" s="2523"/>
      <c r="AF140" s="2523"/>
      <c r="AG140" s="2523"/>
      <c r="AH140" s="2523"/>
      <c r="AI140" s="2523"/>
      <c r="AJ140" s="2523"/>
      <c r="AK140" s="2523"/>
      <c r="AL140" s="2523"/>
      <c r="AM140" s="2523"/>
      <c r="AN140" s="2523"/>
      <c r="AO140" s="2523"/>
      <c r="AP140" s="2523"/>
      <c r="AQ140" s="2524"/>
      <c r="AR140" s="2524"/>
      <c r="AS140" s="2524"/>
    </row>
    <row r="141" spans="1:45" s="1540" customFormat="1" ht="87" customHeight="1" x14ac:dyDescent="0.5">
      <c r="A141" s="4412"/>
      <c r="B141" s="1721">
        <v>5504</v>
      </c>
      <c r="C141" s="3749"/>
      <c r="D141" s="3405" t="s">
        <v>54</v>
      </c>
      <c r="E141" s="2547">
        <f>+E46</f>
        <v>0</v>
      </c>
      <c r="F141" s="2547">
        <f t="shared" ref="F141:N141" si="207">+F46</f>
        <v>0</v>
      </c>
      <c r="G141" s="2547">
        <f t="shared" si="207"/>
        <v>0</v>
      </c>
      <c r="H141" s="2547">
        <f t="shared" si="207"/>
        <v>0</v>
      </c>
      <c r="I141" s="2547">
        <f t="shared" ca="1" si="207"/>
        <v>0</v>
      </c>
      <c r="J141" s="2547">
        <f t="shared" ca="1" si="207"/>
        <v>0</v>
      </c>
      <c r="K141" s="2547">
        <f t="shared" ca="1" si="207"/>
        <v>0</v>
      </c>
      <c r="L141" s="2547">
        <f t="shared" ca="1" si="207"/>
        <v>0</v>
      </c>
      <c r="M141" s="2547">
        <f t="shared" ca="1" si="207"/>
        <v>0</v>
      </c>
      <c r="N141" s="2547">
        <f t="shared" ca="1" si="207"/>
        <v>0</v>
      </c>
      <c r="O141" s="1574"/>
      <c r="P141" s="1541"/>
      <c r="V141" s="2179"/>
      <c r="W141" s="2179"/>
      <c r="X141" s="2179"/>
      <c r="Y141" s="2179"/>
      <c r="Z141" s="2179"/>
      <c r="AA141" s="2523"/>
      <c r="AB141" s="2523"/>
      <c r="AC141" s="2523"/>
      <c r="AD141" s="2523"/>
      <c r="AE141" s="2523"/>
      <c r="AF141" s="2523"/>
      <c r="AG141" s="2523"/>
      <c r="AH141" s="2523"/>
      <c r="AI141" s="2523"/>
      <c r="AJ141" s="2523"/>
      <c r="AK141" s="2523"/>
      <c r="AL141" s="2523"/>
      <c r="AM141" s="2523"/>
      <c r="AN141" s="2523"/>
      <c r="AO141" s="2523"/>
      <c r="AP141" s="2523"/>
      <c r="AQ141" s="2524"/>
      <c r="AR141" s="2524"/>
      <c r="AS141" s="2524"/>
    </row>
    <row r="142" spans="1:45" s="1540" customFormat="1" ht="87" hidden="1" customHeight="1" x14ac:dyDescent="0.5">
      <c r="A142" s="4412"/>
      <c r="B142" s="1721">
        <v>5505</v>
      </c>
      <c r="C142" s="3749"/>
      <c r="D142" s="1721" t="s">
        <v>1359</v>
      </c>
      <c r="E142" s="2547">
        <f>+E47</f>
        <v>0</v>
      </c>
      <c r="F142" s="2547">
        <f t="shared" ref="F142:N142" si="208">+F47</f>
        <v>0</v>
      </c>
      <c r="G142" s="2547">
        <f t="shared" si="208"/>
        <v>0</v>
      </c>
      <c r="H142" s="2547">
        <f t="shared" si="208"/>
        <v>0</v>
      </c>
      <c r="I142" s="2547">
        <f t="shared" ca="1" si="208"/>
        <v>0</v>
      </c>
      <c r="J142" s="2547">
        <f t="shared" ca="1" si="208"/>
        <v>0</v>
      </c>
      <c r="K142" s="2547">
        <f t="shared" ca="1" si="208"/>
        <v>0</v>
      </c>
      <c r="L142" s="2547">
        <f t="shared" ca="1" si="208"/>
        <v>0</v>
      </c>
      <c r="M142" s="2547">
        <f t="shared" ca="1" si="208"/>
        <v>0</v>
      </c>
      <c r="N142" s="2547">
        <f t="shared" ca="1" si="208"/>
        <v>0</v>
      </c>
      <c r="O142" s="1574"/>
      <c r="P142" s="1541"/>
      <c r="V142" s="2179"/>
      <c r="W142" s="2179"/>
      <c r="X142" s="2179"/>
      <c r="Y142" s="2179"/>
      <c r="Z142" s="2179"/>
      <c r="AA142" s="2523"/>
      <c r="AB142" s="2523"/>
      <c r="AC142" s="2523"/>
      <c r="AD142" s="2523"/>
      <c r="AE142" s="2523"/>
      <c r="AF142" s="2523"/>
      <c r="AG142" s="2523"/>
      <c r="AH142" s="2523"/>
      <c r="AI142" s="2523"/>
      <c r="AJ142" s="2523"/>
      <c r="AK142" s="2523"/>
      <c r="AL142" s="2523"/>
      <c r="AM142" s="2523"/>
      <c r="AN142" s="2523"/>
      <c r="AO142" s="2523"/>
      <c r="AP142" s="2523"/>
      <c r="AQ142" s="2524"/>
      <c r="AR142" s="2524"/>
      <c r="AS142" s="2524"/>
    </row>
    <row r="143" spans="1:45" s="1540" customFormat="1" ht="87" customHeight="1" x14ac:dyDescent="0.5">
      <c r="A143" s="4412"/>
      <c r="B143" s="1721">
        <v>5506</v>
      </c>
      <c r="C143" s="3749"/>
      <c r="D143" s="3405" t="s">
        <v>59</v>
      </c>
      <c r="E143" s="2547">
        <f>+E71</f>
        <v>0</v>
      </c>
      <c r="F143" s="2547">
        <f t="shared" ref="F143:N143" si="209">+F71</f>
        <v>0</v>
      </c>
      <c r="G143" s="2547">
        <f t="shared" si="209"/>
        <v>0</v>
      </c>
      <c r="H143" s="2547">
        <f t="shared" si="209"/>
        <v>0</v>
      </c>
      <c r="I143" s="2547">
        <f t="shared" ca="1" si="209"/>
        <v>0</v>
      </c>
      <c r="J143" s="2547">
        <f t="shared" ca="1" si="209"/>
        <v>0</v>
      </c>
      <c r="K143" s="2547">
        <f t="shared" ca="1" si="209"/>
        <v>0</v>
      </c>
      <c r="L143" s="2547">
        <f t="shared" ca="1" si="209"/>
        <v>0</v>
      </c>
      <c r="M143" s="2547">
        <f t="shared" ca="1" si="209"/>
        <v>0</v>
      </c>
      <c r="N143" s="2547">
        <f t="shared" ca="1" si="209"/>
        <v>0</v>
      </c>
      <c r="O143" s="1574"/>
      <c r="P143" s="1541"/>
      <c r="V143" s="2179"/>
      <c r="W143" s="2179"/>
      <c r="X143" s="2179"/>
      <c r="Y143" s="2179"/>
      <c r="Z143" s="2179"/>
      <c r="AA143" s="2523"/>
      <c r="AB143" s="2523"/>
      <c r="AC143" s="2523"/>
      <c r="AD143" s="2523"/>
      <c r="AE143" s="2523"/>
      <c r="AF143" s="2523"/>
      <c r="AG143" s="2523"/>
      <c r="AH143" s="2523"/>
      <c r="AI143" s="2523"/>
      <c r="AJ143" s="2523"/>
      <c r="AK143" s="2523"/>
      <c r="AL143" s="2523"/>
      <c r="AM143" s="2523"/>
      <c r="AN143" s="2523"/>
      <c r="AO143" s="2523"/>
      <c r="AP143" s="2523"/>
      <c r="AQ143" s="2524"/>
      <c r="AR143" s="2524"/>
      <c r="AS143" s="2524"/>
    </row>
    <row r="144" spans="1:45" s="1540" customFormat="1" ht="87" hidden="1" customHeight="1" x14ac:dyDescent="0.5">
      <c r="A144" s="4412"/>
      <c r="B144" s="1721">
        <v>5507</v>
      </c>
      <c r="C144" s="3749"/>
      <c r="D144" s="1721" t="s">
        <v>1320</v>
      </c>
      <c r="E144" s="2547">
        <f>+E72</f>
        <v>0</v>
      </c>
      <c r="F144" s="2547">
        <f t="shared" ref="F144:N144" si="210">+F72</f>
        <v>0</v>
      </c>
      <c r="G144" s="2547">
        <f t="shared" si="210"/>
        <v>0</v>
      </c>
      <c r="H144" s="2547">
        <f t="shared" si="210"/>
        <v>0</v>
      </c>
      <c r="I144" s="2547">
        <f t="shared" ca="1" si="210"/>
        <v>0</v>
      </c>
      <c r="J144" s="2547">
        <f t="shared" ca="1" si="210"/>
        <v>0</v>
      </c>
      <c r="K144" s="2547">
        <f t="shared" ca="1" si="210"/>
        <v>0</v>
      </c>
      <c r="L144" s="2547">
        <f t="shared" ca="1" si="210"/>
        <v>0</v>
      </c>
      <c r="M144" s="2547">
        <f t="shared" ca="1" si="210"/>
        <v>0</v>
      </c>
      <c r="N144" s="2547">
        <f t="shared" ca="1" si="210"/>
        <v>0</v>
      </c>
      <c r="O144" s="1574"/>
      <c r="P144" s="1541"/>
      <c r="V144" s="2179"/>
      <c r="W144" s="2179"/>
      <c r="X144" s="2179"/>
      <c r="Y144" s="2179"/>
      <c r="Z144" s="2179"/>
      <c r="AA144" s="2523"/>
      <c r="AB144" s="2523"/>
      <c r="AC144" s="2523"/>
      <c r="AD144" s="2523"/>
      <c r="AE144" s="2523"/>
      <c r="AF144" s="2523"/>
      <c r="AG144" s="2523"/>
      <c r="AH144" s="2523"/>
      <c r="AI144" s="2523"/>
      <c r="AJ144" s="2523"/>
      <c r="AK144" s="2523"/>
      <c r="AL144" s="2523"/>
      <c r="AM144" s="2523"/>
      <c r="AN144" s="2523"/>
      <c r="AO144" s="2523"/>
      <c r="AP144" s="2523"/>
      <c r="AQ144" s="2524"/>
      <c r="AR144" s="2524"/>
      <c r="AS144" s="2524"/>
    </row>
    <row r="145" spans="1:45" s="1540" customFormat="1" ht="87" customHeight="1" x14ac:dyDescent="0.5">
      <c r="A145" s="4412"/>
      <c r="B145" s="1721">
        <v>5508</v>
      </c>
      <c r="C145" s="3749"/>
      <c r="D145" s="3405" t="s">
        <v>64</v>
      </c>
      <c r="E145" s="2547">
        <f>+E93</f>
        <v>0</v>
      </c>
      <c r="F145" s="2547">
        <f t="shared" ref="F145:N145" si="211">+F93</f>
        <v>0</v>
      </c>
      <c r="G145" s="2547">
        <f t="shared" si="211"/>
        <v>0</v>
      </c>
      <c r="H145" s="2547">
        <f t="shared" si="211"/>
        <v>0</v>
      </c>
      <c r="I145" s="2547">
        <f t="shared" ca="1" si="211"/>
        <v>0</v>
      </c>
      <c r="J145" s="2547">
        <f t="shared" ca="1" si="211"/>
        <v>0</v>
      </c>
      <c r="K145" s="2547">
        <f t="shared" ca="1" si="211"/>
        <v>0</v>
      </c>
      <c r="L145" s="2547">
        <f t="shared" ca="1" si="211"/>
        <v>0</v>
      </c>
      <c r="M145" s="2547">
        <f t="shared" ca="1" si="211"/>
        <v>0</v>
      </c>
      <c r="N145" s="2547">
        <f t="shared" ca="1" si="211"/>
        <v>0</v>
      </c>
      <c r="O145" s="1574"/>
      <c r="P145" s="1541"/>
      <c r="V145" s="2179"/>
      <c r="W145" s="2179"/>
      <c r="X145" s="2179"/>
      <c r="Y145" s="2179"/>
      <c r="Z145" s="2179"/>
      <c r="AA145" s="2523"/>
      <c r="AB145" s="2523"/>
      <c r="AC145" s="2523"/>
      <c r="AD145" s="2523"/>
      <c r="AE145" s="2523"/>
      <c r="AF145" s="2523"/>
      <c r="AG145" s="2523"/>
      <c r="AH145" s="2523"/>
      <c r="AI145" s="2523"/>
      <c r="AJ145" s="2523"/>
      <c r="AK145" s="2523"/>
      <c r="AL145" s="2523"/>
      <c r="AM145" s="2523"/>
      <c r="AN145" s="2523"/>
      <c r="AO145" s="2523"/>
      <c r="AP145" s="2523"/>
      <c r="AQ145" s="2524"/>
      <c r="AR145" s="2524"/>
      <c r="AS145" s="2524"/>
    </row>
    <row r="146" spans="1:45" s="1540" customFormat="1" ht="87" hidden="1" customHeight="1" x14ac:dyDescent="0.5">
      <c r="A146" s="4412"/>
      <c r="B146" s="1721">
        <v>5509</v>
      </c>
      <c r="C146" s="3749"/>
      <c r="D146" s="3405" t="s">
        <v>1324</v>
      </c>
      <c r="E146" s="2547">
        <f>+E94</f>
        <v>0</v>
      </c>
      <c r="F146" s="2547">
        <f t="shared" ref="F146:N146" si="212">+F94</f>
        <v>0</v>
      </c>
      <c r="G146" s="2547">
        <f t="shared" si="212"/>
        <v>0</v>
      </c>
      <c r="H146" s="2547">
        <f t="shared" si="212"/>
        <v>0</v>
      </c>
      <c r="I146" s="2547">
        <f t="shared" ca="1" si="212"/>
        <v>0</v>
      </c>
      <c r="J146" s="2547">
        <f t="shared" ca="1" si="212"/>
        <v>0</v>
      </c>
      <c r="K146" s="2547">
        <f t="shared" ca="1" si="212"/>
        <v>0</v>
      </c>
      <c r="L146" s="2547">
        <f t="shared" ca="1" si="212"/>
        <v>0</v>
      </c>
      <c r="M146" s="2547">
        <f t="shared" ca="1" si="212"/>
        <v>0</v>
      </c>
      <c r="N146" s="2547">
        <f t="shared" ca="1" si="212"/>
        <v>0</v>
      </c>
      <c r="O146" s="1574"/>
      <c r="P146" s="1541"/>
      <c r="V146" s="2179"/>
      <c r="W146" s="2179"/>
      <c r="X146" s="2179"/>
      <c r="Y146" s="2179"/>
      <c r="Z146" s="2179"/>
      <c r="AA146" s="2523"/>
      <c r="AB146" s="2523"/>
      <c r="AC146" s="2523"/>
      <c r="AD146" s="2523"/>
      <c r="AE146" s="2523"/>
      <c r="AF146" s="2523"/>
      <c r="AG146" s="2523"/>
      <c r="AH146" s="2523"/>
      <c r="AI146" s="2523"/>
      <c r="AJ146" s="2523"/>
      <c r="AK146" s="2523"/>
      <c r="AL146" s="2523"/>
      <c r="AM146" s="2523"/>
      <c r="AN146" s="2523"/>
      <c r="AO146" s="2523"/>
      <c r="AP146" s="2523"/>
      <c r="AQ146" s="2524"/>
      <c r="AR146" s="2524"/>
      <c r="AS146" s="2524"/>
    </row>
    <row r="147" spans="1:45" s="1540" customFormat="1" ht="87" customHeight="1" x14ac:dyDescent="0.5">
      <c r="A147" s="4412"/>
      <c r="B147" s="1721">
        <v>5510</v>
      </c>
      <c r="C147" s="3749"/>
      <c r="D147" s="3405" t="s">
        <v>68</v>
      </c>
      <c r="E147" s="2547">
        <f>+E115</f>
        <v>0</v>
      </c>
      <c r="F147" s="2547">
        <f t="shared" ref="F147:N147" si="213">+F115</f>
        <v>0</v>
      </c>
      <c r="G147" s="2547">
        <f t="shared" si="213"/>
        <v>0</v>
      </c>
      <c r="H147" s="2547">
        <f t="shared" si="213"/>
        <v>0</v>
      </c>
      <c r="I147" s="2547">
        <f t="shared" ca="1" si="213"/>
        <v>0</v>
      </c>
      <c r="J147" s="2547">
        <f t="shared" ca="1" si="213"/>
        <v>0</v>
      </c>
      <c r="K147" s="2547">
        <f t="shared" ca="1" si="213"/>
        <v>0</v>
      </c>
      <c r="L147" s="2547">
        <f t="shared" ca="1" si="213"/>
        <v>0</v>
      </c>
      <c r="M147" s="2547">
        <f t="shared" ca="1" si="213"/>
        <v>0</v>
      </c>
      <c r="N147" s="2547">
        <f t="shared" ca="1" si="213"/>
        <v>0</v>
      </c>
      <c r="O147" s="1574"/>
      <c r="P147" s="1541"/>
      <c r="V147" s="2179"/>
      <c r="W147" s="2179"/>
      <c r="X147" s="2179"/>
      <c r="Y147" s="2179"/>
      <c r="Z147" s="2179"/>
      <c r="AA147" s="2523"/>
      <c r="AB147" s="2523"/>
      <c r="AC147" s="2523"/>
      <c r="AD147" s="2523"/>
      <c r="AE147" s="2523"/>
      <c r="AF147" s="2523"/>
      <c r="AG147" s="2523"/>
      <c r="AH147" s="2523"/>
      <c r="AI147" s="2523"/>
      <c r="AJ147" s="2523"/>
      <c r="AK147" s="2523"/>
      <c r="AL147" s="2523"/>
      <c r="AM147" s="2523"/>
      <c r="AN147" s="2523"/>
      <c r="AO147" s="2523"/>
      <c r="AP147" s="2523"/>
      <c r="AQ147" s="2524"/>
      <c r="AR147" s="2524"/>
      <c r="AS147" s="2524"/>
    </row>
    <row r="148" spans="1:45" s="1540" customFormat="1" ht="87" hidden="1" customHeight="1" x14ac:dyDescent="0.5">
      <c r="A148" s="4412"/>
      <c r="B148" s="1721">
        <v>5511</v>
      </c>
      <c r="C148" s="3749"/>
      <c r="D148" s="3405" t="s">
        <v>1357</v>
      </c>
      <c r="E148" s="2547">
        <f>+E116</f>
        <v>0</v>
      </c>
      <c r="F148" s="2547">
        <f t="shared" ref="F148:N148" si="214">+F116</f>
        <v>0</v>
      </c>
      <c r="G148" s="2547">
        <f t="shared" si="214"/>
        <v>0</v>
      </c>
      <c r="H148" s="2547">
        <f t="shared" si="214"/>
        <v>0</v>
      </c>
      <c r="I148" s="2547">
        <f t="shared" ca="1" si="214"/>
        <v>0</v>
      </c>
      <c r="J148" s="2547">
        <f t="shared" ca="1" si="214"/>
        <v>0</v>
      </c>
      <c r="K148" s="2547">
        <f t="shared" ca="1" si="214"/>
        <v>0</v>
      </c>
      <c r="L148" s="2547">
        <f t="shared" ca="1" si="214"/>
        <v>0</v>
      </c>
      <c r="M148" s="2547">
        <f t="shared" ca="1" si="214"/>
        <v>0</v>
      </c>
      <c r="N148" s="2547">
        <f t="shared" ca="1" si="214"/>
        <v>0</v>
      </c>
      <c r="O148" s="1574"/>
      <c r="P148" s="1541"/>
      <c r="V148" s="2179"/>
      <c r="W148" s="2179"/>
      <c r="X148" s="2179"/>
      <c r="Y148" s="2179"/>
      <c r="Z148" s="2179"/>
      <c r="AA148" s="2523"/>
      <c r="AB148" s="2523"/>
      <c r="AC148" s="2523"/>
      <c r="AD148" s="2523"/>
      <c r="AE148" s="2523"/>
      <c r="AF148" s="2523"/>
      <c r="AG148" s="2523"/>
      <c r="AH148" s="2523"/>
      <c r="AI148" s="2523"/>
      <c r="AJ148" s="2523"/>
      <c r="AK148" s="2523"/>
      <c r="AL148" s="2523"/>
      <c r="AM148" s="2523"/>
      <c r="AN148" s="2523"/>
      <c r="AO148" s="2523"/>
      <c r="AP148" s="2523"/>
      <c r="AQ148" s="2524"/>
      <c r="AR148" s="2524"/>
      <c r="AS148" s="2524"/>
    </row>
    <row r="149" spans="1:45" s="1540" customFormat="1" ht="87" customHeight="1" x14ac:dyDescent="0.5">
      <c r="A149" s="4412"/>
      <c r="B149" s="1949">
        <v>5551</v>
      </c>
      <c r="C149" s="3749"/>
      <c r="D149" s="3406" t="s">
        <v>169</v>
      </c>
      <c r="E149" s="2547">
        <f>+E25</f>
        <v>0</v>
      </c>
      <c r="F149" s="2547">
        <f t="shared" ref="F149:N149" si="215">+F25</f>
        <v>0</v>
      </c>
      <c r="G149" s="2547">
        <f t="shared" si="215"/>
        <v>0</v>
      </c>
      <c r="H149" s="2547">
        <f t="shared" si="215"/>
        <v>0</v>
      </c>
      <c r="I149" s="2547">
        <f t="shared" ca="1" si="215"/>
        <v>0</v>
      </c>
      <c r="J149" s="2547">
        <f t="shared" ca="1" si="215"/>
        <v>0</v>
      </c>
      <c r="K149" s="2547">
        <f t="shared" ca="1" si="215"/>
        <v>0</v>
      </c>
      <c r="L149" s="2547">
        <f t="shared" ca="1" si="215"/>
        <v>0</v>
      </c>
      <c r="M149" s="2547">
        <f t="shared" ca="1" si="215"/>
        <v>0</v>
      </c>
      <c r="N149" s="2547">
        <f t="shared" ca="1" si="215"/>
        <v>0</v>
      </c>
      <c r="O149" s="1574"/>
      <c r="P149" s="1541"/>
      <c r="V149" s="2179"/>
      <c r="W149" s="2179"/>
      <c r="X149" s="2179"/>
      <c r="Y149" s="2179"/>
      <c r="Z149" s="2179"/>
      <c r="AA149" s="2523"/>
      <c r="AB149" s="2523"/>
      <c r="AC149" s="2523"/>
      <c r="AD149" s="2523"/>
      <c r="AE149" s="2523"/>
      <c r="AF149" s="2523"/>
      <c r="AG149" s="2523"/>
      <c r="AH149" s="2523"/>
      <c r="AI149" s="2523"/>
      <c r="AJ149" s="2523"/>
      <c r="AK149" s="2523"/>
      <c r="AL149" s="2523"/>
      <c r="AM149" s="2523"/>
      <c r="AN149" s="2523"/>
      <c r="AO149" s="2523"/>
      <c r="AP149" s="2523"/>
      <c r="AQ149" s="2524"/>
      <c r="AR149" s="2524"/>
      <c r="AS149" s="2524"/>
    </row>
    <row r="150" spans="1:45" s="1540" customFormat="1" ht="87" customHeight="1" x14ac:dyDescent="0.5">
      <c r="A150" s="4412"/>
      <c r="B150" s="1949">
        <v>5552</v>
      </c>
      <c r="C150" s="3749"/>
      <c r="D150" s="3406" t="s">
        <v>49</v>
      </c>
      <c r="E150" s="2547">
        <f>+E26</f>
        <v>0</v>
      </c>
      <c r="F150" s="2547">
        <f t="shared" ref="F150:N150" si="216">+F26</f>
        <v>0</v>
      </c>
      <c r="G150" s="2547">
        <f t="shared" si="216"/>
        <v>0</v>
      </c>
      <c r="H150" s="2547">
        <f t="shared" si="216"/>
        <v>0</v>
      </c>
      <c r="I150" s="2547">
        <f t="shared" ca="1" si="216"/>
        <v>0</v>
      </c>
      <c r="J150" s="2547">
        <f t="shared" ca="1" si="216"/>
        <v>0</v>
      </c>
      <c r="K150" s="2547">
        <f t="shared" ca="1" si="216"/>
        <v>0</v>
      </c>
      <c r="L150" s="2547">
        <f t="shared" ca="1" si="216"/>
        <v>0</v>
      </c>
      <c r="M150" s="2547">
        <f t="shared" ca="1" si="216"/>
        <v>0</v>
      </c>
      <c r="N150" s="2547">
        <f t="shared" ca="1" si="216"/>
        <v>0</v>
      </c>
      <c r="O150" s="1574"/>
      <c r="P150" s="1541"/>
      <c r="V150" s="2179"/>
      <c r="W150" s="2179"/>
      <c r="X150" s="2179"/>
      <c r="Y150" s="2179"/>
      <c r="Z150" s="2179"/>
      <c r="AA150" s="2523"/>
      <c r="AB150" s="2523"/>
      <c r="AC150" s="2523"/>
      <c r="AD150" s="2523"/>
      <c r="AE150" s="2523"/>
      <c r="AF150" s="2523"/>
      <c r="AG150" s="2523"/>
      <c r="AH150" s="2523"/>
      <c r="AI150" s="2523"/>
      <c r="AJ150" s="2523"/>
      <c r="AK150" s="2523"/>
      <c r="AL150" s="2523"/>
      <c r="AM150" s="2523"/>
      <c r="AN150" s="2523"/>
      <c r="AO150" s="2523"/>
      <c r="AP150" s="2523"/>
      <c r="AQ150" s="2524"/>
      <c r="AR150" s="2524"/>
      <c r="AS150" s="2524"/>
    </row>
    <row r="151" spans="1:45" s="1540" customFormat="1" ht="87" customHeight="1" x14ac:dyDescent="0.5">
      <c r="A151" s="4412"/>
      <c r="B151" s="1949">
        <v>5553</v>
      </c>
      <c r="C151" s="3749"/>
      <c r="D151" s="3406" t="s">
        <v>55</v>
      </c>
      <c r="E151" s="2547">
        <f>+E48</f>
        <v>0</v>
      </c>
      <c r="F151" s="2547">
        <f t="shared" ref="F151:N151" si="217">+F48</f>
        <v>0</v>
      </c>
      <c r="G151" s="2547">
        <f t="shared" si="217"/>
        <v>0</v>
      </c>
      <c r="H151" s="2547">
        <f t="shared" si="217"/>
        <v>0</v>
      </c>
      <c r="I151" s="2547">
        <f t="shared" ca="1" si="217"/>
        <v>0</v>
      </c>
      <c r="J151" s="2547">
        <f t="shared" ca="1" si="217"/>
        <v>0</v>
      </c>
      <c r="K151" s="2547">
        <f t="shared" ca="1" si="217"/>
        <v>0</v>
      </c>
      <c r="L151" s="2547">
        <f t="shared" ca="1" si="217"/>
        <v>0</v>
      </c>
      <c r="M151" s="2547">
        <f t="shared" ca="1" si="217"/>
        <v>0</v>
      </c>
      <c r="N151" s="2547">
        <f t="shared" ca="1" si="217"/>
        <v>0</v>
      </c>
      <c r="O151" s="1574"/>
      <c r="P151" s="1541"/>
      <c r="V151" s="2179"/>
      <c r="W151" s="2179"/>
      <c r="X151" s="2179"/>
      <c r="Y151" s="2179"/>
      <c r="Z151" s="2179"/>
      <c r="AA151" s="2523"/>
      <c r="AB151" s="2523"/>
      <c r="AC151" s="2523"/>
      <c r="AD151" s="2523"/>
      <c r="AE151" s="2523"/>
      <c r="AF151" s="2523"/>
      <c r="AG151" s="2523"/>
      <c r="AH151" s="2523"/>
      <c r="AI151" s="2523"/>
      <c r="AJ151" s="2523"/>
      <c r="AK151" s="2523"/>
      <c r="AL151" s="2523"/>
      <c r="AM151" s="2523"/>
      <c r="AN151" s="2523"/>
      <c r="AO151" s="2523"/>
      <c r="AP151" s="2523"/>
      <c r="AQ151" s="2524"/>
      <c r="AR151" s="2524"/>
      <c r="AS151" s="2524"/>
    </row>
    <row r="152" spans="1:45" s="1540" customFormat="1" ht="87" customHeight="1" x14ac:dyDescent="0.5">
      <c r="A152" s="4412"/>
      <c r="B152" s="1949">
        <v>5554</v>
      </c>
      <c r="C152" s="3749"/>
      <c r="D152" s="3406" t="s">
        <v>56</v>
      </c>
      <c r="E152" s="2547">
        <f>+E49</f>
        <v>0</v>
      </c>
      <c r="F152" s="2547">
        <f t="shared" ref="F152:N152" si="218">+F49</f>
        <v>0</v>
      </c>
      <c r="G152" s="2547">
        <f t="shared" si="218"/>
        <v>0</v>
      </c>
      <c r="H152" s="2547">
        <f t="shared" si="218"/>
        <v>0</v>
      </c>
      <c r="I152" s="2547">
        <f t="shared" ca="1" si="218"/>
        <v>0</v>
      </c>
      <c r="J152" s="2547">
        <f t="shared" ca="1" si="218"/>
        <v>0</v>
      </c>
      <c r="K152" s="2547">
        <f t="shared" ca="1" si="218"/>
        <v>0</v>
      </c>
      <c r="L152" s="2547">
        <f t="shared" ca="1" si="218"/>
        <v>0</v>
      </c>
      <c r="M152" s="2547">
        <f t="shared" ca="1" si="218"/>
        <v>0</v>
      </c>
      <c r="N152" s="2547">
        <f t="shared" ca="1" si="218"/>
        <v>0</v>
      </c>
      <c r="O152" s="1574"/>
      <c r="P152" s="1541"/>
      <c r="V152" s="2179"/>
      <c r="W152" s="2179"/>
      <c r="X152" s="2179"/>
      <c r="Y152" s="2179"/>
      <c r="Z152" s="2179"/>
      <c r="AA152" s="2523"/>
      <c r="AB152" s="2523"/>
      <c r="AC152" s="2523"/>
      <c r="AD152" s="2523"/>
      <c r="AE152" s="2523"/>
      <c r="AF152" s="2523"/>
      <c r="AG152" s="2523"/>
      <c r="AH152" s="2523"/>
      <c r="AI152" s="2523"/>
      <c r="AJ152" s="2523"/>
      <c r="AK152" s="2523"/>
      <c r="AL152" s="2523"/>
      <c r="AM152" s="2523"/>
      <c r="AN152" s="2523"/>
      <c r="AO152" s="2523"/>
      <c r="AP152" s="2523"/>
      <c r="AQ152" s="2524"/>
      <c r="AR152" s="2524"/>
      <c r="AS152" s="2524"/>
    </row>
    <row r="153" spans="1:45" s="1540" customFormat="1" ht="87" hidden="1" customHeight="1" x14ac:dyDescent="0.5">
      <c r="A153" s="4412"/>
      <c r="B153" s="1949">
        <v>5555</v>
      </c>
      <c r="C153" s="3749"/>
      <c r="D153" s="3406" t="s">
        <v>623</v>
      </c>
      <c r="E153" s="2547">
        <f>+E50</f>
        <v>0</v>
      </c>
      <c r="F153" s="2547">
        <f t="shared" ref="F153:N153" si="219">+F50</f>
        <v>0</v>
      </c>
      <c r="G153" s="2547">
        <f t="shared" si="219"/>
        <v>0</v>
      </c>
      <c r="H153" s="2547">
        <f t="shared" si="219"/>
        <v>0</v>
      </c>
      <c r="I153" s="2547">
        <f t="shared" ca="1" si="219"/>
        <v>0</v>
      </c>
      <c r="J153" s="2547">
        <f t="shared" ca="1" si="219"/>
        <v>0</v>
      </c>
      <c r="K153" s="2547">
        <f t="shared" ca="1" si="219"/>
        <v>0</v>
      </c>
      <c r="L153" s="2547">
        <f t="shared" ca="1" si="219"/>
        <v>0</v>
      </c>
      <c r="M153" s="2547">
        <f t="shared" ca="1" si="219"/>
        <v>0</v>
      </c>
      <c r="N153" s="2547">
        <f t="shared" ca="1" si="219"/>
        <v>0</v>
      </c>
      <c r="O153" s="1574"/>
      <c r="P153" s="1541"/>
      <c r="V153" s="2179"/>
      <c r="W153" s="2179"/>
      <c r="X153" s="2179"/>
      <c r="Y153" s="2179"/>
      <c r="Z153" s="2179"/>
      <c r="AA153" s="2523"/>
      <c r="AB153" s="2523"/>
      <c r="AC153" s="2523"/>
      <c r="AD153" s="2523"/>
      <c r="AE153" s="2523"/>
      <c r="AF153" s="2523"/>
      <c r="AG153" s="2523"/>
      <c r="AH153" s="2523"/>
      <c r="AI153" s="2523"/>
      <c r="AJ153" s="2523"/>
      <c r="AK153" s="2523"/>
      <c r="AL153" s="2523"/>
      <c r="AM153" s="2523"/>
      <c r="AN153" s="2523"/>
      <c r="AO153" s="2523"/>
      <c r="AP153" s="2523"/>
      <c r="AQ153" s="2524"/>
      <c r="AR153" s="2524"/>
      <c r="AS153" s="2524"/>
    </row>
    <row r="154" spans="1:45" s="1540" customFormat="1" ht="87" customHeight="1" x14ac:dyDescent="0.5">
      <c r="A154" s="4412"/>
      <c r="B154" s="1949">
        <v>5556</v>
      </c>
      <c r="C154" s="3749"/>
      <c r="D154" s="3406" t="s">
        <v>60</v>
      </c>
      <c r="E154" s="2547">
        <f>+E73</f>
        <v>0</v>
      </c>
      <c r="F154" s="2547">
        <f t="shared" ref="F154:N154" si="220">+F73</f>
        <v>0</v>
      </c>
      <c r="G154" s="2547">
        <f t="shared" si="220"/>
        <v>0</v>
      </c>
      <c r="H154" s="2547">
        <f t="shared" si="220"/>
        <v>0</v>
      </c>
      <c r="I154" s="2547">
        <f t="shared" ca="1" si="220"/>
        <v>0</v>
      </c>
      <c r="J154" s="2547">
        <f t="shared" ca="1" si="220"/>
        <v>0</v>
      </c>
      <c r="K154" s="2547">
        <f t="shared" ca="1" si="220"/>
        <v>0</v>
      </c>
      <c r="L154" s="2547">
        <f t="shared" ca="1" si="220"/>
        <v>0</v>
      </c>
      <c r="M154" s="2547">
        <f t="shared" ca="1" si="220"/>
        <v>0</v>
      </c>
      <c r="N154" s="2547">
        <f t="shared" ca="1" si="220"/>
        <v>0</v>
      </c>
      <c r="O154" s="1574"/>
      <c r="P154" s="1541"/>
      <c r="V154" s="2179"/>
      <c r="W154" s="2179"/>
      <c r="X154" s="2179"/>
      <c r="Y154" s="2179"/>
      <c r="Z154" s="2179"/>
      <c r="AA154" s="2523"/>
      <c r="AB154" s="2523"/>
      <c r="AC154" s="2523"/>
      <c r="AD154" s="2523"/>
      <c r="AE154" s="2523"/>
      <c r="AF154" s="2523"/>
      <c r="AG154" s="2523"/>
      <c r="AH154" s="2523"/>
      <c r="AI154" s="2523"/>
      <c r="AJ154" s="2523"/>
      <c r="AK154" s="2523"/>
      <c r="AL154" s="2523"/>
      <c r="AM154" s="2523"/>
      <c r="AN154" s="2523"/>
      <c r="AO154" s="2523"/>
      <c r="AP154" s="2523"/>
      <c r="AQ154" s="2524"/>
      <c r="AR154" s="2524"/>
      <c r="AS154" s="2524"/>
    </row>
    <row r="155" spans="1:45" s="1540" customFormat="1" ht="87" hidden="1" customHeight="1" x14ac:dyDescent="0.5">
      <c r="A155" s="4412"/>
      <c r="B155" s="1949">
        <v>5557</v>
      </c>
      <c r="C155" s="3749"/>
      <c r="D155" s="3406" t="s">
        <v>1321</v>
      </c>
      <c r="E155" s="2547">
        <f>+E74</f>
        <v>0</v>
      </c>
      <c r="F155" s="2547">
        <f t="shared" ref="F155:N155" si="221">+F74</f>
        <v>0</v>
      </c>
      <c r="G155" s="2547">
        <f t="shared" si="221"/>
        <v>0</v>
      </c>
      <c r="H155" s="2547">
        <f t="shared" si="221"/>
        <v>0</v>
      </c>
      <c r="I155" s="2547">
        <f t="shared" ca="1" si="221"/>
        <v>0</v>
      </c>
      <c r="J155" s="2547">
        <f t="shared" ca="1" si="221"/>
        <v>0</v>
      </c>
      <c r="K155" s="2547">
        <f t="shared" ca="1" si="221"/>
        <v>0</v>
      </c>
      <c r="L155" s="2547">
        <f t="shared" ca="1" si="221"/>
        <v>0</v>
      </c>
      <c r="M155" s="2547">
        <f t="shared" ca="1" si="221"/>
        <v>0</v>
      </c>
      <c r="N155" s="2547">
        <f t="shared" ca="1" si="221"/>
        <v>0</v>
      </c>
      <c r="O155" s="1574"/>
      <c r="P155" s="1541"/>
      <c r="V155" s="2179"/>
      <c r="W155" s="2179"/>
      <c r="X155" s="2179"/>
      <c r="Y155" s="2179"/>
      <c r="Z155" s="2179"/>
      <c r="AA155" s="2523"/>
      <c r="AB155" s="2523"/>
      <c r="AC155" s="2523"/>
      <c r="AD155" s="2523"/>
      <c r="AE155" s="2523"/>
      <c r="AF155" s="2523"/>
      <c r="AG155" s="2523"/>
      <c r="AH155" s="2523"/>
      <c r="AI155" s="2523"/>
      <c r="AJ155" s="2523"/>
      <c r="AK155" s="2523"/>
      <c r="AL155" s="2523"/>
      <c r="AM155" s="2523"/>
      <c r="AN155" s="2523"/>
      <c r="AO155" s="2523"/>
      <c r="AP155" s="2523"/>
      <c r="AQ155" s="2524"/>
      <c r="AR155" s="2524"/>
      <c r="AS155" s="2524"/>
    </row>
    <row r="156" spans="1:45" s="1540" customFormat="1" ht="87" customHeight="1" x14ac:dyDescent="0.5">
      <c r="A156" s="4412"/>
      <c r="B156" s="1949">
        <v>5558</v>
      </c>
      <c r="C156" s="3749"/>
      <c r="D156" s="3406" t="s">
        <v>65</v>
      </c>
      <c r="E156" s="2547">
        <f>+E95</f>
        <v>0</v>
      </c>
      <c r="F156" s="2547">
        <f t="shared" ref="F156:N156" si="222">+F95</f>
        <v>0</v>
      </c>
      <c r="G156" s="2547">
        <f t="shared" si="222"/>
        <v>0</v>
      </c>
      <c r="H156" s="2547">
        <f t="shared" si="222"/>
        <v>0</v>
      </c>
      <c r="I156" s="2547">
        <f t="shared" ca="1" si="222"/>
        <v>0</v>
      </c>
      <c r="J156" s="2547">
        <f t="shared" ca="1" si="222"/>
        <v>0</v>
      </c>
      <c r="K156" s="2547">
        <f t="shared" ca="1" si="222"/>
        <v>0</v>
      </c>
      <c r="L156" s="2547">
        <f t="shared" ca="1" si="222"/>
        <v>0</v>
      </c>
      <c r="M156" s="2547">
        <f t="shared" ca="1" si="222"/>
        <v>0</v>
      </c>
      <c r="N156" s="2547">
        <f t="shared" ca="1" si="222"/>
        <v>0</v>
      </c>
      <c r="O156" s="1574"/>
      <c r="P156" s="1541"/>
      <c r="V156" s="2179"/>
      <c r="W156" s="2179"/>
      <c r="X156" s="2179"/>
      <c r="Y156" s="2179"/>
      <c r="Z156" s="2179"/>
      <c r="AA156" s="2523"/>
      <c r="AB156" s="2523"/>
      <c r="AC156" s="2523"/>
      <c r="AD156" s="2523"/>
      <c r="AE156" s="2523"/>
      <c r="AF156" s="2523"/>
      <c r="AG156" s="2523"/>
      <c r="AH156" s="2523"/>
      <c r="AI156" s="2523"/>
      <c r="AJ156" s="2523"/>
      <c r="AK156" s="2523"/>
      <c r="AL156" s="2523"/>
      <c r="AM156" s="2523"/>
      <c r="AN156" s="2523"/>
      <c r="AO156" s="2523"/>
      <c r="AP156" s="2523"/>
      <c r="AQ156" s="2524"/>
      <c r="AR156" s="2524"/>
      <c r="AS156" s="2524"/>
    </row>
    <row r="157" spans="1:45" s="1540" customFormat="1" ht="87" hidden="1" customHeight="1" x14ac:dyDescent="0.5">
      <c r="A157" s="4412"/>
      <c r="B157" s="1949">
        <v>5559</v>
      </c>
      <c r="C157" s="3749"/>
      <c r="D157" s="3406" t="s">
        <v>1325</v>
      </c>
      <c r="E157" s="3486">
        <f>+E96</f>
        <v>0</v>
      </c>
      <c r="F157" s="3486">
        <f t="shared" ref="F157:N157" si="223">+F96</f>
        <v>0</v>
      </c>
      <c r="G157" s="3486">
        <f t="shared" si="223"/>
        <v>0</v>
      </c>
      <c r="H157" s="3486">
        <f t="shared" si="223"/>
        <v>0</v>
      </c>
      <c r="I157" s="3486">
        <f t="shared" ca="1" si="223"/>
        <v>0</v>
      </c>
      <c r="J157" s="3486">
        <f t="shared" ca="1" si="223"/>
        <v>0</v>
      </c>
      <c r="K157" s="3486">
        <f t="shared" ca="1" si="223"/>
        <v>0</v>
      </c>
      <c r="L157" s="3486">
        <f t="shared" ca="1" si="223"/>
        <v>0</v>
      </c>
      <c r="M157" s="3486">
        <f t="shared" ca="1" si="223"/>
        <v>0</v>
      </c>
      <c r="N157" s="3486">
        <f t="shared" ca="1" si="223"/>
        <v>0</v>
      </c>
      <c r="O157" s="1574"/>
      <c r="P157" s="1541"/>
      <c r="V157" s="2179"/>
      <c r="W157" s="2179"/>
      <c r="X157" s="2179"/>
      <c r="Y157" s="2179"/>
      <c r="Z157" s="2179"/>
      <c r="AA157" s="2523"/>
      <c r="AB157" s="2523"/>
      <c r="AC157" s="2523"/>
      <c r="AD157" s="2523"/>
      <c r="AE157" s="2523"/>
      <c r="AF157" s="2523"/>
      <c r="AG157" s="2523"/>
      <c r="AH157" s="2523"/>
      <c r="AI157" s="2523"/>
      <c r="AJ157" s="2523"/>
      <c r="AK157" s="2523"/>
      <c r="AL157" s="2523"/>
      <c r="AM157" s="2523"/>
      <c r="AN157" s="2523"/>
      <c r="AO157" s="2523"/>
      <c r="AP157" s="2523"/>
      <c r="AQ157" s="2524"/>
      <c r="AR157" s="2524"/>
      <c r="AS157" s="2524"/>
    </row>
    <row r="158" spans="1:45" s="1540" customFormat="1" ht="87" customHeight="1" thickBot="1" x14ac:dyDescent="0.55000000000000004">
      <c r="A158" s="4412"/>
      <c r="B158" s="1949">
        <v>5560</v>
      </c>
      <c r="C158" s="4365"/>
      <c r="D158" s="3415" t="s">
        <v>69</v>
      </c>
      <c r="E158" s="3416">
        <f>+E117</f>
        <v>0</v>
      </c>
      <c r="F158" s="3416">
        <f t="shared" ref="F158:N158" si="224">+F117</f>
        <v>0</v>
      </c>
      <c r="G158" s="3416">
        <f t="shared" si="224"/>
        <v>0</v>
      </c>
      <c r="H158" s="3416">
        <f t="shared" si="224"/>
        <v>0</v>
      </c>
      <c r="I158" s="3416">
        <f t="shared" ca="1" si="224"/>
        <v>0</v>
      </c>
      <c r="J158" s="3416">
        <f t="shared" ca="1" si="224"/>
        <v>0</v>
      </c>
      <c r="K158" s="3416">
        <f t="shared" ca="1" si="224"/>
        <v>0</v>
      </c>
      <c r="L158" s="3416">
        <f t="shared" ca="1" si="224"/>
        <v>0</v>
      </c>
      <c r="M158" s="3416">
        <f t="shared" ca="1" si="224"/>
        <v>0</v>
      </c>
      <c r="N158" s="3416">
        <f t="shared" ca="1" si="224"/>
        <v>0</v>
      </c>
      <c r="O158" s="1574"/>
      <c r="P158" s="1541"/>
      <c r="V158" s="2179"/>
      <c r="W158" s="2179"/>
      <c r="X158" s="2179"/>
      <c r="Y158" s="2179"/>
      <c r="Z158" s="2179"/>
      <c r="AA158" s="2523"/>
      <c r="AB158" s="2523"/>
      <c r="AC158" s="2523"/>
      <c r="AD158" s="2523"/>
      <c r="AE158" s="2523"/>
      <c r="AF158" s="2523"/>
      <c r="AG158" s="2523"/>
      <c r="AH158" s="2523"/>
      <c r="AI158" s="2523"/>
      <c r="AJ158" s="2523"/>
      <c r="AK158" s="2523"/>
      <c r="AL158" s="2523"/>
      <c r="AM158" s="2523"/>
      <c r="AN158" s="2523"/>
      <c r="AO158" s="2523"/>
      <c r="AP158" s="2523"/>
      <c r="AQ158" s="2524"/>
      <c r="AR158" s="2524"/>
      <c r="AS158" s="2524"/>
    </row>
    <row r="159" spans="1:45" s="1540" customFormat="1" ht="87" hidden="1" customHeight="1" thickBot="1" x14ac:dyDescent="0.55000000000000004">
      <c r="A159" s="4412"/>
      <c r="B159" s="1949">
        <v>5561</v>
      </c>
      <c r="C159" s="3487"/>
      <c r="D159" s="3415" t="s">
        <v>1333</v>
      </c>
      <c r="E159" s="3488">
        <f>+E118</f>
        <v>0</v>
      </c>
      <c r="F159" s="3488">
        <f t="shared" ref="F159:N159" si="225">+F118</f>
        <v>0</v>
      </c>
      <c r="G159" s="3488">
        <f t="shared" si="225"/>
        <v>0</v>
      </c>
      <c r="H159" s="3488">
        <f t="shared" si="225"/>
        <v>0</v>
      </c>
      <c r="I159" s="3488">
        <f t="shared" ca="1" si="225"/>
        <v>0</v>
      </c>
      <c r="J159" s="3488">
        <f t="shared" ca="1" si="225"/>
        <v>0</v>
      </c>
      <c r="K159" s="3488">
        <f t="shared" ca="1" si="225"/>
        <v>0</v>
      </c>
      <c r="L159" s="3488">
        <f t="shared" ca="1" si="225"/>
        <v>0</v>
      </c>
      <c r="M159" s="3488">
        <f t="shared" ca="1" si="225"/>
        <v>0</v>
      </c>
      <c r="N159" s="3488">
        <f t="shared" ca="1" si="225"/>
        <v>0</v>
      </c>
      <c r="O159" s="1574"/>
      <c r="P159" s="1541"/>
      <c r="Q159" s="1541"/>
      <c r="V159" s="2179"/>
      <c r="W159" s="2179"/>
      <c r="X159" s="2179"/>
      <c r="Y159" s="2179"/>
      <c r="Z159" s="2179"/>
      <c r="AA159" s="2523"/>
      <c r="AB159" s="2523"/>
      <c r="AC159" s="2523"/>
      <c r="AD159" s="2523"/>
      <c r="AE159" s="2523"/>
      <c r="AF159" s="2523"/>
      <c r="AG159" s="2523"/>
      <c r="AH159" s="2523"/>
      <c r="AI159" s="2523"/>
      <c r="AJ159" s="2523"/>
      <c r="AK159" s="2523"/>
      <c r="AL159" s="2523"/>
      <c r="AM159" s="2523"/>
      <c r="AN159" s="2523"/>
      <c r="AO159" s="2523"/>
      <c r="AP159" s="2523"/>
      <c r="AQ159" s="2524"/>
      <c r="AR159" s="2524"/>
      <c r="AS159" s="2524"/>
    </row>
    <row r="160" spans="1:45" s="1540" customFormat="1" ht="87" customHeight="1" x14ac:dyDescent="0.5">
      <c r="A160" s="4412"/>
      <c r="B160" s="1721">
        <v>5570</v>
      </c>
      <c r="C160" s="4414" t="s">
        <v>407</v>
      </c>
      <c r="D160" s="3407" t="s">
        <v>46</v>
      </c>
      <c r="E160" s="3408">
        <f>+E18</f>
        <v>0</v>
      </c>
      <c r="F160" s="3408">
        <f t="shared" ref="F160:N160" si="226">+F18</f>
        <v>0</v>
      </c>
      <c r="G160" s="3408">
        <f t="shared" si="226"/>
        <v>0</v>
      </c>
      <c r="H160" s="3408">
        <f t="shared" si="226"/>
        <v>0</v>
      </c>
      <c r="I160" s="3408">
        <f t="shared" ca="1" si="226"/>
        <v>0</v>
      </c>
      <c r="J160" s="3408">
        <f t="shared" ca="1" si="226"/>
        <v>0</v>
      </c>
      <c r="K160" s="3408">
        <f t="shared" ca="1" si="226"/>
        <v>0</v>
      </c>
      <c r="L160" s="3408">
        <f t="shared" ca="1" si="226"/>
        <v>0</v>
      </c>
      <c r="M160" s="3408">
        <f t="shared" ca="1" si="226"/>
        <v>0</v>
      </c>
      <c r="N160" s="3408">
        <f t="shared" ca="1" si="226"/>
        <v>0</v>
      </c>
      <c r="P160" s="1541"/>
      <c r="V160" s="2179"/>
      <c r="W160" s="2179"/>
      <c r="X160" s="2179"/>
      <c r="Y160" s="2179"/>
      <c r="Z160" s="2179"/>
      <c r="AA160" s="2523"/>
      <c r="AB160" s="2523"/>
      <c r="AC160" s="2523"/>
      <c r="AD160" s="2523"/>
      <c r="AE160" s="2523"/>
      <c r="AF160" s="2523"/>
      <c r="AG160" s="2523"/>
      <c r="AH160" s="2523"/>
      <c r="AI160" s="2523"/>
      <c r="AJ160" s="2523"/>
      <c r="AK160" s="2523"/>
      <c r="AL160" s="2523"/>
      <c r="AM160" s="2523"/>
      <c r="AN160" s="2523"/>
      <c r="AO160" s="2523"/>
      <c r="AP160" s="2523"/>
      <c r="AQ160" s="2524"/>
      <c r="AR160" s="2524"/>
      <c r="AS160" s="2524"/>
    </row>
    <row r="161" spans="1:45" s="1540" customFormat="1" ht="87" customHeight="1" x14ac:dyDescent="0.5">
      <c r="A161" s="4412"/>
      <c r="B161" s="1721">
        <v>5571</v>
      </c>
      <c r="C161" s="4415"/>
      <c r="D161" s="3403" t="s">
        <v>47</v>
      </c>
      <c r="E161" s="3402">
        <f>+E19</f>
        <v>0</v>
      </c>
      <c r="F161" s="3402">
        <f t="shared" ref="F161:N161" si="227">+F19</f>
        <v>0</v>
      </c>
      <c r="G161" s="3402">
        <f t="shared" si="227"/>
        <v>0</v>
      </c>
      <c r="H161" s="3402">
        <f t="shared" si="227"/>
        <v>0</v>
      </c>
      <c r="I161" s="3402">
        <f t="shared" ca="1" si="227"/>
        <v>0</v>
      </c>
      <c r="J161" s="3402">
        <f t="shared" ca="1" si="227"/>
        <v>0</v>
      </c>
      <c r="K161" s="3402">
        <f t="shared" ca="1" si="227"/>
        <v>0</v>
      </c>
      <c r="L161" s="3402">
        <f t="shared" ca="1" si="227"/>
        <v>0</v>
      </c>
      <c r="M161" s="3402">
        <f t="shared" ca="1" si="227"/>
        <v>0</v>
      </c>
      <c r="N161" s="3402">
        <f t="shared" ca="1" si="227"/>
        <v>0</v>
      </c>
      <c r="P161" s="1541"/>
      <c r="V161" s="2179"/>
      <c r="W161" s="2179"/>
      <c r="X161" s="2179"/>
      <c r="Y161" s="2179"/>
      <c r="Z161" s="2179"/>
      <c r="AA161" s="2523"/>
      <c r="AB161" s="2523"/>
      <c r="AC161" s="2523"/>
      <c r="AD161" s="2523"/>
      <c r="AE161" s="2523"/>
      <c r="AF161" s="2523"/>
      <c r="AG161" s="2523"/>
      <c r="AH161" s="2523"/>
      <c r="AI161" s="2523"/>
      <c r="AJ161" s="2523"/>
      <c r="AK161" s="2523"/>
      <c r="AL161" s="2523"/>
      <c r="AM161" s="2523"/>
      <c r="AN161" s="2523"/>
      <c r="AO161" s="2523"/>
      <c r="AP161" s="2523"/>
      <c r="AQ161" s="2524"/>
      <c r="AR161" s="2524"/>
      <c r="AS161" s="2524"/>
    </row>
    <row r="162" spans="1:45" s="1540" customFormat="1" ht="87" customHeight="1" x14ac:dyDescent="0.5">
      <c r="A162" s="4412"/>
      <c r="B162" s="1721">
        <v>5572</v>
      </c>
      <c r="C162" s="4415"/>
      <c r="D162" s="3403" t="s">
        <v>53</v>
      </c>
      <c r="E162" s="3402">
        <f>+E38</f>
        <v>0</v>
      </c>
      <c r="F162" s="3402">
        <f t="shared" ref="F162:N162" si="228">+F38</f>
        <v>0</v>
      </c>
      <c r="G162" s="3402">
        <f t="shared" si="228"/>
        <v>0</v>
      </c>
      <c r="H162" s="3402">
        <f t="shared" si="228"/>
        <v>0</v>
      </c>
      <c r="I162" s="3402">
        <f t="shared" ca="1" si="228"/>
        <v>0</v>
      </c>
      <c r="J162" s="3402">
        <f t="shared" ca="1" si="228"/>
        <v>0</v>
      </c>
      <c r="K162" s="3402">
        <f t="shared" ca="1" si="228"/>
        <v>0</v>
      </c>
      <c r="L162" s="3402">
        <f t="shared" ca="1" si="228"/>
        <v>0</v>
      </c>
      <c r="M162" s="3402">
        <f t="shared" ca="1" si="228"/>
        <v>0</v>
      </c>
      <c r="N162" s="3402">
        <f t="shared" ca="1" si="228"/>
        <v>0</v>
      </c>
      <c r="P162" s="1541"/>
      <c r="V162" s="2179"/>
      <c r="W162" s="2179"/>
      <c r="X162" s="2179"/>
      <c r="Y162" s="2179"/>
      <c r="Z162" s="2179"/>
      <c r="AA162" s="2523"/>
      <c r="AB162" s="2523"/>
      <c r="AC162" s="2523"/>
      <c r="AD162" s="2523"/>
      <c r="AE162" s="2523"/>
      <c r="AF162" s="2523"/>
      <c r="AG162" s="2523"/>
      <c r="AH162" s="2523"/>
      <c r="AI162" s="2523"/>
      <c r="AJ162" s="2523"/>
      <c r="AK162" s="2523"/>
      <c r="AL162" s="2523"/>
      <c r="AM162" s="2523"/>
      <c r="AN162" s="2523"/>
      <c r="AO162" s="2523"/>
      <c r="AP162" s="2523"/>
      <c r="AQ162" s="2524"/>
      <c r="AR162" s="2524"/>
      <c r="AS162" s="2524"/>
    </row>
    <row r="163" spans="1:45" s="1540" customFormat="1" ht="87" customHeight="1" x14ac:dyDescent="0.5">
      <c r="A163" s="4412"/>
      <c r="B163" s="1721">
        <v>5573</v>
      </c>
      <c r="C163" s="4415"/>
      <c r="D163" s="3403" t="s">
        <v>54</v>
      </c>
      <c r="E163" s="3402">
        <f>+E39</f>
        <v>0</v>
      </c>
      <c r="F163" s="3402">
        <f t="shared" ref="F163:N163" si="229">+F39</f>
        <v>0</v>
      </c>
      <c r="G163" s="3402">
        <f t="shared" si="229"/>
        <v>0</v>
      </c>
      <c r="H163" s="3402">
        <f t="shared" si="229"/>
        <v>0</v>
      </c>
      <c r="I163" s="3402">
        <f t="shared" ca="1" si="229"/>
        <v>0</v>
      </c>
      <c r="J163" s="3402">
        <f t="shared" ca="1" si="229"/>
        <v>0</v>
      </c>
      <c r="K163" s="3402">
        <f t="shared" ca="1" si="229"/>
        <v>0</v>
      </c>
      <c r="L163" s="3402">
        <f t="shared" ca="1" si="229"/>
        <v>0</v>
      </c>
      <c r="M163" s="3402">
        <f t="shared" ca="1" si="229"/>
        <v>0</v>
      </c>
      <c r="N163" s="3402">
        <f t="shared" ca="1" si="229"/>
        <v>0</v>
      </c>
      <c r="P163" s="1541"/>
      <c r="V163" s="2179"/>
      <c r="W163" s="2179"/>
      <c r="X163" s="2179"/>
      <c r="Y163" s="2179"/>
      <c r="Z163" s="2179"/>
      <c r="AA163" s="2523"/>
      <c r="AB163" s="2523"/>
      <c r="AC163" s="2523"/>
      <c r="AD163" s="2523"/>
      <c r="AE163" s="2523"/>
      <c r="AF163" s="2523"/>
      <c r="AG163" s="2523"/>
      <c r="AH163" s="2523"/>
      <c r="AI163" s="2523"/>
      <c r="AJ163" s="2523"/>
      <c r="AK163" s="2523"/>
      <c r="AL163" s="2523"/>
      <c r="AM163" s="2523"/>
      <c r="AN163" s="2523"/>
      <c r="AO163" s="2523"/>
      <c r="AP163" s="2523"/>
      <c r="AQ163" s="2524"/>
      <c r="AR163" s="2524"/>
      <c r="AS163" s="2524"/>
    </row>
    <row r="164" spans="1:45" s="1540" customFormat="1" ht="87" customHeight="1" x14ac:dyDescent="0.5">
      <c r="A164" s="4412"/>
      <c r="B164" s="1721">
        <v>5574</v>
      </c>
      <c r="C164" s="4415"/>
      <c r="D164" s="3403" t="s">
        <v>59</v>
      </c>
      <c r="E164" s="3402">
        <f>+E66</f>
        <v>0</v>
      </c>
      <c r="F164" s="3402">
        <f t="shared" ref="F164:N164" si="230">+F66</f>
        <v>0</v>
      </c>
      <c r="G164" s="3402">
        <f t="shared" si="230"/>
        <v>0</v>
      </c>
      <c r="H164" s="3402">
        <f t="shared" si="230"/>
        <v>0</v>
      </c>
      <c r="I164" s="3402">
        <f t="shared" ca="1" si="230"/>
        <v>0</v>
      </c>
      <c r="J164" s="3402">
        <f t="shared" ca="1" si="230"/>
        <v>0</v>
      </c>
      <c r="K164" s="3402">
        <f t="shared" ca="1" si="230"/>
        <v>0</v>
      </c>
      <c r="L164" s="3402">
        <f t="shared" ca="1" si="230"/>
        <v>0</v>
      </c>
      <c r="M164" s="3402">
        <f t="shared" ca="1" si="230"/>
        <v>0</v>
      </c>
      <c r="N164" s="3402">
        <f t="shared" ca="1" si="230"/>
        <v>0</v>
      </c>
      <c r="P164" s="1541"/>
      <c r="V164" s="2179"/>
      <c r="W164" s="2179"/>
      <c r="X164" s="2179"/>
      <c r="Y164" s="2179"/>
      <c r="Z164" s="2179"/>
      <c r="AA164" s="2523"/>
      <c r="AB164" s="2523"/>
      <c r="AC164" s="2523"/>
      <c r="AD164" s="2523"/>
      <c r="AE164" s="2523"/>
      <c r="AF164" s="2523"/>
      <c r="AG164" s="2523"/>
      <c r="AH164" s="2523"/>
      <c r="AI164" s="2523"/>
      <c r="AJ164" s="2523"/>
      <c r="AK164" s="2523"/>
      <c r="AL164" s="2523"/>
      <c r="AM164" s="2523"/>
      <c r="AN164" s="2523"/>
      <c r="AO164" s="2523"/>
      <c r="AP164" s="2523"/>
      <c r="AQ164" s="2524"/>
      <c r="AR164" s="2524"/>
      <c r="AS164" s="2524"/>
    </row>
    <row r="165" spans="1:45" s="1540" customFormat="1" ht="87" customHeight="1" x14ac:dyDescent="0.5">
      <c r="A165" s="4412"/>
      <c r="B165" s="1721">
        <v>5575</v>
      </c>
      <c r="C165" s="4415"/>
      <c r="D165" s="3403" t="s">
        <v>64</v>
      </c>
      <c r="E165" s="3402">
        <f>+E88</f>
        <v>0</v>
      </c>
      <c r="F165" s="3402">
        <f t="shared" ref="F165:N165" si="231">+F88</f>
        <v>0</v>
      </c>
      <c r="G165" s="3402">
        <f t="shared" si="231"/>
        <v>0</v>
      </c>
      <c r="H165" s="3402">
        <f t="shared" si="231"/>
        <v>0</v>
      </c>
      <c r="I165" s="3402">
        <f t="shared" ca="1" si="231"/>
        <v>0</v>
      </c>
      <c r="J165" s="3402">
        <f t="shared" ca="1" si="231"/>
        <v>0</v>
      </c>
      <c r="K165" s="3402">
        <f t="shared" ca="1" si="231"/>
        <v>0</v>
      </c>
      <c r="L165" s="3402">
        <f t="shared" ca="1" si="231"/>
        <v>0</v>
      </c>
      <c r="M165" s="3402">
        <f t="shared" ca="1" si="231"/>
        <v>0</v>
      </c>
      <c r="N165" s="3402">
        <f t="shared" ca="1" si="231"/>
        <v>0</v>
      </c>
      <c r="P165" s="1541"/>
      <c r="V165" s="2179"/>
      <c r="W165" s="2179"/>
      <c r="X165" s="2179"/>
      <c r="Y165" s="2179"/>
      <c r="Z165" s="2179"/>
      <c r="AA165" s="2523"/>
      <c r="AB165" s="2523"/>
      <c r="AC165" s="2523"/>
      <c r="AD165" s="2523"/>
      <c r="AE165" s="2523"/>
      <c r="AF165" s="2523"/>
      <c r="AG165" s="2523"/>
      <c r="AH165" s="2523"/>
      <c r="AI165" s="2523"/>
      <c r="AJ165" s="2523"/>
      <c r="AK165" s="2523"/>
      <c r="AL165" s="2523"/>
      <c r="AM165" s="2523"/>
      <c r="AN165" s="2523"/>
      <c r="AO165" s="2523"/>
      <c r="AP165" s="2523"/>
      <c r="AQ165" s="2524"/>
      <c r="AR165" s="2524"/>
      <c r="AS165" s="2524"/>
    </row>
    <row r="166" spans="1:45" s="1540" customFormat="1" ht="87" customHeight="1" x14ac:dyDescent="0.5">
      <c r="A166" s="4412"/>
      <c r="B166" s="1721">
        <v>5576</v>
      </c>
      <c r="C166" s="4415"/>
      <c r="D166" s="3403" t="s">
        <v>68</v>
      </c>
      <c r="E166" s="3402">
        <f>+E110</f>
        <v>0</v>
      </c>
      <c r="F166" s="3402">
        <f t="shared" ref="F166:N166" si="232">+F110</f>
        <v>0</v>
      </c>
      <c r="G166" s="3402">
        <f t="shared" si="232"/>
        <v>0</v>
      </c>
      <c r="H166" s="3402">
        <f t="shared" si="232"/>
        <v>0</v>
      </c>
      <c r="I166" s="3402">
        <f t="shared" ca="1" si="232"/>
        <v>0</v>
      </c>
      <c r="J166" s="3402">
        <f t="shared" ca="1" si="232"/>
        <v>0</v>
      </c>
      <c r="K166" s="3402">
        <f t="shared" ca="1" si="232"/>
        <v>0</v>
      </c>
      <c r="L166" s="3402">
        <f t="shared" ca="1" si="232"/>
        <v>0</v>
      </c>
      <c r="M166" s="3402">
        <f t="shared" ca="1" si="232"/>
        <v>0</v>
      </c>
      <c r="N166" s="3402">
        <f t="shared" ca="1" si="232"/>
        <v>0</v>
      </c>
      <c r="P166" s="1541"/>
      <c r="V166" s="2179"/>
      <c r="W166" s="2179"/>
      <c r="X166" s="2179"/>
      <c r="Y166" s="2179"/>
      <c r="Z166" s="2179"/>
      <c r="AA166" s="2523"/>
      <c r="AB166" s="2523"/>
      <c r="AC166" s="2523"/>
      <c r="AD166" s="2523"/>
      <c r="AE166" s="2523"/>
      <c r="AF166" s="2523"/>
      <c r="AG166" s="2523"/>
      <c r="AH166" s="2523"/>
      <c r="AI166" s="2523"/>
      <c r="AJ166" s="2523"/>
      <c r="AK166" s="2523"/>
      <c r="AL166" s="2523"/>
      <c r="AM166" s="2523"/>
      <c r="AN166" s="2523"/>
      <c r="AO166" s="2523"/>
      <c r="AP166" s="2523"/>
      <c r="AQ166" s="2524"/>
      <c r="AR166" s="2524"/>
      <c r="AS166" s="2524"/>
    </row>
    <row r="167" spans="1:45" s="1540" customFormat="1" ht="87" customHeight="1" x14ac:dyDescent="0.5">
      <c r="A167" s="4412"/>
      <c r="B167" s="1949">
        <v>5580</v>
      </c>
      <c r="C167" s="4415"/>
      <c r="D167" s="3404" t="s">
        <v>169</v>
      </c>
      <c r="E167" s="3402">
        <f>+E20</f>
        <v>0</v>
      </c>
      <c r="F167" s="3402">
        <f t="shared" ref="F167:N167" si="233">+F20</f>
        <v>0</v>
      </c>
      <c r="G167" s="3402">
        <f t="shared" si="233"/>
        <v>0</v>
      </c>
      <c r="H167" s="3402">
        <f t="shared" si="233"/>
        <v>0</v>
      </c>
      <c r="I167" s="3402">
        <f t="shared" ca="1" si="233"/>
        <v>0</v>
      </c>
      <c r="J167" s="3402">
        <f t="shared" ca="1" si="233"/>
        <v>0</v>
      </c>
      <c r="K167" s="3402">
        <f t="shared" ca="1" si="233"/>
        <v>0</v>
      </c>
      <c r="L167" s="3402">
        <f t="shared" ca="1" si="233"/>
        <v>0</v>
      </c>
      <c r="M167" s="3402">
        <f t="shared" ca="1" si="233"/>
        <v>0</v>
      </c>
      <c r="N167" s="3402">
        <f t="shared" ca="1" si="233"/>
        <v>0</v>
      </c>
      <c r="P167" s="1541"/>
      <c r="V167" s="2179"/>
      <c r="W167" s="2179"/>
      <c r="X167" s="2179"/>
      <c r="Y167" s="2179"/>
      <c r="Z167" s="2179"/>
      <c r="AA167" s="2523"/>
      <c r="AB167" s="2523"/>
      <c r="AC167" s="2523"/>
      <c r="AD167" s="2523"/>
      <c r="AE167" s="2523"/>
      <c r="AF167" s="2523"/>
      <c r="AG167" s="2523"/>
      <c r="AH167" s="2523"/>
      <c r="AI167" s="2523"/>
      <c r="AJ167" s="2523"/>
      <c r="AK167" s="2523"/>
      <c r="AL167" s="2523"/>
      <c r="AM167" s="2523"/>
      <c r="AN167" s="2523"/>
      <c r="AO167" s="2523"/>
      <c r="AP167" s="2523"/>
      <c r="AQ167" s="2524"/>
      <c r="AR167" s="2524"/>
      <c r="AS167" s="2524"/>
    </row>
    <row r="168" spans="1:45" s="1540" customFormat="1" ht="87" customHeight="1" x14ac:dyDescent="0.5">
      <c r="A168" s="4412"/>
      <c r="B168" s="1949">
        <v>5581</v>
      </c>
      <c r="C168" s="4415"/>
      <c r="D168" s="3404" t="s">
        <v>49</v>
      </c>
      <c r="E168" s="3402">
        <f>+E21</f>
        <v>0</v>
      </c>
      <c r="F168" s="3402">
        <f t="shared" ref="F168:N168" si="234">+F21</f>
        <v>0</v>
      </c>
      <c r="G168" s="3402">
        <f t="shared" si="234"/>
        <v>0</v>
      </c>
      <c r="H168" s="3402">
        <f t="shared" si="234"/>
        <v>0</v>
      </c>
      <c r="I168" s="3402">
        <f t="shared" ca="1" si="234"/>
        <v>0</v>
      </c>
      <c r="J168" s="3402">
        <f t="shared" ca="1" si="234"/>
        <v>0</v>
      </c>
      <c r="K168" s="3402">
        <f t="shared" ca="1" si="234"/>
        <v>0</v>
      </c>
      <c r="L168" s="3402">
        <f t="shared" ca="1" si="234"/>
        <v>0</v>
      </c>
      <c r="M168" s="3402">
        <f t="shared" ca="1" si="234"/>
        <v>0</v>
      </c>
      <c r="N168" s="3402">
        <f t="shared" ca="1" si="234"/>
        <v>0</v>
      </c>
      <c r="P168" s="1541"/>
      <c r="V168" s="2179"/>
      <c r="W168" s="2179"/>
      <c r="X168" s="2179"/>
      <c r="Y168" s="2179"/>
      <c r="Z168" s="2179"/>
      <c r="AA168" s="2523"/>
      <c r="AB168" s="2523"/>
      <c r="AC168" s="2523"/>
      <c r="AD168" s="2523"/>
      <c r="AE168" s="2523"/>
      <c r="AF168" s="2523"/>
      <c r="AG168" s="2523"/>
      <c r="AH168" s="2523"/>
      <c r="AI168" s="2523"/>
      <c r="AJ168" s="2523"/>
      <c r="AK168" s="2523"/>
      <c r="AL168" s="2523"/>
      <c r="AM168" s="2523"/>
      <c r="AN168" s="2523"/>
      <c r="AO168" s="2523"/>
      <c r="AP168" s="2523"/>
      <c r="AQ168" s="2524"/>
      <c r="AR168" s="2524"/>
      <c r="AS168" s="2524"/>
    </row>
    <row r="169" spans="1:45" s="1540" customFormat="1" ht="87" customHeight="1" x14ac:dyDescent="0.5">
      <c r="A169" s="4412"/>
      <c r="B169" s="1949">
        <v>5582</v>
      </c>
      <c r="C169" s="4415"/>
      <c r="D169" s="3404" t="s">
        <v>55</v>
      </c>
      <c r="E169" s="3402">
        <f>+E40</f>
        <v>0</v>
      </c>
      <c r="F169" s="3402">
        <f t="shared" ref="F169:N169" si="235">+F40</f>
        <v>0</v>
      </c>
      <c r="G169" s="3402">
        <f t="shared" si="235"/>
        <v>0</v>
      </c>
      <c r="H169" s="3402">
        <f t="shared" si="235"/>
        <v>0</v>
      </c>
      <c r="I169" s="3402">
        <f t="shared" ca="1" si="235"/>
        <v>0</v>
      </c>
      <c r="J169" s="3402">
        <f t="shared" ca="1" si="235"/>
        <v>0</v>
      </c>
      <c r="K169" s="3402">
        <f t="shared" ca="1" si="235"/>
        <v>0</v>
      </c>
      <c r="L169" s="3402">
        <f t="shared" ca="1" si="235"/>
        <v>0</v>
      </c>
      <c r="M169" s="3402">
        <f t="shared" ca="1" si="235"/>
        <v>0</v>
      </c>
      <c r="N169" s="3402">
        <f t="shared" ca="1" si="235"/>
        <v>0</v>
      </c>
      <c r="P169" s="1541"/>
      <c r="V169" s="2179"/>
      <c r="W169" s="2179"/>
      <c r="X169" s="2179"/>
      <c r="Y169" s="2179"/>
      <c r="Z169" s="2179"/>
      <c r="AA169" s="2523"/>
      <c r="AB169" s="2523"/>
      <c r="AC169" s="2523"/>
      <c r="AD169" s="2523"/>
      <c r="AE169" s="2523"/>
      <c r="AF169" s="2523"/>
      <c r="AG169" s="2523"/>
      <c r="AH169" s="2523"/>
      <c r="AI169" s="2523"/>
      <c r="AJ169" s="2523"/>
      <c r="AK169" s="2523"/>
      <c r="AL169" s="2523"/>
      <c r="AM169" s="2523"/>
      <c r="AN169" s="2523"/>
      <c r="AO169" s="2523"/>
      <c r="AP169" s="2523"/>
      <c r="AQ169" s="2524"/>
      <c r="AR169" s="2524"/>
      <c r="AS169" s="2524"/>
    </row>
    <row r="170" spans="1:45" s="1540" customFormat="1" ht="87" customHeight="1" x14ac:dyDescent="0.5">
      <c r="A170" s="4412"/>
      <c r="B170" s="1949">
        <v>5583</v>
      </c>
      <c r="C170" s="4415"/>
      <c r="D170" s="3404" t="s">
        <v>56</v>
      </c>
      <c r="E170" s="3402">
        <f>+E41</f>
        <v>0</v>
      </c>
      <c r="F170" s="3402">
        <f t="shared" ref="F170:N170" si="236">+F41</f>
        <v>0</v>
      </c>
      <c r="G170" s="3402">
        <f t="shared" si="236"/>
        <v>0</v>
      </c>
      <c r="H170" s="3402">
        <f t="shared" si="236"/>
        <v>0</v>
      </c>
      <c r="I170" s="3402">
        <f t="shared" ca="1" si="236"/>
        <v>0</v>
      </c>
      <c r="J170" s="3402">
        <f t="shared" ca="1" si="236"/>
        <v>0</v>
      </c>
      <c r="K170" s="3402">
        <f t="shared" ca="1" si="236"/>
        <v>0</v>
      </c>
      <c r="L170" s="3402">
        <f t="shared" ca="1" si="236"/>
        <v>0</v>
      </c>
      <c r="M170" s="3402">
        <f t="shared" ca="1" si="236"/>
        <v>0</v>
      </c>
      <c r="N170" s="3402">
        <f t="shared" ca="1" si="236"/>
        <v>0</v>
      </c>
      <c r="P170" s="1541"/>
      <c r="V170" s="2179"/>
      <c r="W170" s="2179"/>
      <c r="X170" s="2179"/>
      <c r="Y170" s="2179"/>
      <c r="Z170" s="2179"/>
      <c r="AA170" s="2523"/>
      <c r="AB170" s="2523"/>
      <c r="AC170" s="2523"/>
      <c r="AD170" s="2523"/>
      <c r="AE170" s="2523"/>
      <c r="AF170" s="2523"/>
      <c r="AG170" s="2523"/>
      <c r="AH170" s="2523"/>
      <c r="AI170" s="2523"/>
      <c r="AJ170" s="2523"/>
      <c r="AK170" s="2523"/>
      <c r="AL170" s="2523"/>
      <c r="AM170" s="2523"/>
      <c r="AN170" s="2523"/>
      <c r="AO170" s="2523"/>
      <c r="AP170" s="2523"/>
      <c r="AQ170" s="2524"/>
      <c r="AR170" s="2524"/>
      <c r="AS170" s="2524"/>
    </row>
    <row r="171" spans="1:45" s="1540" customFormat="1" ht="87" customHeight="1" x14ac:dyDescent="0.5">
      <c r="A171" s="4412"/>
      <c r="B171" s="1949">
        <v>5584</v>
      </c>
      <c r="C171" s="4415"/>
      <c r="D171" s="3404" t="s">
        <v>60</v>
      </c>
      <c r="E171" s="3402">
        <f>+E67</f>
        <v>0</v>
      </c>
      <c r="F171" s="3402">
        <f t="shared" ref="F171:N171" si="237">+F67</f>
        <v>0</v>
      </c>
      <c r="G171" s="3402">
        <f t="shared" si="237"/>
        <v>0</v>
      </c>
      <c r="H171" s="3402">
        <f t="shared" si="237"/>
        <v>0</v>
      </c>
      <c r="I171" s="3402">
        <f t="shared" ca="1" si="237"/>
        <v>0</v>
      </c>
      <c r="J171" s="3402">
        <f t="shared" ca="1" si="237"/>
        <v>0</v>
      </c>
      <c r="K171" s="3402">
        <f t="shared" ca="1" si="237"/>
        <v>0</v>
      </c>
      <c r="L171" s="3402">
        <f t="shared" ca="1" si="237"/>
        <v>0</v>
      </c>
      <c r="M171" s="3402">
        <f t="shared" ca="1" si="237"/>
        <v>0</v>
      </c>
      <c r="N171" s="3402">
        <f t="shared" ca="1" si="237"/>
        <v>0</v>
      </c>
      <c r="P171" s="1541"/>
      <c r="V171" s="2179"/>
      <c r="W171" s="2179"/>
      <c r="X171" s="2179"/>
      <c r="Y171" s="2179"/>
      <c r="Z171" s="2179"/>
      <c r="AA171" s="2523"/>
      <c r="AB171" s="2523"/>
      <c r="AC171" s="2523"/>
      <c r="AD171" s="2523"/>
      <c r="AE171" s="2523"/>
      <c r="AF171" s="2523"/>
      <c r="AG171" s="2523"/>
      <c r="AH171" s="2523"/>
      <c r="AI171" s="2523"/>
      <c r="AJ171" s="2523"/>
      <c r="AK171" s="2523"/>
      <c r="AL171" s="2523"/>
      <c r="AM171" s="2523"/>
      <c r="AN171" s="2523"/>
      <c r="AO171" s="2523"/>
      <c r="AP171" s="2523"/>
      <c r="AQ171" s="2524"/>
      <c r="AR171" s="2524"/>
      <c r="AS171" s="2524"/>
    </row>
    <row r="172" spans="1:45" s="1540" customFormat="1" ht="87" customHeight="1" x14ac:dyDescent="0.5">
      <c r="A172" s="4412"/>
      <c r="B172" s="1949">
        <v>5585</v>
      </c>
      <c r="C172" s="4415"/>
      <c r="D172" s="3404" t="s">
        <v>65</v>
      </c>
      <c r="E172" s="3402">
        <f>+E89</f>
        <v>0</v>
      </c>
      <c r="F172" s="3402">
        <f t="shared" ref="F172:N172" si="238">+F89</f>
        <v>0</v>
      </c>
      <c r="G172" s="3402">
        <f t="shared" si="238"/>
        <v>0</v>
      </c>
      <c r="H172" s="3402">
        <f t="shared" si="238"/>
        <v>0</v>
      </c>
      <c r="I172" s="3402">
        <f t="shared" ca="1" si="238"/>
        <v>0</v>
      </c>
      <c r="J172" s="3402">
        <f t="shared" ca="1" si="238"/>
        <v>0</v>
      </c>
      <c r="K172" s="3402">
        <f t="shared" ca="1" si="238"/>
        <v>0</v>
      </c>
      <c r="L172" s="3402">
        <f t="shared" ca="1" si="238"/>
        <v>0</v>
      </c>
      <c r="M172" s="3402">
        <f t="shared" ca="1" si="238"/>
        <v>0</v>
      </c>
      <c r="N172" s="3402">
        <f t="shared" ca="1" si="238"/>
        <v>0</v>
      </c>
      <c r="P172" s="1541"/>
      <c r="V172" s="2179"/>
      <c r="W172" s="2179"/>
      <c r="X172" s="2179"/>
      <c r="Y172" s="2179"/>
      <c r="Z172" s="2179"/>
      <c r="AA172" s="2523"/>
      <c r="AB172" s="2523"/>
      <c r="AC172" s="2523"/>
      <c r="AD172" s="2523"/>
      <c r="AE172" s="2523"/>
      <c r="AF172" s="2523"/>
      <c r="AG172" s="2523"/>
      <c r="AH172" s="2523"/>
      <c r="AI172" s="2523"/>
      <c r="AJ172" s="2523"/>
      <c r="AK172" s="2523"/>
      <c r="AL172" s="2523"/>
      <c r="AM172" s="2523"/>
      <c r="AN172" s="2523"/>
      <c r="AO172" s="2523"/>
      <c r="AP172" s="2523"/>
      <c r="AQ172" s="2524"/>
      <c r="AR172" s="2524"/>
      <c r="AS172" s="2524"/>
    </row>
    <row r="173" spans="1:45" s="1540" customFormat="1" ht="87" customHeight="1" thickBot="1" x14ac:dyDescent="0.55000000000000004">
      <c r="A173" s="4412"/>
      <c r="B173" s="1949">
        <v>5586</v>
      </c>
      <c r="C173" s="4416"/>
      <c r="D173" s="3409" t="s">
        <v>69</v>
      </c>
      <c r="E173" s="3410">
        <f>+E111</f>
        <v>0</v>
      </c>
      <c r="F173" s="3410">
        <f t="shared" ref="F173:N173" si="239">+F111</f>
        <v>0</v>
      </c>
      <c r="G173" s="3410">
        <f t="shared" si="239"/>
        <v>0</v>
      </c>
      <c r="H173" s="3410">
        <f t="shared" si="239"/>
        <v>0</v>
      </c>
      <c r="I173" s="3410">
        <f t="shared" ca="1" si="239"/>
        <v>0</v>
      </c>
      <c r="J173" s="3410">
        <f t="shared" ca="1" si="239"/>
        <v>0</v>
      </c>
      <c r="K173" s="3410">
        <f t="shared" ca="1" si="239"/>
        <v>0</v>
      </c>
      <c r="L173" s="3410">
        <f t="shared" ca="1" si="239"/>
        <v>0</v>
      </c>
      <c r="M173" s="3410">
        <f t="shared" ca="1" si="239"/>
        <v>0</v>
      </c>
      <c r="N173" s="3410">
        <f t="shared" ca="1" si="239"/>
        <v>0</v>
      </c>
      <c r="P173" s="1541"/>
      <c r="V173" s="2179"/>
      <c r="W173" s="2179"/>
      <c r="X173" s="2179"/>
      <c r="Y173" s="2179"/>
      <c r="Z173" s="2179"/>
      <c r="AA173" s="2523"/>
      <c r="AB173" s="2523"/>
      <c r="AC173" s="2523"/>
      <c r="AD173" s="2523"/>
      <c r="AE173" s="2523"/>
      <c r="AF173" s="2523"/>
      <c r="AG173" s="2523"/>
      <c r="AH173" s="2523"/>
      <c r="AI173" s="2523"/>
      <c r="AJ173" s="2523"/>
      <c r="AK173" s="2523"/>
      <c r="AL173" s="2523"/>
      <c r="AM173" s="2523"/>
      <c r="AN173" s="2523"/>
      <c r="AO173" s="2523"/>
      <c r="AP173" s="2523"/>
      <c r="AQ173" s="2524"/>
      <c r="AR173" s="2524"/>
      <c r="AS173" s="2524"/>
    </row>
    <row r="174" spans="1:45" s="1540" customFormat="1" ht="87" customHeight="1" x14ac:dyDescent="0.5">
      <c r="A174" s="4412"/>
      <c r="B174" s="1721">
        <v>5590</v>
      </c>
      <c r="C174" s="4414" t="s">
        <v>408</v>
      </c>
      <c r="D174" s="3407" t="s">
        <v>46</v>
      </c>
      <c r="E174" s="3408">
        <f>+E28</f>
        <v>0</v>
      </c>
      <c r="F174" s="3408">
        <f t="shared" ref="F174:N174" si="240">+F28</f>
        <v>0</v>
      </c>
      <c r="G174" s="3408">
        <f t="shared" si="240"/>
        <v>0</v>
      </c>
      <c r="H174" s="3408">
        <f t="shared" si="240"/>
        <v>0</v>
      </c>
      <c r="I174" s="3408">
        <f t="shared" ca="1" si="240"/>
        <v>0</v>
      </c>
      <c r="J174" s="3408">
        <f t="shared" ca="1" si="240"/>
        <v>0</v>
      </c>
      <c r="K174" s="3408">
        <f t="shared" ca="1" si="240"/>
        <v>0</v>
      </c>
      <c r="L174" s="3408">
        <f t="shared" ca="1" si="240"/>
        <v>0</v>
      </c>
      <c r="M174" s="3408">
        <f t="shared" ca="1" si="240"/>
        <v>0</v>
      </c>
      <c r="N174" s="3408">
        <f t="shared" ca="1" si="240"/>
        <v>0</v>
      </c>
      <c r="P174" s="1541"/>
      <c r="V174" s="2179"/>
      <c r="W174" s="2179"/>
      <c r="X174" s="2179"/>
      <c r="Y174" s="2179"/>
      <c r="Z174" s="2179"/>
      <c r="AA174" s="2523"/>
      <c r="AB174" s="2523"/>
      <c r="AC174" s="2523"/>
      <c r="AD174" s="2523"/>
      <c r="AE174" s="2523"/>
      <c r="AF174" s="2523"/>
      <c r="AG174" s="2523"/>
      <c r="AH174" s="2523"/>
      <c r="AI174" s="2523"/>
      <c r="AJ174" s="2523"/>
      <c r="AK174" s="2523"/>
      <c r="AL174" s="2523"/>
      <c r="AM174" s="2523"/>
      <c r="AN174" s="2523"/>
      <c r="AO174" s="2523"/>
      <c r="AP174" s="2523"/>
      <c r="AQ174" s="2524"/>
      <c r="AR174" s="2524"/>
      <c r="AS174" s="2524"/>
    </row>
    <row r="175" spans="1:45" s="1540" customFormat="1" ht="87" customHeight="1" x14ac:dyDescent="0.5">
      <c r="A175" s="4412"/>
      <c r="B175" s="1721">
        <v>5591</v>
      </c>
      <c r="C175" s="4415"/>
      <c r="D175" s="3403" t="s">
        <v>47</v>
      </c>
      <c r="E175" s="3402">
        <f>+E29</f>
        <v>0</v>
      </c>
      <c r="F175" s="3402">
        <f t="shared" ref="F175:N175" si="241">+F29</f>
        <v>0</v>
      </c>
      <c r="G175" s="3402">
        <f t="shared" si="241"/>
        <v>0</v>
      </c>
      <c r="H175" s="3402">
        <f t="shared" si="241"/>
        <v>0</v>
      </c>
      <c r="I175" s="3402">
        <f t="shared" ca="1" si="241"/>
        <v>0</v>
      </c>
      <c r="J175" s="3402">
        <f t="shared" ca="1" si="241"/>
        <v>0</v>
      </c>
      <c r="K175" s="3402">
        <f t="shared" ca="1" si="241"/>
        <v>0</v>
      </c>
      <c r="L175" s="3402">
        <f t="shared" ca="1" si="241"/>
        <v>0</v>
      </c>
      <c r="M175" s="3402">
        <f t="shared" ca="1" si="241"/>
        <v>0</v>
      </c>
      <c r="N175" s="3402">
        <f t="shared" ca="1" si="241"/>
        <v>0</v>
      </c>
      <c r="P175" s="1541"/>
      <c r="V175" s="2179"/>
      <c r="W175" s="2179"/>
      <c r="X175" s="2179"/>
      <c r="Y175" s="2179"/>
      <c r="Z175" s="2179"/>
      <c r="AA175" s="2523"/>
      <c r="AB175" s="2523"/>
      <c r="AC175" s="2523"/>
      <c r="AD175" s="2523"/>
      <c r="AE175" s="2523"/>
      <c r="AF175" s="2523"/>
      <c r="AG175" s="2523"/>
      <c r="AH175" s="2523"/>
      <c r="AI175" s="2523"/>
      <c r="AJ175" s="2523"/>
      <c r="AK175" s="2523"/>
      <c r="AL175" s="2523"/>
      <c r="AM175" s="2523"/>
      <c r="AN175" s="2523"/>
      <c r="AO175" s="2523"/>
      <c r="AP175" s="2523"/>
      <c r="AQ175" s="2524"/>
      <c r="AR175" s="2524"/>
      <c r="AS175" s="2524"/>
    </row>
    <row r="176" spans="1:45" s="1540" customFormat="1" ht="87" customHeight="1" x14ac:dyDescent="0.5">
      <c r="A176" s="4412"/>
      <c r="B176" s="1721">
        <v>5592</v>
      </c>
      <c r="C176" s="4415"/>
      <c r="D176" s="3403" t="s">
        <v>53</v>
      </c>
      <c r="E176" s="3402">
        <f>+E54</f>
        <v>0</v>
      </c>
      <c r="F176" s="3402">
        <f t="shared" ref="F176:N176" si="242">+F54</f>
        <v>0</v>
      </c>
      <c r="G176" s="3402">
        <f t="shared" si="242"/>
        <v>0</v>
      </c>
      <c r="H176" s="3402">
        <f t="shared" si="242"/>
        <v>0</v>
      </c>
      <c r="I176" s="3402">
        <f t="shared" ca="1" si="242"/>
        <v>0</v>
      </c>
      <c r="J176" s="3402">
        <f t="shared" ca="1" si="242"/>
        <v>0</v>
      </c>
      <c r="K176" s="3402">
        <f t="shared" ca="1" si="242"/>
        <v>0</v>
      </c>
      <c r="L176" s="3402">
        <f t="shared" ca="1" si="242"/>
        <v>0</v>
      </c>
      <c r="M176" s="3402">
        <f t="shared" ca="1" si="242"/>
        <v>0</v>
      </c>
      <c r="N176" s="3402">
        <f t="shared" ca="1" si="242"/>
        <v>0</v>
      </c>
      <c r="P176" s="1541"/>
      <c r="V176" s="2179"/>
      <c r="W176" s="2179"/>
      <c r="X176" s="2179"/>
      <c r="Y176" s="2179"/>
      <c r="Z176" s="2179"/>
      <c r="AA176" s="2523"/>
      <c r="AB176" s="2523"/>
      <c r="AC176" s="2523"/>
      <c r="AD176" s="2523"/>
      <c r="AE176" s="2523"/>
      <c r="AF176" s="2523"/>
      <c r="AG176" s="2523"/>
      <c r="AH176" s="2523"/>
      <c r="AI176" s="2523"/>
      <c r="AJ176" s="2523"/>
      <c r="AK176" s="2523"/>
      <c r="AL176" s="2523"/>
      <c r="AM176" s="2523"/>
      <c r="AN176" s="2523"/>
      <c r="AO176" s="2523"/>
      <c r="AP176" s="2523"/>
      <c r="AQ176" s="2524"/>
      <c r="AR176" s="2524"/>
      <c r="AS176" s="2524"/>
    </row>
    <row r="177" spans="1:45" s="1540" customFormat="1" ht="87" customHeight="1" x14ac:dyDescent="0.5">
      <c r="A177" s="4412"/>
      <c r="B177" s="1721">
        <v>5593</v>
      </c>
      <c r="C177" s="4415"/>
      <c r="D177" s="3403" t="s">
        <v>54</v>
      </c>
      <c r="E177" s="3402">
        <f>+E55</f>
        <v>0</v>
      </c>
      <c r="F177" s="3402">
        <f t="shared" ref="F177:N177" si="243">+F55</f>
        <v>0</v>
      </c>
      <c r="G177" s="3402">
        <f t="shared" si="243"/>
        <v>0</v>
      </c>
      <c r="H177" s="3402">
        <f t="shared" si="243"/>
        <v>0</v>
      </c>
      <c r="I177" s="3402">
        <f t="shared" ca="1" si="243"/>
        <v>0</v>
      </c>
      <c r="J177" s="3402">
        <f t="shared" ca="1" si="243"/>
        <v>0</v>
      </c>
      <c r="K177" s="3402">
        <f t="shared" ca="1" si="243"/>
        <v>0</v>
      </c>
      <c r="L177" s="3402">
        <f t="shared" ca="1" si="243"/>
        <v>0</v>
      </c>
      <c r="M177" s="3402">
        <f t="shared" ca="1" si="243"/>
        <v>0</v>
      </c>
      <c r="N177" s="3402">
        <f t="shared" ca="1" si="243"/>
        <v>0</v>
      </c>
      <c r="P177" s="1541"/>
      <c r="V177" s="2179"/>
      <c r="W177" s="2179"/>
      <c r="X177" s="2179"/>
      <c r="Y177" s="2179"/>
      <c r="Z177" s="2179"/>
      <c r="AA177" s="2523"/>
      <c r="AB177" s="2523"/>
      <c r="AC177" s="2523"/>
      <c r="AD177" s="2523"/>
      <c r="AE177" s="2523"/>
      <c r="AF177" s="2523"/>
      <c r="AG177" s="2523"/>
      <c r="AH177" s="2523"/>
      <c r="AI177" s="2523"/>
      <c r="AJ177" s="2523"/>
      <c r="AK177" s="2523"/>
      <c r="AL177" s="2523"/>
      <c r="AM177" s="2523"/>
      <c r="AN177" s="2523"/>
      <c r="AO177" s="2523"/>
      <c r="AP177" s="2523"/>
      <c r="AQ177" s="2524"/>
      <c r="AR177" s="2524"/>
      <c r="AS177" s="2524"/>
    </row>
    <row r="178" spans="1:45" s="1540" customFormat="1" ht="87" hidden="1" customHeight="1" x14ac:dyDescent="0.5">
      <c r="A178" s="4412"/>
      <c r="B178" s="1721">
        <v>5512</v>
      </c>
      <c r="C178" s="4415"/>
      <c r="D178" s="3403" t="s">
        <v>1364</v>
      </c>
      <c r="E178" s="3402">
        <f>+E56</f>
        <v>0</v>
      </c>
      <c r="F178" s="3402">
        <f t="shared" ref="F178:N178" si="244">+F56</f>
        <v>0</v>
      </c>
      <c r="G178" s="3402">
        <f t="shared" si="244"/>
        <v>0</v>
      </c>
      <c r="H178" s="3402">
        <f t="shared" si="244"/>
        <v>0</v>
      </c>
      <c r="I178" s="3402">
        <f t="shared" ca="1" si="244"/>
        <v>0</v>
      </c>
      <c r="J178" s="3402">
        <f t="shared" ca="1" si="244"/>
        <v>0</v>
      </c>
      <c r="K178" s="3402">
        <f t="shared" ca="1" si="244"/>
        <v>0</v>
      </c>
      <c r="L178" s="3402">
        <f t="shared" ca="1" si="244"/>
        <v>0</v>
      </c>
      <c r="M178" s="3402">
        <f t="shared" ca="1" si="244"/>
        <v>0</v>
      </c>
      <c r="N178" s="3402">
        <f t="shared" ca="1" si="244"/>
        <v>0</v>
      </c>
      <c r="P178" s="1541"/>
      <c r="V178" s="2179"/>
      <c r="W178" s="2179"/>
      <c r="X178" s="2179"/>
      <c r="Y178" s="2179"/>
      <c r="Z178" s="2179"/>
      <c r="AA178" s="2523"/>
      <c r="AB178" s="2523"/>
      <c r="AC178" s="2523"/>
      <c r="AD178" s="2523"/>
      <c r="AE178" s="2523"/>
      <c r="AF178" s="2523"/>
      <c r="AG178" s="2523"/>
      <c r="AH178" s="2523"/>
      <c r="AI178" s="2523"/>
      <c r="AJ178" s="2523"/>
      <c r="AK178" s="2523"/>
      <c r="AL178" s="2523"/>
      <c r="AM178" s="2523"/>
      <c r="AN178" s="2523"/>
      <c r="AO178" s="2523"/>
      <c r="AP178" s="2523"/>
      <c r="AQ178" s="2524"/>
      <c r="AR178" s="2524"/>
      <c r="AS178" s="2524"/>
    </row>
    <row r="179" spans="1:45" s="1540" customFormat="1" ht="87" customHeight="1" x14ac:dyDescent="0.5">
      <c r="A179" s="4412"/>
      <c r="B179" s="1721">
        <v>5594</v>
      </c>
      <c r="C179" s="4415"/>
      <c r="D179" s="3403" t="s">
        <v>59</v>
      </c>
      <c r="E179" s="3402">
        <f>+E78</f>
        <v>0</v>
      </c>
      <c r="F179" s="3402">
        <f t="shared" ref="F179:N179" si="245">+F78</f>
        <v>0</v>
      </c>
      <c r="G179" s="3402">
        <f t="shared" si="245"/>
        <v>0</v>
      </c>
      <c r="H179" s="3402">
        <f t="shared" si="245"/>
        <v>0</v>
      </c>
      <c r="I179" s="3402">
        <f t="shared" ca="1" si="245"/>
        <v>0</v>
      </c>
      <c r="J179" s="3402">
        <f t="shared" ca="1" si="245"/>
        <v>0</v>
      </c>
      <c r="K179" s="3402">
        <f t="shared" ca="1" si="245"/>
        <v>0</v>
      </c>
      <c r="L179" s="3402">
        <f t="shared" ca="1" si="245"/>
        <v>0</v>
      </c>
      <c r="M179" s="3402">
        <f t="shared" ca="1" si="245"/>
        <v>0</v>
      </c>
      <c r="N179" s="3402">
        <f t="shared" ca="1" si="245"/>
        <v>0</v>
      </c>
      <c r="P179" s="1541"/>
      <c r="V179" s="2179"/>
      <c r="W179" s="2179"/>
      <c r="X179" s="2179"/>
      <c r="Y179" s="2179"/>
      <c r="Z179" s="2179"/>
      <c r="AA179" s="2523"/>
      <c r="AB179" s="2523"/>
      <c r="AC179" s="2523"/>
      <c r="AD179" s="2523"/>
      <c r="AE179" s="2523"/>
      <c r="AF179" s="2523"/>
      <c r="AG179" s="2523"/>
      <c r="AH179" s="2523"/>
      <c r="AI179" s="2523"/>
      <c r="AJ179" s="2523"/>
      <c r="AK179" s="2523"/>
      <c r="AL179" s="2523"/>
      <c r="AM179" s="2523"/>
      <c r="AN179" s="2523"/>
      <c r="AO179" s="2523"/>
      <c r="AP179" s="2523"/>
      <c r="AQ179" s="2524"/>
      <c r="AR179" s="2524"/>
      <c r="AS179" s="2524"/>
    </row>
    <row r="180" spans="1:45" s="1540" customFormat="1" ht="87" hidden="1" customHeight="1" x14ac:dyDescent="0.5">
      <c r="A180" s="4412"/>
      <c r="B180" s="1721">
        <v>5513</v>
      </c>
      <c r="C180" s="4415"/>
      <c r="D180" s="3403" t="s">
        <v>1284</v>
      </c>
      <c r="E180" s="3402">
        <f>+E79</f>
        <v>0</v>
      </c>
      <c r="F180" s="3402">
        <f t="shared" ref="F180:N180" si="246">+F79</f>
        <v>0</v>
      </c>
      <c r="G180" s="3402">
        <f t="shared" si="246"/>
        <v>0</v>
      </c>
      <c r="H180" s="3402">
        <f t="shared" si="246"/>
        <v>0</v>
      </c>
      <c r="I180" s="3402">
        <f t="shared" ca="1" si="246"/>
        <v>0</v>
      </c>
      <c r="J180" s="3402">
        <f t="shared" ca="1" si="246"/>
        <v>0</v>
      </c>
      <c r="K180" s="3402">
        <f t="shared" ca="1" si="246"/>
        <v>0</v>
      </c>
      <c r="L180" s="3402">
        <f t="shared" ca="1" si="246"/>
        <v>0</v>
      </c>
      <c r="M180" s="3402">
        <f t="shared" ca="1" si="246"/>
        <v>0</v>
      </c>
      <c r="N180" s="3402">
        <f t="shared" ca="1" si="246"/>
        <v>0</v>
      </c>
      <c r="P180" s="1541"/>
      <c r="V180" s="2179"/>
      <c r="W180" s="2179"/>
      <c r="X180" s="2179"/>
      <c r="Y180" s="2179"/>
      <c r="Z180" s="2179"/>
      <c r="AA180" s="2523"/>
      <c r="AB180" s="2523"/>
      <c r="AC180" s="2523"/>
      <c r="AD180" s="2523"/>
      <c r="AE180" s="2523"/>
      <c r="AF180" s="2523"/>
      <c r="AG180" s="2523"/>
      <c r="AH180" s="2523"/>
      <c r="AI180" s="2523"/>
      <c r="AJ180" s="2523"/>
      <c r="AK180" s="2523"/>
      <c r="AL180" s="2523"/>
      <c r="AM180" s="2523"/>
      <c r="AN180" s="2523"/>
      <c r="AO180" s="2523"/>
      <c r="AP180" s="2523"/>
      <c r="AQ180" s="2524"/>
      <c r="AR180" s="2524"/>
      <c r="AS180" s="2524"/>
    </row>
    <row r="181" spans="1:45" s="1540" customFormat="1" ht="87" customHeight="1" x14ac:dyDescent="0.5">
      <c r="A181" s="4412"/>
      <c r="B181" s="1721">
        <v>5595</v>
      </c>
      <c r="C181" s="4415"/>
      <c r="D181" s="3403" t="s">
        <v>64</v>
      </c>
      <c r="E181" s="3402">
        <f>+E100</f>
        <v>0</v>
      </c>
      <c r="F181" s="3402">
        <f t="shared" ref="F181:N181" si="247">+F100</f>
        <v>0</v>
      </c>
      <c r="G181" s="3402">
        <f t="shared" si="247"/>
        <v>0</v>
      </c>
      <c r="H181" s="3402">
        <f t="shared" si="247"/>
        <v>0</v>
      </c>
      <c r="I181" s="3402">
        <f t="shared" ca="1" si="247"/>
        <v>0</v>
      </c>
      <c r="J181" s="3402">
        <f t="shared" ca="1" si="247"/>
        <v>0</v>
      </c>
      <c r="K181" s="3402">
        <f t="shared" ca="1" si="247"/>
        <v>0</v>
      </c>
      <c r="L181" s="3402">
        <f t="shared" ca="1" si="247"/>
        <v>0</v>
      </c>
      <c r="M181" s="3402">
        <f t="shared" ca="1" si="247"/>
        <v>0</v>
      </c>
      <c r="N181" s="3402">
        <f t="shared" ca="1" si="247"/>
        <v>0</v>
      </c>
      <c r="P181" s="1541"/>
      <c r="V181" s="2179"/>
      <c r="W181" s="2179"/>
      <c r="X181" s="2179"/>
      <c r="Y181" s="2179"/>
      <c r="Z181" s="2179"/>
      <c r="AA181" s="2523"/>
      <c r="AB181" s="2523"/>
      <c r="AC181" s="2523"/>
      <c r="AD181" s="2523"/>
      <c r="AE181" s="2523"/>
      <c r="AF181" s="2523"/>
      <c r="AG181" s="2523"/>
      <c r="AH181" s="2523"/>
      <c r="AI181" s="2523"/>
      <c r="AJ181" s="2523"/>
      <c r="AK181" s="2523"/>
      <c r="AL181" s="2523"/>
      <c r="AM181" s="2523"/>
      <c r="AN181" s="2523"/>
      <c r="AO181" s="2523"/>
      <c r="AP181" s="2523"/>
      <c r="AQ181" s="2524"/>
      <c r="AR181" s="2524"/>
      <c r="AS181" s="2524"/>
    </row>
    <row r="182" spans="1:45" s="1540" customFormat="1" ht="87" hidden="1" customHeight="1" x14ac:dyDescent="0.5">
      <c r="A182" s="4412"/>
      <c r="B182" s="1721">
        <v>5514</v>
      </c>
      <c r="C182" s="4415"/>
      <c r="D182" s="3555" t="s">
        <v>1293</v>
      </c>
      <c r="E182" s="3402">
        <f>+E101</f>
        <v>0</v>
      </c>
      <c r="F182" s="3402">
        <f t="shared" ref="F182:N182" si="248">+F101</f>
        <v>0</v>
      </c>
      <c r="G182" s="3402">
        <f t="shared" si="248"/>
        <v>0</v>
      </c>
      <c r="H182" s="3402">
        <f t="shared" si="248"/>
        <v>0</v>
      </c>
      <c r="I182" s="3402">
        <f t="shared" ca="1" si="248"/>
        <v>0</v>
      </c>
      <c r="J182" s="3402">
        <f t="shared" ca="1" si="248"/>
        <v>0</v>
      </c>
      <c r="K182" s="3402">
        <f t="shared" ca="1" si="248"/>
        <v>0</v>
      </c>
      <c r="L182" s="3402">
        <f t="shared" ca="1" si="248"/>
        <v>0</v>
      </c>
      <c r="M182" s="3402">
        <f t="shared" ca="1" si="248"/>
        <v>0</v>
      </c>
      <c r="N182" s="3402">
        <f t="shared" ca="1" si="248"/>
        <v>0</v>
      </c>
      <c r="P182" s="1541"/>
      <c r="V182" s="2179"/>
      <c r="W182" s="2179"/>
      <c r="X182" s="2179"/>
      <c r="Y182" s="2179"/>
      <c r="Z182" s="2179"/>
      <c r="AA182" s="2523"/>
      <c r="AB182" s="2523"/>
      <c r="AC182" s="2523"/>
      <c r="AD182" s="2523"/>
      <c r="AE182" s="2523"/>
      <c r="AF182" s="2523"/>
      <c r="AG182" s="2523"/>
      <c r="AH182" s="2523"/>
      <c r="AI182" s="2523"/>
      <c r="AJ182" s="2523"/>
      <c r="AK182" s="2523"/>
      <c r="AL182" s="2523"/>
      <c r="AM182" s="2523"/>
      <c r="AN182" s="2523"/>
      <c r="AO182" s="2523"/>
      <c r="AP182" s="2523"/>
      <c r="AQ182" s="2524"/>
      <c r="AR182" s="2524"/>
      <c r="AS182" s="2524"/>
    </row>
    <row r="183" spans="1:45" s="1540" customFormat="1" ht="87" customHeight="1" x14ac:dyDescent="0.5">
      <c r="A183" s="4412"/>
      <c r="B183" s="1721">
        <v>5596</v>
      </c>
      <c r="C183" s="4415"/>
      <c r="D183" s="3403" t="s">
        <v>68</v>
      </c>
      <c r="E183" s="3402">
        <f>+E122</f>
        <v>0</v>
      </c>
      <c r="F183" s="3402">
        <f t="shared" ref="F183:N183" si="249">+F122</f>
        <v>0</v>
      </c>
      <c r="G183" s="3402">
        <f t="shared" si="249"/>
        <v>0</v>
      </c>
      <c r="H183" s="3402">
        <f t="shared" si="249"/>
        <v>0</v>
      </c>
      <c r="I183" s="3402">
        <f t="shared" ca="1" si="249"/>
        <v>0</v>
      </c>
      <c r="J183" s="3402">
        <f t="shared" ca="1" si="249"/>
        <v>0</v>
      </c>
      <c r="K183" s="3402">
        <f t="shared" ca="1" si="249"/>
        <v>0</v>
      </c>
      <c r="L183" s="3402">
        <f t="shared" ca="1" si="249"/>
        <v>0</v>
      </c>
      <c r="M183" s="3402">
        <f t="shared" ca="1" si="249"/>
        <v>0</v>
      </c>
      <c r="N183" s="3402">
        <f t="shared" ca="1" si="249"/>
        <v>0</v>
      </c>
      <c r="P183" s="1541"/>
      <c r="V183" s="2179"/>
      <c r="W183" s="2179"/>
      <c r="X183" s="2179"/>
      <c r="Y183" s="2179"/>
      <c r="Z183" s="2179"/>
      <c r="AA183" s="2523"/>
      <c r="AB183" s="2523"/>
      <c r="AC183" s="2523"/>
      <c r="AD183" s="2523"/>
      <c r="AE183" s="2523"/>
      <c r="AF183" s="2523"/>
      <c r="AG183" s="2523"/>
      <c r="AH183" s="2523"/>
      <c r="AI183" s="2523"/>
      <c r="AJ183" s="2523"/>
      <c r="AK183" s="2523"/>
      <c r="AL183" s="2523"/>
      <c r="AM183" s="2523"/>
      <c r="AN183" s="2523"/>
      <c r="AO183" s="2523"/>
      <c r="AP183" s="2523"/>
      <c r="AQ183" s="2524"/>
      <c r="AR183" s="2524"/>
      <c r="AS183" s="2524"/>
    </row>
    <row r="184" spans="1:45" s="1540" customFormat="1" ht="87" hidden="1" customHeight="1" x14ac:dyDescent="0.5">
      <c r="A184" s="4412"/>
      <c r="B184" s="1721">
        <v>5515</v>
      </c>
      <c r="C184" s="4415"/>
      <c r="D184" s="3535" t="s">
        <v>1305</v>
      </c>
      <c r="E184" s="3402">
        <f>+E123</f>
        <v>0</v>
      </c>
      <c r="F184" s="3402">
        <f t="shared" ref="F184:N184" si="250">+F123</f>
        <v>0</v>
      </c>
      <c r="G184" s="3402">
        <f t="shared" si="250"/>
        <v>0</v>
      </c>
      <c r="H184" s="3402">
        <f t="shared" si="250"/>
        <v>0</v>
      </c>
      <c r="I184" s="3402">
        <f t="shared" ca="1" si="250"/>
        <v>0</v>
      </c>
      <c r="J184" s="3402">
        <f t="shared" ca="1" si="250"/>
        <v>0</v>
      </c>
      <c r="K184" s="3402">
        <f t="shared" ca="1" si="250"/>
        <v>0</v>
      </c>
      <c r="L184" s="3402">
        <f t="shared" ca="1" si="250"/>
        <v>0</v>
      </c>
      <c r="M184" s="3402">
        <f t="shared" ca="1" si="250"/>
        <v>0</v>
      </c>
      <c r="N184" s="3402">
        <f t="shared" ca="1" si="250"/>
        <v>0</v>
      </c>
      <c r="P184" s="1541"/>
      <c r="V184" s="2179"/>
      <c r="W184" s="2179"/>
      <c r="X184" s="2179"/>
      <c r="Y184" s="2179"/>
      <c r="Z184" s="2179"/>
      <c r="AA184" s="2523"/>
      <c r="AB184" s="2523"/>
      <c r="AC184" s="2523"/>
      <c r="AD184" s="2523"/>
      <c r="AE184" s="2523"/>
      <c r="AF184" s="2523"/>
      <c r="AG184" s="2523"/>
      <c r="AH184" s="2523"/>
      <c r="AI184" s="2523"/>
      <c r="AJ184" s="2523"/>
      <c r="AK184" s="2523"/>
      <c r="AL184" s="2523"/>
      <c r="AM184" s="2523"/>
      <c r="AN184" s="2523"/>
      <c r="AO184" s="2523"/>
      <c r="AP184" s="2523"/>
      <c r="AQ184" s="2524"/>
      <c r="AR184" s="2524"/>
      <c r="AS184" s="2524"/>
    </row>
    <row r="185" spans="1:45" s="1540" customFormat="1" ht="87" customHeight="1" x14ac:dyDescent="0.5">
      <c r="A185" s="4412"/>
      <c r="B185" s="1949">
        <v>5600</v>
      </c>
      <c r="C185" s="4415"/>
      <c r="D185" s="3404" t="s">
        <v>169</v>
      </c>
      <c r="E185" s="3402">
        <f>+E30</f>
        <v>0</v>
      </c>
      <c r="F185" s="3402">
        <f t="shared" ref="F185:N185" si="251">+F30</f>
        <v>0</v>
      </c>
      <c r="G185" s="3402">
        <f t="shared" si="251"/>
        <v>0</v>
      </c>
      <c r="H185" s="3402">
        <f t="shared" si="251"/>
        <v>0</v>
      </c>
      <c r="I185" s="3402">
        <f t="shared" ca="1" si="251"/>
        <v>0</v>
      </c>
      <c r="J185" s="3402">
        <f t="shared" ca="1" si="251"/>
        <v>0</v>
      </c>
      <c r="K185" s="3402">
        <f t="shared" ca="1" si="251"/>
        <v>0</v>
      </c>
      <c r="L185" s="3402">
        <f t="shared" ca="1" si="251"/>
        <v>0</v>
      </c>
      <c r="M185" s="3402">
        <f t="shared" ca="1" si="251"/>
        <v>0</v>
      </c>
      <c r="N185" s="3402">
        <f t="shared" ca="1" si="251"/>
        <v>0</v>
      </c>
      <c r="P185" s="1541"/>
      <c r="V185" s="2179"/>
      <c r="W185" s="2179"/>
      <c r="X185" s="2179"/>
      <c r="Y185" s="2179"/>
      <c r="Z185" s="2179"/>
      <c r="AA185" s="2523"/>
      <c r="AB185" s="2523"/>
      <c r="AC185" s="2523"/>
      <c r="AD185" s="2523"/>
      <c r="AE185" s="2523"/>
      <c r="AF185" s="2523"/>
      <c r="AG185" s="2523"/>
      <c r="AH185" s="2523"/>
      <c r="AI185" s="2523"/>
      <c r="AJ185" s="2523"/>
      <c r="AK185" s="2523"/>
      <c r="AL185" s="2523"/>
      <c r="AM185" s="2523"/>
      <c r="AN185" s="2523"/>
      <c r="AO185" s="2523"/>
      <c r="AP185" s="2523"/>
      <c r="AQ185" s="2524"/>
      <c r="AR185" s="2524"/>
      <c r="AS185" s="2524"/>
    </row>
    <row r="186" spans="1:45" s="1540" customFormat="1" ht="87" customHeight="1" x14ac:dyDescent="0.5">
      <c r="A186" s="4412"/>
      <c r="B186" s="1949">
        <v>5601</v>
      </c>
      <c r="C186" s="4415"/>
      <c r="D186" s="3404" t="s">
        <v>49</v>
      </c>
      <c r="E186" s="3402">
        <f>+E31</f>
        <v>0</v>
      </c>
      <c r="F186" s="3402">
        <f t="shared" ref="F186:N186" si="252">+F31</f>
        <v>0</v>
      </c>
      <c r="G186" s="3402">
        <f t="shared" si="252"/>
        <v>0</v>
      </c>
      <c r="H186" s="3402">
        <f t="shared" si="252"/>
        <v>0</v>
      </c>
      <c r="I186" s="3402">
        <f t="shared" ca="1" si="252"/>
        <v>0</v>
      </c>
      <c r="J186" s="3402">
        <f t="shared" ca="1" si="252"/>
        <v>0</v>
      </c>
      <c r="K186" s="3402">
        <f t="shared" ca="1" si="252"/>
        <v>0</v>
      </c>
      <c r="L186" s="3402">
        <f t="shared" ca="1" si="252"/>
        <v>0</v>
      </c>
      <c r="M186" s="3402">
        <f t="shared" ca="1" si="252"/>
        <v>0</v>
      </c>
      <c r="N186" s="3402">
        <f t="shared" ca="1" si="252"/>
        <v>0</v>
      </c>
      <c r="P186" s="1541"/>
      <c r="V186" s="2179"/>
      <c r="W186" s="2179"/>
      <c r="X186" s="2179"/>
      <c r="Y186" s="2179"/>
      <c r="Z186" s="2179"/>
      <c r="AA186" s="2523"/>
      <c r="AB186" s="2523"/>
      <c r="AC186" s="2523"/>
      <c r="AD186" s="2523"/>
      <c r="AE186" s="2523"/>
      <c r="AF186" s="2523"/>
      <c r="AG186" s="2523"/>
      <c r="AH186" s="2523"/>
      <c r="AI186" s="2523"/>
      <c r="AJ186" s="2523"/>
      <c r="AK186" s="2523"/>
      <c r="AL186" s="2523"/>
      <c r="AM186" s="2523"/>
      <c r="AN186" s="2523"/>
      <c r="AO186" s="2523"/>
      <c r="AP186" s="2523"/>
      <c r="AQ186" s="2524"/>
      <c r="AR186" s="2524"/>
      <c r="AS186" s="2524"/>
    </row>
    <row r="187" spans="1:45" s="1540" customFormat="1" ht="87" customHeight="1" x14ac:dyDescent="0.5">
      <c r="A187" s="4412"/>
      <c r="B187" s="1949">
        <v>5602</v>
      </c>
      <c r="C187" s="4415"/>
      <c r="D187" s="3404" t="s">
        <v>55</v>
      </c>
      <c r="E187" s="3402">
        <f>+E57</f>
        <v>0</v>
      </c>
      <c r="F187" s="3402">
        <f t="shared" ref="F187:N187" si="253">+F57</f>
        <v>0</v>
      </c>
      <c r="G187" s="3402">
        <f t="shared" si="253"/>
        <v>0</v>
      </c>
      <c r="H187" s="3402">
        <f t="shared" si="253"/>
        <v>0</v>
      </c>
      <c r="I187" s="3402">
        <f t="shared" ca="1" si="253"/>
        <v>0</v>
      </c>
      <c r="J187" s="3402">
        <f t="shared" ca="1" si="253"/>
        <v>0</v>
      </c>
      <c r="K187" s="3402">
        <f t="shared" ca="1" si="253"/>
        <v>0</v>
      </c>
      <c r="L187" s="3402">
        <f t="shared" ca="1" si="253"/>
        <v>0</v>
      </c>
      <c r="M187" s="3402">
        <f t="shared" ca="1" si="253"/>
        <v>0</v>
      </c>
      <c r="N187" s="3402">
        <f t="shared" ca="1" si="253"/>
        <v>0</v>
      </c>
      <c r="P187" s="1541"/>
      <c r="V187" s="2179"/>
      <c r="W187" s="2179"/>
      <c r="X187" s="2179"/>
      <c r="Y187" s="2179"/>
      <c r="Z187" s="2179"/>
      <c r="AA187" s="2523"/>
      <c r="AB187" s="2523"/>
      <c r="AC187" s="2523"/>
      <c r="AD187" s="2523"/>
      <c r="AE187" s="2523"/>
      <c r="AF187" s="2523"/>
      <c r="AG187" s="2523"/>
      <c r="AH187" s="2523"/>
      <c r="AI187" s="2523"/>
      <c r="AJ187" s="2523"/>
      <c r="AK187" s="2523"/>
      <c r="AL187" s="2523"/>
      <c r="AM187" s="2523"/>
      <c r="AN187" s="2523"/>
      <c r="AO187" s="2523"/>
      <c r="AP187" s="2523"/>
      <c r="AQ187" s="2524"/>
      <c r="AR187" s="2524"/>
      <c r="AS187" s="2524"/>
    </row>
    <row r="188" spans="1:45" s="1540" customFormat="1" ht="87" customHeight="1" x14ac:dyDescent="0.5">
      <c r="A188" s="4412"/>
      <c r="B188" s="1949">
        <v>5603</v>
      </c>
      <c r="C188" s="4415"/>
      <c r="D188" s="3404" t="s">
        <v>56</v>
      </c>
      <c r="E188" s="3402">
        <f>+E58</f>
        <v>0</v>
      </c>
      <c r="F188" s="3402">
        <f t="shared" ref="F188:N188" si="254">+F58</f>
        <v>0</v>
      </c>
      <c r="G188" s="3402">
        <f t="shared" si="254"/>
        <v>0</v>
      </c>
      <c r="H188" s="3402">
        <f t="shared" si="254"/>
        <v>0</v>
      </c>
      <c r="I188" s="3402">
        <f t="shared" ca="1" si="254"/>
        <v>0</v>
      </c>
      <c r="J188" s="3402">
        <f t="shared" ca="1" si="254"/>
        <v>0</v>
      </c>
      <c r="K188" s="3402">
        <f t="shared" ca="1" si="254"/>
        <v>0</v>
      </c>
      <c r="L188" s="3402">
        <f t="shared" ca="1" si="254"/>
        <v>0</v>
      </c>
      <c r="M188" s="3402">
        <f t="shared" ca="1" si="254"/>
        <v>0</v>
      </c>
      <c r="N188" s="3402">
        <f t="shared" ca="1" si="254"/>
        <v>0</v>
      </c>
      <c r="P188" s="1541"/>
      <c r="V188" s="2179"/>
      <c r="W188" s="2179"/>
      <c r="X188" s="2179"/>
      <c r="Y188" s="2179"/>
      <c r="Z188" s="2179"/>
      <c r="AA188" s="2523"/>
      <c r="AB188" s="2523"/>
      <c r="AC188" s="2523"/>
      <c r="AD188" s="2523"/>
      <c r="AE188" s="2523"/>
      <c r="AF188" s="2523"/>
      <c r="AG188" s="2523"/>
      <c r="AH188" s="2523"/>
      <c r="AI188" s="2523"/>
      <c r="AJ188" s="2523"/>
      <c r="AK188" s="2523"/>
      <c r="AL188" s="2523"/>
      <c r="AM188" s="2523"/>
      <c r="AN188" s="2523"/>
      <c r="AO188" s="2523"/>
      <c r="AP188" s="2523"/>
      <c r="AQ188" s="2524"/>
      <c r="AR188" s="2524"/>
      <c r="AS188" s="2524"/>
    </row>
    <row r="189" spans="1:45" s="1540" customFormat="1" ht="87" hidden="1" customHeight="1" x14ac:dyDescent="0.5">
      <c r="A189" s="4412"/>
      <c r="B189" s="1949">
        <v>5562</v>
      </c>
      <c r="C189" s="4415"/>
      <c r="D189" s="3404" t="s">
        <v>1365</v>
      </c>
      <c r="E189" s="3402">
        <f>+E59</f>
        <v>0</v>
      </c>
      <c r="F189" s="3402">
        <f t="shared" ref="F189:N189" si="255">+F59</f>
        <v>0</v>
      </c>
      <c r="G189" s="3402">
        <f t="shared" si="255"/>
        <v>0</v>
      </c>
      <c r="H189" s="3402">
        <f t="shared" si="255"/>
        <v>0</v>
      </c>
      <c r="I189" s="3402">
        <f t="shared" ca="1" si="255"/>
        <v>0</v>
      </c>
      <c r="J189" s="3402">
        <f t="shared" ca="1" si="255"/>
        <v>0</v>
      </c>
      <c r="K189" s="3402">
        <f t="shared" ca="1" si="255"/>
        <v>0</v>
      </c>
      <c r="L189" s="3402">
        <f t="shared" ca="1" si="255"/>
        <v>0</v>
      </c>
      <c r="M189" s="3402">
        <f t="shared" ca="1" si="255"/>
        <v>0</v>
      </c>
      <c r="N189" s="3402">
        <f t="shared" ca="1" si="255"/>
        <v>0</v>
      </c>
      <c r="P189" s="1541"/>
      <c r="V189" s="2179"/>
      <c r="W189" s="2179"/>
      <c r="X189" s="2179"/>
      <c r="Y189" s="2179"/>
      <c r="Z189" s="2179"/>
      <c r="AA189" s="2523"/>
      <c r="AB189" s="2523"/>
      <c r="AC189" s="2523"/>
      <c r="AD189" s="2523"/>
      <c r="AE189" s="2523"/>
      <c r="AF189" s="2523"/>
      <c r="AG189" s="2523"/>
      <c r="AH189" s="2523"/>
      <c r="AI189" s="2523"/>
      <c r="AJ189" s="2523"/>
      <c r="AK189" s="2523"/>
      <c r="AL189" s="2523"/>
      <c r="AM189" s="2523"/>
      <c r="AN189" s="2523"/>
      <c r="AO189" s="2523"/>
      <c r="AP189" s="2523"/>
      <c r="AQ189" s="2524"/>
      <c r="AR189" s="2524"/>
      <c r="AS189" s="2524"/>
    </row>
    <row r="190" spans="1:45" s="1540" customFormat="1" ht="87" customHeight="1" x14ac:dyDescent="0.5">
      <c r="A190" s="4412"/>
      <c r="B190" s="1949">
        <v>5604</v>
      </c>
      <c r="C190" s="4415"/>
      <c r="D190" s="3404" t="s">
        <v>60</v>
      </c>
      <c r="E190" s="3402">
        <f>+E80</f>
        <v>0</v>
      </c>
      <c r="F190" s="3402">
        <f t="shared" ref="F190:N190" si="256">+F80</f>
        <v>0</v>
      </c>
      <c r="G190" s="3402">
        <f t="shared" si="256"/>
        <v>0</v>
      </c>
      <c r="H190" s="3402">
        <f t="shared" si="256"/>
        <v>0</v>
      </c>
      <c r="I190" s="3402">
        <f t="shared" ca="1" si="256"/>
        <v>0</v>
      </c>
      <c r="J190" s="3402">
        <f t="shared" ca="1" si="256"/>
        <v>0</v>
      </c>
      <c r="K190" s="3402">
        <f t="shared" ca="1" si="256"/>
        <v>0</v>
      </c>
      <c r="L190" s="3402">
        <f t="shared" ca="1" si="256"/>
        <v>0</v>
      </c>
      <c r="M190" s="3402">
        <f t="shared" ca="1" si="256"/>
        <v>0</v>
      </c>
      <c r="N190" s="3402">
        <f t="shared" ca="1" si="256"/>
        <v>0</v>
      </c>
      <c r="P190" s="1541"/>
      <c r="V190" s="2179"/>
      <c r="W190" s="2179"/>
      <c r="X190" s="2179"/>
      <c r="Y190" s="2179"/>
      <c r="Z190" s="2179"/>
      <c r="AA190" s="2523"/>
      <c r="AB190" s="2523"/>
      <c r="AC190" s="2523"/>
      <c r="AD190" s="2523"/>
      <c r="AE190" s="2523"/>
      <c r="AF190" s="2523"/>
      <c r="AG190" s="2523"/>
      <c r="AH190" s="2523"/>
      <c r="AI190" s="2523"/>
      <c r="AJ190" s="2523"/>
      <c r="AK190" s="2523"/>
      <c r="AL190" s="2523"/>
      <c r="AM190" s="2523"/>
      <c r="AN190" s="2523"/>
      <c r="AO190" s="2523"/>
      <c r="AP190" s="2523"/>
      <c r="AQ190" s="2524"/>
      <c r="AR190" s="2524"/>
      <c r="AS190" s="2524"/>
    </row>
    <row r="191" spans="1:45" s="1540" customFormat="1" ht="87" hidden="1" customHeight="1" x14ac:dyDescent="0.5">
      <c r="A191" s="4412"/>
      <c r="B191" s="1949">
        <v>5563</v>
      </c>
      <c r="C191" s="4415"/>
      <c r="D191" s="3404" t="s">
        <v>1286</v>
      </c>
      <c r="E191" s="3402">
        <f>+E81</f>
        <v>0</v>
      </c>
      <c r="F191" s="3402">
        <f t="shared" ref="F191:N191" si="257">+F81</f>
        <v>0</v>
      </c>
      <c r="G191" s="3402">
        <f t="shared" si="257"/>
        <v>0</v>
      </c>
      <c r="H191" s="3402">
        <f t="shared" si="257"/>
        <v>0</v>
      </c>
      <c r="I191" s="3402">
        <f t="shared" ca="1" si="257"/>
        <v>0</v>
      </c>
      <c r="J191" s="3402">
        <f t="shared" ca="1" si="257"/>
        <v>0</v>
      </c>
      <c r="K191" s="3402">
        <f t="shared" ca="1" si="257"/>
        <v>0</v>
      </c>
      <c r="L191" s="3402">
        <f t="shared" ca="1" si="257"/>
        <v>0</v>
      </c>
      <c r="M191" s="3402">
        <f t="shared" ca="1" si="257"/>
        <v>0</v>
      </c>
      <c r="N191" s="3402">
        <f t="shared" ca="1" si="257"/>
        <v>0</v>
      </c>
      <c r="P191" s="1541"/>
      <c r="V191" s="2179"/>
      <c r="W191" s="2179"/>
      <c r="X191" s="2179"/>
      <c r="Y191" s="2179"/>
      <c r="Z191" s="2179"/>
      <c r="AA191" s="2523"/>
      <c r="AB191" s="2523"/>
      <c r="AC191" s="2523"/>
      <c r="AD191" s="2523"/>
      <c r="AE191" s="2523"/>
      <c r="AF191" s="2523"/>
      <c r="AG191" s="2523"/>
      <c r="AH191" s="2523"/>
      <c r="AI191" s="2523"/>
      <c r="AJ191" s="2523"/>
      <c r="AK191" s="2523"/>
      <c r="AL191" s="2523"/>
      <c r="AM191" s="2523"/>
      <c r="AN191" s="2523"/>
      <c r="AO191" s="2523"/>
      <c r="AP191" s="2523"/>
      <c r="AQ191" s="2524"/>
      <c r="AR191" s="2524"/>
      <c r="AS191" s="2524"/>
    </row>
    <row r="192" spans="1:45" s="1540" customFormat="1" ht="87" customHeight="1" x14ac:dyDescent="0.5">
      <c r="A192" s="4412"/>
      <c r="B192" s="1949">
        <v>5605</v>
      </c>
      <c r="C192" s="4415"/>
      <c r="D192" s="3404" t="s">
        <v>65</v>
      </c>
      <c r="E192" s="3402">
        <f>+E102</f>
        <v>0</v>
      </c>
      <c r="F192" s="3402">
        <f t="shared" ref="F192:N192" si="258">+F102</f>
        <v>0</v>
      </c>
      <c r="G192" s="3402">
        <f t="shared" si="258"/>
        <v>0</v>
      </c>
      <c r="H192" s="3402">
        <f t="shared" si="258"/>
        <v>0</v>
      </c>
      <c r="I192" s="3402">
        <f t="shared" ca="1" si="258"/>
        <v>0</v>
      </c>
      <c r="J192" s="3402">
        <f t="shared" ca="1" si="258"/>
        <v>0</v>
      </c>
      <c r="K192" s="3402">
        <f t="shared" ca="1" si="258"/>
        <v>0</v>
      </c>
      <c r="L192" s="3402">
        <f t="shared" ca="1" si="258"/>
        <v>0</v>
      </c>
      <c r="M192" s="3402">
        <f t="shared" ca="1" si="258"/>
        <v>0</v>
      </c>
      <c r="N192" s="3402">
        <f t="shared" ca="1" si="258"/>
        <v>0</v>
      </c>
      <c r="P192" s="1541"/>
      <c r="V192" s="2179"/>
      <c r="W192" s="2179"/>
      <c r="X192" s="2179"/>
      <c r="Y192" s="2179"/>
      <c r="Z192" s="2179"/>
      <c r="AA192" s="2523"/>
      <c r="AB192" s="2523"/>
      <c r="AC192" s="2523"/>
      <c r="AD192" s="2523"/>
      <c r="AE192" s="2523"/>
      <c r="AF192" s="2523"/>
      <c r="AG192" s="2523"/>
      <c r="AH192" s="2523"/>
      <c r="AI192" s="2523"/>
      <c r="AJ192" s="2523"/>
      <c r="AK192" s="2523"/>
      <c r="AL192" s="2523"/>
      <c r="AM192" s="2523"/>
      <c r="AN192" s="2523"/>
      <c r="AO192" s="2523"/>
      <c r="AP192" s="2523"/>
      <c r="AQ192" s="2524"/>
      <c r="AR192" s="2524"/>
      <c r="AS192" s="2524"/>
    </row>
    <row r="193" spans="1:70" s="1540" customFormat="1" ht="87" hidden="1" customHeight="1" x14ac:dyDescent="0.5">
      <c r="A193" s="4412"/>
      <c r="B193" s="1949">
        <v>5564</v>
      </c>
      <c r="C193" s="4415"/>
      <c r="D193" s="3404" t="s">
        <v>1295</v>
      </c>
      <c r="E193" s="3402">
        <f>+E103</f>
        <v>0</v>
      </c>
      <c r="F193" s="3402">
        <f t="shared" ref="F193:N193" si="259">+F103</f>
        <v>0</v>
      </c>
      <c r="G193" s="3402">
        <f t="shared" si="259"/>
        <v>0</v>
      </c>
      <c r="H193" s="3402">
        <f t="shared" si="259"/>
        <v>0</v>
      </c>
      <c r="I193" s="3402">
        <f t="shared" ca="1" si="259"/>
        <v>0</v>
      </c>
      <c r="J193" s="3402">
        <f t="shared" ca="1" si="259"/>
        <v>0</v>
      </c>
      <c r="K193" s="3402">
        <f t="shared" ca="1" si="259"/>
        <v>0</v>
      </c>
      <c r="L193" s="3402">
        <f t="shared" ca="1" si="259"/>
        <v>0</v>
      </c>
      <c r="M193" s="3402">
        <f t="shared" ca="1" si="259"/>
        <v>0</v>
      </c>
      <c r="N193" s="3402">
        <f t="shared" ca="1" si="259"/>
        <v>0</v>
      </c>
      <c r="P193" s="1541"/>
      <c r="V193" s="2179"/>
      <c r="W193" s="2179"/>
      <c r="X193" s="2179"/>
      <c r="Y193" s="2179"/>
      <c r="Z193" s="2179"/>
      <c r="AA193" s="2523"/>
      <c r="AB193" s="2523"/>
      <c r="AC193" s="2523"/>
      <c r="AD193" s="2523"/>
      <c r="AE193" s="2523"/>
      <c r="AF193" s="2523"/>
      <c r="AG193" s="2523"/>
      <c r="AH193" s="2523"/>
      <c r="AI193" s="2523"/>
      <c r="AJ193" s="2523"/>
      <c r="AK193" s="2523"/>
      <c r="AL193" s="2523"/>
      <c r="AM193" s="2523"/>
      <c r="AN193" s="2523"/>
      <c r="AO193" s="2523"/>
      <c r="AP193" s="2523"/>
      <c r="AQ193" s="2524"/>
      <c r="AR193" s="2524"/>
      <c r="AS193" s="2524"/>
    </row>
    <row r="194" spans="1:70" s="1540" customFormat="1" ht="87" customHeight="1" thickBot="1" x14ac:dyDescent="0.55000000000000004">
      <c r="A194" s="4413"/>
      <c r="B194" s="1949">
        <v>5606</v>
      </c>
      <c r="C194" s="4416"/>
      <c r="D194" s="3404" t="s">
        <v>69</v>
      </c>
      <c r="E194" s="3410">
        <f>+E124</f>
        <v>0</v>
      </c>
      <c r="F194" s="3410">
        <f t="shared" ref="F194:N194" si="260">+F124</f>
        <v>0</v>
      </c>
      <c r="G194" s="3410">
        <f t="shared" si="260"/>
        <v>0</v>
      </c>
      <c r="H194" s="3410">
        <f t="shared" si="260"/>
        <v>0</v>
      </c>
      <c r="I194" s="3410">
        <f t="shared" ca="1" si="260"/>
        <v>0</v>
      </c>
      <c r="J194" s="3410">
        <f t="shared" ca="1" si="260"/>
        <v>0</v>
      </c>
      <c r="K194" s="3410">
        <f t="shared" ca="1" si="260"/>
        <v>0</v>
      </c>
      <c r="L194" s="3410">
        <f t="shared" ca="1" si="260"/>
        <v>0</v>
      </c>
      <c r="M194" s="3410">
        <f t="shared" ca="1" si="260"/>
        <v>0</v>
      </c>
      <c r="N194" s="3410">
        <f t="shared" ca="1" si="260"/>
        <v>0</v>
      </c>
      <c r="P194" s="1541"/>
      <c r="V194" s="2179"/>
      <c r="W194" s="2179"/>
      <c r="X194" s="2179"/>
      <c r="Y194" s="2179"/>
      <c r="Z194" s="2179"/>
      <c r="AA194" s="2523"/>
      <c r="AB194" s="2523"/>
      <c r="AC194" s="2523"/>
      <c r="AD194" s="2523"/>
      <c r="AE194" s="2523"/>
      <c r="AF194" s="2523"/>
      <c r="AG194" s="2523"/>
      <c r="AH194" s="2523"/>
      <c r="AI194" s="2523"/>
      <c r="AJ194" s="2523"/>
      <c r="AK194" s="2523"/>
      <c r="AL194" s="2523"/>
      <c r="AM194" s="2523"/>
      <c r="AN194" s="2523"/>
      <c r="AO194" s="2523"/>
      <c r="AP194" s="2523"/>
      <c r="AQ194" s="2524"/>
      <c r="AR194" s="2524"/>
      <c r="AS194" s="2524"/>
    </row>
    <row r="195" spans="1:70" s="1540" customFormat="1" ht="87" hidden="1" customHeight="1" x14ac:dyDescent="0.5">
      <c r="A195" s="3556"/>
      <c r="B195" s="1949">
        <v>5565</v>
      </c>
      <c r="C195" s="3487"/>
      <c r="D195" s="3404" t="s">
        <v>1307</v>
      </c>
      <c r="E195" s="3557">
        <f>+E125</f>
        <v>0</v>
      </c>
      <c r="F195" s="3557">
        <f t="shared" ref="F195:N195" si="261">+F125</f>
        <v>0</v>
      </c>
      <c r="G195" s="3557">
        <f t="shared" si="261"/>
        <v>0</v>
      </c>
      <c r="H195" s="3557">
        <f t="shared" si="261"/>
        <v>0</v>
      </c>
      <c r="I195" s="3557">
        <f t="shared" ca="1" si="261"/>
        <v>0</v>
      </c>
      <c r="J195" s="3557">
        <f t="shared" ca="1" si="261"/>
        <v>0</v>
      </c>
      <c r="K195" s="3557">
        <f t="shared" ca="1" si="261"/>
        <v>0</v>
      </c>
      <c r="L195" s="3557">
        <f t="shared" ca="1" si="261"/>
        <v>0</v>
      </c>
      <c r="M195" s="3557">
        <f t="shared" ca="1" si="261"/>
        <v>0</v>
      </c>
      <c r="N195" s="3557">
        <f t="shared" ca="1" si="261"/>
        <v>0</v>
      </c>
      <c r="P195" s="1541"/>
      <c r="V195" s="2179"/>
      <c r="W195" s="2179"/>
      <c r="X195" s="2179"/>
      <c r="Y195" s="2179"/>
      <c r="Z195" s="2179"/>
      <c r="AA195" s="2523"/>
      <c r="AB195" s="2523"/>
      <c r="AC195" s="2523"/>
      <c r="AD195" s="2523"/>
      <c r="AE195" s="2523"/>
      <c r="AF195" s="2523"/>
      <c r="AG195" s="2523"/>
      <c r="AH195" s="2523"/>
      <c r="AI195" s="2523"/>
      <c r="AJ195" s="2523"/>
      <c r="AK195" s="2523"/>
      <c r="AL195" s="2523"/>
      <c r="AM195" s="2523"/>
      <c r="AN195" s="2523"/>
      <c r="AO195" s="2523"/>
      <c r="AP195" s="2523"/>
      <c r="AQ195" s="2524"/>
      <c r="AR195" s="2524"/>
      <c r="AS195" s="2524"/>
    </row>
    <row r="196" spans="1:70" s="1540" customFormat="1" ht="80.45" customHeight="1" thickBot="1" x14ac:dyDescent="0.5">
      <c r="A196" s="4399" t="s">
        <v>409</v>
      </c>
      <c r="B196" s="4400"/>
      <c r="C196" s="4400"/>
      <c r="D196" s="4401"/>
      <c r="E196" s="3411">
        <f t="shared" ref="E196:N196" si="262">SUM(E131:E194)</f>
        <v>0</v>
      </c>
      <c r="F196" s="3411">
        <f t="shared" si="262"/>
        <v>0</v>
      </c>
      <c r="G196" s="3411">
        <f t="shared" si="262"/>
        <v>0</v>
      </c>
      <c r="H196" s="3411">
        <f t="shared" si="262"/>
        <v>0</v>
      </c>
      <c r="I196" s="3411">
        <f t="shared" ca="1" si="262"/>
        <v>0</v>
      </c>
      <c r="J196" s="3411">
        <f t="shared" ca="1" si="262"/>
        <v>0</v>
      </c>
      <c r="K196" s="3411">
        <f t="shared" ca="1" si="262"/>
        <v>0</v>
      </c>
      <c r="L196" s="3411">
        <f t="shared" ca="1" si="262"/>
        <v>0</v>
      </c>
      <c r="M196" s="3411">
        <f t="shared" ca="1" si="262"/>
        <v>0</v>
      </c>
      <c r="N196" s="3411">
        <f t="shared" ca="1" si="262"/>
        <v>0</v>
      </c>
      <c r="O196" s="1592">
        <f ca="1">SUM(L196:N196)</f>
        <v>0</v>
      </c>
      <c r="P196" s="1541"/>
      <c r="V196" s="1605"/>
      <c r="W196" s="1605"/>
      <c r="X196" s="1605"/>
      <c r="Y196" s="1605"/>
      <c r="Z196" s="1605"/>
      <c r="AA196" s="1605"/>
      <c r="AB196" s="1605"/>
      <c r="AC196" s="1605"/>
      <c r="AD196" s="1605"/>
      <c r="AE196" s="1605"/>
      <c r="AF196" s="1605"/>
      <c r="AG196" s="1605"/>
      <c r="AH196" s="1605"/>
      <c r="AI196" s="1605"/>
      <c r="AJ196" s="1605"/>
      <c r="AK196" s="1605"/>
      <c r="AL196" s="1605"/>
      <c r="AM196" s="1605"/>
      <c r="AN196" s="1605"/>
      <c r="AO196" s="1605"/>
      <c r="AP196" s="1605"/>
      <c r="AQ196" s="1489"/>
      <c r="AR196" s="1489"/>
      <c r="AS196" s="1489"/>
      <c r="BR196" s="1574">
        <f ca="1">SUM(L196:N196)</f>
        <v>0</v>
      </c>
    </row>
    <row r="197" spans="1:70" s="1724" customFormat="1" ht="55.5" customHeight="1" x14ac:dyDescent="0.4">
      <c r="A197" s="4366" t="s">
        <v>409</v>
      </c>
      <c r="B197" s="4367"/>
      <c r="C197" s="4367"/>
      <c r="D197" s="4367"/>
      <c r="E197" s="4368"/>
      <c r="F197" s="4375" t="s">
        <v>377</v>
      </c>
      <c r="G197" s="4217"/>
      <c r="H197" s="4218"/>
      <c r="I197" s="2667"/>
      <c r="J197" s="3481"/>
      <c r="K197" s="2668"/>
      <c r="L197" s="2668"/>
      <c r="M197" s="2668"/>
      <c r="N197" s="2669"/>
      <c r="P197" s="1725"/>
      <c r="V197" s="250"/>
      <c r="W197" s="250"/>
      <c r="X197" s="250"/>
      <c r="Y197" s="250"/>
      <c r="Z197" s="250"/>
      <c r="AA197" s="250"/>
      <c r="AB197" s="250"/>
      <c r="AC197" s="250"/>
      <c r="AD197" s="250"/>
      <c r="AE197" s="250"/>
      <c r="AF197" s="250"/>
      <c r="AG197" s="250"/>
      <c r="AH197" s="250"/>
      <c r="AI197" s="250"/>
      <c r="AJ197" s="250"/>
      <c r="AK197" s="250"/>
      <c r="AL197" s="250"/>
      <c r="AM197" s="250"/>
      <c r="AN197" s="250"/>
      <c r="AO197" s="250"/>
      <c r="AP197" s="250"/>
      <c r="AQ197" s="250"/>
      <c r="AR197" s="250"/>
      <c r="AS197" s="250"/>
    </row>
    <row r="198" spans="1:70" s="1724" customFormat="1" ht="24" customHeight="1" x14ac:dyDescent="0.4">
      <c r="A198" s="4369"/>
      <c r="B198" s="4370"/>
      <c r="C198" s="4370"/>
      <c r="D198" s="4370"/>
      <c r="E198" s="4371"/>
      <c r="F198" s="1729" t="s">
        <v>287</v>
      </c>
      <c r="G198" s="1730" t="s">
        <v>289</v>
      </c>
      <c r="H198" s="1731" t="s">
        <v>288</v>
      </c>
      <c r="I198" s="1723"/>
      <c r="J198" s="1726"/>
      <c r="K198" s="1726"/>
      <c r="L198" s="1726"/>
      <c r="M198" s="1726"/>
      <c r="N198" s="1727"/>
      <c r="P198" s="1725"/>
      <c r="V198" s="250"/>
      <c r="W198" s="250"/>
      <c r="X198" s="250"/>
      <c r="Y198" s="250"/>
      <c r="Z198" s="250"/>
      <c r="AA198" s="250"/>
      <c r="AB198" s="250"/>
      <c r="AC198" s="250"/>
      <c r="AD198" s="250"/>
      <c r="AE198" s="250"/>
      <c r="AF198" s="250"/>
      <c r="AG198" s="250"/>
      <c r="AH198" s="250"/>
      <c r="AI198" s="250"/>
      <c r="AJ198" s="250"/>
      <c r="AK198" s="250"/>
      <c r="AL198" s="250"/>
      <c r="AM198" s="250"/>
      <c r="AN198" s="250"/>
      <c r="AO198" s="250"/>
      <c r="AP198" s="250"/>
      <c r="AQ198" s="250"/>
      <c r="AR198" s="250"/>
      <c r="AS198" s="250"/>
    </row>
    <row r="199" spans="1:70" s="1724" customFormat="1" ht="42" customHeight="1" thickBot="1" x14ac:dyDescent="0.55000000000000004">
      <c r="A199" s="4372"/>
      <c r="B199" s="4373"/>
      <c r="C199" s="4373"/>
      <c r="D199" s="4373"/>
      <c r="E199" s="4374"/>
      <c r="F199" s="2026">
        <f ca="1">+F196+I196</f>
        <v>0</v>
      </c>
      <c r="G199" s="2027">
        <f ca="1">+G196+J196</f>
        <v>0</v>
      </c>
      <c r="H199" s="2028">
        <f ca="1">+H196+K196</f>
        <v>0</v>
      </c>
      <c r="I199" s="2592">
        <f ca="1">SUM(F199:H199)</f>
        <v>0</v>
      </c>
      <c r="J199" s="2670"/>
      <c r="K199" s="2670"/>
      <c r="L199" s="2671"/>
      <c r="M199" s="2671"/>
      <c r="N199" s="2672"/>
      <c r="P199" s="1725"/>
      <c r="V199" s="250"/>
      <c r="W199" s="250"/>
      <c r="X199" s="250"/>
      <c r="Y199" s="250"/>
      <c r="Z199" s="250"/>
      <c r="AA199" s="250"/>
      <c r="AB199" s="250"/>
      <c r="AC199" s="250"/>
      <c r="AD199" s="250"/>
      <c r="AE199" s="250"/>
      <c r="AF199" s="250"/>
      <c r="AG199" s="250"/>
      <c r="AH199" s="250"/>
      <c r="AI199" s="250"/>
      <c r="AJ199" s="250"/>
      <c r="AK199" s="250"/>
      <c r="AL199" s="250"/>
      <c r="AM199" s="250"/>
      <c r="AN199" s="250"/>
      <c r="AO199" s="250"/>
      <c r="AP199" s="250"/>
      <c r="AQ199" s="250"/>
      <c r="AR199" s="250"/>
      <c r="AS199" s="250"/>
    </row>
    <row r="200" spans="1:70" s="250" customFormat="1" ht="24" customHeight="1" thickBot="1" x14ac:dyDescent="0.4">
      <c r="A200" s="4361"/>
      <c r="B200" s="4362"/>
      <c r="C200" s="4362"/>
      <c r="D200" s="4362"/>
      <c r="E200" s="4362"/>
      <c r="F200" s="4362"/>
      <c r="G200" s="4362"/>
      <c r="H200" s="4362"/>
      <c r="I200" s="4362"/>
      <c r="J200" s="4362"/>
      <c r="K200" s="4362"/>
      <c r="L200" s="4362"/>
      <c r="M200" s="4362"/>
      <c r="N200" s="4363"/>
      <c r="P200" s="1737"/>
    </row>
    <row r="201" spans="1:70" s="250" customFormat="1" ht="42.95" customHeight="1" x14ac:dyDescent="0.4">
      <c r="A201" s="4423" t="s">
        <v>410</v>
      </c>
      <c r="B201" s="4424"/>
      <c r="C201" s="2514"/>
      <c r="D201" s="2191"/>
      <c r="E201" s="4210" t="s">
        <v>101</v>
      </c>
      <c r="F201" s="4212" t="s">
        <v>304</v>
      </c>
      <c r="G201" s="4213"/>
      <c r="H201" s="4214"/>
      <c r="I201" s="4215" t="s">
        <v>368</v>
      </c>
      <c r="J201" s="4213"/>
      <c r="K201" s="4214"/>
      <c r="L201" s="4216" t="s">
        <v>377</v>
      </c>
      <c r="M201" s="4217"/>
      <c r="N201" s="4218"/>
      <c r="P201" s="4481" t="s">
        <v>241</v>
      </c>
      <c r="Q201" s="4482"/>
      <c r="R201" s="4482"/>
      <c r="S201" s="4483"/>
      <c r="T201" s="537"/>
    </row>
    <row r="202" spans="1:70" s="1724" customFormat="1" ht="46.5" customHeight="1" thickBot="1" x14ac:dyDescent="0.4">
      <c r="A202" s="4425"/>
      <c r="B202" s="4426"/>
      <c r="C202" s="2515"/>
      <c r="D202" s="2192"/>
      <c r="E202" s="4211"/>
      <c r="F202" s="1740" t="s">
        <v>287</v>
      </c>
      <c r="G202" s="1738" t="s">
        <v>289</v>
      </c>
      <c r="H202" s="1738" t="s">
        <v>288</v>
      </c>
      <c r="I202" s="1738" t="s">
        <v>287</v>
      </c>
      <c r="J202" s="1738" t="s">
        <v>289</v>
      </c>
      <c r="K202" s="1738" t="s">
        <v>288</v>
      </c>
      <c r="L202" s="1730" t="s">
        <v>287</v>
      </c>
      <c r="M202" s="1730" t="s">
        <v>289</v>
      </c>
      <c r="N202" s="1731" t="s">
        <v>288</v>
      </c>
      <c r="P202" s="1996" t="s">
        <v>370</v>
      </c>
      <c r="Q202" s="980" t="s">
        <v>25</v>
      </c>
      <c r="R202" s="980" t="s">
        <v>371</v>
      </c>
      <c r="S202" s="980" t="s">
        <v>241</v>
      </c>
      <c r="T202" s="1176"/>
      <c r="V202" s="250"/>
      <c r="W202" s="250"/>
      <c r="X202" s="250"/>
      <c r="Y202" s="250"/>
      <c r="Z202" s="250"/>
      <c r="AA202" s="250"/>
      <c r="AB202" s="250"/>
      <c r="AC202" s="250"/>
      <c r="AD202" s="250"/>
      <c r="AE202" s="250"/>
      <c r="AF202" s="250"/>
      <c r="AG202" s="250"/>
      <c r="AH202" s="250"/>
      <c r="AI202" s="250"/>
      <c r="AJ202" s="250"/>
      <c r="AK202" s="250"/>
      <c r="AL202" s="250"/>
      <c r="AM202" s="250"/>
      <c r="AN202" s="250"/>
      <c r="AO202" s="250"/>
      <c r="AP202" s="250"/>
      <c r="AQ202" s="250"/>
      <c r="AR202" s="250"/>
      <c r="AS202" s="250"/>
    </row>
    <row r="203" spans="1:70" s="1724" customFormat="1" ht="63.75" customHeight="1" thickBot="1" x14ac:dyDescent="0.5">
      <c r="A203" s="4425"/>
      <c r="B203" s="4426"/>
      <c r="C203" s="4439" t="s">
        <v>411</v>
      </c>
      <c r="D203" s="4440"/>
      <c r="E203" s="2987">
        <f>+E528</f>
        <v>0</v>
      </c>
      <c r="F203" s="2987">
        <f t="shared" ref="F203:H203" si="263">+F528</f>
        <v>0</v>
      </c>
      <c r="G203" s="2987">
        <f t="shared" si="263"/>
        <v>0</v>
      </c>
      <c r="H203" s="2987">
        <f t="shared" si="263"/>
        <v>0</v>
      </c>
      <c r="I203" s="2987">
        <f ca="1">+I528+IF(L5="NO RESIDENCIAL NR1",I6,0)</f>
        <v>0</v>
      </c>
      <c r="J203" s="2987">
        <f ca="1">+J528+IF(L5="NO RESIDENCIAL NR1",J6,0)</f>
        <v>0</v>
      </c>
      <c r="K203" s="2987">
        <f ca="1">+K528+IF(L5="NO RESIDENCIAL NR1",K6,0)</f>
        <v>0</v>
      </c>
      <c r="L203" s="1558">
        <f t="shared" ref="L203:N204" ca="1" si="264">+F203+I203</f>
        <v>0</v>
      </c>
      <c r="M203" s="1558">
        <f t="shared" ca="1" si="264"/>
        <v>0</v>
      </c>
      <c r="N203" s="1559">
        <f t="shared" ca="1" si="264"/>
        <v>0</v>
      </c>
      <c r="O203" s="1746">
        <f ca="1">SUM(L203:N203)</f>
        <v>0</v>
      </c>
      <c r="P203" s="2022">
        <f>+IF(E203=0,0,Q203/R203)</f>
        <v>0</v>
      </c>
      <c r="Q203" s="2023">
        <f>+SUM(F203:H203)</f>
        <v>0</v>
      </c>
      <c r="R203" s="2023">
        <f>+E203</f>
        <v>0</v>
      </c>
      <c r="S203" s="2024" t="str">
        <f>IF(R203=0,"S.D.",+IF((Q203/R203)&lt;=800,"O.K.","VERIFICAR"))</f>
        <v>S.D.</v>
      </c>
      <c r="V203" s="250"/>
      <c r="W203" s="250"/>
      <c r="X203" s="250"/>
      <c r="Y203" s="250"/>
      <c r="Z203" s="250"/>
      <c r="AA203" s="250"/>
      <c r="AB203" s="250"/>
      <c r="AC203" s="250"/>
      <c r="AD203" s="250"/>
      <c r="AE203" s="250"/>
      <c r="AF203" s="250"/>
      <c r="AG203" s="250"/>
      <c r="AH203" s="250"/>
      <c r="AI203" s="250"/>
      <c r="AJ203" s="250"/>
      <c r="AK203" s="250"/>
      <c r="AL203" s="250"/>
      <c r="AM203" s="250"/>
      <c r="AN203" s="250"/>
      <c r="AO203" s="250"/>
      <c r="AP203" s="250"/>
      <c r="AQ203" s="250"/>
      <c r="AR203" s="250"/>
      <c r="AS203" s="250"/>
    </row>
    <row r="204" spans="1:70" s="1724" customFormat="1" ht="63.75" customHeight="1" thickBot="1" x14ac:dyDescent="0.5">
      <c r="A204" s="4425"/>
      <c r="B204" s="4426"/>
      <c r="C204" s="4439" t="s">
        <v>412</v>
      </c>
      <c r="D204" s="4440"/>
      <c r="E204" s="2987">
        <f>+E529</f>
        <v>0</v>
      </c>
      <c r="F204" s="2987">
        <f t="shared" ref="F204:K204" si="265">+F529</f>
        <v>0</v>
      </c>
      <c r="G204" s="2987">
        <f t="shared" si="265"/>
        <v>0</v>
      </c>
      <c r="H204" s="2987">
        <f t="shared" si="265"/>
        <v>0</v>
      </c>
      <c r="I204" s="2987">
        <f t="shared" ca="1" si="265"/>
        <v>0</v>
      </c>
      <c r="J204" s="2987">
        <f t="shared" ca="1" si="265"/>
        <v>0</v>
      </c>
      <c r="K204" s="2987">
        <f t="shared" ca="1" si="265"/>
        <v>0</v>
      </c>
      <c r="L204" s="1558">
        <f t="shared" ca="1" si="264"/>
        <v>0</v>
      </c>
      <c r="M204" s="1558">
        <f t="shared" ca="1" si="264"/>
        <v>0</v>
      </c>
      <c r="N204" s="1559">
        <f t="shared" ca="1" si="264"/>
        <v>0</v>
      </c>
      <c r="O204" s="1746">
        <f ca="1">SUM(L204:N204)</f>
        <v>0</v>
      </c>
      <c r="P204" s="2022">
        <f>+IF(E204=0,0,Q204/R204)</f>
        <v>0</v>
      </c>
      <c r="Q204" s="2023">
        <f>+SUM(F204:H204)</f>
        <v>0</v>
      </c>
      <c r="R204" s="2023">
        <f>+E204</f>
        <v>0</v>
      </c>
      <c r="S204" s="2024" t="str">
        <f>IF(R204=0,"S.D.",+IF(AND(((Q204+800*R204)/R204)&gt;800,((Q204+800*R204)/R204)&lt;2000),"O.K.","VERIFICAR"))</f>
        <v>S.D.</v>
      </c>
      <c r="V204" s="250"/>
      <c r="W204" s="250"/>
      <c r="X204" s="250"/>
      <c r="Y204" s="250"/>
      <c r="Z204" s="250"/>
      <c r="AA204" s="250"/>
      <c r="AB204" s="250"/>
      <c r="AC204" s="250"/>
      <c r="AD204" s="250"/>
      <c r="AE204" s="250"/>
      <c r="AF204" s="250"/>
      <c r="AG204" s="250"/>
      <c r="AH204" s="250"/>
      <c r="AI204" s="250"/>
      <c r="AJ204" s="250"/>
      <c r="AK204" s="250"/>
      <c r="AL204" s="250"/>
      <c r="AM204" s="250"/>
      <c r="AN204" s="250"/>
      <c r="AO204" s="250"/>
      <c r="AP204" s="250"/>
      <c r="AQ204" s="250"/>
      <c r="AR204" s="250"/>
      <c r="AS204" s="250"/>
    </row>
    <row r="205" spans="1:70" s="1724" customFormat="1" ht="32.25" customHeight="1" x14ac:dyDescent="0.4">
      <c r="A205" s="4425"/>
      <c r="B205" s="4426"/>
      <c r="C205" s="2515"/>
      <c r="D205" s="2192"/>
      <c r="E205" s="4402"/>
      <c r="F205" s="4405" t="s">
        <v>377</v>
      </c>
      <c r="G205" s="4406"/>
      <c r="H205" s="4407"/>
      <c r="I205" s="2287"/>
      <c r="J205" s="2287"/>
      <c r="K205" s="2287"/>
      <c r="L205" s="1749"/>
      <c r="M205" s="1749"/>
      <c r="N205" s="1750"/>
      <c r="P205" s="1725"/>
      <c r="V205" s="250"/>
      <c r="W205" s="250"/>
      <c r="X205" s="250"/>
      <c r="Y205" s="250"/>
      <c r="Z205" s="250"/>
      <c r="AA205" s="250"/>
      <c r="AB205" s="250"/>
      <c r="AC205" s="250"/>
      <c r="AD205" s="250"/>
      <c r="AE205" s="250"/>
      <c r="AF205" s="250"/>
      <c r="AG205" s="250"/>
      <c r="AH205" s="250"/>
      <c r="AI205" s="250"/>
      <c r="AJ205" s="250"/>
      <c r="AK205" s="250"/>
      <c r="AL205" s="250"/>
      <c r="AM205" s="250"/>
      <c r="AN205" s="250"/>
      <c r="AO205" s="250"/>
      <c r="AP205" s="250"/>
      <c r="AQ205" s="250"/>
      <c r="AR205" s="250"/>
      <c r="AS205" s="250"/>
    </row>
    <row r="206" spans="1:70" s="250" customFormat="1" ht="27" customHeight="1" x14ac:dyDescent="0.4">
      <c r="A206" s="4425"/>
      <c r="B206" s="4426"/>
      <c r="C206" s="2515"/>
      <c r="D206" s="2192"/>
      <c r="E206" s="4403"/>
      <c r="F206" s="1751" t="s">
        <v>287</v>
      </c>
      <c r="G206" s="1730" t="s">
        <v>289</v>
      </c>
      <c r="H206" s="1731" t="s">
        <v>288</v>
      </c>
      <c r="I206" s="1791"/>
      <c r="J206" s="1791"/>
      <c r="K206" s="1791"/>
      <c r="L206" s="1752"/>
      <c r="M206" s="1752"/>
      <c r="N206" s="1753"/>
      <c r="P206" s="1737"/>
    </row>
    <row r="207" spans="1:70" s="250" customFormat="1" ht="39.75" customHeight="1" thickBot="1" x14ac:dyDescent="0.45">
      <c r="A207" s="4427"/>
      <c r="B207" s="4428"/>
      <c r="C207" s="2516"/>
      <c r="D207" s="2193"/>
      <c r="E207" s="4404"/>
      <c r="F207" s="2037">
        <f ca="1">+F203+I203+F204+I204</f>
        <v>0</v>
      </c>
      <c r="G207" s="2038">
        <f ca="1">+G203+J203+G204+J204</f>
        <v>0</v>
      </c>
      <c r="H207" s="2038">
        <f ca="1">+H203+K203+H204+K204</f>
        <v>0</v>
      </c>
      <c r="I207" s="2592">
        <f ca="1">SUM(F207:H207)</f>
        <v>0</v>
      </c>
      <c r="J207" s="2662"/>
      <c r="K207" s="2662"/>
      <c r="L207" s="2665"/>
      <c r="M207" s="2665"/>
      <c r="N207" s="2666"/>
      <c r="O207" s="1425"/>
      <c r="P207" s="1737"/>
    </row>
    <row r="208" spans="1:70" s="250" customFormat="1" ht="27" customHeight="1" x14ac:dyDescent="0.35">
      <c r="A208" s="4408"/>
      <c r="B208" s="4409"/>
      <c r="C208" s="4409"/>
      <c r="D208" s="4409"/>
      <c r="E208" s="4409"/>
      <c r="F208" s="4409"/>
      <c r="G208" s="4409"/>
      <c r="H208" s="4409"/>
      <c r="I208" s="4409"/>
      <c r="J208" s="4409"/>
      <c r="K208" s="4409"/>
      <c r="L208" s="4409"/>
      <c r="M208" s="4409"/>
      <c r="N208" s="4410"/>
      <c r="O208" s="1425"/>
      <c r="P208" s="1737"/>
    </row>
    <row r="209" spans="1:19" s="250" customFormat="1" ht="27" customHeight="1" thickBot="1" x14ac:dyDescent="0.4">
      <c r="A209" s="4408"/>
      <c r="B209" s="4409"/>
      <c r="C209" s="4409"/>
      <c r="D209" s="4409"/>
      <c r="E209" s="4409"/>
      <c r="F209" s="4409"/>
      <c r="G209" s="4409"/>
      <c r="H209" s="4409"/>
      <c r="I209" s="4409"/>
      <c r="J209" s="4409"/>
      <c r="K209" s="4409"/>
      <c r="L209" s="4409"/>
      <c r="M209" s="4409"/>
      <c r="N209" s="4410"/>
      <c r="O209" s="1425"/>
      <c r="P209" s="1737"/>
    </row>
    <row r="210" spans="1:19" s="250" customFormat="1" ht="57.6" customHeight="1" x14ac:dyDescent="0.4">
      <c r="A210" s="4417" t="s">
        <v>413</v>
      </c>
      <c r="B210" s="4418"/>
      <c r="C210" s="4437" t="s">
        <v>71</v>
      </c>
      <c r="D210" s="4437"/>
      <c r="E210" s="4441" t="s">
        <v>101</v>
      </c>
      <c r="F210" s="4215" t="s">
        <v>304</v>
      </c>
      <c r="G210" s="4213"/>
      <c r="H210" s="4214"/>
      <c r="I210" s="4215" t="s">
        <v>368</v>
      </c>
      <c r="J210" s="4213"/>
      <c r="K210" s="4214"/>
      <c r="L210" s="4216" t="s">
        <v>377</v>
      </c>
      <c r="M210" s="4217"/>
      <c r="N210" s="4218"/>
      <c r="O210" s="1425"/>
      <c r="P210" s="4473" t="s">
        <v>241</v>
      </c>
      <c r="Q210" s="4474"/>
      <c r="R210" s="4474"/>
      <c r="S210" s="4475"/>
    </row>
    <row r="211" spans="1:19" s="250" customFormat="1" ht="57.6" customHeight="1" thickBot="1" x14ac:dyDescent="0.45">
      <c r="A211" s="4419"/>
      <c r="B211" s="4420"/>
      <c r="C211" s="4438"/>
      <c r="D211" s="4438"/>
      <c r="E211" s="4442"/>
      <c r="F211" s="1740" t="s">
        <v>287</v>
      </c>
      <c r="G211" s="1738" t="s">
        <v>289</v>
      </c>
      <c r="H211" s="1738" t="s">
        <v>288</v>
      </c>
      <c r="I211" s="1738" t="s">
        <v>287</v>
      </c>
      <c r="J211" s="1738" t="s">
        <v>289</v>
      </c>
      <c r="K211" s="1738" t="s">
        <v>288</v>
      </c>
      <c r="L211" s="1730" t="s">
        <v>287</v>
      </c>
      <c r="M211" s="1730" t="s">
        <v>289</v>
      </c>
      <c r="N211" s="1731" t="s">
        <v>288</v>
      </c>
      <c r="O211" s="1425"/>
      <c r="P211" s="1997" t="s">
        <v>414</v>
      </c>
      <c r="Q211" s="807" t="s">
        <v>25</v>
      </c>
      <c r="R211" s="807" t="s">
        <v>371</v>
      </c>
      <c r="S211" s="1998" t="s">
        <v>241</v>
      </c>
    </row>
    <row r="212" spans="1:19" s="250" customFormat="1" ht="65.25" customHeight="1" thickBot="1" x14ac:dyDescent="0.5">
      <c r="A212" s="4419"/>
      <c r="B212" s="4420"/>
      <c r="C212" s="4329" t="s">
        <v>415</v>
      </c>
      <c r="D212" s="4330"/>
      <c r="E212" s="2986">
        <f>+E530</f>
        <v>0</v>
      </c>
      <c r="F212" s="2986">
        <f t="shared" ref="F212:K212" si="266">+F530</f>
        <v>0</v>
      </c>
      <c r="G212" s="2986">
        <f t="shared" si="266"/>
        <v>0</v>
      </c>
      <c r="H212" s="2986">
        <f t="shared" si="266"/>
        <v>0</v>
      </c>
      <c r="I212" s="2986">
        <f t="shared" ca="1" si="266"/>
        <v>0</v>
      </c>
      <c r="J212" s="2986">
        <f t="shared" ca="1" si="266"/>
        <v>0</v>
      </c>
      <c r="K212" s="2986">
        <f t="shared" ca="1" si="266"/>
        <v>0</v>
      </c>
      <c r="L212" s="1558">
        <f t="shared" ref="L212:N213" ca="1" si="267">+F212+I212</f>
        <v>0</v>
      </c>
      <c r="M212" s="1558">
        <f t="shared" ca="1" si="267"/>
        <v>0</v>
      </c>
      <c r="N212" s="1559">
        <f t="shared" ca="1" si="267"/>
        <v>0</v>
      </c>
      <c r="O212" s="1746">
        <f ca="1">SUM(L212:N212)</f>
        <v>0</v>
      </c>
      <c r="P212" s="2022">
        <f>+IF(E212=0,0,Q212/R212)</f>
        <v>0</v>
      </c>
      <c r="Q212" s="2023">
        <f>+SUM(F212:H212)</f>
        <v>0</v>
      </c>
      <c r="R212" s="2023">
        <f>+E212</f>
        <v>0</v>
      </c>
      <c r="S212" s="2024" t="str">
        <f>IF(R212=0,"S.D.",+IF((Q212/R212)&lt;=800,"O.K.","VERIFICAR"))</f>
        <v>S.D.</v>
      </c>
    </row>
    <row r="213" spans="1:19" s="250" customFormat="1" ht="57" customHeight="1" thickBot="1" x14ac:dyDescent="0.5">
      <c r="A213" s="4419"/>
      <c r="B213" s="4420"/>
      <c r="C213" s="4331" t="s">
        <v>416</v>
      </c>
      <c r="D213" s="4332"/>
      <c r="E213" s="2986">
        <f>+E531</f>
        <v>0</v>
      </c>
      <c r="F213" s="2986">
        <f t="shared" ref="F213:K213" si="268">+F531</f>
        <v>0</v>
      </c>
      <c r="G213" s="2986">
        <f t="shared" si="268"/>
        <v>0</v>
      </c>
      <c r="H213" s="2986">
        <f t="shared" si="268"/>
        <v>0</v>
      </c>
      <c r="I213" s="2986">
        <f t="shared" ca="1" si="268"/>
        <v>0</v>
      </c>
      <c r="J213" s="2986">
        <f t="shared" ca="1" si="268"/>
        <v>0</v>
      </c>
      <c r="K213" s="2986">
        <f t="shared" ca="1" si="268"/>
        <v>0</v>
      </c>
      <c r="L213" s="1558">
        <f t="shared" ca="1" si="267"/>
        <v>0</v>
      </c>
      <c r="M213" s="1558">
        <f t="shared" ca="1" si="267"/>
        <v>0</v>
      </c>
      <c r="N213" s="1559">
        <f t="shared" ca="1" si="267"/>
        <v>0</v>
      </c>
      <c r="O213" s="1746">
        <f ca="1">SUM(L213:N213)</f>
        <v>0</v>
      </c>
      <c r="P213" s="2022">
        <f>+IF(E213=0,0,Q213/R213)</f>
        <v>0</v>
      </c>
      <c r="Q213" s="2023">
        <f>+SUM(F213:H213)</f>
        <v>0</v>
      </c>
      <c r="R213" s="2023">
        <f>+E213</f>
        <v>0</v>
      </c>
      <c r="S213" s="2024" t="str">
        <f>IF(R213=0,"S.D.",+IF(AND((Q213/R213)&gt;800,(Q213/R213)&lt;=3000),"O.K.","VERIFICAR"))</f>
        <v>S.D.</v>
      </c>
    </row>
    <row r="214" spans="1:19" s="250" customFormat="1" ht="27.75" customHeight="1" x14ac:dyDescent="0.4">
      <c r="A214" s="4419"/>
      <c r="B214" s="4420"/>
      <c r="C214" s="4219"/>
      <c r="D214" s="4220"/>
      <c r="E214" s="4221"/>
      <c r="F214" s="4357" t="s">
        <v>377</v>
      </c>
      <c r="G214" s="4297"/>
      <c r="H214" s="4316"/>
      <c r="I214" s="2287"/>
      <c r="J214" s="2287"/>
      <c r="K214" s="2287"/>
      <c r="L214" s="1749"/>
      <c r="M214" s="1749"/>
      <c r="N214" s="1750"/>
      <c r="O214" s="1425"/>
    </row>
    <row r="215" spans="1:19" s="250" customFormat="1" ht="32.25" customHeight="1" x14ac:dyDescent="0.4">
      <c r="A215" s="4419"/>
      <c r="B215" s="4420"/>
      <c r="C215" s="4222"/>
      <c r="D215" s="4223"/>
      <c r="E215" s="4224"/>
      <c r="F215" s="1751" t="s">
        <v>287</v>
      </c>
      <c r="G215" s="1730" t="s">
        <v>289</v>
      </c>
      <c r="H215" s="1731" t="s">
        <v>288</v>
      </c>
      <c r="I215" s="1791"/>
      <c r="J215" s="1791"/>
      <c r="K215" s="1791"/>
      <c r="L215" s="1752"/>
      <c r="M215" s="1752"/>
      <c r="N215" s="1753"/>
    </row>
    <row r="216" spans="1:19" s="250" customFormat="1" ht="40.5" customHeight="1" thickBot="1" x14ac:dyDescent="0.45">
      <c r="A216" s="4421"/>
      <c r="B216" s="4422"/>
      <c r="C216" s="4225"/>
      <c r="D216" s="4226"/>
      <c r="E216" s="4227"/>
      <c r="F216" s="2039">
        <f ca="1">+F212+I212+F213+I213</f>
        <v>0</v>
      </c>
      <c r="G216" s="2040">
        <f ca="1">+G212+J212+G213+J213</f>
        <v>0</v>
      </c>
      <c r="H216" s="2040">
        <f ca="1">+H212+K212+H213+K213</f>
        <v>0</v>
      </c>
      <c r="I216" s="2592">
        <f ca="1">SUM(F216:H216)</f>
        <v>0</v>
      </c>
      <c r="J216" s="2662"/>
      <c r="K216" s="2662"/>
      <c r="L216" s="2665"/>
      <c r="M216" s="2665"/>
      <c r="N216" s="2666"/>
    </row>
    <row r="217" spans="1:19" s="250" customFormat="1" ht="59.1" customHeight="1" x14ac:dyDescent="0.35">
      <c r="A217" s="4198"/>
      <c r="B217" s="4199"/>
      <c r="C217" s="4199"/>
      <c r="D217" s="4199"/>
      <c r="E217" s="4199"/>
      <c r="F217" s="4199"/>
      <c r="G217" s="4199"/>
      <c r="H217" s="4199"/>
      <c r="I217" s="4199"/>
      <c r="J217" s="4199"/>
      <c r="K217" s="4199"/>
      <c r="L217" s="4199"/>
      <c r="M217" s="4199"/>
      <c r="N217" s="4200"/>
    </row>
    <row r="218" spans="1:19" s="250" customFormat="1" ht="59.1" customHeight="1" thickBot="1" x14ac:dyDescent="0.4">
      <c r="A218" s="4198"/>
      <c r="B218" s="4199"/>
      <c r="C218" s="4199"/>
      <c r="D218" s="4199"/>
      <c r="E218" s="4199"/>
      <c r="F218" s="4199"/>
      <c r="G218" s="4199"/>
      <c r="H218" s="4199"/>
      <c r="I218" s="4199"/>
      <c r="J218" s="4199"/>
      <c r="K218" s="4199"/>
      <c r="L218" s="4199"/>
      <c r="M218" s="4199"/>
      <c r="N218" s="4200"/>
    </row>
    <row r="219" spans="1:19" s="250" customFormat="1" ht="59.1" customHeight="1" x14ac:dyDescent="0.35">
      <c r="A219" s="4201" t="s">
        <v>417</v>
      </c>
      <c r="B219" s="4202"/>
      <c r="C219" s="4202"/>
      <c r="D219" s="4203"/>
      <c r="E219" s="4210" t="s">
        <v>101</v>
      </c>
      <c r="F219" s="4212" t="s">
        <v>304</v>
      </c>
      <c r="G219" s="4213"/>
      <c r="H219" s="4214"/>
      <c r="I219" s="4215" t="s">
        <v>368</v>
      </c>
      <c r="J219" s="4213"/>
      <c r="K219" s="4214"/>
      <c r="L219" s="4216" t="s">
        <v>377</v>
      </c>
      <c r="M219" s="4217"/>
      <c r="N219" s="4218"/>
    </row>
    <row r="220" spans="1:19" s="250" customFormat="1" ht="59.1" customHeight="1" x14ac:dyDescent="0.35">
      <c r="A220" s="4204"/>
      <c r="B220" s="4205"/>
      <c r="C220" s="4205"/>
      <c r="D220" s="4206"/>
      <c r="E220" s="4211"/>
      <c r="F220" s="1740" t="s">
        <v>287</v>
      </c>
      <c r="G220" s="1738" t="s">
        <v>289</v>
      </c>
      <c r="H220" s="1738" t="s">
        <v>288</v>
      </c>
      <c r="I220" s="1738" t="s">
        <v>287</v>
      </c>
      <c r="J220" s="1738" t="s">
        <v>289</v>
      </c>
      <c r="K220" s="1738" t="s">
        <v>288</v>
      </c>
      <c r="L220" s="1730" t="s">
        <v>287</v>
      </c>
      <c r="M220" s="1730" t="s">
        <v>289</v>
      </c>
      <c r="N220" s="1731" t="s">
        <v>288</v>
      </c>
    </row>
    <row r="221" spans="1:19" s="250" customFormat="1" ht="59.1" customHeight="1" x14ac:dyDescent="0.35">
      <c r="A221" s="4204"/>
      <c r="B221" s="4205"/>
      <c r="C221" s="4205"/>
      <c r="D221" s="4206"/>
      <c r="E221" s="2985">
        <f>+E544</f>
        <v>0</v>
      </c>
      <c r="F221" s="2985">
        <f t="shared" ref="F221:K221" si="269">+F544</f>
        <v>0</v>
      </c>
      <c r="G221" s="2985">
        <f t="shared" si="269"/>
        <v>0</v>
      </c>
      <c r="H221" s="2985">
        <f t="shared" si="269"/>
        <v>0</v>
      </c>
      <c r="I221" s="2985">
        <f t="shared" si="269"/>
        <v>0</v>
      </c>
      <c r="J221" s="2985">
        <f t="shared" si="269"/>
        <v>0</v>
      </c>
      <c r="K221" s="2985">
        <f t="shared" si="269"/>
        <v>0</v>
      </c>
      <c r="L221" s="1558">
        <f>+F221+I221</f>
        <v>0</v>
      </c>
      <c r="M221" s="1558">
        <f>+G221+J221</f>
        <v>0</v>
      </c>
      <c r="N221" s="1559">
        <f>+H221+K221</f>
        <v>0</v>
      </c>
      <c r="O221" s="1746">
        <f>SUM(L221:N221)</f>
        <v>0</v>
      </c>
    </row>
    <row r="222" spans="1:19" s="250" customFormat="1" ht="59.1" customHeight="1" x14ac:dyDescent="0.4">
      <c r="A222" s="4204"/>
      <c r="B222" s="4205"/>
      <c r="C222" s="4205"/>
      <c r="D222" s="4206"/>
      <c r="E222" s="4354"/>
      <c r="F222" s="4357" t="s">
        <v>377</v>
      </c>
      <c r="G222" s="4297"/>
      <c r="H222" s="4316"/>
      <c r="I222" s="2287"/>
      <c r="J222" s="2287"/>
      <c r="K222" s="2287"/>
      <c r="L222" s="1749"/>
      <c r="M222" s="1749"/>
      <c r="N222" s="1750"/>
    </row>
    <row r="223" spans="1:19" s="250" customFormat="1" ht="59.1" customHeight="1" x14ac:dyDescent="0.4">
      <c r="A223" s="4204"/>
      <c r="B223" s="4205"/>
      <c r="C223" s="4205"/>
      <c r="D223" s="4206"/>
      <c r="E223" s="4355"/>
      <c r="F223" s="1751" t="s">
        <v>287</v>
      </c>
      <c r="G223" s="1730" t="s">
        <v>289</v>
      </c>
      <c r="H223" s="1731" t="s">
        <v>288</v>
      </c>
      <c r="I223" s="1791"/>
      <c r="J223" s="1791"/>
      <c r="K223" s="1791"/>
      <c r="L223" s="1752"/>
      <c r="M223" s="1752"/>
      <c r="N223" s="1753"/>
    </row>
    <row r="224" spans="1:19" s="250" customFormat="1" ht="59.1" customHeight="1" thickBot="1" x14ac:dyDescent="0.45">
      <c r="A224" s="4207"/>
      <c r="B224" s="4208"/>
      <c r="C224" s="4208"/>
      <c r="D224" s="4209"/>
      <c r="E224" s="4356"/>
      <c r="F224" s="2664">
        <f>+F221+I221</f>
        <v>0</v>
      </c>
      <c r="G224" s="2664">
        <f>+G221+J221</f>
        <v>0</v>
      </c>
      <c r="H224" s="2664">
        <f>+H221+K221</f>
        <v>0</v>
      </c>
      <c r="I224" s="2592">
        <f>SUM(F224:H224)</f>
        <v>0</v>
      </c>
      <c r="J224" s="2662"/>
      <c r="K224" s="2662"/>
      <c r="L224" s="2665"/>
      <c r="M224" s="2665"/>
      <c r="N224" s="2666"/>
    </row>
    <row r="225" spans="1:14" s="250" customFormat="1" ht="59.1" customHeight="1" x14ac:dyDescent="0.4">
      <c r="A225" s="2965"/>
      <c r="B225" s="2966"/>
      <c r="C225" s="2966"/>
      <c r="D225" s="2966"/>
      <c r="E225" s="2156"/>
      <c r="F225" s="1689"/>
      <c r="G225" s="1689"/>
      <c r="H225" s="1689"/>
      <c r="I225" s="1791"/>
      <c r="J225" s="1791"/>
      <c r="K225" s="1791"/>
      <c r="L225" s="1752"/>
      <c r="M225" s="1752"/>
      <c r="N225" s="1753"/>
    </row>
    <row r="226" spans="1:14" s="250" customFormat="1" ht="59.1" customHeight="1" thickBot="1" x14ac:dyDescent="0.45">
      <c r="A226" s="2965"/>
      <c r="B226" s="2966"/>
      <c r="C226" s="2966"/>
      <c r="D226" s="2966"/>
      <c r="E226" s="2156"/>
      <c r="F226" s="1689"/>
      <c r="G226" s="1689"/>
      <c r="H226" s="1689"/>
      <c r="I226" s="1791"/>
      <c r="J226" s="1791"/>
      <c r="K226" s="1791"/>
      <c r="L226" s="1752"/>
      <c r="M226" s="1752"/>
      <c r="N226" s="1753"/>
    </row>
    <row r="227" spans="1:14" s="250" customFormat="1" ht="59.1" customHeight="1" x14ac:dyDescent="0.35">
      <c r="A227" s="4345" t="s">
        <v>418</v>
      </c>
      <c r="B227" s="4346"/>
      <c r="C227" s="4346"/>
      <c r="D227" s="4347"/>
      <c r="E227" s="4469" t="s">
        <v>101</v>
      </c>
      <c r="F227" s="4317" t="s">
        <v>304</v>
      </c>
      <c r="G227" s="4317"/>
      <c r="H227" s="4317"/>
      <c r="I227" s="4317" t="s">
        <v>368</v>
      </c>
      <c r="J227" s="4317"/>
      <c r="K227" s="4317"/>
      <c r="L227" s="4325" t="s">
        <v>377</v>
      </c>
      <c r="M227" s="4325"/>
      <c r="N227" s="4325"/>
    </row>
    <row r="228" spans="1:14" s="250" customFormat="1" ht="59.1" customHeight="1" thickBot="1" x14ac:dyDescent="0.4">
      <c r="A228" s="4348"/>
      <c r="B228" s="4349"/>
      <c r="C228" s="4349"/>
      <c r="D228" s="4350"/>
      <c r="E228" s="4470"/>
      <c r="F228" s="3470" t="s">
        <v>287</v>
      </c>
      <c r="G228" s="3470" t="s">
        <v>289</v>
      </c>
      <c r="H228" s="3470" t="s">
        <v>288</v>
      </c>
      <c r="I228" s="3470" t="s">
        <v>287</v>
      </c>
      <c r="J228" s="3470" t="s">
        <v>289</v>
      </c>
      <c r="K228" s="3470" t="s">
        <v>288</v>
      </c>
      <c r="L228" s="1883" t="s">
        <v>287</v>
      </c>
      <c r="M228" s="1883" t="s">
        <v>289</v>
      </c>
      <c r="N228" s="1883" t="s">
        <v>288</v>
      </c>
    </row>
    <row r="229" spans="1:14" s="250" customFormat="1" ht="59.1" customHeight="1" x14ac:dyDescent="0.5">
      <c r="A229" s="4358" t="s">
        <v>226</v>
      </c>
      <c r="B229" s="4326" t="s">
        <v>227</v>
      </c>
      <c r="C229" s="3465" t="str">
        <f>+'SUMIN -HOJA3'!W155</f>
        <v>6000-UR1</v>
      </c>
      <c r="D229" s="3466" t="str">
        <f>+'SUMIN -HOJA3'!Q155</f>
        <v>Electrod.-B.Volunt.-Residencial</v>
      </c>
      <c r="E229" s="3471">
        <f>+'SUMIN -HOJA3'!Y155</f>
        <v>0</v>
      </c>
      <c r="F229" s="3472">
        <f ca="1">+'SUMIN -HOJA3'!Z155</f>
        <v>0</v>
      </c>
      <c r="G229" s="3472">
        <f ca="1">+'SUMIN -HOJA3'!AA155</f>
        <v>0</v>
      </c>
      <c r="H229" s="3472">
        <f ca="1">+'SUMIN -HOJA3'!AB155</f>
        <v>0</v>
      </c>
      <c r="I229" s="3472">
        <f ca="1">+'SUMIN -HOJA3'!AC155</f>
        <v>0</v>
      </c>
      <c r="J229" s="3472">
        <f ca="1">+'SUMIN -HOJA3'!AD155</f>
        <v>0</v>
      </c>
      <c r="K229" s="3472">
        <f ca="1">+'SUMIN -HOJA3'!AE155</f>
        <v>0</v>
      </c>
      <c r="L229" s="3472">
        <f ca="1">+F229+I229</f>
        <v>0</v>
      </c>
      <c r="M229" s="3472">
        <f t="shared" ref="M229:N229" ca="1" si="270">+G229+J229</f>
        <v>0</v>
      </c>
      <c r="N229" s="3473">
        <f t="shared" ca="1" si="270"/>
        <v>0</v>
      </c>
    </row>
    <row r="230" spans="1:14" s="250" customFormat="1" ht="59.1" customHeight="1" x14ac:dyDescent="0.5">
      <c r="A230" s="4359"/>
      <c r="B230" s="4327"/>
      <c r="C230" s="3462" t="str">
        <f>+'SUMIN -HOJA3'!W156</f>
        <v>6000-UR2</v>
      </c>
      <c r="D230" s="3467" t="str">
        <f>+'SUMIN -HOJA3'!Q156</f>
        <v>Electrod.-B.Volunt.-Residencial</v>
      </c>
      <c r="E230" s="3463">
        <f>+'SUMIN -HOJA3'!Y156</f>
        <v>0</v>
      </c>
      <c r="F230" s="2967">
        <f ca="1">+'SUMIN -HOJA3'!Z156</f>
        <v>0</v>
      </c>
      <c r="G230" s="2967">
        <f ca="1">+'SUMIN -HOJA3'!AA156</f>
        <v>0</v>
      </c>
      <c r="H230" s="2967">
        <f ca="1">+'SUMIN -HOJA3'!AB156</f>
        <v>0</v>
      </c>
      <c r="I230" s="2967">
        <f ca="1">+'SUMIN -HOJA3'!AC156</f>
        <v>0</v>
      </c>
      <c r="J230" s="2967">
        <f ca="1">+'SUMIN -HOJA3'!AD156</f>
        <v>0</v>
      </c>
      <c r="K230" s="2967">
        <f ca="1">+'SUMIN -HOJA3'!AE156</f>
        <v>0</v>
      </c>
      <c r="L230" s="2967">
        <f t="shared" ref="L230:L247" ca="1" si="271">+F230+I230</f>
        <v>0</v>
      </c>
      <c r="M230" s="2967">
        <f t="shared" ref="M230:M247" ca="1" si="272">+G230+J230</f>
        <v>0</v>
      </c>
      <c r="N230" s="3474">
        <f t="shared" ref="N230:N247" ca="1" si="273">+H230+K230</f>
        <v>0</v>
      </c>
    </row>
    <row r="231" spans="1:14" s="250" customFormat="1" ht="59.1" customHeight="1" x14ac:dyDescent="0.5">
      <c r="A231" s="4359"/>
      <c r="B231" s="4327"/>
      <c r="C231" s="3462" t="str">
        <f>+'SUMIN -HOJA3'!W157</f>
        <v>6000-UR3</v>
      </c>
      <c r="D231" s="3467" t="str">
        <f>+'SUMIN -HOJA3'!Q157</f>
        <v>Electrod.-B.Volunt.-Residencial</v>
      </c>
      <c r="E231" s="3463">
        <f>+'SUMIN -HOJA3'!Y157</f>
        <v>0</v>
      </c>
      <c r="F231" s="2967">
        <f ca="1">+'SUMIN -HOJA3'!Z157</f>
        <v>0</v>
      </c>
      <c r="G231" s="2967">
        <f ca="1">+'SUMIN -HOJA3'!AA157</f>
        <v>0</v>
      </c>
      <c r="H231" s="2967">
        <f ca="1">+'SUMIN -HOJA3'!AB157</f>
        <v>0</v>
      </c>
      <c r="I231" s="2967">
        <f ca="1">+'SUMIN -HOJA3'!AC157</f>
        <v>0</v>
      </c>
      <c r="J231" s="2967">
        <f ca="1">+'SUMIN -HOJA3'!AD157</f>
        <v>0</v>
      </c>
      <c r="K231" s="2967">
        <f ca="1">+'SUMIN -HOJA3'!AE157</f>
        <v>0</v>
      </c>
      <c r="L231" s="2967">
        <f t="shared" ca="1" si="271"/>
        <v>0</v>
      </c>
      <c r="M231" s="2967">
        <f t="shared" ca="1" si="272"/>
        <v>0</v>
      </c>
      <c r="N231" s="3474">
        <f t="shared" ca="1" si="273"/>
        <v>0</v>
      </c>
    </row>
    <row r="232" spans="1:14" s="250" customFormat="1" ht="59.1" customHeight="1" x14ac:dyDescent="0.5">
      <c r="A232" s="4359"/>
      <c r="B232" s="4327"/>
      <c r="C232" s="3462" t="str">
        <f>+'SUMIN -HOJA3'!W158</f>
        <v>6000-UR4</v>
      </c>
      <c r="D232" s="3467" t="str">
        <f>+'SUMIN -HOJA3'!Q158</f>
        <v>Electrod.-B.Volunt.-Residencial</v>
      </c>
      <c r="E232" s="3463">
        <f>+'SUMIN -HOJA3'!Y158</f>
        <v>0</v>
      </c>
      <c r="F232" s="2967">
        <f ca="1">+'SUMIN -HOJA3'!Z158</f>
        <v>0</v>
      </c>
      <c r="G232" s="2967">
        <f ca="1">+'SUMIN -HOJA3'!AA158</f>
        <v>0</v>
      </c>
      <c r="H232" s="2967">
        <f ca="1">+'SUMIN -HOJA3'!AB158</f>
        <v>0</v>
      </c>
      <c r="I232" s="2967">
        <f ca="1">+'SUMIN -HOJA3'!AC158</f>
        <v>0</v>
      </c>
      <c r="J232" s="2967">
        <f ca="1">+'SUMIN -HOJA3'!AD158</f>
        <v>0</v>
      </c>
      <c r="K232" s="2967">
        <f ca="1">+'SUMIN -HOJA3'!AE158</f>
        <v>0</v>
      </c>
      <c r="L232" s="2967">
        <f t="shared" ca="1" si="271"/>
        <v>0</v>
      </c>
      <c r="M232" s="2967">
        <f t="shared" ca="1" si="272"/>
        <v>0</v>
      </c>
      <c r="N232" s="3474">
        <f t="shared" ca="1" si="273"/>
        <v>0</v>
      </c>
    </row>
    <row r="233" spans="1:14" s="250" customFormat="1" ht="59.1" customHeight="1" thickBot="1" x14ac:dyDescent="0.55000000000000004">
      <c r="A233" s="4359"/>
      <c r="B233" s="4328"/>
      <c r="C233" s="3468" t="str">
        <f>+'SUMIN -HOJA3'!W159</f>
        <v>6000-UR5</v>
      </c>
      <c r="D233" s="3469" t="str">
        <f>+'SUMIN -HOJA3'!Q159</f>
        <v>Electrod.-B.Volunt.-Residencial</v>
      </c>
      <c r="E233" s="3475">
        <f>+'SUMIN -HOJA3'!Y159</f>
        <v>0</v>
      </c>
      <c r="F233" s="3476">
        <f ca="1">+'SUMIN -HOJA3'!Z159</f>
        <v>0</v>
      </c>
      <c r="G233" s="3476">
        <f ca="1">+'SUMIN -HOJA3'!AA159</f>
        <v>0</v>
      </c>
      <c r="H233" s="3476">
        <f ca="1">+'SUMIN -HOJA3'!AB159</f>
        <v>0</v>
      </c>
      <c r="I233" s="3476">
        <f ca="1">+'SUMIN -HOJA3'!AC159</f>
        <v>0</v>
      </c>
      <c r="J233" s="3476">
        <f ca="1">+'SUMIN -HOJA3'!AD159</f>
        <v>0</v>
      </c>
      <c r="K233" s="3476">
        <f ca="1">+'SUMIN -HOJA3'!AE159</f>
        <v>0</v>
      </c>
      <c r="L233" s="3476">
        <f t="shared" ca="1" si="271"/>
        <v>0</v>
      </c>
      <c r="M233" s="3476">
        <f t="shared" ca="1" si="272"/>
        <v>0</v>
      </c>
      <c r="N233" s="3477">
        <f t="shared" ca="1" si="273"/>
        <v>0</v>
      </c>
    </row>
    <row r="234" spans="1:14" s="250" customFormat="1" ht="59.1" customHeight="1" x14ac:dyDescent="0.5">
      <c r="A234" s="4359"/>
      <c r="B234" s="4326" t="s">
        <v>227</v>
      </c>
      <c r="C234" s="3465" t="str">
        <f>+'SUMIN -HOJA3'!W160</f>
        <v>6500-UR1</v>
      </c>
      <c r="D234" s="3466" t="str">
        <f>+'SUMIN -HOJA3'!Q160</f>
        <v>Club-Ent. B. Pub.-Residencial</v>
      </c>
      <c r="E234" s="3471">
        <f>+'SUMIN -HOJA3'!Y160</f>
        <v>0</v>
      </c>
      <c r="F234" s="3472">
        <f ca="1">+'SUMIN -HOJA3'!Z160</f>
        <v>0</v>
      </c>
      <c r="G234" s="3472">
        <f ca="1">+'SUMIN -HOJA3'!AA160</f>
        <v>0</v>
      </c>
      <c r="H234" s="3472">
        <f ca="1">+'SUMIN -HOJA3'!AB160</f>
        <v>0</v>
      </c>
      <c r="I234" s="3472">
        <f ca="1">+'SUMIN -HOJA3'!AC160</f>
        <v>0</v>
      </c>
      <c r="J234" s="3472">
        <f ca="1">+'SUMIN -HOJA3'!AD160</f>
        <v>0</v>
      </c>
      <c r="K234" s="3472">
        <f ca="1">+'SUMIN -HOJA3'!AE160</f>
        <v>0</v>
      </c>
      <c r="L234" s="3472">
        <f t="shared" ca="1" si="271"/>
        <v>0</v>
      </c>
      <c r="M234" s="3472">
        <f t="shared" ca="1" si="272"/>
        <v>0</v>
      </c>
      <c r="N234" s="3473">
        <f t="shared" ca="1" si="273"/>
        <v>0</v>
      </c>
    </row>
    <row r="235" spans="1:14" s="250" customFormat="1" ht="59.1" customHeight="1" x14ac:dyDescent="0.5">
      <c r="A235" s="4359"/>
      <c r="B235" s="4327"/>
      <c r="C235" s="3462" t="str">
        <f>+'SUMIN -HOJA3'!W161</f>
        <v>6500-UR2</v>
      </c>
      <c r="D235" s="3467" t="str">
        <f>+'SUMIN -HOJA3'!Q161</f>
        <v>Club-Ent. B. Pub.-Residencial</v>
      </c>
      <c r="E235" s="3463">
        <f>+'SUMIN -HOJA3'!Y161</f>
        <v>0</v>
      </c>
      <c r="F235" s="2967">
        <f ca="1">+'SUMIN -HOJA3'!Z161</f>
        <v>0</v>
      </c>
      <c r="G235" s="2967">
        <f ca="1">+'SUMIN -HOJA3'!AA161</f>
        <v>0</v>
      </c>
      <c r="H235" s="2967">
        <f ca="1">+'SUMIN -HOJA3'!AB161</f>
        <v>0</v>
      </c>
      <c r="I235" s="2967">
        <f ca="1">+'SUMIN -HOJA3'!AC161</f>
        <v>0</v>
      </c>
      <c r="J235" s="2967">
        <f ca="1">+'SUMIN -HOJA3'!AD161</f>
        <v>0</v>
      </c>
      <c r="K235" s="2967">
        <f ca="1">+'SUMIN -HOJA3'!AE161</f>
        <v>0</v>
      </c>
      <c r="L235" s="2967">
        <f t="shared" ca="1" si="271"/>
        <v>0</v>
      </c>
      <c r="M235" s="2967">
        <f t="shared" ca="1" si="272"/>
        <v>0</v>
      </c>
      <c r="N235" s="3474">
        <f t="shared" ca="1" si="273"/>
        <v>0</v>
      </c>
    </row>
    <row r="236" spans="1:14" s="250" customFormat="1" ht="59.1" customHeight="1" x14ac:dyDescent="0.5">
      <c r="A236" s="4359"/>
      <c r="B236" s="4327"/>
      <c r="C236" s="3462" t="str">
        <f>+'SUMIN -HOJA3'!W162</f>
        <v>6500-UR3</v>
      </c>
      <c r="D236" s="3467" t="str">
        <f>+'SUMIN -HOJA3'!Q162</f>
        <v>Club-Ent. B. Pub.-Residencial</v>
      </c>
      <c r="E236" s="3463">
        <f>+'SUMIN -HOJA3'!Y162</f>
        <v>0</v>
      </c>
      <c r="F236" s="2967">
        <f ca="1">+'SUMIN -HOJA3'!Z162</f>
        <v>0</v>
      </c>
      <c r="G236" s="2967">
        <f ca="1">+'SUMIN -HOJA3'!AA162</f>
        <v>0</v>
      </c>
      <c r="H236" s="2967">
        <f ca="1">+'SUMIN -HOJA3'!AB162</f>
        <v>0</v>
      </c>
      <c r="I236" s="2967">
        <f ca="1">+'SUMIN -HOJA3'!AC162</f>
        <v>0</v>
      </c>
      <c r="J236" s="2967">
        <f ca="1">+'SUMIN -HOJA3'!AD162</f>
        <v>0</v>
      </c>
      <c r="K236" s="2967">
        <f ca="1">+'SUMIN -HOJA3'!AE162</f>
        <v>0</v>
      </c>
      <c r="L236" s="2967">
        <f t="shared" ca="1" si="271"/>
        <v>0</v>
      </c>
      <c r="M236" s="2967">
        <f t="shared" ca="1" si="272"/>
        <v>0</v>
      </c>
      <c r="N236" s="3474">
        <f t="shared" ca="1" si="273"/>
        <v>0</v>
      </c>
    </row>
    <row r="237" spans="1:14" s="250" customFormat="1" ht="59.1" customHeight="1" x14ac:dyDescent="0.5">
      <c r="A237" s="4359"/>
      <c r="B237" s="4327"/>
      <c r="C237" s="3462" t="str">
        <f>+'SUMIN -HOJA3'!W163</f>
        <v>6500-UR4</v>
      </c>
      <c r="D237" s="3467" t="str">
        <f>+'SUMIN -HOJA3'!Q163</f>
        <v>Club-Ent. B. Pub.-Residencial</v>
      </c>
      <c r="E237" s="3463">
        <f>+'SUMIN -HOJA3'!Y163</f>
        <v>0</v>
      </c>
      <c r="F237" s="2967">
        <f ca="1">+'SUMIN -HOJA3'!Z163</f>
        <v>0</v>
      </c>
      <c r="G237" s="2967">
        <f ca="1">+'SUMIN -HOJA3'!AA163</f>
        <v>0</v>
      </c>
      <c r="H237" s="2967">
        <f ca="1">+'SUMIN -HOJA3'!AB163</f>
        <v>0</v>
      </c>
      <c r="I237" s="2967">
        <f ca="1">+'SUMIN -HOJA3'!AC163</f>
        <v>0</v>
      </c>
      <c r="J237" s="2967">
        <f ca="1">+'SUMIN -HOJA3'!AD163</f>
        <v>0</v>
      </c>
      <c r="K237" s="2967">
        <f ca="1">+'SUMIN -HOJA3'!AE163</f>
        <v>0</v>
      </c>
      <c r="L237" s="2967">
        <f t="shared" ca="1" si="271"/>
        <v>0</v>
      </c>
      <c r="M237" s="2967">
        <f t="shared" ca="1" si="272"/>
        <v>0</v>
      </c>
      <c r="N237" s="3474">
        <f t="shared" ca="1" si="273"/>
        <v>0</v>
      </c>
    </row>
    <row r="238" spans="1:14" s="250" customFormat="1" ht="59.1" customHeight="1" thickBot="1" x14ac:dyDescent="0.55000000000000004">
      <c r="A238" s="4359"/>
      <c r="B238" s="4328"/>
      <c r="C238" s="3468" t="str">
        <f>+'SUMIN -HOJA3'!W164</f>
        <v>6500-UR5</v>
      </c>
      <c r="D238" s="3469" t="str">
        <f>+'SUMIN -HOJA3'!Q164</f>
        <v>Club-Ent. B. Pub.-Residencial</v>
      </c>
      <c r="E238" s="3475">
        <f>+'SUMIN -HOJA3'!Y164</f>
        <v>0</v>
      </c>
      <c r="F238" s="3476">
        <f ca="1">+'SUMIN -HOJA3'!Z164</f>
        <v>0</v>
      </c>
      <c r="G238" s="3476">
        <f ca="1">+'SUMIN -HOJA3'!AA164</f>
        <v>0</v>
      </c>
      <c r="H238" s="3476">
        <f ca="1">+'SUMIN -HOJA3'!AB164</f>
        <v>0</v>
      </c>
      <c r="I238" s="3476">
        <f ca="1">+'SUMIN -HOJA3'!AC164</f>
        <v>0</v>
      </c>
      <c r="J238" s="3476">
        <f ca="1">+'SUMIN -HOJA3'!AD164</f>
        <v>0</v>
      </c>
      <c r="K238" s="3476">
        <f ca="1">+'SUMIN -HOJA3'!AE164</f>
        <v>0</v>
      </c>
      <c r="L238" s="3476">
        <f t="shared" ca="1" si="271"/>
        <v>0</v>
      </c>
      <c r="M238" s="3476">
        <f t="shared" ca="1" si="272"/>
        <v>0</v>
      </c>
      <c r="N238" s="3477">
        <f t="shared" ca="1" si="273"/>
        <v>0</v>
      </c>
    </row>
    <row r="239" spans="1:14" s="250" customFormat="1" ht="59.1" customHeight="1" x14ac:dyDescent="0.5">
      <c r="A239" s="4359"/>
      <c r="B239" s="4326" t="s">
        <v>233</v>
      </c>
      <c r="C239" s="3465" t="str">
        <f>+'SUMIN -HOJA3'!W165</f>
        <v>6500-NR1</v>
      </c>
      <c r="D239" s="3466" t="str">
        <f>+'SUMIN -HOJA3'!Q165</f>
        <v>Club-Ent. B. Pub.-No Residencial</v>
      </c>
      <c r="E239" s="3471">
        <f>+'SUMIN -HOJA3'!Y165</f>
        <v>0</v>
      </c>
      <c r="F239" s="3472">
        <f ca="1">+'SUMIN -HOJA3'!Z165</f>
        <v>0</v>
      </c>
      <c r="G239" s="3472">
        <f ca="1">+'SUMIN -HOJA3'!AA165</f>
        <v>0</v>
      </c>
      <c r="H239" s="3472">
        <f ca="1">+'SUMIN -HOJA3'!AB165</f>
        <v>0</v>
      </c>
      <c r="I239" s="3472">
        <f ca="1">+'SUMIN -HOJA3'!AC165</f>
        <v>0</v>
      </c>
      <c r="J239" s="3472">
        <f ca="1">+'SUMIN -HOJA3'!AD165</f>
        <v>0</v>
      </c>
      <c r="K239" s="3472">
        <f ca="1">+'SUMIN -HOJA3'!AE165</f>
        <v>0</v>
      </c>
      <c r="L239" s="3472">
        <f t="shared" ca="1" si="271"/>
        <v>0</v>
      </c>
      <c r="M239" s="3472">
        <f t="shared" ca="1" si="272"/>
        <v>0</v>
      </c>
      <c r="N239" s="3473">
        <f t="shared" ca="1" si="273"/>
        <v>0</v>
      </c>
    </row>
    <row r="240" spans="1:14" s="250" customFormat="1" ht="59.1" customHeight="1" x14ac:dyDescent="0.5">
      <c r="A240" s="4359"/>
      <c r="B240" s="4327"/>
      <c r="C240" s="3462" t="str">
        <f>+'SUMIN -HOJA3'!W166</f>
        <v>6500-NR2</v>
      </c>
      <c r="D240" s="3467" t="str">
        <f>+'SUMIN -HOJA3'!Q166</f>
        <v>Club-Ent. B. Pub.-No Residencial</v>
      </c>
      <c r="E240" s="3463">
        <f>+'SUMIN -HOJA3'!Y166</f>
        <v>0</v>
      </c>
      <c r="F240" s="2967">
        <f ca="1">+'SUMIN -HOJA3'!Z166</f>
        <v>0</v>
      </c>
      <c r="G240" s="2967">
        <f ca="1">+'SUMIN -HOJA3'!AA166</f>
        <v>0</v>
      </c>
      <c r="H240" s="2967">
        <f ca="1">+'SUMIN -HOJA3'!AB166</f>
        <v>0</v>
      </c>
      <c r="I240" s="2967">
        <f ca="1">+'SUMIN -HOJA3'!AC166</f>
        <v>0</v>
      </c>
      <c r="J240" s="2967">
        <f ca="1">+'SUMIN -HOJA3'!AD166</f>
        <v>0</v>
      </c>
      <c r="K240" s="2967">
        <f ca="1">+'SUMIN -HOJA3'!AE166</f>
        <v>0</v>
      </c>
      <c r="L240" s="2967">
        <f t="shared" ca="1" si="271"/>
        <v>0</v>
      </c>
      <c r="M240" s="2967">
        <f t="shared" ca="1" si="272"/>
        <v>0</v>
      </c>
      <c r="N240" s="3474">
        <f t="shared" ca="1" si="273"/>
        <v>0</v>
      </c>
    </row>
    <row r="241" spans="1:70" s="250" customFormat="1" ht="59.1" customHeight="1" x14ac:dyDescent="0.5">
      <c r="A241" s="4359"/>
      <c r="B241" s="4327"/>
      <c r="C241" s="3462" t="str">
        <f>+'SUMIN -HOJA3'!W167</f>
        <v>6500-U30</v>
      </c>
      <c r="D241" s="3467" t="str">
        <f>+'SUMIN -HOJA3'!Q167</f>
        <v>Club-Ent. B. Pub.-No Residencial</v>
      </c>
      <c r="E241" s="3463">
        <f>+'SUMIN -HOJA3'!Y167</f>
        <v>0</v>
      </c>
      <c r="F241" s="2967">
        <f ca="1">+'SUMIN -HOJA3'!Z167</f>
        <v>0</v>
      </c>
      <c r="G241" s="2967">
        <f ca="1">+'SUMIN -HOJA3'!AA167</f>
        <v>0</v>
      </c>
      <c r="H241" s="2967">
        <f ca="1">+'SUMIN -HOJA3'!AB167</f>
        <v>0</v>
      </c>
      <c r="I241" s="2967">
        <f ca="1">+'SUMIN -HOJA3'!AC167</f>
        <v>0</v>
      </c>
      <c r="J241" s="2967">
        <f ca="1">+'SUMIN -HOJA3'!AD167</f>
        <v>0</v>
      </c>
      <c r="K241" s="2967">
        <f ca="1">+'SUMIN -HOJA3'!AE167</f>
        <v>0</v>
      </c>
      <c r="L241" s="2967">
        <f t="shared" ca="1" si="271"/>
        <v>0</v>
      </c>
      <c r="M241" s="2967">
        <f t="shared" ca="1" si="272"/>
        <v>0</v>
      </c>
      <c r="N241" s="3474">
        <f t="shared" ca="1" si="273"/>
        <v>0</v>
      </c>
    </row>
    <row r="242" spans="1:70" s="250" customFormat="1" ht="59.1" customHeight="1" thickBot="1" x14ac:dyDescent="0.55000000000000004">
      <c r="A242" s="4359"/>
      <c r="B242" s="4328"/>
      <c r="C242" s="3468" t="str">
        <f>+'SUMIN -HOJA3'!W168</f>
        <v>6500-Gud</v>
      </c>
      <c r="D242" s="3469" t="str">
        <f>+'SUMIN -HOJA3'!Q168</f>
        <v>Club-Ent. B. Pub.-No Residencial</v>
      </c>
      <c r="E242" s="3475">
        <f>+'SUMIN -HOJA3'!Y168</f>
        <v>0</v>
      </c>
      <c r="F242" s="3476">
        <f ca="1">+'SUMIN -HOJA3'!Z168</f>
        <v>0</v>
      </c>
      <c r="G242" s="3476">
        <f ca="1">+'SUMIN -HOJA3'!AA168</f>
        <v>0</v>
      </c>
      <c r="H242" s="3476">
        <f ca="1">+'SUMIN -HOJA3'!AB168</f>
        <v>0</v>
      </c>
      <c r="I242" s="3476">
        <f ca="1">+'SUMIN -HOJA3'!AC168</f>
        <v>0</v>
      </c>
      <c r="J242" s="3476">
        <f ca="1">+'SUMIN -HOJA3'!AD168</f>
        <v>0</v>
      </c>
      <c r="K242" s="3476">
        <f ca="1">+'SUMIN -HOJA3'!AE168</f>
        <v>0</v>
      </c>
      <c r="L242" s="3476">
        <f t="shared" ca="1" si="271"/>
        <v>0</v>
      </c>
      <c r="M242" s="3476">
        <f t="shared" ca="1" si="272"/>
        <v>0</v>
      </c>
      <c r="N242" s="3477">
        <f t="shared" ca="1" si="273"/>
        <v>0</v>
      </c>
    </row>
    <row r="243" spans="1:70" s="250" customFormat="1" ht="59.1" customHeight="1" x14ac:dyDescent="0.5">
      <c r="A243" s="4359"/>
      <c r="B243" s="4326" t="s">
        <v>227</v>
      </c>
      <c r="C243" s="3465" t="str">
        <f>+'SUMIN -HOJA3'!W169</f>
        <v>N2-UR1</v>
      </c>
      <c r="D243" s="3466" t="str">
        <f>+'SUMIN -HOJA3'!Q169</f>
        <v>Med. Comun.-Asent. Res-Residencial</v>
      </c>
      <c r="E243" s="3471">
        <f>+'SUMIN -HOJA3'!Y169</f>
        <v>0</v>
      </c>
      <c r="F243" s="3472">
        <f ca="1">+'SUMIN -HOJA3'!Z169</f>
        <v>0</v>
      </c>
      <c r="G243" s="3472">
        <f ca="1">+'SUMIN -HOJA3'!AA169</f>
        <v>0</v>
      </c>
      <c r="H243" s="3472">
        <f ca="1">+'SUMIN -HOJA3'!AB169</f>
        <v>0</v>
      </c>
      <c r="I243" s="3472">
        <f ca="1">+'SUMIN -HOJA3'!AC169</f>
        <v>0</v>
      </c>
      <c r="J243" s="3472">
        <f ca="1">+'SUMIN -HOJA3'!AD169</f>
        <v>0</v>
      </c>
      <c r="K243" s="3472">
        <f ca="1">+'SUMIN -HOJA3'!AE169</f>
        <v>0</v>
      </c>
      <c r="L243" s="3472">
        <f t="shared" ca="1" si="271"/>
        <v>0</v>
      </c>
      <c r="M243" s="3472">
        <f t="shared" ca="1" si="272"/>
        <v>0</v>
      </c>
      <c r="N243" s="3473">
        <f t="shared" ca="1" si="273"/>
        <v>0</v>
      </c>
    </row>
    <row r="244" spans="1:70" s="250" customFormat="1" ht="59.1" customHeight="1" x14ac:dyDescent="0.5">
      <c r="A244" s="4359"/>
      <c r="B244" s="4327"/>
      <c r="C244" s="3462" t="str">
        <f>+'SUMIN -HOJA3'!W170</f>
        <v>N2-UR2</v>
      </c>
      <c r="D244" s="3467" t="str">
        <f>+'SUMIN -HOJA3'!Q170</f>
        <v>Med. Comun.-Asent. Res-Residencial</v>
      </c>
      <c r="E244" s="3463">
        <f>+'SUMIN -HOJA3'!Y170</f>
        <v>0</v>
      </c>
      <c r="F244" s="2967">
        <f ca="1">+'SUMIN -HOJA3'!Z170</f>
        <v>0</v>
      </c>
      <c r="G244" s="2967">
        <f ca="1">+'SUMIN -HOJA3'!AA170</f>
        <v>0</v>
      </c>
      <c r="H244" s="2967">
        <f ca="1">+'SUMIN -HOJA3'!AB170</f>
        <v>0</v>
      </c>
      <c r="I244" s="2967">
        <f ca="1">+'SUMIN -HOJA3'!AC170</f>
        <v>0</v>
      </c>
      <c r="J244" s="2967">
        <f ca="1">+'SUMIN -HOJA3'!AD170</f>
        <v>0</v>
      </c>
      <c r="K244" s="2967">
        <f ca="1">+'SUMIN -HOJA3'!AE170</f>
        <v>0</v>
      </c>
      <c r="L244" s="2967">
        <f t="shared" ca="1" si="271"/>
        <v>0</v>
      </c>
      <c r="M244" s="2967">
        <f t="shared" ca="1" si="272"/>
        <v>0</v>
      </c>
      <c r="N244" s="3474">
        <f t="shared" ca="1" si="273"/>
        <v>0</v>
      </c>
    </row>
    <row r="245" spans="1:70" s="250" customFormat="1" ht="59.1" customHeight="1" x14ac:dyDescent="0.5">
      <c r="A245" s="4359"/>
      <c r="B245" s="4327"/>
      <c r="C245" s="3462" t="str">
        <f>+'SUMIN -HOJA3'!W171</f>
        <v>N2-UR3</v>
      </c>
      <c r="D245" s="3467" t="str">
        <f>+'SUMIN -HOJA3'!Q171</f>
        <v>Med. Comun.-Asent. Res-Residencial</v>
      </c>
      <c r="E245" s="3463">
        <f>+'SUMIN -HOJA3'!Y171</f>
        <v>0</v>
      </c>
      <c r="F245" s="2967">
        <f ca="1">+'SUMIN -HOJA3'!Z171</f>
        <v>0</v>
      </c>
      <c r="G245" s="2967">
        <f ca="1">+'SUMIN -HOJA3'!AA171</f>
        <v>0</v>
      </c>
      <c r="H245" s="2967">
        <f ca="1">+'SUMIN -HOJA3'!AB171</f>
        <v>0</v>
      </c>
      <c r="I245" s="2967">
        <f ca="1">+'SUMIN -HOJA3'!AC171</f>
        <v>0</v>
      </c>
      <c r="J245" s="2967">
        <f ca="1">+'SUMIN -HOJA3'!AD171</f>
        <v>0</v>
      </c>
      <c r="K245" s="2967">
        <f ca="1">+'SUMIN -HOJA3'!AE171</f>
        <v>0</v>
      </c>
      <c r="L245" s="2967">
        <f t="shared" ca="1" si="271"/>
        <v>0</v>
      </c>
      <c r="M245" s="2967">
        <f t="shared" ca="1" si="272"/>
        <v>0</v>
      </c>
      <c r="N245" s="3474">
        <f t="shared" ca="1" si="273"/>
        <v>0</v>
      </c>
    </row>
    <row r="246" spans="1:70" s="250" customFormat="1" ht="59.1" customHeight="1" x14ac:dyDescent="0.5">
      <c r="A246" s="4359"/>
      <c r="B246" s="4327"/>
      <c r="C246" s="3462" t="str">
        <f>+'SUMIN -HOJA3'!W172</f>
        <v>N2-UR4</v>
      </c>
      <c r="D246" s="3467" t="str">
        <f>+'SUMIN -HOJA3'!Q172</f>
        <v>Med. Comun.-Asent. Res-Residencial</v>
      </c>
      <c r="E246" s="3463">
        <f>+'SUMIN -HOJA3'!Y172</f>
        <v>0</v>
      </c>
      <c r="F246" s="2967">
        <f ca="1">+'SUMIN -HOJA3'!Z172</f>
        <v>0</v>
      </c>
      <c r="G246" s="2967">
        <f ca="1">+'SUMIN -HOJA3'!AA172</f>
        <v>0</v>
      </c>
      <c r="H246" s="2967">
        <f ca="1">+'SUMIN -HOJA3'!AB172</f>
        <v>0</v>
      </c>
      <c r="I246" s="2967">
        <f ca="1">+'SUMIN -HOJA3'!AC172</f>
        <v>0</v>
      </c>
      <c r="J246" s="2967">
        <f ca="1">+'SUMIN -HOJA3'!AD172</f>
        <v>0</v>
      </c>
      <c r="K246" s="2967">
        <f ca="1">+'SUMIN -HOJA3'!AE172</f>
        <v>0</v>
      </c>
      <c r="L246" s="2967">
        <f t="shared" ca="1" si="271"/>
        <v>0</v>
      </c>
      <c r="M246" s="2967">
        <f t="shared" ca="1" si="272"/>
        <v>0</v>
      </c>
      <c r="N246" s="3474">
        <f t="shared" ca="1" si="273"/>
        <v>0</v>
      </c>
    </row>
    <row r="247" spans="1:70" s="250" customFormat="1" ht="59.1" customHeight="1" thickBot="1" x14ac:dyDescent="0.55000000000000004">
      <c r="A247" s="4360"/>
      <c r="B247" s="4328"/>
      <c r="C247" s="3468" t="str">
        <f>+'SUMIN -HOJA3'!W173</f>
        <v>N2-UR5</v>
      </c>
      <c r="D247" s="3469" t="str">
        <f>+'SUMIN -HOJA3'!Q173</f>
        <v>Med. Comun.-Asent. Res-Residencial</v>
      </c>
      <c r="E247" s="3475">
        <f>+'SUMIN -HOJA3'!Y173</f>
        <v>0</v>
      </c>
      <c r="F247" s="3476">
        <f ca="1">+'SUMIN -HOJA3'!Z173</f>
        <v>0</v>
      </c>
      <c r="G247" s="3476">
        <f ca="1">+'SUMIN -HOJA3'!AA173</f>
        <v>0</v>
      </c>
      <c r="H247" s="3476">
        <f ca="1">+'SUMIN -HOJA3'!AB173</f>
        <v>0</v>
      </c>
      <c r="I247" s="3476">
        <f ca="1">+'SUMIN -HOJA3'!AC173</f>
        <v>0</v>
      </c>
      <c r="J247" s="3476">
        <f ca="1">+'SUMIN -HOJA3'!AD173</f>
        <v>0</v>
      </c>
      <c r="K247" s="3476">
        <f ca="1">+'SUMIN -HOJA3'!AE173</f>
        <v>0</v>
      </c>
      <c r="L247" s="3476">
        <f t="shared" ca="1" si="271"/>
        <v>0</v>
      </c>
      <c r="M247" s="3476">
        <f t="shared" ca="1" si="272"/>
        <v>0</v>
      </c>
      <c r="N247" s="3477">
        <f t="shared" ca="1" si="273"/>
        <v>0</v>
      </c>
    </row>
    <row r="248" spans="1:70" s="250" customFormat="1" ht="59.1" customHeight="1" x14ac:dyDescent="0.35">
      <c r="A248" s="2965"/>
      <c r="B248" s="2966"/>
      <c r="C248" s="3464"/>
      <c r="D248" s="3464"/>
      <c r="E248" s="3478">
        <f>SUM(E229:E247)</f>
        <v>0</v>
      </c>
      <c r="F248" s="3478">
        <f t="shared" ref="F248:N248" ca="1" si="274">SUM(F229:F247)</f>
        <v>0</v>
      </c>
      <c r="G248" s="3478">
        <f t="shared" ca="1" si="274"/>
        <v>0</v>
      </c>
      <c r="H248" s="3478">
        <f t="shared" ca="1" si="274"/>
        <v>0</v>
      </c>
      <c r="I248" s="3478">
        <f t="shared" ca="1" si="274"/>
        <v>0</v>
      </c>
      <c r="J248" s="3478">
        <f t="shared" ca="1" si="274"/>
        <v>0</v>
      </c>
      <c r="K248" s="3478">
        <f t="shared" ca="1" si="274"/>
        <v>0</v>
      </c>
      <c r="L248" s="3478">
        <f t="shared" ca="1" si="274"/>
        <v>0</v>
      </c>
      <c r="M248" s="3478">
        <f t="shared" ca="1" si="274"/>
        <v>0</v>
      </c>
      <c r="N248" s="3478">
        <f t="shared" ca="1" si="274"/>
        <v>0</v>
      </c>
    </row>
    <row r="249" spans="1:70" s="250" customFormat="1" ht="59.1" customHeight="1" x14ac:dyDescent="0.4">
      <c r="A249" s="2965"/>
      <c r="B249" s="2966"/>
      <c r="C249" s="2966"/>
      <c r="D249" s="2966"/>
      <c r="E249" s="2156"/>
      <c r="F249" s="4344" t="s">
        <v>377</v>
      </c>
      <c r="G249" s="4344"/>
      <c r="H249" s="4344"/>
      <c r="I249" s="1791"/>
      <c r="J249" s="1791"/>
      <c r="K249" s="1791"/>
      <c r="L249" s="1752"/>
      <c r="M249" s="1752"/>
      <c r="N249" s="1753"/>
    </row>
    <row r="250" spans="1:70" s="250" customFormat="1" ht="59.1" customHeight="1" x14ac:dyDescent="0.4">
      <c r="A250" s="2965"/>
      <c r="B250" s="2966"/>
      <c r="C250" s="2966"/>
      <c r="D250" s="2966"/>
      <c r="E250" s="2156"/>
      <c r="F250" s="1730" t="s">
        <v>287</v>
      </c>
      <c r="G250" s="1730" t="s">
        <v>289</v>
      </c>
      <c r="H250" s="1730" t="s">
        <v>288</v>
      </c>
      <c r="I250" s="1791"/>
      <c r="J250" s="1791"/>
      <c r="K250" s="1791"/>
      <c r="L250" s="1752"/>
      <c r="M250" s="1752"/>
      <c r="N250" s="1753"/>
    </row>
    <row r="251" spans="1:70" s="1724" customFormat="1" ht="59.1" customHeight="1" thickBot="1" x14ac:dyDescent="0.45">
      <c r="A251" s="1762"/>
      <c r="B251" s="1763"/>
      <c r="C251" s="1763"/>
      <c r="D251" s="1763"/>
      <c r="E251" s="1764"/>
      <c r="F251" s="2664">
        <f ca="1">+F248+I248</f>
        <v>0</v>
      </c>
      <c r="G251" s="2664">
        <f ca="1">+G248+J248</f>
        <v>0</v>
      </c>
      <c r="H251" s="2664">
        <f ca="1">+H248+K248</f>
        <v>0</v>
      </c>
      <c r="I251" s="1723">
        <f ca="1">+F251+G251+H251</f>
        <v>0</v>
      </c>
      <c r="J251" s="1723"/>
      <c r="K251" s="1723"/>
      <c r="L251" s="1723"/>
      <c r="M251" s="1723"/>
      <c r="N251" s="1767"/>
      <c r="V251" s="250"/>
      <c r="W251" s="250"/>
      <c r="X251" s="250"/>
      <c r="Y251" s="250"/>
      <c r="Z251" s="250"/>
      <c r="AA251" s="250"/>
      <c r="AB251" s="250"/>
      <c r="AC251" s="250"/>
      <c r="AD251" s="250"/>
      <c r="AE251" s="250"/>
      <c r="AF251" s="250"/>
      <c r="AG251" s="250"/>
      <c r="AH251" s="250"/>
      <c r="AI251" s="250"/>
      <c r="AJ251" s="250"/>
      <c r="AK251" s="250"/>
      <c r="AL251" s="250"/>
      <c r="AM251" s="250"/>
      <c r="AN251" s="250"/>
      <c r="AO251" s="250"/>
      <c r="AP251" s="250"/>
      <c r="AQ251" s="250"/>
      <c r="AR251" s="250"/>
      <c r="AS251" s="250"/>
    </row>
    <row r="252" spans="1:70" s="250" customFormat="1" ht="59.1" customHeight="1" x14ac:dyDescent="0.4">
      <c r="A252" s="2968"/>
      <c r="B252" s="2969"/>
      <c r="C252" s="2969"/>
      <c r="D252" s="2969"/>
      <c r="E252" s="2156"/>
      <c r="F252" s="2970"/>
      <c r="G252" s="1689"/>
      <c r="H252" s="1689"/>
      <c r="I252" s="1791"/>
      <c r="J252" s="1791"/>
      <c r="K252" s="1791"/>
      <c r="L252" s="1791"/>
      <c r="M252" s="1791"/>
      <c r="N252" s="1792"/>
    </row>
    <row r="253" spans="1:70" s="250" customFormat="1" ht="59.1" customHeight="1" thickBot="1" x14ac:dyDescent="0.45">
      <c r="A253" s="2968"/>
      <c r="B253" s="2969"/>
      <c r="C253" s="2969"/>
      <c r="D253" s="2969"/>
      <c r="E253" s="2156"/>
      <c r="F253" s="2970"/>
      <c r="G253" s="1689"/>
      <c r="H253" s="1689"/>
      <c r="I253" s="1791"/>
      <c r="J253" s="1791"/>
      <c r="K253" s="1791"/>
      <c r="L253" s="1791"/>
      <c r="M253" s="1791"/>
      <c r="N253" s="1792"/>
    </row>
    <row r="254" spans="1:70" s="1724" customFormat="1" ht="59.1" customHeight="1" x14ac:dyDescent="0.4">
      <c r="A254" s="4518" t="s">
        <v>419</v>
      </c>
      <c r="B254" s="4519"/>
      <c r="C254" s="4519"/>
      <c r="D254" s="4520"/>
      <c r="E254" s="2291" t="s">
        <v>101</v>
      </c>
      <c r="F254" s="4215" t="s">
        <v>304</v>
      </c>
      <c r="G254" s="4213"/>
      <c r="H254" s="4303"/>
      <c r="I254" s="4212" t="s">
        <v>368</v>
      </c>
      <c r="J254" s="4213"/>
      <c r="K254" s="4214"/>
      <c r="L254" s="4216" t="s">
        <v>377</v>
      </c>
      <c r="M254" s="4217"/>
      <c r="N254" s="4218"/>
      <c r="P254" s="4472"/>
      <c r="Q254" s="4472"/>
      <c r="R254" s="4472"/>
      <c r="S254" s="4472"/>
      <c r="V254" s="250"/>
      <c r="W254" s="250"/>
      <c r="X254" s="250"/>
      <c r="Y254" s="250"/>
      <c r="Z254" s="250"/>
      <c r="AA254" s="250"/>
      <c r="AB254" s="250"/>
      <c r="AC254" s="250"/>
      <c r="AD254" s="250"/>
      <c r="AE254" s="250"/>
      <c r="AF254" s="250"/>
      <c r="AG254" s="250"/>
      <c r="AH254" s="250"/>
      <c r="AI254" s="250"/>
      <c r="AJ254" s="250"/>
      <c r="AK254" s="250"/>
      <c r="AL254" s="250"/>
      <c r="AM254" s="250"/>
      <c r="AN254" s="250"/>
      <c r="AO254" s="250"/>
      <c r="AP254" s="250"/>
      <c r="AQ254" s="250"/>
      <c r="AR254" s="250"/>
      <c r="AS254" s="250"/>
    </row>
    <row r="255" spans="1:70" s="1724" customFormat="1" ht="59.1" customHeight="1" x14ac:dyDescent="0.4">
      <c r="A255" s="4521"/>
      <c r="B255" s="4522"/>
      <c r="C255" s="4522"/>
      <c r="D255" s="4523"/>
      <c r="E255" s="2194"/>
      <c r="F255" s="1740" t="s">
        <v>287</v>
      </c>
      <c r="G255" s="1738" t="s">
        <v>289</v>
      </c>
      <c r="H255" s="1772" t="s">
        <v>288</v>
      </c>
      <c r="I255" s="1740" t="s">
        <v>287</v>
      </c>
      <c r="J255" s="1738" t="s">
        <v>289</v>
      </c>
      <c r="K255" s="1738" t="s">
        <v>288</v>
      </c>
      <c r="L255" s="1730" t="s">
        <v>287</v>
      </c>
      <c r="M255" s="1730" t="s">
        <v>289</v>
      </c>
      <c r="N255" s="1731" t="s">
        <v>288</v>
      </c>
      <c r="P255" s="3003"/>
      <c r="Q255" s="3003"/>
      <c r="R255" s="3003"/>
      <c r="S255" s="3003"/>
      <c r="V255" s="250"/>
      <c r="W255" s="250"/>
      <c r="X255" s="250"/>
      <c r="Y255" s="250"/>
      <c r="Z255" s="250"/>
      <c r="AA255" s="250"/>
      <c r="AB255" s="250"/>
      <c r="AC255" s="250"/>
      <c r="AD255" s="250"/>
      <c r="AE255" s="250"/>
      <c r="AF255" s="250"/>
      <c r="AG255" s="250"/>
      <c r="AH255" s="250"/>
      <c r="AI255" s="250"/>
      <c r="AJ255" s="250"/>
      <c r="AK255" s="250"/>
      <c r="AL255" s="250"/>
      <c r="AM255" s="250"/>
      <c r="AN255" s="250"/>
      <c r="AO255" s="250"/>
      <c r="AP255" s="250"/>
      <c r="AQ255" s="250"/>
      <c r="AR255" s="250"/>
      <c r="AS255" s="250"/>
    </row>
    <row r="256" spans="1:70" s="1724" customFormat="1" ht="59.1" customHeight="1" thickBot="1" x14ac:dyDescent="0.5">
      <c r="A256" s="4521"/>
      <c r="B256" s="4522"/>
      <c r="C256" s="4522"/>
      <c r="D256" s="4523"/>
      <c r="E256" s="2031">
        <f>+E196+E203+E212+E221+E248+E204+E213</f>
        <v>0</v>
      </c>
      <c r="F256" s="2031">
        <f t="shared" ref="F256:N256" ca="1" si="275">+F196+F203+F212+F221+F248+F204+F213</f>
        <v>0</v>
      </c>
      <c r="G256" s="2031">
        <f t="shared" ca="1" si="275"/>
        <v>0</v>
      </c>
      <c r="H256" s="2031">
        <f t="shared" ca="1" si="275"/>
        <v>0</v>
      </c>
      <c r="I256" s="2031">
        <f t="shared" ca="1" si="275"/>
        <v>0</v>
      </c>
      <c r="J256" s="2031">
        <f t="shared" ca="1" si="275"/>
        <v>0</v>
      </c>
      <c r="K256" s="2031">
        <f t="shared" ca="1" si="275"/>
        <v>0</v>
      </c>
      <c r="L256" s="2031">
        <f t="shared" ca="1" si="275"/>
        <v>0</v>
      </c>
      <c r="M256" s="2031">
        <f t="shared" ca="1" si="275"/>
        <v>0</v>
      </c>
      <c r="N256" s="2031">
        <f t="shared" ca="1" si="275"/>
        <v>0</v>
      </c>
      <c r="O256" s="1746">
        <f ca="1">SUM(L256:N256)</f>
        <v>0</v>
      </c>
      <c r="P256" s="1490"/>
      <c r="Q256" s="3004"/>
      <c r="R256" s="3004"/>
      <c r="S256" s="3005"/>
      <c r="V256" s="250"/>
      <c r="W256" s="250"/>
      <c r="X256" s="250"/>
      <c r="Y256" s="250"/>
      <c r="Z256" s="250"/>
      <c r="AA256" s="250"/>
      <c r="AB256" s="250"/>
      <c r="AC256" s="250"/>
      <c r="AD256" s="250"/>
      <c r="AE256" s="250"/>
      <c r="AF256" s="250"/>
      <c r="AG256" s="250"/>
      <c r="AH256" s="250"/>
      <c r="AI256" s="250"/>
      <c r="AJ256" s="250"/>
      <c r="AK256" s="250"/>
      <c r="AL256" s="250"/>
      <c r="AM256" s="250"/>
      <c r="AN256" s="250"/>
      <c r="AO256" s="250"/>
      <c r="AP256" s="250"/>
      <c r="AQ256" s="250"/>
      <c r="AR256" s="250"/>
      <c r="AS256" s="250"/>
      <c r="BR256" s="1735">
        <f ca="1">SUM(L256:BQ256)</f>
        <v>0</v>
      </c>
    </row>
    <row r="257" spans="1:45" s="1724" customFormat="1" ht="59.1" customHeight="1" x14ac:dyDescent="0.4">
      <c r="A257" s="4521"/>
      <c r="B257" s="4522"/>
      <c r="C257" s="4522"/>
      <c r="D257" s="4523"/>
      <c r="E257" s="4467"/>
      <c r="F257" s="4296" t="s">
        <v>377</v>
      </c>
      <c r="G257" s="4297"/>
      <c r="H257" s="4316"/>
      <c r="I257" s="1783"/>
      <c r="J257" s="1783"/>
      <c r="K257" s="1783"/>
      <c r="L257" s="1783"/>
      <c r="M257" s="1783"/>
      <c r="N257" s="1784"/>
      <c r="V257" s="250"/>
      <c r="W257" s="250"/>
      <c r="X257" s="250"/>
      <c r="Y257" s="250"/>
      <c r="Z257" s="250"/>
      <c r="AA257" s="250"/>
      <c r="AB257" s="250"/>
      <c r="AC257" s="250"/>
      <c r="AD257" s="250"/>
      <c r="AE257" s="250"/>
      <c r="AF257" s="250"/>
      <c r="AG257" s="250"/>
      <c r="AH257" s="250"/>
      <c r="AI257" s="250"/>
      <c r="AJ257" s="250"/>
      <c r="AK257" s="250"/>
      <c r="AL257" s="250"/>
      <c r="AM257" s="250"/>
      <c r="AN257" s="250"/>
      <c r="AO257" s="250"/>
      <c r="AP257" s="250"/>
      <c r="AQ257" s="250"/>
      <c r="AR257" s="250"/>
      <c r="AS257" s="250"/>
    </row>
    <row r="258" spans="1:45" s="1724" customFormat="1" ht="59.1" customHeight="1" thickBot="1" x14ac:dyDescent="0.45">
      <c r="A258" s="4524"/>
      <c r="B258" s="4525"/>
      <c r="C258" s="4525"/>
      <c r="D258" s="4526"/>
      <c r="E258" s="4468"/>
      <c r="F258" s="2041">
        <f ca="1">+F256+I256</f>
        <v>0</v>
      </c>
      <c r="G258" s="2042">
        <f ca="1">+G256+J256</f>
        <v>0</v>
      </c>
      <c r="H258" s="2043">
        <f ca="1">+H256+K256</f>
        <v>0</v>
      </c>
      <c r="I258" s="2592">
        <f ca="1">SUM(F258:H258)</f>
        <v>0</v>
      </c>
      <c r="J258" s="2661">
        <f ca="1">+O546</f>
        <v>0</v>
      </c>
      <c r="K258" s="2661">
        <f ca="1">+I258-J258</f>
        <v>0</v>
      </c>
      <c r="L258" s="2662"/>
      <c r="M258" s="2662"/>
      <c r="N258" s="2663"/>
      <c r="V258" s="250"/>
      <c r="W258" s="250"/>
      <c r="X258" s="250"/>
      <c r="Y258" s="250"/>
      <c r="Z258" s="250"/>
      <c r="AA258" s="250"/>
      <c r="AB258" s="250"/>
      <c r="AC258" s="250"/>
      <c r="AD258" s="250"/>
      <c r="AE258" s="250"/>
      <c r="AF258" s="250"/>
      <c r="AG258" s="250"/>
      <c r="AH258" s="250"/>
      <c r="AI258" s="250"/>
      <c r="AJ258" s="250"/>
      <c r="AK258" s="250"/>
      <c r="AL258" s="250"/>
      <c r="AM258" s="250"/>
      <c r="AN258" s="250"/>
      <c r="AO258" s="250"/>
      <c r="AP258" s="250"/>
      <c r="AQ258" s="250"/>
      <c r="AR258" s="250"/>
      <c r="AS258" s="250"/>
    </row>
    <row r="259" spans="1:45" s="250" customFormat="1" ht="59.1" customHeight="1" x14ac:dyDescent="0.4">
      <c r="A259" s="2165"/>
      <c r="B259" s="1806"/>
      <c r="C259" s="1806"/>
      <c r="D259" s="1806"/>
      <c r="E259" s="2156"/>
      <c r="F259" s="2166"/>
      <c r="G259" s="2166"/>
      <c r="H259" s="2166"/>
      <c r="I259" s="1791"/>
      <c r="J259" s="2292"/>
      <c r="K259" s="2292"/>
      <c r="L259" s="1791"/>
      <c r="M259" s="1791"/>
      <c r="N259" s="1792"/>
    </row>
    <row r="260" spans="1:45" s="1724" customFormat="1" ht="58.5" customHeight="1" x14ac:dyDescent="0.4">
      <c r="A260" s="1793"/>
      <c r="B260" s="1794"/>
      <c r="C260" s="1794"/>
      <c r="D260" s="1794"/>
      <c r="E260" s="1764"/>
      <c r="F260" s="1795"/>
      <c r="G260" s="1795"/>
      <c r="H260" s="1795"/>
      <c r="I260" s="1791"/>
      <c r="J260" s="1791"/>
      <c r="K260" s="1791"/>
      <c r="L260" s="1791"/>
      <c r="M260" s="1791"/>
      <c r="N260" s="1792"/>
      <c r="V260" s="250"/>
      <c r="W260" s="250"/>
      <c r="X260" s="250"/>
      <c r="Y260" s="250"/>
      <c r="Z260" s="250"/>
      <c r="AA260" s="250"/>
      <c r="AB260" s="250"/>
      <c r="AC260" s="250"/>
      <c r="AD260" s="250"/>
      <c r="AE260" s="250"/>
      <c r="AF260" s="250"/>
      <c r="AG260" s="250"/>
      <c r="AH260" s="250"/>
      <c r="AI260" s="250"/>
      <c r="AJ260" s="250"/>
      <c r="AK260" s="250"/>
      <c r="AL260" s="250"/>
      <c r="AM260" s="250"/>
      <c r="AN260" s="250"/>
      <c r="AO260" s="250"/>
      <c r="AP260" s="250"/>
      <c r="AQ260" s="250"/>
      <c r="AR260" s="250"/>
      <c r="AS260" s="250"/>
    </row>
    <row r="261" spans="1:45" s="1724" customFormat="1" ht="30" customHeight="1" thickBot="1" x14ac:dyDescent="0.45">
      <c r="A261" s="1793"/>
      <c r="B261" s="1794"/>
      <c r="C261" s="1794"/>
      <c r="D261" s="1794"/>
      <c r="E261" s="1764"/>
      <c r="F261" s="1795"/>
      <c r="G261" s="1795"/>
      <c r="H261" s="1795"/>
      <c r="I261" s="1791"/>
      <c r="J261" s="1791"/>
      <c r="K261" s="1791"/>
      <c r="L261" s="1791"/>
      <c r="M261" s="1791"/>
      <c r="N261" s="1792"/>
      <c r="V261" s="250"/>
      <c r="W261" s="250"/>
      <c r="X261" s="250"/>
      <c r="Y261" s="250"/>
      <c r="Z261" s="250"/>
      <c r="AA261" s="250"/>
      <c r="AB261" s="250"/>
      <c r="AC261" s="250"/>
      <c r="AD261" s="250"/>
      <c r="AE261" s="250"/>
      <c r="AF261" s="250"/>
      <c r="AG261" s="250"/>
      <c r="AH261" s="250"/>
      <c r="AI261" s="250"/>
      <c r="AJ261" s="250"/>
      <c r="AK261" s="250"/>
      <c r="AL261" s="250"/>
      <c r="AM261" s="250"/>
      <c r="AN261" s="250"/>
      <c r="AO261" s="250"/>
      <c r="AP261" s="250"/>
      <c r="AQ261" s="250"/>
      <c r="AR261" s="250"/>
      <c r="AS261" s="250"/>
    </row>
    <row r="262" spans="1:45" s="250" customFormat="1" ht="30" customHeight="1" thickBot="1" x14ac:dyDescent="0.4">
      <c r="A262" s="4443" t="s">
        <v>420</v>
      </c>
      <c r="B262" s="4444"/>
      <c r="C262" s="4444"/>
      <c r="D262" s="4444"/>
      <c r="E262" s="4444"/>
      <c r="F262" s="4444"/>
      <c r="G262" s="4444"/>
      <c r="H262" s="4444"/>
      <c r="I262" s="4444"/>
      <c r="J262" s="4444"/>
      <c r="K262" s="4445"/>
      <c r="L262" s="1797"/>
      <c r="M262" s="1797"/>
      <c r="N262" s="1799"/>
    </row>
    <row r="263" spans="1:45" s="250" customFormat="1" ht="87.75" customHeight="1" x14ac:dyDescent="0.4">
      <c r="A263" s="4351" t="s">
        <v>421</v>
      </c>
      <c r="B263" s="1800" t="s">
        <v>29</v>
      </c>
      <c r="C263" s="1801" t="s">
        <v>101</v>
      </c>
      <c r="D263" s="1802" t="s">
        <v>422</v>
      </c>
      <c r="E263" s="2190"/>
      <c r="F263" s="4212" t="s">
        <v>304</v>
      </c>
      <c r="G263" s="4213"/>
      <c r="H263" s="4214"/>
      <c r="I263" s="4215" t="s">
        <v>368</v>
      </c>
      <c r="J263" s="4213"/>
      <c r="K263" s="4214"/>
      <c r="L263" s="4296" t="s">
        <v>377</v>
      </c>
      <c r="M263" s="4297"/>
      <c r="N263" s="4316"/>
      <c r="P263" s="4472"/>
      <c r="Q263" s="4472"/>
      <c r="R263" s="4472"/>
      <c r="S263" s="4472"/>
    </row>
    <row r="264" spans="1:45" s="250" customFormat="1" ht="30" customHeight="1" x14ac:dyDescent="0.4">
      <c r="A264" s="4352"/>
      <c r="C264" s="1806"/>
      <c r="D264" s="1806"/>
      <c r="E264" s="2190"/>
      <c r="F264" s="1740" t="s">
        <v>287</v>
      </c>
      <c r="G264" s="1738" t="s">
        <v>289</v>
      </c>
      <c r="H264" s="1738" t="s">
        <v>288</v>
      </c>
      <c r="I264" s="1738" t="s">
        <v>287</v>
      </c>
      <c r="J264" s="1738" t="s">
        <v>289</v>
      </c>
      <c r="K264" s="1738" t="s">
        <v>288</v>
      </c>
      <c r="L264" s="1730" t="s">
        <v>287</v>
      </c>
      <c r="M264" s="1730" t="s">
        <v>289</v>
      </c>
      <c r="N264" s="1731" t="s">
        <v>288</v>
      </c>
      <c r="P264" s="3003"/>
      <c r="Q264" s="3003"/>
      <c r="R264" s="3003"/>
      <c r="S264" s="3003"/>
    </row>
    <row r="265" spans="1:45" s="250" customFormat="1" ht="76.5" customHeight="1" thickBot="1" x14ac:dyDescent="0.5">
      <c r="A265" s="4352"/>
      <c r="B265" s="1807" t="s">
        <v>423</v>
      </c>
      <c r="C265" s="2981">
        <f>+D564</f>
        <v>0</v>
      </c>
      <c r="D265" s="2981">
        <f>+IF(F564=10,11,F564)</f>
        <v>0</v>
      </c>
      <c r="E265" s="2982"/>
      <c r="F265" s="2984">
        <f t="shared" ref="F265:K265" si="276">+G564</f>
        <v>0</v>
      </c>
      <c r="G265" s="2981">
        <f t="shared" si="276"/>
        <v>0</v>
      </c>
      <c r="H265" s="2981">
        <f t="shared" si="276"/>
        <v>0</v>
      </c>
      <c r="I265" s="2981">
        <f t="shared" si="276"/>
        <v>0</v>
      </c>
      <c r="J265" s="2981">
        <f t="shared" si="276"/>
        <v>0</v>
      </c>
      <c r="K265" s="2981">
        <f t="shared" si="276"/>
        <v>0</v>
      </c>
      <c r="L265" s="2035">
        <f>+F265+I265</f>
        <v>0</v>
      </c>
      <c r="M265" s="2035">
        <f>+G265+J265</f>
        <v>0</v>
      </c>
      <c r="N265" s="2036">
        <f>+H265+K265</f>
        <v>0</v>
      </c>
      <c r="O265" s="1746">
        <f>SUM(L265:N265)</f>
        <v>0</v>
      </c>
      <c r="P265" s="1490"/>
      <c r="Q265" s="3004"/>
      <c r="R265" s="3004"/>
      <c r="S265" s="3005"/>
    </row>
    <row r="266" spans="1:45" s="250" customFormat="1" ht="76.5" customHeight="1" x14ac:dyDescent="0.4">
      <c r="A266" s="4352"/>
      <c r="B266" s="4338"/>
      <c r="C266" s="4339"/>
      <c r="D266" s="4339"/>
      <c r="E266" s="4340"/>
      <c r="F266" s="4357" t="s">
        <v>377</v>
      </c>
      <c r="G266" s="4297"/>
      <c r="H266" s="4316"/>
      <c r="I266" s="1791"/>
      <c r="J266" s="1791"/>
      <c r="K266" s="1791"/>
      <c r="L266" s="1791"/>
      <c r="M266" s="1791"/>
      <c r="N266" s="1792"/>
    </row>
    <row r="267" spans="1:45" s="250" customFormat="1" ht="76.5" customHeight="1" thickBot="1" x14ac:dyDescent="0.45">
      <c r="A267" s="4527"/>
      <c r="B267" s="4341"/>
      <c r="C267" s="4342"/>
      <c r="D267" s="4342"/>
      <c r="E267" s="4343"/>
      <c r="F267" s="2041">
        <f>+F265+I265</f>
        <v>0</v>
      </c>
      <c r="G267" s="2041">
        <f>+G265+J265</f>
        <v>0</v>
      </c>
      <c r="H267" s="2041">
        <f>+H265+K265</f>
        <v>0</v>
      </c>
      <c r="I267" s="1723">
        <f>SUM(F267:H267)</f>
        <v>0</v>
      </c>
      <c r="J267" s="2292"/>
      <c r="K267" s="2292"/>
      <c r="L267" s="1791"/>
      <c r="M267" s="1791"/>
      <c r="N267" s="1792"/>
    </row>
    <row r="268" spans="1:45" s="250" customFormat="1" ht="76.5" customHeight="1" thickBot="1" x14ac:dyDescent="0.45">
      <c r="A268" s="1793"/>
      <c r="B268" s="1794"/>
      <c r="C268" s="1794"/>
      <c r="D268" s="1794"/>
      <c r="E268" s="1794"/>
      <c r="F268" s="1795"/>
      <c r="G268" s="1795"/>
      <c r="H268" s="1795"/>
      <c r="I268" s="2296"/>
      <c r="J268" s="2296"/>
      <c r="K268" s="2296"/>
      <c r="L268" s="1723"/>
      <c r="M268" s="1723"/>
      <c r="N268" s="1767"/>
      <c r="O268" s="1724"/>
    </row>
    <row r="269" spans="1:45" s="250" customFormat="1" ht="76.5" customHeight="1" thickBot="1" x14ac:dyDescent="0.4">
      <c r="A269" s="4443" t="s">
        <v>424</v>
      </c>
      <c r="B269" s="4444"/>
      <c r="C269" s="4444"/>
      <c r="D269" s="4444"/>
      <c r="E269" s="4444"/>
      <c r="F269" s="4444"/>
      <c r="G269" s="4444"/>
      <c r="H269" s="4444"/>
      <c r="I269" s="4444"/>
      <c r="J269" s="4444"/>
      <c r="K269" s="4445"/>
      <c r="L269" s="1806"/>
      <c r="M269" s="1806"/>
      <c r="N269" s="1815"/>
      <c r="O269" s="1816"/>
    </row>
    <row r="270" spans="1:45" s="250" customFormat="1" ht="85.5" customHeight="1" x14ac:dyDescent="0.4">
      <c r="A270" s="4351" t="s">
        <v>425</v>
      </c>
      <c r="B270" s="1800" t="s">
        <v>29</v>
      </c>
      <c r="C270" s="1801" t="s">
        <v>101</v>
      </c>
      <c r="D270" s="1802" t="s">
        <v>422</v>
      </c>
      <c r="E270" s="2190"/>
      <c r="F270" s="4212" t="s">
        <v>304</v>
      </c>
      <c r="G270" s="4213"/>
      <c r="H270" s="4214"/>
      <c r="I270" s="4215" t="s">
        <v>368</v>
      </c>
      <c r="J270" s="4213"/>
      <c r="K270" s="4214"/>
      <c r="L270" s="4296" t="s">
        <v>377</v>
      </c>
      <c r="M270" s="4297"/>
      <c r="N270" s="4316"/>
    </row>
    <row r="271" spans="1:45" s="250" customFormat="1" ht="76.5" customHeight="1" x14ac:dyDescent="0.35">
      <c r="A271" s="4352"/>
      <c r="C271" s="1806"/>
      <c r="D271" s="1806"/>
      <c r="E271" s="2190"/>
      <c r="F271" s="1740" t="s">
        <v>287</v>
      </c>
      <c r="G271" s="1738" t="s">
        <v>289</v>
      </c>
      <c r="H271" s="1738" t="s">
        <v>288</v>
      </c>
      <c r="I271" s="1738" t="s">
        <v>287</v>
      </c>
      <c r="J271" s="1738" t="s">
        <v>289</v>
      </c>
      <c r="K271" s="1738" t="s">
        <v>288</v>
      </c>
      <c r="L271" s="1730" t="s">
        <v>287</v>
      </c>
      <c r="M271" s="1730" t="s">
        <v>289</v>
      </c>
      <c r="N271" s="1731" t="s">
        <v>288</v>
      </c>
    </row>
    <row r="272" spans="1:45" s="250" customFormat="1" ht="76.5" customHeight="1" x14ac:dyDescent="0.35">
      <c r="A272" s="4352"/>
      <c r="B272" s="2046" t="s">
        <v>426</v>
      </c>
      <c r="C272" s="2981">
        <f>+D554</f>
        <v>0</v>
      </c>
      <c r="D272" s="2981">
        <f>+F554</f>
        <v>0</v>
      </c>
      <c r="E272" s="2982"/>
      <c r="F272" s="2981">
        <f>+G554</f>
        <v>0</v>
      </c>
      <c r="G272" s="2981">
        <f t="shared" ref="G272:J273" si="277">+H554</f>
        <v>0</v>
      </c>
      <c r="H272" s="2981">
        <f t="shared" si="277"/>
        <v>0</v>
      </c>
      <c r="I272" s="2981">
        <f t="shared" si="277"/>
        <v>0</v>
      </c>
      <c r="J272" s="2981">
        <f t="shared" si="277"/>
        <v>0</v>
      </c>
      <c r="K272" s="2981">
        <f>+L554</f>
        <v>0</v>
      </c>
      <c r="L272" s="1558">
        <f t="shared" ref="L272:N273" si="278">+F272+I272</f>
        <v>0</v>
      </c>
      <c r="M272" s="1558">
        <f t="shared" si="278"/>
        <v>0</v>
      </c>
      <c r="N272" s="1559">
        <f t="shared" si="278"/>
        <v>0</v>
      </c>
    </row>
    <row r="273" spans="1:45" s="250" customFormat="1" ht="76.5" customHeight="1" x14ac:dyDescent="0.35">
      <c r="A273" s="4352"/>
      <c r="B273" s="2046" t="s">
        <v>423</v>
      </c>
      <c r="C273" s="2981">
        <f>+D555</f>
        <v>0</v>
      </c>
      <c r="D273" s="2981">
        <f>+F555</f>
        <v>0</v>
      </c>
      <c r="E273" s="2983"/>
      <c r="F273" s="2981">
        <f>+G555</f>
        <v>0</v>
      </c>
      <c r="G273" s="2981">
        <f t="shared" si="277"/>
        <v>0</v>
      </c>
      <c r="H273" s="2981">
        <f t="shared" si="277"/>
        <v>0</v>
      </c>
      <c r="I273" s="2981">
        <f t="shared" si="277"/>
        <v>0</v>
      </c>
      <c r="J273" s="2981">
        <f t="shared" si="277"/>
        <v>0</v>
      </c>
      <c r="K273" s="2981">
        <f>+L555</f>
        <v>0</v>
      </c>
      <c r="L273" s="1558">
        <f t="shared" si="278"/>
        <v>0</v>
      </c>
      <c r="M273" s="1558">
        <f t="shared" si="278"/>
        <v>0</v>
      </c>
      <c r="N273" s="1559">
        <f t="shared" si="278"/>
        <v>0</v>
      </c>
    </row>
    <row r="274" spans="1:45" s="1724" customFormat="1" ht="76.5" customHeight="1" thickBot="1" x14ac:dyDescent="0.4">
      <c r="A274" s="4352"/>
      <c r="B274" s="4318"/>
      <c r="C274" s="4319"/>
      <c r="D274" s="4319"/>
      <c r="E274" s="4333"/>
      <c r="F274" s="2041">
        <f>SUM(F272:F273)</f>
        <v>0</v>
      </c>
      <c r="G274" s="2041">
        <f t="shared" ref="G274:N274" si="279">SUM(G272:G273)</f>
        <v>0</v>
      </c>
      <c r="H274" s="2041">
        <f t="shared" si="279"/>
        <v>0</v>
      </c>
      <c r="I274" s="2041">
        <f t="shared" si="279"/>
        <v>0</v>
      </c>
      <c r="J274" s="2041">
        <f t="shared" si="279"/>
        <v>0</v>
      </c>
      <c r="K274" s="2041">
        <f t="shared" si="279"/>
        <v>0</v>
      </c>
      <c r="L274" s="2041">
        <f t="shared" si="279"/>
        <v>0</v>
      </c>
      <c r="M274" s="2041">
        <f t="shared" si="279"/>
        <v>0</v>
      </c>
      <c r="N274" s="2056">
        <f t="shared" si="279"/>
        <v>0</v>
      </c>
      <c r="O274" s="1746">
        <f>SUM(L274:N274)</f>
        <v>0</v>
      </c>
      <c r="V274" s="250"/>
      <c r="W274" s="250"/>
      <c r="X274" s="250"/>
      <c r="Y274" s="250"/>
      <c r="Z274" s="250"/>
      <c r="AA274" s="250"/>
      <c r="AB274" s="250"/>
      <c r="AC274" s="250"/>
      <c r="AD274" s="250"/>
      <c r="AE274" s="250"/>
      <c r="AF274" s="250"/>
      <c r="AG274" s="250"/>
      <c r="AH274" s="250"/>
      <c r="AI274" s="250"/>
      <c r="AJ274" s="250"/>
      <c r="AK274" s="250"/>
      <c r="AL274" s="250"/>
      <c r="AM274" s="250"/>
      <c r="AN274" s="250"/>
      <c r="AO274" s="250"/>
      <c r="AP274" s="250"/>
      <c r="AQ274" s="250"/>
      <c r="AR274" s="250"/>
      <c r="AS274" s="250"/>
    </row>
    <row r="275" spans="1:45" s="250" customFormat="1" ht="76.5" customHeight="1" x14ac:dyDescent="0.5">
      <c r="A275" s="4352"/>
      <c r="B275" s="4318"/>
      <c r="C275" s="4319"/>
      <c r="D275" s="4319"/>
      <c r="E275" s="4333"/>
      <c r="F275" s="4335" t="s">
        <v>377</v>
      </c>
      <c r="G275" s="4336"/>
      <c r="H275" s="4337"/>
      <c r="I275" s="2058"/>
      <c r="J275" s="2058"/>
      <c r="K275" s="2058"/>
      <c r="L275" s="2058"/>
      <c r="M275" s="2058"/>
      <c r="N275" s="2059"/>
    </row>
    <row r="276" spans="1:45" s="250" customFormat="1" ht="76.5" customHeight="1" thickBot="1" x14ac:dyDescent="0.55000000000000004">
      <c r="A276" s="4353"/>
      <c r="B276" s="4320"/>
      <c r="C276" s="4321"/>
      <c r="D276" s="4321"/>
      <c r="E276" s="4334"/>
      <c r="F276" s="2041">
        <f>+F274+I274</f>
        <v>0</v>
      </c>
      <c r="G276" s="2041">
        <f>+G274+J274</f>
        <v>0</v>
      </c>
      <c r="H276" s="2041">
        <f>+H274+K274</f>
        <v>0</v>
      </c>
      <c r="I276" s="1723">
        <f>SUM(F276:H276)</f>
        <v>0</v>
      </c>
      <c r="J276" s="2298"/>
      <c r="K276" s="2298"/>
      <c r="L276" s="2058"/>
      <c r="M276" s="2058"/>
      <c r="N276" s="2059"/>
    </row>
    <row r="277" spans="1:45" s="250" customFormat="1" ht="76.5" customHeight="1" thickBot="1" x14ac:dyDescent="0.45">
      <c r="A277" s="1793"/>
      <c r="B277" s="1794"/>
      <c r="C277" s="1794"/>
      <c r="D277" s="1794"/>
      <c r="E277" s="1794"/>
      <c r="F277" s="1795"/>
      <c r="G277" s="1795"/>
      <c r="H277" s="1795"/>
      <c r="I277" s="2296"/>
      <c r="J277" s="2296"/>
      <c r="K277" s="2296"/>
      <c r="L277" s="1723"/>
      <c r="M277" s="1723"/>
      <c r="N277" s="1767"/>
    </row>
    <row r="278" spans="1:45" s="250" customFormat="1" ht="76.5" customHeight="1" thickBot="1" x14ac:dyDescent="0.4">
      <c r="A278" s="4443" t="s">
        <v>427</v>
      </c>
      <c r="B278" s="4444"/>
      <c r="C278" s="4444"/>
      <c r="D278" s="4444"/>
      <c r="E278" s="4444"/>
      <c r="F278" s="4444"/>
      <c r="G278" s="4444"/>
      <c r="H278" s="4444"/>
      <c r="I278" s="4444"/>
      <c r="J278" s="4444"/>
      <c r="K278" s="4445"/>
      <c r="L278" s="1806"/>
      <c r="M278" s="1806"/>
      <c r="N278" s="1815"/>
    </row>
    <row r="279" spans="1:45" s="250" customFormat="1" ht="76.5" customHeight="1" x14ac:dyDescent="0.4">
      <c r="A279" s="4351" t="s">
        <v>428</v>
      </c>
      <c r="B279" s="1821" t="s">
        <v>29</v>
      </c>
      <c r="C279" s="1822" t="s">
        <v>101</v>
      </c>
      <c r="D279" s="1823" t="s">
        <v>422</v>
      </c>
      <c r="E279" s="2299"/>
      <c r="F279" s="4212" t="s">
        <v>304</v>
      </c>
      <c r="G279" s="4213"/>
      <c r="H279" s="4214"/>
      <c r="I279" s="4215" t="s">
        <v>368</v>
      </c>
      <c r="J279" s="4213"/>
      <c r="K279" s="4214"/>
      <c r="L279" s="4296" t="s">
        <v>377</v>
      </c>
      <c r="M279" s="4297"/>
      <c r="N279" s="4316"/>
    </row>
    <row r="280" spans="1:45" s="250" customFormat="1" ht="76.5" customHeight="1" x14ac:dyDescent="0.35">
      <c r="A280" s="4352"/>
      <c r="C280" s="1806"/>
      <c r="D280" s="1806"/>
      <c r="E280" s="2190"/>
      <c r="F280" s="1740" t="s">
        <v>287</v>
      </c>
      <c r="G280" s="1738" t="s">
        <v>289</v>
      </c>
      <c r="H280" s="1738" t="s">
        <v>288</v>
      </c>
      <c r="I280" s="1738" t="s">
        <v>287</v>
      </c>
      <c r="J280" s="1738" t="s">
        <v>289</v>
      </c>
      <c r="K280" s="1738" t="s">
        <v>288</v>
      </c>
      <c r="L280" s="1730" t="s">
        <v>287</v>
      </c>
      <c r="M280" s="1730" t="s">
        <v>289</v>
      </c>
      <c r="N280" s="1731" t="s">
        <v>288</v>
      </c>
    </row>
    <row r="281" spans="1:45" s="250" customFormat="1" ht="76.5" customHeight="1" x14ac:dyDescent="0.35">
      <c r="A281" s="4352"/>
      <c r="B281" s="2046" t="s">
        <v>426</v>
      </c>
      <c r="C281" s="2960">
        <f>+D576</f>
        <v>0</v>
      </c>
      <c r="D281" s="2960">
        <f ca="1">+F576</f>
        <v>0</v>
      </c>
      <c r="E281" s="2293"/>
      <c r="F281" s="2960">
        <f t="shared" ref="F281:J282" ca="1" si="280">+G576</f>
        <v>0</v>
      </c>
      <c r="G281" s="2960">
        <f t="shared" ca="1" si="280"/>
        <v>0</v>
      </c>
      <c r="H281" s="2960">
        <f t="shared" ca="1" si="280"/>
        <v>0</v>
      </c>
      <c r="I281" s="2960">
        <f t="shared" ca="1" si="280"/>
        <v>0</v>
      </c>
      <c r="J281" s="2960">
        <f t="shared" ca="1" si="280"/>
        <v>0</v>
      </c>
      <c r="K281" s="2960">
        <f ca="1">+L576</f>
        <v>0</v>
      </c>
      <c r="L281" s="2961">
        <f t="shared" ref="L281:N282" ca="1" si="281">+F281+I281</f>
        <v>0</v>
      </c>
      <c r="M281" s="2961">
        <f t="shared" ca="1" si="281"/>
        <v>0</v>
      </c>
      <c r="N281" s="2962">
        <f t="shared" ca="1" si="281"/>
        <v>0</v>
      </c>
    </row>
    <row r="282" spans="1:45" s="250" customFormat="1" ht="76.5" customHeight="1" x14ac:dyDescent="0.35">
      <c r="A282" s="4352"/>
      <c r="B282" s="2046" t="s">
        <v>423</v>
      </c>
      <c r="C282" s="2960">
        <f>+D577</f>
        <v>0</v>
      </c>
      <c r="D282" s="2960">
        <f ca="1">+F577</f>
        <v>0</v>
      </c>
      <c r="E282" s="2297"/>
      <c r="F282" s="2960">
        <f t="shared" ca="1" si="280"/>
        <v>0</v>
      </c>
      <c r="G282" s="2960">
        <f t="shared" ca="1" si="280"/>
        <v>0</v>
      </c>
      <c r="H282" s="2960">
        <f t="shared" ca="1" si="280"/>
        <v>0</v>
      </c>
      <c r="I282" s="2960">
        <f t="shared" ca="1" si="280"/>
        <v>0</v>
      </c>
      <c r="J282" s="2960">
        <f t="shared" ca="1" si="280"/>
        <v>0</v>
      </c>
      <c r="K282" s="2960">
        <f ca="1">+L577</f>
        <v>0</v>
      </c>
      <c r="L282" s="2961">
        <f t="shared" ca="1" si="281"/>
        <v>0</v>
      </c>
      <c r="M282" s="2961">
        <f t="shared" ca="1" si="281"/>
        <v>0</v>
      </c>
      <c r="N282" s="2962">
        <f t="shared" ca="1" si="281"/>
        <v>0</v>
      </c>
    </row>
    <row r="283" spans="1:45" s="250" customFormat="1" ht="76.5" customHeight="1" thickBot="1" x14ac:dyDescent="0.4">
      <c r="A283" s="4352"/>
      <c r="B283" s="4318"/>
      <c r="C283" s="4319"/>
      <c r="D283" s="4319"/>
      <c r="E283" s="4319"/>
      <c r="F283" s="2979">
        <f t="shared" ref="F283:N283" ca="1" si="282">SUM(F281:F282)</f>
        <v>0</v>
      </c>
      <c r="G283" s="2979">
        <f t="shared" ca="1" si="282"/>
        <v>0</v>
      </c>
      <c r="H283" s="2979">
        <f t="shared" ca="1" si="282"/>
        <v>0</v>
      </c>
      <c r="I283" s="2963">
        <f t="shared" ca="1" si="282"/>
        <v>0</v>
      </c>
      <c r="J283" s="2963">
        <f t="shared" ca="1" si="282"/>
        <v>0</v>
      </c>
      <c r="K283" s="2963">
        <f t="shared" ca="1" si="282"/>
        <v>0</v>
      </c>
      <c r="L283" s="2963">
        <f t="shared" ca="1" si="282"/>
        <v>0</v>
      </c>
      <c r="M283" s="2963">
        <f t="shared" ca="1" si="282"/>
        <v>0</v>
      </c>
      <c r="N283" s="2964">
        <f t="shared" ca="1" si="282"/>
        <v>0</v>
      </c>
      <c r="O283" s="1746">
        <f ca="1">SUM(L283:N283)</f>
        <v>0</v>
      </c>
    </row>
    <row r="284" spans="1:45" s="1724" customFormat="1" ht="76.5" customHeight="1" x14ac:dyDescent="0.5">
      <c r="A284" s="4352"/>
      <c r="B284" s="4318"/>
      <c r="C284" s="4319"/>
      <c r="D284" s="4319"/>
      <c r="E284" s="4319"/>
      <c r="F284" s="4322" t="s">
        <v>377</v>
      </c>
      <c r="G284" s="4323"/>
      <c r="H284" s="4324"/>
      <c r="I284" s="2048"/>
      <c r="J284" s="2048"/>
      <c r="K284" s="2048"/>
      <c r="L284" s="2048"/>
      <c r="M284" s="2048"/>
      <c r="N284" s="2049"/>
      <c r="V284" s="250"/>
      <c r="W284" s="250"/>
      <c r="X284" s="250"/>
      <c r="Y284" s="250"/>
      <c r="Z284" s="250"/>
      <c r="AA284" s="250"/>
      <c r="AB284" s="250"/>
      <c r="AC284" s="250"/>
      <c r="AD284" s="250"/>
      <c r="AE284" s="250"/>
      <c r="AF284" s="250"/>
      <c r="AG284" s="250"/>
      <c r="AH284" s="250"/>
      <c r="AI284" s="250"/>
      <c r="AJ284" s="250"/>
      <c r="AK284" s="250"/>
      <c r="AL284" s="250"/>
      <c r="AM284" s="250"/>
      <c r="AN284" s="250"/>
      <c r="AO284" s="250"/>
      <c r="AP284" s="250"/>
      <c r="AQ284" s="250"/>
      <c r="AR284" s="250"/>
      <c r="AS284" s="250"/>
    </row>
    <row r="285" spans="1:45" s="250" customFormat="1" ht="76.5" customHeight="1" thickBot="1" x14ac:dyDescent="0.55000000000000004">
      <c r="A285" s="4353"/>
      <c r="B285" s="4320"/>
      <c r="C285" s="4321"/>
      <c r="D285" s="4321"/>
      <c r="E285" s="4321"/>
      <c r="F285" s="2066">
        <f ca="1">+F283+I283</f>
        <v>0</v>
      </c>
      <c r="G285" s="2066">
        <f ca="1">+G283+J283</f>
        <v>0</v>
      </c>
      <c r="H285" s="2066">
        <f ca="1">+H283+K283</f>
        <v>0</v>
      </c>
      <c r="I285" s="1723">
        <f ca="1">SUM(F285:H285)</f>
        <v>0</v>
      </c>
      <c r="J285" s="2048"/>
      <c r="K285" s="2048"/>
      <c r="L285" s="2048"/>
      <c r="M285" s="2048"/>
      <c r="N285" s="2049"/>
    </row>
    <row r="286" spans="1:45" s="1724" customFormat="1" ht="76.5" customHeight="1" x14ac:dyDescent="0.4">
      <c r="A286" s="1793"/>
      <c r="B286" s="1794"/>
      <c r="C286" s="1794"/>
      <c r="D286" s="1794"/>
      <c r="E286" s="1794"/>
      <c r="F286" s="1795"/>
      <c r="G286" s="1795"/>
      <c r="H286" s="1795"/>
      <c r="I286" s="1723"/>
      <c r="J286" s="1723"/>
      <c r="K286" s="1723"/>
      <c r="L286" s="1723"/>
      <c r="M286" s="1723"/>
      <c r="N286" s="1767"/>
      <c r="V286" s="250"/>
      <c r="W286" s="250"/>
      <c r="X286" s="250"/>
      <c r="Y286" s="250"/>
      <c r="Z286" s="250"/>
      <c r="AA286" s="250"/>
      <c r="AB286" s="250"/>
      <c r="AC286" s="250"/>
      <c r="AD286" s="250"/>
      <c r="AE286" s="250"/>
      <c r="AF286" s="250"/>
      <c r="AG286" s="250"/>
      <c r="AH286" s="250"/>
      <c r="AI286" s="250"/>
      <c r="AJ286" s="250"/>
      <c r="AK286" s="250"/>
      <c r="AL286" s="250"/>
      <c r="AM286" s="250"/>
      <c r="AN286" s="250"/>
      <c r="AO286" s="250"/>
      <c r="AP286" s="250"/>
      <c r="AQ286" s="250"/>
      <c r="AR286" s="250"/>
      <c r="AS286" s="250"/>
    </row>
    <row r="287" spans="1:45" s="250" customFormat="1" ht="76.5" hidden="1" customHeight="1" x14ac:dyDescent="0.35">
      <c r="A287" s="4299" t="s">
        <v>429</v>
      </c>
      <c r="B287" s="4299"/>
      <c r="C287" s="4299"/>
      <c r="D287" s="4299"/>
      <c r="E287" s="4299"/>
      <c r="F287" s="4317" t="s">
        <v>304</v>
      </c>
      <c r="G287" s="4317"/>
      <c r="H287" s="4317"/>
      <c r="I287" s="4317" t="s">
        <v>368</v>
      </c>
      <c r="J287" s="4317"/>
      <c r="K287" s="4317"/>
      <c r="L287" s="4217" t="s">
        <v>377</v>
      </c>
      <c r="M287" s="4217"/>
      <c r="N287" s="4218"/>
    </row>
    <row r="288" spans="1:45" s="1724" customFormat="1" ht="76.5" hidden="1" customHeight="1" thickBot="1" x14ac:dyDescent="0.4">
      <c r="A288" s="4299"/>
      <c r="B288" s="4299"/>
      <c r="C288" s="4299"/>
      <c r="D288" s="4299"/>
      <c r="E288" s="4299"/>
      <c r="F288" s="1738" t="s">
        <v>287</v>
      </c>
      <c r="G288" s="1738" t="s">
        <v>289</v>
      </c>
      <c r="H288" s="1738" t="s">
        <v>288</v>
      </c>
      <c r="I288" s="1738" t="s">
        <v>287</v>
      </c>
      <c r="J288" s="1738" t="s">
        <v>289</v>
      </c>
      <c r="K288" s="1738" t="s">
        <v>288</v>
      </c>
      <c r="L288" s="2971" t="s">
        <v>287</v>
      </c>
      <c r="M288" s="1883" t="s">
        <v>289</v>
      </c>
      <c r="N288" s="2706" t="s">
        <v>288</v>
      </c>
      <c r="V288" s="250"/>
      <c r="W288" s="250"/>
      <c r="X288" s="250"/>
      <c r="Y288" s="250"/>
      <c r="Z288" s="250"/>
      <c r="AA288" s="250"/>
      <c r="AB288" s="250"/>
      <c r="AC288" s="250"/>
      <c r="AD288" s="250"/>
      <c r="AE288" s="250"/>
      <c r="AF288" s="250"/>
      <c r="AG288" s="250"/>
      <c r="AH288" s="250"/>
      <c r="AI288" s="250"/>
      <c r="AJ288" s="250"/>
      <c r="AK288" s="250"/>
      <c r="AL288" s="250"/>
      <c r="AM288" s="250"/>
      <c r="AN288" s="250"/>
      <c r="AO288" s="250"/>
      <c r="AP288" s="250"/>
      <c r="AQ288" s="250"/>
      <c r="AR288" s="250"/>
      <c r="AS288" s="250"/>
    </row>
    <row r="289" spans="1:45" s="1724" customFormat="1" ht="76.5" hidden="1" customHeight="1" thickBot="1" x14ac:dyDescent="0.4">
      <c r="A289" s="4299"/>
      <c r="B289" s="4299"/>
      <c r="C289" s="4299"/>
      <c r="D289" s="4299"/>
      <c r="E289" s="4299"/>
      <c r="F289" s="2973">
        <f t="shared" ref="F289:K289" si="283">+G744</f>
        <v>0</v>
      </c>
      <c r="G289" s="2973">
        <f t="shared" si="283"/>
        <v>0</v>
      </c>
      <c r="H289" s="2973">
        <f t="shared" si="283"/>
        <v>0</v>
      </c>
      <c r="I289" s="2973">
        <f t="shared" si="283"/>
        <v>0</v>
      </c>
      <c r="J289" s="2973">
        <f t="shared" si="283"/>
        <v>0</v>
      </c>
      <c r="K289" s="2973">
        <f t="shared" si="283"/>
        <v>0</v>
      </c>
      <c r="L289" s="2972">
        <f>+F289+I289</f>
        <v>0</v>
      </c>
      <c r="M289" s="2707">
        <f>+G289+J289</f>
        <v>0</v>
      </c>
      <c r="N289" s="2708">
        <f>+H289+K289</f>
        <v>0</v>
      </c>
      <c r="O289" s="1746">
        <f>SUM(L289:N289)</f>
        <v>0</v>
      </c>
      <c r="V289" s="250"/>
      <c r="W289" s="250"/>
      <c r="X289" s="250"/>
      <c r="Y289" s="250"/>
      <c r="Z289" s="250"/>
      <c r="AA289" s="250"/>
      <c r="AB289" s="250"/>
      <c r="AC289" s="250"/>
      <c r="AD289" s="250"/>
      <c r="AE289" s="250"/>
      <c r="AF289" s="250"/>
      <c r="AG289" s="250"/>
      <c r="AH289" s="250"/>
      <c r="AI289" s="250"/>
      <c r="AJ289" s="250"/>
      <c r="AK289" s="250"/>
      <c r="AL289" s="250"/>
      <c r="AM289" s="250"/>
      <c r="AN289" s="250"/>
      <c r="AO289" s="250"/>
      <c r="AP289" s="250"/>
      <c r="AQ289" s="250"/>
      <c r="AR289" s="250"/>
      <c r="AS289" s="250"/>
    </row>
    <row r="290" spans="1:45" s="1724" customFormat="1" ht="76.5" hidden="1" customHeight="1" x14ac:dyDescent="0.35">
      <c r="A290" s="4299"/>
      <c r="B290" s="4299"/>
      <c r="C290" s="4299"/>
      <c r="D290" s="4299"/>
      <c r="E290" s="4299"/>
      <c r="F290" s="4325" t="s">
        <v>377</v>
      </c>
      <c r="G290" s="4325"/>
      <c r="H290" s="4325"/>
      <c r="I290" s="2974"/>
      <c r="J290" s="2974"/>
      <c r="K290" s="2974"/>
      <c r="L290" s="1835"/>
      <c r="M290" s="1835"/>
      <c r="N290" s="1836"/>
      <c r="V290" s="250"/>
      <c r="W290" s="250"/>
      <c r="X290" s="250"/>
      <c r="Y290" s="250"/>
      <c r="Z290" s="250"/>
      <c r="AA290" s="250"/>
      <c r="AB290" s="250"/>
      <c r="AC290" s="250"/>
      <c r="AD290" s="250"/>
      <c r="AE290" s="250"/>
      <c r="AF290" s="250"/>
      <c r="AG290" s="250"/>
      <c r="AH290" s="250"/>
      <c r="AI290" s="250"/>
      <c r="AJ290" s="250"/>
      <c r="AK290" s="250"/>
      <c r="AL290" s="250"/>
      <c r="AM290" s="250"/>
      <c r="AN290" s="250"/>
      <c r="AO290" s="250"/>
      <c r="AP290" s="250"/>
      <c r="AQ290" s="250"/>
      <c r="AR290" s="250"/>
      <c r="AS290" s="250"/>
    </row>
    <row r="291" spans="1:45" s="1724" customFormat="1" ht="76.5" hidden="1" customHeight="1" thickBot="1" x14ac:dyDescent="0.4">
      <c r="A291" s="4299"/>
      <c r="B291" s="4299"/>
      <c r="C291" s="4299"/>
      <c r="D291" s="4299"/>
      <c r="E291" s="4299"/>
      <c r="F291" s="2975">
        <f>+F289+I289</f>
        <v>0</v>
      </c>
      <c r="G291" s="2975">
        <f>+G289+J289</f>
        <v>0</v>
      </c>
      <c r="H291" s="2975">
        <f>+H289+K289</f>
        <v>0</v>
      </c>
      <c r="I291" s="2974"/>
      <c r="J291" s="2974"/>
      <c r="K291" s="2974"/>
      <c r="L291" s="1839"/>
      <c r="M291" s="1839"/>
      <c r="N291" s="1840"/>
      <c r="V291" s="250"/>
      <c r="W291" s="250"/>
      <c r="X291" s="250"/>
      <c r="Y291" s="250"/>
      <c r="Z291" s="250"/>
      <c r="AA291" s="250"/>
      <c r="AB291" s="250"/>
      <c r="AC291" s="250"/>
      <c r="AD291" s="250"/>
      <c r="AE291" s="250"/>
      <c r="AF291" s="250"/>
      <c r="AG291" s="250"/>
      <c r="AH291" s="250"/>
      <c r="AI291" s="250"/>
      <c r="AJ291" s="250"/>
      <c r="AK291" s="250"/>
      <c r="AL291" s="250"/>
      <c r="AM291" s="250"/>
      <c r="AN291" s="250"/>
      <c r="AO291" s="250"/>
      <c r="AP291" s="250"/>
      <c r="AQ291" s="250"/>
      <c r="AR291" s="250"/>
      <c r="AS291" s="250"/>
    </row>
    <row r="292" spans="1:45" s="1724" customFormat="1" ht="76.5" customHeight="1" thickBot="1" x14ac:dyDescent="0.4">
      <c r="A292" s="1841"/>
      <c r="B292" s="1842"/>
      <c r="C292" s="1842"/>
      <c r="D292" s="1842"/>
      <c r="E292" s="1842"/>
      <c r="F292" s="2302"/>
      <c r="G292" s="2302"/>
      <c r="H292" s="2302"/>
      <c r="I292" s="2302"/>
      <c r="J292" s="2302"/>
      <c r="K292" s="2302"/>
      <c r="L292" s="1835"/>
      <c r="M292" s="1835"/>
      <c r="N292" s="1836"/>
      <c r="V292" s="250"/>
      <c r="W292" s="250"/>
      <c r="X292" s="250"/>
      <c r="Y292" s="250"/>
      <c r="Z292" s="250"/>
      <c r="AA292" s="250"/>
      <c r="AB292" s="250"/>
      <c r="AC292" s="250"/>
      <c r="AD292" s="250"/>
      <c r="AE292" s="250"/>
      <c r="AF292" s="250"/>
      <c r="AG292" s="250"/>
      <c r="AH292" s="250"/>
      <c r="AI292" s="250"/>
      <c r="AJ292" s="250"/>
      <c r="AK292" s="250"/>
      <c r="AL292" s="250"/>
      <c r="AM292" s="250"/>
      <c r="AN292" s="250"/>
      <c r="AO292" s="250"/>
      <c r="AP292" s="250"/>
      <c r="AQ292" s="250"/>
      <c r="AR292" s="250"/>
      <c r="AS292" s="250"/>
    </row>
    <row r="293" spans="1:45" s="1724" customFormat="1" ht="76.5" customHeight="1" x14ac:dyDescent="0.35">
      <c r="A293" s="4455" t="s">
        <v>430</v>
      </c>
      <c r="B293" s="4456"/>
      <c r="C293" s="4456"/>
      <c r="D293" s="4456"/>
      <c r="E293" s="4457"/>
      <c r="F293" s="4215" t="s">
        <v>304</v>
      </c>
      <c r="G293" s="4213"/>
      <c r="H293" s="4303"/>
      <c r="I293" s="2302"/>
      <c r="J293" s="2302"/>
      <c r="K293" s="2302"/>
      <c r="L293" s="1835"/>
      <c r="M293" s="1835"/>
      <c r="N293" s="1836"/>
      <c r="V293" s="250"/>
      <c r="W293" s="250"/>
      <c r="X293" s="250"/>
      <c r="Y293" s="250"/>
      <c r="Z293" s="250"/>
      <c r="AA293" s="250"/>
      <c r="AB293" s="250"/>
      <c r="AC293" s="250"/>
      <c r="AD293" s="250"/>
      <c r="AE293" s="250"/>
      <c r="AF293" s="250"/>
      <c r="AG293" s="250"/>
      <c r="AH293" s="250"/>
      <c r="AI293" s="250"/>
      <c r="AJ293" s="250"/>
      <c r="AK293" s="250"/>
      <c r="AL293" s="250"/>
      <c r="AM293" s="250"/>
      <c r="AN293" s="250"/>
      <c r="AO293" s="250"/>
      <c r="AP293" s="250"/>
      <c r="AQ293" s="250"/>
      <c r="AR293" s="250"/>
      <c r="AS293" s="250"/>
    </row>
    <row r="294" spans="1:45" s="1724" customFormat="1" ht="76.5" customHeight="1" x14ac:dyDescent="0.4">
      <c r="A294" s="4458"/>
      <c r="B294" s="4459"/>
      <c r="C294" s="4459"/>
      <c r="D294" s="4459"/>
      <c r="E294" s="4460"/>
      <c r="F294" s="1738" t="s">
        <v>287</v>
      </c>
      <c r="G294" s="1738" t="s">
        <v>289</v>
      </c>
      <c r="H294" s="1772" t="s">
        <v>288</v>
      </c>
      <c r="I294" s="1723"/>
      <c r="J294" s="1723"/>
      <c r="K294" s="1723"/>
      <c r="L294" s="1723"/>
      <c r="M294" s="1723"/>
      <c r="N294" s="1767"/>
      <c r="V294" s="250"/>
      <c r="W294" s="250"/>
      <c r="X294" s="250"/>
      <c r="Y294" s="250"/>
      <c r="Z294" s="250"/>
      <c r="AA294" s="250"/>
      <c r="AB294" s="250"/>
      <c r="AC294" s="250"/>
      <c r="AD294" s="250"/>
      <c r="AE294" s="250"/>
      <c r="AF294" s="250"/>
      <c r="AG294" s="250"/>
      <c r="AH294" s="250"/>
      <c r="AI294" s="250"/>
      <c r="AJ294" s="250"/>
      <c r="AK294" s="250"/>
      <c r="AL294" s="250"/>
      <c r="AM294" s="250"/>
      <c r="AN294" s="250"/>
      <c r="AO294" s="250"/>
      <c r="AP294" s="250"/>
      <c r="AQ294" s="250"/>
      <c r="AR294" s="250"/>
      <c r="AS294" s="250"/>
    </row>
    <row r="295" spans="1:45" s="1724" customFormat="1" ht="76.5" customHeight="1" thickBot="1" x14ac:dyDescent="0.45">
      <c r="A295" s="4461"/>
      <c r="B295" s="4462"/>
      <c r="C295" s="4462"/>
      <c r="D295" s="4462"/>
      <c r="E295" s="4463"/>
      <c r="F295" s="2067">
        <f>+G745</f>
        <v>0</v>
      </c>
      <c r="G295" s="2067">
        <f>+H745</f>
        <v>0</v>
      </c>
      <c r="H295" s="2067">
        <f>+I745</f>
        <v>0</v>
      </c>
      <c r="I295" s="1723">
        <f>SUM(F295:H295)</f>
        <v>0</v>
      </c>
      <c r="J295" s="1723"/>
      <c r="K295" s="1723"/>
      <c r="L295" s="1723"/>
      <c r="M295" s="1723"/>
      <c r="N295" s="1767"/>
      <c r="V295" s="250"/>
      <c r="W295" s="250"/>
      <c r="X295" s="250"/>
      <c r="Y295" s="250"/>
      <c r="Z295" s="250"/>
      <c r="AA295" s="250"/>
      <c r="AB295" s="250"/>
      <c r="AC295" s="250"/>
      <c r="AD295" s="250"/>
      <c r="AE295" s="250"/>
      <c r="AF295" s="250"/>
      <c r="AG295" s="250"/>
      <c r="AH295" s="250"/>
      <c r="AI295" s="250"/>
      <c r="AJ295" s="250"/>
      <c r="AK295" s="250"/>
      <c r="AL295" s="250"/>
      <c r="AM295" s="250"/>
      <c r="AN295" s="250"/>
      <c r="AO295" s="250"/>
      <c r="AP295" s="250"/>
      <c r="AQ295" s="250"/>
      <c r="AR295" s="250"/>
      <c r="AS295" s="250"/>
    </row>
    <row r="296" spans="1:45" s="1724" customFormat="1" ht="76.5" customHeight="1" x14ac:dyDescent="0.4">
      <c r="A296" s="1841"/>
      <c r="B296" s="1842"/>
      <c r="C296" s="1842"/>
      <c r="D296" s="1842"/>
      <c r="E296" s="1842"/>
      <c r="F296" s="1795"/>
      <c r="G296" s="1795"/>
      <c r="H296" s="1795"/>
      <c r="I296" s="1723"/>
      <c r="J296" s="1723"/>
      <c r="K296" s="1723"/>
      <c r="L296" s="1723"/>
      <c r="M296" s="1723"/>
      <c r="N296" s="1767"/>
      <c r="V296" s="250"/>
      <c r="W296" s="250"/>
      <c r="X296" s="250"/>
      <c r="Y296" s="250"/>
      <c r="Z296" s="250"/>
      <c r="AA296" s="250"/>
      <c r="AB296" s="250"/>
      <c r="AC296" s="250"/>
      <c r="AD296" s="250"/>
      <c r="AE296" s="250"/>
      <c r="AF296" s="250"/>
      <c r="AG296" s="250"/>
      <c r="AH296" s="250"/>
      <c r="AI296" s="250"/>
      <c r="AJ296" s="250"/>
      <c r="AK296" s="250"/>
      <c r="AL296" s="250"/>
      <c r="AM296" s="250"/>
      <c r="AN296" s="250"/>
      <c r="AO296" s="250"/>
      <c r="AP296" s="250"/>
      <c r="AQ296" s="250"/>
      <c r="AR296" s="250"/>
      <c r="AS296" s="250"/>
    </row>
    <row r="297" spans="1:45" s="1724" customFormat="1" ht="76.5" customHeight="1" x14ac:dyDescent="0.35">
      <c r="A297" s="4528" t="s">
        <v>431</v>
      </c>
      <c r="B297" s="4529"/>
      <c r="C297" s="4529"/>
      <c r="D297" s="4529"/>
      <c r="E297" s="4530"/>
      <c r="F297" s="4293" t="s">
        <v>304</v>
      </c>
      <c r="G297" s="4294"/>
      <c r="H297" s="4295"/>
      <c r="I297" s="4293" t="s">
        <v>368</v>
      </c>
      <c r="J297" s="4294"/>
      <c r="K297" s="4295"/>
      <c r="L297" s="4296" t="s">
        <v>377</v>
      </c>
      <c r="M297" s="4297"/>
      <c r="N297" s="4316"/>
      <c r="V297" s="250"/>
      <c r="W297" s="250"/>
      <c r="X297" s="250"/>
      <c r="Y297" s="250"/>
      <c r="Z297" s="250"/>
      <c r="AA297" s="250"/>
      <c r="AB297" s="250"/>
      <c r="AC297" s="250"/>
      <c r="AD297" s="250"/>
      <c r="AE297" s="250"/>
      <c r="AF297" s="250"/>
      <c r="AG297" s="250"/>
      <c r="AH297" s="250"/>
      <c r="AI297" s="250"/>
      <c r="AJ297" s="250"/>
      <c r="AK297" s="250"/>
      <c r="AL297" s="250"/>
      <c r="AM297" s="250"/>
      <c r="AN297" s="250"/>
      <c r="AO297" s="250"/>
      <c r="AP297" s="250"/>
      <c r="AQ297" s="250"/>
      <c r="AR297" s="250"/>
      <c r="AS297" s="250"/>
    </row>
    <row r="298" spans="1:45" s="1724" customFormat="1" ht="76.5" customHeight="1" x14ac:dyDescent="0.35">
      <c r="A298" s="4531"/>
      <c r="B298" s="4532"/>
      <c r="C298" s="4532"/>
      <c r="D298" s="4532"/>
      <c r="E298" s="4533"/>
      <c r="F298" s="1738" t="s">
        <v>287</v>
      </c>
      <c r="G298" s="1738" t="s">
        <v>289</v>
      </c>
      <c r="H298" s="1738" t="s">
        <v>288</v>
      </c>
      <c r="I298" s="1738" t="s">
        <v>287</v>
      </c>
      <c r="J298" s="1738" t="s">
        <v>289</v>
      </c>
      <c r="K298" s="1738" t="s">
        <v>288</v>
      </c>
      <c r="L298" s="1730" t="s">
        <v>287</v>
      </c>
      <c r="M298" s="1730" t="s">
        <v>289</v>
      </c>
      <c r="N298" s="1731" t="s">
        <v>288</v>
      </c>
      <c r="V298" s="250"/>
      <c r="W298" s="250"/>
      <c r="X298" s="250"/>
      <c r="Y298" s="250"/>
      <c r="Z298" s="250"/>
      <c r="AA298" s="250"/>
      <c r="AB298" s="250"/>
      <c r="AC298" s="250"/>
      <c r="AD298" s="250"/>
      <c r="AE298" s="250"/>
      <c r="AF298" s="250"/>
      <c r="AG298" s="250"/>
      <c r="AH298" s="250"/>
      <c r="AI298" s="250"/>
      <c r="AJ298" s="250"/>
      <c r="AK298" s="250"/>
      <c r="AL298" s="250"/>
      <c r="AM298" s="250"/>
      <c r="AN298" s="250"/>
      <c r="AO298" s="250"/>
      <c r="AP298" s="250"/>
      <c r="AQ298" s="250"/>
      <c r="AR298" s="250"/>
      <c r="AS298" s="250"/>
    </row>
    <row r="299" spans="1:45" s="1724" customFormat="1" ht="76.5" customHeight="1" x14ac:dyDescent="0.35">
      <c r="A299" s="4531"/>
      <c r="B299" s="4532"/>
      <c r="C299" s="4532"/>
      <c r="D299" s="4532"/>
      <c r="E299" s="4533"/>
      <c r="F299" s="2071">
        <f t="shared" ref="F299:N299" ca="1" si="284">+F256+F265+F274+F283+F289+F295</f>
        <v>0</v>
      </c>
      <c r="G299" s="2071">
        <f t="shared" ca="1" si="284"/>
        <v>0</v>
      </c>
      <c r="H299" s="2071">
        <f t="shared" ca="1" si="284"/>
        <v>0</v>
      </c>
      <c r="I299" s="2071">
        <f t="shared" ca="1" si="284"/>
        <v>0</v>
      </c>
      <c r="J299" s="2071">
        <f t="shared" ca="1" si="284"/>
        <v>0</v>
      </c>
      <c r="K299" s="2071">
        <f t="shared" ca="1" si="284"/>
        <v>0</v>
      </c>
      <c r="L299" s="2071">
        <f t="shared" ca="1" si="284"/>
        <v>0</v>
      </c>
      <c r="M299" s="2071">
        <f t="shared" ca="1" si="284"/>
        <v>0</v>
      </c>
      <c r="N299" s="2072">
        <f t="shared" ca="1" si="284"/>
        <v>0</v>
      </c>
      <c r="O299" s="1746">
        <f ca="1">SUM(L299:N299)</f>
        <v>0</v>
      </c>
      <c r="V299" s="250"/>
      <c r="W299" s="250"/>
      <c r="X299" s="250"/>
      <c r="Y299" s="250"/>
      <c r="Z299" s="250"/>
      <c r="AA299" s="250"/>
      <c r="AB299" s="250"/>
      <c r="AC299" s="250"/>
      <c r="AD299" s="250"/>
      <c r="AE299" s="250"/>
      <c r="AF299" s="250"/>
      <c r="AG299" s="250"/>
      <c r="AH299" s="250"/>
      <c r="AI299" s="250"/>
      <c r="AJ299" s="250"/>
      <c r="AK299" s="250"/>
      <c r="AL299" s="250"/>
      <c r="AM299" s="250"/>
      <c r="AN299" s="250"/>
      <c r="AO299" s="250"/>
      <c r="AP299" s="250"/>
      <c r="AQ299" s="250"/>
      <c r="AR299" s="250"/>
      <c r="AS299" s="250"/>
    </row>
    <row r="300" spans="1:45" s="1724" customFormat="1" ht="76.5" customHeight="1" x14ac:dyDescent="0.4">
      <c r="A300" s="4531"/>
      <c r="B300" s="4532"/>
      <c r="C300" s="4532"/>
      <c r="D300" s="4532"/>
      <c r="E300" s="4533"/>
      <c r="F300" s="4296" t="s">
        <v>432</v>
      </c>
      <c r="G300" s="4297"/>
      <c r="H300" s="4298"/>
      <c r="I300" s="1723"/>
      <c r="J300" s="1723"/>
      <c r="K300" s="1723"/>
      <c r="L300" s="2658">
        <f ca="1">+F299+I299</f>
        <v>0</v>
      </c>
      <c r="M300" s="2659">
        <f ca="1">+G299+J299</f>
        <v>0</v>
      </c>
      <c r="N300" s="2660">
        <f ca="1">+H299+K299</f>
        <v>0</v>
      </c>
      <c r="V300" s="250"/>
      <c r="W300" s="250"/>
      <c r="X300" s="250"/>
      <c r="Y300" s="250"/>
      <c r="Z300" s="250"/>
      <c r="AA300" s="250"/>
      <c r="AB300" s="250"/>
      <c r="AC300" s="250"/>
      <c r="AD300" s="250"/>
      <c r="AE300" s="250"/>
      <c r="AF300" s="250"/>
      <c r="AG300" s="250"/>
      <c r="AH300" s="250"/>
      <c r="AI300" s="250"/>
      <c r="AJ300" s="250"/>
      <c r="AK300" s="250"/>
      <c r="AL300" s="250"/>
      <c r="AM300" s="250"/>
      <c r="AN300" s="250"/>
      <c r="AO300" s="250"/>
      <c r="AP300" s="250"/>
      <c r="AQ300" s="250"/>
      <c r="AR300" s="250"/>
      <c r="AS300" s="250"/>
    </row>
    <row r="301" spans="1:45" s="1724" customFormat="1" ht="76.5" customHeight="1" x14ac:dyDescent="0.4">
      <c r="A301" s="4531"/>
      <c r="B301" s="4532"/>
      <c r="C301" s="4532"/>
      <c r="D301" s="4532"/>
      <c r="E301" s="4533"/>
      <c r="F301" s="1730" t="s">
        <v>287</v>
      </c>
      <c r="G301" s="1730" t="s">
        <v>289</v>
      </c>
      <c r="H301" s="1730" t="s">
        <v>288</v>
      </c>
      <c r="I301" s="1723"/>
      <c r="J301" s="1723"/>
      <c r="K301" s="1723"/>
      <c r="L301" s="1723"/>
      <c r="M301" s="1723"/>
      <c r="N301" s="1767"/>
      <c r="V301" s="250"/>
      <c r="W301" s="250"/>
      <c r="X301" s="250"/>
      <c r="Y301" s="250"/>
      <c r="Z301" s="250"/>
      <c r="AA301" s="250"/>
      <c r="AB301" s="250"/>
      <c r="AC301" s="250"/>
      <c r="AD301" s="250"/>
      <c r="AE301" s="250"/>
      <c r="AF301" s="250"/>
      <c r="AG301" s="250"/>
      <c r="AH301" s="250"/>
      <c r="AI301" s="250"/>
      <c r="AJ301" s="250"/>
      <c r="AK301" s="250"/>
      <c r="AL301" s="250"/>
      <c r="AM301" s="250"/>
      <c r="AN301" s="250"/>
      <c r="AO301" s="250"/>
      <c r="AP301" s="250"/>
      <c r="AQ301" s="250"/>
      <c r="AR301" s="250"/>
      <c r="AS301" s="250"/>
    </row>
    <row r="302" spans="1:45" s="250" customFormat="1" ht="76.5" customHeight="1" x14ac:dyDescent="0.4">
      <c r="A302" s="4534"/>
      <c r="B302" s="4535"/>
      <c r="C302" s="4535"/>
      <c r="D302" s="4535"/>
      <c r="E302" s="4536"/>
      <c r="F302" s="1557">
        <f ca="1">+F299+I299</f>
        <v>0</v>
      </c>
      <c r="G302" s="1557">
        <f ca="1">+G299+J299</f>
        <v>0</v>
      </c>
      <c r="H302" s="2050">
        <f ca="1">+H299+K299</f>
        <v>0</v>
      </c>
      <c r="I302" s="1723">
        <f ca="1">SUM(F302:H302)</f>
        <v>0</v>
      </c>
      <c r="J302" s="837"/>
      <c r="K302" s="837"/>
      <c r="L302" s="837"/>
      <c r="M302" s="837"/>
      <c r="N302" s="2073"/>
    </row>
    <row r="303" spans="1:45" s="1724" customFormat="1" ht="76.5" customHeight="1" thickBot="1" x14ac:dyDescent="0.4">
      <c r="A303" s="1856"/>
      <c r="B303" s="1857"/>
      <c r="C303" s="1857"/>
      <c r="D303" s="1857"/>
      <c r="E303" s="1857"/>
      <c r="F303" s="2304"/>
      <c r="G303" s="2304"/>
      <c r="H303" s="2304"/>
      <c r="I303" s="1859"/>
      <c r="J303" s="1726"/>
      <c r="K303" s="1726"/>
      <c r="L303" s="1726"/>
      <c r="M303" s="1726"/>
      <c r="N303" s="1727"/>
      <c r="V303" s="250"/>
      <c r="W303" s="250"/>
      <c r="X303" s="250"/>
      <c r="Y303" s="250"/>
      <c r="Z303" s="250"/>
      <c r="AA303" s="250"/>
      <c r="AB303" s="250"/>
      <c r="AC303" s="250"/>
      <c r="AD303" s="250"/>
      <c r="AE303" s="250"/>
      <c r="AF303" s="250"/>
      <c r="AG303" s="250"/>
      <c r="AH303" s="250"/>
      <c r="AI303" s="250"/>
      <c r="AJ303" s="250"/>
      <c r="AK303" s="250"/>
      <c r="AL303" s="250"/>
      <c r="AM303" s="250"/>
      <c r="AN303" s="250"/>
      <c r="AO303" s="250"/>
      <c r="AP303" s="250"/>
      <c r="AQ303" s="250"/>
      <c r="AR303" s="250"/>
      <c r="AS303" s="250"/>
    </row>
    <row r="304" spans="1:45" s="250" customFormat="1" ht="76.5" customHeight="1" x14ac:dyDescent="0.35">
      <c r="A304" s="4446" t="s">
        <v>433</v>
      </c>
      <c r="B304" s="4447"/>
      <c r="C304" s="4447"/>
      <c r="D304" s="4447"/>
      <c r="E304" s="4448"/>
      <c r="F304" s="4216" t="s">
        <v>434</v>
      </c>
      <c r="G304" s="4217"/>
      <c r="H304" s="4218"/>
      <c r="I304" s="1855"/>
      <c r="J304" s="837"/>
      <c r="K304" s="837"/>
      <c r="L304" s="4304"/>
      <c r="M304" s="4304"/>
      <c r="N304" s="4305"/>
    </row>
    <row r="305" spans="1:58" s="250" customFormat="1" ht="76.5" customHeight="1" x14ac:dyDescent="0.35">
      <c r="A305" s="4449"/>
      <c r="B305" s="4450"/>
      <c r="C305" s="4450"/>
      <c r="D305" s="4450"/>
      <c r="E305" s="4451"/>
      <c r="F305" s="1730" t="s">
        <v>287</v>
      </c>
      <c r="G305" s="1730" t="s">
        <v>289</v>
      </c>
      <c r="H305" s="1731" t="s">
        <v>288</v>
      </c>
      <c r="I305" s="1855"/>
      <c r="J305" s="837"/>
      <c r="K305" s="837"/>
      <c r="L305" s="1860"/>
      <c r="M305" s="1860"/>
      <c r="N305" s="2074"/>
    </row>
    <row r="306" spans="1:58" s="250" customFormat="1" ht="76.5" customHeight="1" thickBot="1" x14ac:dyDescent="0.55000000000000004">
      <c r="A306" s="4452"/>
      <c r="B306" s="4453"/>
      <c r="C306" s="4453"/>
      <c r="D306" s="4453"/>
      <c r="E306" s="4454"/>
      <c r="F306" s="2051">
        <f>+'Compra -HOJA1'!G10</f>
        <v>0</v>
      </c>
      <c r="G306" s="2051">
        <f>+'Compra -HOJA1'!I10</f>
        <v>0</v>
      </c>
      <c r="H306" s="2052">
        <f>+'Compra -HOJA1'!H10</f>
        <v>0</v>
      </c>
      <c r="I306" s="1723">
        <f>SUM(F306:H306)</f>
        <v>0</v>
      </c>
      <c r="J306" s="837"/>
      <c r="K306" s="837"/>
      <c r="L306" s="1855"/>
      <c r="M306" s="1855"/>
      <c r="N306" s="2075"/>
      <c r="O306" s="1746">
        <f>SUM(L306:N306)</f>
        <v>0</v>
      </c>
    </row>
    <row r="307" spans="1:58" s="1724" customFormat="1" ht="30" customHeight="1" thickBot="1" x14ac:dyDescent="0.4">
      <c r="A307" s="1861"/>
      <c r="B307" s="1862"/>
      <c r="C307" s="1862"/>
      <c r="D307" s="1862"/>
      <c r="E307" s="1862"/>
      <c r="F307" s="1859"/>
      <c r="G307" s="1859"/>
      <c r="H307" s="1859"/>
      <c r="I307" s="1859"/>
      <c r="J307" s="1726"/>
      <c r="K307" s="1726"/>
      <c r="L307" s="1855"/>
      <c r="M307" s="1855"/>
      <c r="N307" s="2075"/>
      <c r="P307" s="250"/>
      <c r="Q307" s="250"/>
      <c r="R307" s="250"/>
      <c r="S307" s="1736"/>
      <c r="T307" s="1736"/>
      <c r="U307" s="250"/>
      <c r="V307" s="250"/>
      <c r="W307" s="250"/>
      <c r="X307" s="250"/>
      <c r="Y307" s="250"/>
      <c r="Z307" s="250"/>
      <c r="AA307" s="250"/>
      <c r="AB307" s="250"/>
      <c r="AC307" s="250"/>
      <c r="AD307" s="250"/>
      <c r="AE307" s="250"/>
      <c r="AF307" s="250"/>
      <c r="AG307" s="250"/>
      <c r="AH307" s="250"/>
      <c r="AI307" s="250"/>
      <c r="AJ307" s="250"/>
      <c r="AK307" s="250"/>
      <c r="AL307" s="250"/>
      <c r="AM307" s="250"/>
      <c r="AN307" s="250"/>
      <c r="AO307" s="250"/>
      <c r="AP307" s="250"/>
      <c r="AQ307" s="250"/>
      <c r="AR307" s="250"/>
      <c r="AS307" s="250"/>
    </row>
    <row r="308" spans="1:58" s="1724" customFormat="1" ht="30" customHeight="1" thickBot="1" x14ac:dyDescent="0.4">
      <c r="A308" s="4464" t="s">
        <v>435</v>
      </c>
      <c r="B308" s="4465"/>
      <c r="C308" s="4465"/>
      <c r="D308" s="4465"/>
      <c r="E308" s="4466"/>
      <c r="F308" s="1980">
        <f ca="1">+F306-F302</f>
        <v>0</v>
      </c>
      <c r="G308" s="1981">
        <f ca="1">+G306-G302</f>
        <v>0</v>
      </c>
      <c r="H308" s="1982">
        <f ca="1">+H306-H302</f>
        <v>0</v>
      </c>
      <c r="I308" s="1859"/>
      <c r="J308" s="1726"/>
      <c r="K308" s="1726"/>
      <c r="L308" s="1855"/>
      <c r="M308" s="1855"/>
      <c r="N308" s="2075"/>
      <c r="O308" s="1746">
        <f>SUM(L308:N308)</f>
        <v>0</v>
      </c>
      <c r="P308" s="250"/>
      <c r="Q308" s="250"/>
      <c r="R308" s="250"/>
      <c r="S308" s="1736"/>
      <c r="T308" s="1736"/>
      <c r="U308" s="250"/>
      <c r="V308" s="250"/>
      <c r="W308" s="250"/>
      <c r="X308" s="250"/>
      <c r="Y308" s="250"/>
      <c r="Z308" s="250"/>
      <c r="AA308" s="250"/>
      <c r="AB308" s="250"/>
      <c r="AC308" s="250"/>
      <c r="AD308" s="250"/>
      <c r="AE308" s="250"/>
      <c r="AF308" s="250"/>
      <c r="AG308" s="250"/>
      <c r="AH308" s="250"/>
      <c r="AI308" s="250"/>
      <c r="AJ308" s="250"/>
      <c r="AK308" s="250"/>
      <c r="AL308" s="250"/>
      <c r="AM308" s="250"/>
      <c r="AN308" s="250"/>
      <c r="AO308" s="250"/>
      <c r="AP308" s="250"/>
      <c r="AQ308" s="250"/>
      <c r="AR308" s="250"/>
      <c r="AS308" s="250"/>
      <c r="AT308" s="250"/>
      <c r="AU308" s="250"/>
      <c r="AV308" s="250"/>
      <c r="AW308" s="250"/>
      <c r="AX308" s="250"/>
      <c r="AY308" s="250"/>
      <c r="AZ308" s="250"/>
      <c r="BA308" s="250"/>
      <c r="BB308" s="250"/>
      <c r="BC308" s="250"/>
      <c r="BD308" s="250"/>
      <c r="BE308" s="250"/>
      <c r="BF308" s="250"/>
    </row>
    <row r="309" spans="1:58" s="1724" customFormat="1" ht="30" customHeight="1" thickBot="1" x14ac:dyDescent="0.55000000000000004">
      <c r="A309" s="1861"/>
      <c r="B309" s="1862"/>
      <c r="C309" s="1862"/>
      <c r="D309" s="1862"/>
      <c r="E309" s="1862"/>
      <c r="F309" s="2053" t="str">
        <f ca="1">+IF(F306=F302,"OK","VERIFICAR")</f>
        <v>OK</v>
      </c>
      <c r="G309" s="2054" t="str">
        <f ca="1">+IF(G306=G302,"OK","VERIFICAR")</f>
        <v>OK</v>
      </c>
      <c r="H309" s="2055" t="str">
        <f ca="1">+IF(H306=H302,"OK","VERIFICAR")</f>
        <v>OK</v>
      </c>
      <c r="I309" s="1859"/>
      <c r="J309" s="1726"/>
      <c r="K309" s="1726"/>
      <c r="L309" s="1855"/>
      <c r="M309" s="1855"/>
      <c r="N309" s="2075"/>
      <c r="P309" s="250"/>
      <c r="Q309" s="250"/>
      <c r="R309" s="250"/>
      <c r="S309" s="1736"/>
      <c r="T309" s="1736"/>
      <c r="U309" s="250"/>
      <c r="V309" s="250"/>
      <c r="W309" s="250"/>
      <c r="X309" s="250"/>
      <c r="Y309" s="250"/>
      <c r="Z309" s="250"/>
      <c r="AA309" s="250"/>
      <c r="AB309" s="250"/>
      <c r="AC309" s="250"/>
      <c r="AD309" s="250"/>
      <c r="AE309" s="250"/>
      <c r="AF309" s="250"/>
      <c r="AG309" s="250"/>
      <c r="AH309" s="250"/>
      <c r="AI309" s="250"/>
      <c r="AJ309" s="250"/>
      <c r="AK309" s="250"/>
      <c r="AL309" s="250"/>
      <c r="AM309" s="250"/>
      <c r="AN309" s="250"/>
      <c r="AO309" s="250"/>
      <c r="AP309" s="250"/>
      <c r="AQ309" s="250"/>
      <c r="AR309" s="250"/>
      <c r="AS309" s="250"/>
      <c r="AT309" s="250"/>
      <c r="AU309" s="250"/>
      <c r="AV309" s="250"/>
      <c r="AW309" s="250"/>
      <c r="AX309" s="250"/>
      <c r="AY309" s="250"/>
      <c r="AZ309" s="250"/>
      <c r="BA309" s="250"/>
      <c r="BB309" s="250"/>
      <c r="BC309" s="250"/>
      <c r="BD309" s="250"/>
      <c r="BE309" s="250"/>
      <c r="BF309" s="250"/>
    </row>
    <row r="310" spans="1:58" s="250" customFormat="1" ht="30" customHeight="1" thickBot="1" x14ac:dyDescent="0.4">
      <c r="A310" s="1865"/>
      <c r="B310" s="1866"/>
      <c r="C310" s="2275"/>
      <c r="D310" s="2276"/>
      <c r="E310" s="2276"/>
      <c r="F310" s="1869"/>
      <c r="G310" s="1869"/>
      <c r="H310" s="1869"/>
      <c r="I310" s="1869"/>
      <c r="J310" s="1872"/>
      <c r="K310" s="1872"/>
      <c r="L310" s="1872"/>
      <c r="M310" s="1872"/>
      <c r="N310" s="1873"/>
      <c r="S310" s="1736"/>
      <c r="T310" s="1736"/>
    </row>
    <row r="311" spans="1:58" s="250" customFormat="1" ht="30" hidden="1" customHeight="1" x14ac:dyDescent="0.35">
      <c r="C311" s="837"/>
      <c r="D311" s="837"/>
      <c r="E311" s="837"/>
      <c r="F311" s="837"/>
      <c r="G311" s="837"/>
      <c r="H311" s="837"/>
      <c r="I311" s="837"/>
      <c r="J311" s="837"/>
      <c r="K311" s="837"/>
      <c r="L311" s="837"/>
      <c r="M311" s="837"/>
      <c r="N311" s="837"/>
      <c r="S311" s="1736"/>
      <c r="T311" s="1736"/>
    </row>
    <row r="312" spans="1:58" s="250" customFormat="1" ht="30" hidden="1" customHeight="1" x14ac:dyDescent="0.35">
      <c r="A312" s="1874" t="s">
        <v>436</v>
      </c>
      <c r="B312" s="1874"/>
      <c r="C312" s="2103"/>
      <c r="D312" s="2305"/>
      <c r="E312" s="2305"/>
      <c r="F312" s="2081"/>
      <c r="G312" s="2081"/>
      <c r="H312" s="2081"/>
      <c r="I312" s="837"/>
      <c r="J312" s="837"/>
      <c r="K312" s="837"/>
      <c r="L312" s="837"/>
      <c r="M312" s="837"/>
      <c r="N312" s="837"/>
      <c r="S312" s="1736"/>
      <c r="T312" s="1736"/>
    </row>
    <row r="313" spans="1:58" s="250" customFormat="1" ht="30" hidden="1" customHeight="1" x14ac:dyDescent="0.35">
      <c r="A313" s="1874" t="s">
        <v>437</v>
      </c>
      <c r="B313" s="1874"/>
      <c r="C313" s="2103"/>
      <c r="D313" s="2306"/>
      <c r="E313" s="2306"/>
      <c r="F313" s="2080"/>
      <c r="G313" s="2080"/>
      <c r="H313" s="2080"/>
      <c r="I313" s="837"/>
      <c r="J313" s="837"/>
      <c r="K313" s="837"/>
      <c r="L313" s="837"/>
      <c r="M313" s="837"/>
      <c r="N313" s="837"/>
      <c r="S313" s="1736"/>
      <c r="T313" s="1736"/>
    </row>
    <row r="314" spans="1:58" s="250" customFormat="1" ht="30" hidden="1" customHeight="1" x14ac:dyDescent="0.35">
      <c r="A314" s="1878"/>
      <c r="B314" s="1878"/>
      <c r="C314" s="2082"/>
      <c r="D314" s="2082"/>
      <c r="E314" s="2082"/>
      <c r="F314" s="2082"/>
      <c r="G314" s="2082"/>
      <c r="H314" s="2082"/>
      <c r="I314" s="2307"/>
      <c r="J314" s="837"/>
      <c r="K314" s="837"/>
      <c r="L314" s="837"/>
      <c r="M314" s="837"/>
      <c r="N314" s="837"/>
      <c r="S314" s="1736"/>
      <c r="T314" s="1736"/>
    </row>
    <row r="315" spans="1:58" s="250" customFormat="1" ht="30" hidden="1" customHeight="1" x14ac:dyDescent="0.35">
      <c r="A315" s="1878"/>
      <c r="B315" s="1878"/>
      <c r="C315" s="2082"/>
      <c r="D315" s="2082"/>
      <c r="E315" s="2082"/>
      <c r="F315" s="2082"/>
      <c r="G315" s="2082"/>
      <c r="H315" s="2082"/>
      <c r="I315" s="837"/>
      <c r="J315" s="837"/>
      <c r="K315" s="837"/>
      <c r="L315" s="837"/>
      <c r="M315" s="837"/>
      <c r="N315" s="837"/>
      <c r="S315" s="1736"/>
      <c r="T315" s="1736"/>
    </row>
    <row r="316" spans="1:58" s="250" customFormat="1" ht="30" hidden="1" customHeight="1" x14ac:dyDescent="0.35">
      <c r="A316" s="1880" t="s">
        <v>438</v>
      </c>
      <c r="B316" s="1880"/>
      <c r="C316" s="2308"/>
      <c r="D316" s="2308"/>
      <c r="E316" s="2308"/>
      <c r="F316" s="4296" t="s">
        <v>304</v>
      </c>
      <c r="G316" s="4297"/>
      <c r="H316" s="4298"/>
      <c r="I316" s="4296" t="s">
        <v>439</v>
      </c>
      <c r="J316" s="4297"/>
      <c r="K316" s="4298"/>
      <c r="L316" s="4296" t="s">
        <v>377</v>
      </c>
      <c r="M316" s="4297"/>
      <c r="N316" s="4298"/>
      <c r="Q316" s="4471" t="s">
        <v>154</v>
      </c>
      <c r="R316" s="4471"/>
      <c r="S316" s="4471"/>
      <c r="T316" s="1736"/>
    </row>
    <row r="317" spans="1:58" s="250" customFormat="1" ht="30" hidden="1" customHeight="1" thickBot="1" x14ac:dyDescent="0.4">
      <c r="A317" s="1882" t="s">
        <v>440</v>
      </c>
      <c r="B317" s="1882"/>
      <c r="C317" s="2320"/>
      <c r="D317" s="2308"/>
      <c r="E317" s="2308" t="s">
        <v>441</v>
      </c>
      <c r="F317" s="1883" t="s">
        <v>287</v>
      </c>
      <c r="G317" s="1883" t="s">
        <v>289</v>
      </c>
      <c r="H317" s="1883" t="s">
        <v>288</v>
      </c>
      <c r="I317" s="1883" t="s">
        <v>287</v>
      </c>
      <c r="J317" s="1883" t="s">
        <v>289</v>
      </c>
      <c r="K317" s="1883" t="s">
        <v>288</v>
      </c>
      <c r="L317" s="1883" t="s">
        <v>287</v>
      </c>
      <c r="M317" s="1883" t="s">
        <v>289</v>
      </c>
      <c r="N317" s="1883" t="s">
        <v>288</v>
      </c>
      <c r="O317" s="1885" t="s">
        <v>290</v>
      </c>
      <c r="Q317" s="2991" t="s">
        <v>442</v>
      </c>
      <c r="R317" s="2992" t="s">
        <v>443</v>
      </c>
      <c r="S317" s="2993" t="s">
        <v>241</v>
      </c>
      <c r="T317" s="2994"/>
    </row>
    <row r="318" spans="1:58" s="250" customFormat="1" ht="30" hidden="1" customHeight="1" thickBot="1" x14ac:dyDescent="0.5">
      <c r="A318" s="4306" t="s">
        <v>322</v>
      </c>
      <c r="B318" s="3172">
        <v>5030</v>
      </c>
      <c r="C318" s="4308" t="s">
        <v>217</v>
      </c>
      <c r="D318" s="4309"/>
      <c r="E318" s="3518">
        <f>+E439</f>
        <v>0</v>
      </c>
      <c r="F318" s="3518">
        <f t="shared" ref="F318:O318" si="285">+F439</f>
        <v>0</v>
      </c>
      <c r="G318" s="3518">
        <f t="shared" si="285"/>
        <v>0</v>
      </c>
      <c r="H318" s="3518">
        <f t="shared" si="285"/>
        <v>0</v>
      </c>
      <c r="I318" s="3518">
        <f t="shared" ca="1" si="285"/>
        <v>0</v>
      </c>
      <c r="J318" s="3518">
        <f t="shared" ca="1" si="285"/>
        <v>0</v>
      </c>
      <c r="K318" s="3518">
        <f t="shared" ca="1" si="285"/>
        <v>0</v>
      </c>
      <c r="L318" s="3519">
        <f t="shared" ca="1" si="285"/>
        <v>0</v>
      </c>
      <c r="M318" s="3519">
        <f t="shared" ca="1" si="285"/>
        <v>0</v>
      </c>
      <c r="N318" s="3520">
        <f t="shared" ca="1" si="285"/>
        <v>0</v>
      </c>
      <c r="O318" s="3520">
        <f t="shared" ca="1" si="285"/>
        <v>0</v>
      </c>
      <c r="P318" s="4554" t="str">
        <f>+P439</f>
        <v>UR1 &lt;=150 kWh/mes</v>
      </c>
      <c r="Q318" s="2778">
        <f t="shared" ref="Q318:S318" si="286">+Q439</f>
        <v>0</v>
      </c>
      <c r="R318" s="3521">
        <f t="shared" si="286"/>
        <v>0</v>
      </c>
      <c r="S318" s="3522" t="str">
        <f t="shared" si="286"/>
        <v>OK</v>
      </c>
      <c r="T318" s="3522"/>
    </row>
    <row r="319" spans="1:58" s="250" customFormat="1" ht="30" hidden="1" customHeight="1" thickBot="1" x14ac:dyDescent="0.5">
      <c r="A319" s="4307"/>
      <c r="B319" s="3392">
        <v>5570</v>
      </c>
      <c r="C319" s="3501" t="s">
        <v>1308</v>
      </c>
      <c r="D319" s="3502" t="s">
        <v>1249</v>
      </c>
      <c r="E319" s="3518">
        <f>+E446</f>
        <v>0</v>
      </c>
      <c r="F319" s="3518">
        <f t="shared" ref="F319:O319" si="287">+F446</f>
        <v>0</v>
      </c>
      <c r="G319" s="3518">
        <f t="shared" si="287"/>
        <v>0</v>
      </c>
      <c r="H319" s="3518">
        <f t="shared" si="287"/>
        <v>0</v>
      </c>
      <c r="I319" s="3518">
        <f t="shared" ca="1" si="287"/>
        <v>0</v>
      </c>
      <c r="J319" s="3518">
        <f t="shared" ca="1" si="287"/>
        <v>0</v>
      </c>
      <c r="K319" s="3518">
        <f t="shared" ca="1" si="287"/>
        <v>0</v>
      </c>
      <c r="L319" s="3519">
        <f t="shared" ca="1" si="287"/>
        <v>0</v>
      </c>
      <c r="M319" s="3519">
        <f t="shared" ca="1" si="287"/>
        <v>0</v>
      </c>
      <c r="N319" s="3520">
        <f t="shared" ca="1" si="287"/>
        <v>0</v>
      </c>
      <c r="O319" s="3520">
        <f t="shared" ca="1" si="287"/>
        <v>0</v>
      </c>
      <c r="P319" s="4476">
        <f>+P446</f>
        <v>0</v>
      </c>
      <c r="Q319" s="2778">
        <f t="shared" ref="Q319:S319" si="288">+Q446</f>
        <v>0</v>
      </c>
      <c r="R319" s="3521">
        <f t="shared" si="288"/>
        <v>0</v>
      </c>
      <c r="S319" s="3522" t="str">
        <f t="shared" si="288"/>
        <v>OK</v>
      </c>
      <c r="T319" s="3522"/>
    </row>
    <row r="320" spans="1:58" s="250" customFormat="1" ht="30" hidden="1" customHeight="1" thickBot="1" x14ac:dyDescent="0.5">
      <c r="A320" s="4307"/>
      <c r="B320" s="1948">
        <v>5571</v>
      </c>
      <c r="C320" s="3501" t="s">
        <v>1308</v>
      </c>
      <c r="D320" s="3396" t="s">
        <v>1250</v>
      </c>
      <c r="E320" s="3518">
        <f t="shared" ref="E320:O322" si="289">+E447</f>
        <v>0</v>
      </c>
      <c r="F320" s="3518">
        <f t="shared" si="289"/>
        <v>0</v>
      </c>
      <c r="G320" s="3518">
        <f t="shared" si="289"/>
        <v>0</v>
      </c>
      <c r="H320" s="3518">
        <f t="shared" si="289"/>
        <v>0</v>
      </c>
      <c r="I320" s="3518">
        <f t="shared" ca="1" si="289"/>
        <v>0</v>
      </c>
      <c r="J320" s="3518">
        <f t="shared" ca="1" si="289"/>
        <v>0</v>
      </c>
      <c r="K320" s="3518">
        <f t="shared" ca="1" si="289"/>
        <v>0</v>
      </c>
      <c r="L320" s="3519">
        <f t="shared" ca="1" si="289"/>
        <v>0</v>
      </c>
      <c r="M320" s="3519">
        <f t="shared" ca="1" si="289"/>
        <v>0</v>
      </c>
      <c r="N320" s="3520">
        <f t="shared" ca="1" si="289"/>
        <v>0</v>
      </c>
      <c r="O320" s="3520">
        <f t="shared" ca="1" si="289"/>
        <v>0</v>
      </c>
      <c r="P320" s="4476">
        <f t="shared" ref="P320:S320" si="290">+P447</f>
        <v>0</v>
      </c>
      <c r="Q320" s="2778">
        <f t="shared" si="290"/>
        <v>0</v>
      </c>
      <c r="R320" s="3521">
        <f t="shared" si="290"/>
        <v>0</v>
      </c>
      <c r="S320" s="3522" t="str">
        <f t="shared" si="290"/>
        <v>OK</v>
      </c>
      <c r="T320" s="3522"/>
    </row>
    <row r="321" spans="1:20" s="250" customFormat="1" ht="30" hidden="1" customHeight="1" thickBot="1" x14ac:dyDescent="0.5">
      <c r="A321" s="4307"/>
      <c r="B321" s="1949">
        <v>5580</v>
      </c>
      <c r="C321" s="3501" t="s">
        <v>1308</v>
      </c>
      <c r="D321" s="3398" t="s">
        <v>1251</v>
      </c>
      <c r="E321" s="3518">
        <f t="shared" si="289"/>
        <v>0</v>
      </c>
      <c r="F321" s="3518">
        <f t="shared" si="289"/>
        <v>0</v>
      </c>
      <c r="G321" s="3518">
        <f t="shared" si="289"/>
        <v>0</v>
      </c>
      <c r="H321" s="3518">
        <f t="shared" si="289"/>
        <v>0</v>
      </c>
      <c r="I321" s="3518">
        <f t="shared" ca="1" si="289"/>
        <v>0</v>
      </c>
      <c r="J321" s="3518">
        <f t="shared" ca="1" si="289"/>
        <v>0</v>
      </c>
      <c r="K321" s="3518">
        <f t="shared" ca="1" si="289"/>
        <v>0</v>
      </c>
      <c r="L321" s="3519">
        <f t="shared" ca="1" si="289"/>
        <v>0</v>
      </c>
      <c r="M321" s="3519">
        <f t="shared" ca="1" si="289"/>
        <v>0</v>
      </c>
      <c r="N321" s="3520">
        <f t="shared" ca="1" si="289"/>
        <v>0</v>
      </c>
      <c r="O321" s="3520">
        <f t="shared" ca="1" si="289"/>
        <v>0</v>
      </c>
      <c r="P321" s="4476">
        <f t="shared" ref="P321:S321" si="291">+P448</f>
        <v>0</v>
      </c>
      <c r="Q321" s="2778">
        <f t="shared" si="291"/>
        <v>0</v>
      </c>
      <c r="R321" s="3521">
        <f t="shared" si="291"/>
        <v>0</v>
      </c>
      <c r="S321" s="3522" t="str">
        <f t="shared" si="291"/>
        <v>OK</v>
      </c>
      <c r="T321" s="3522"/>
    </row>
    <row r="322" spans="1:20" s="250" customFormat="1" ht="30" hidden="1" customHeight="1" thickBot="1" x14ac:dyDescent="0.5">
      <c r="A322" s="4307"/>
      <c r="B322" s="1949">
        <v>5581</v>
      </c>
      <c r="C322" s="3501" t="s">
        <v>1308</v>
      </c>
      <c r="D322" s="3398" t="s">
        <v>1252</v>
      </c>
      <c r="E322" s="3518">
        <f t="shared" si="289"/>
        <v>0</v>
      </c>
      <c r="F322" s="3518">
        <f t="shared" si="289"/>
        <v>0</v>
      </c>
      <c r="G322" s="3518">
        <f t="shared" si="289"/>
        <v>0</v>
      </c>
      <c r="H322" s="3518">
        <f t="shared" si="289"/>
        <v>0</v>
      </c>
      <c r="I322" s="3518">
        <f t="shared" ca="1" si="289"/>
        <v>0</v>
      </c>
      <c r="J322" s="3518">
        <f t="shared" ca="1" si="289"/>
        <v>0</v>
      </c>
      <c r="K322" s="3518">
        <f t="shared" ca="1" si="289"/>
        <v>0</v>
      </c>
      <c r="L322" s="3519">
        <f t="shared" ca="1" si="289"/>
        <v>0</v>
      </c>
      <c r="M322" s="3519">
        <f t="shared" ca="1" si="289"/>
        <v>0</v>
      </c>
      <c r="N322" s="3520">
        <f t="shared" ca="1" si="289"/>
        <v>0</v>
      </c>
      <c r="O322" s="3520">
        <f t="shared" ca="1" si="289"/>
        <v>0</v>
      </c>
      <c r="P322" s="4476">
        <f t="shared" ref="P322:S322" si="292">+P449</f>
        <v>0</v>
      </c>
      <c r="Q322" s="2778">
        <f t="shared" si="292"/>
        <v>0</v>
      </c>
      <c r="R322" s="3521">
        <f t="shared" si="292"/>
        <v>0</v>
      </c>
      <c r="S322" s="3522" t="str">
        <f t="shared" si="292"/>
        <v>OK</v>
      </c>
      <c r="T322" s="3522"/>
    </row>
    <row r="323" spans="1:20" s="250" customFormat="1" ht="30" hidden="1" customHeight="1" thickBot="1" x14ac:dyDescent="0.5">
      <c r="A323" s="4307"/>
      <c r="B323" s="1954">
        <v>5040</v>
      </c>
      <c r="C323" s="3743" t="s">
        <v>373</v>
      </c>
      <c r="D323" s="4310"/>
      <c r="E323" s="3518">
        <f>+E440</f>
        <v>0</v>
      </c>
      <c r="F323" s="3518">
        <f t="shared" ref="F323:O323" si="293">+F440</f>
        <v>0</v>
      </c>
      <c r="G323" s="3518">
        <f t="shared" si="293"/>
        <v>0</v>
      </c>
      <c r="H323" s="3518">
        <f t="shared" si="293"/>
        <v>0</v>
      </c>
      <c r="I323" s="3518">
        <f t="shared" ca="1" si="293"/>
        <v>0</v>
      </c>
      <c r="J323" s="3518">
        <f t="shared" ca="1" si="293"/>
        <v>0</v>
      </c>
      <c r="K323" s="3518">
        <f t="shared" ca="1" si="293"/>
        <v>0</v>
      </c>
      <c r="L323" s="3519">
        <f t="shared" ca="1" si="293"/>
        <v>0</v>
      </c>
      <c r="M323" s="3519">
        <f t="shared" ca="1" si="293"/>
        <v>0</v>
      </c>
      <c r="N323" s="3520">
        <f t="shared" ca="1" si="293"/>
        <v>0</v>
      </c>
      <c r="O323" s="3520">
        <f t="shared" ca="1" si="293"/>
        <v>0</v>
      </c>
      <c r="P323" s="4476">
        <f>+P440</f>
        <v>0</v>
      </c>
      <c r="Q323" s="2778">
        <f t="shared" ref="Q323:S323" si="294">+Q440</f>
        <v>0</v>
      </c>
      <c r="R323" s="3521">
        <f t="shared" si="294"/>
        <v>0</v>
      </c>
      <c r="S323" s="3522" t="str">
        <f t="shared" si="294"/>
        <v>OK</v>
      </c>
      <c r="T323" s="3522"/>
    </row>
    <row r="324" spans="1:20" s="250" customFormat="1" ht="30" hidden="1" customHeight="1" thickBot="1" x14ac:dyDescent="0.5">
      <c r="A324" s="4307"/>
      <c r="B324" s="3393">
        <v>5501</v>
      </c>
      <c r="C324" s="3503" t="s">
        <v>1309</v>
      </c>
      <c r="D324" s="3394" t="s">
        <v>1253</v>
      </c>
      <c r="E324" s="3518">
        <f>+E442</f>
        <v>0</v>
      </c>
      <c r="F324" s="3518">
        <f t="shared" ref="F324:O324" si="295">+F442</f>
        <v>0</v>
      </c>
      <c r="G324" s="3518">
        <f t="shared" si="295"/>
        <v>0</v>
      </c>
      <c r="H324" s="3518">
        <f t="shared" si="295"/>
        <v>0</v>
      </c>
      <c r="I324" s="3518">
        <f t="shared" ca="1" si="295"/>
        <v>0</v>
      </c>
      <c r="J324" s="3518">
        <f t="shared" ca="1" si="295"/>
        <v>0</v>
      </c>
      <c r="K324" s="3518">
        <f t="shared" ca="1" si="295"/>
        <v>0</v>
      </c>
      <c r="L324" s="3519">
        <f t="shared" ca="1" si="295"/>
        <v>0</v>
      </c>
      <c r="M324" s="3519">
        <f t="shared" ca="1" si="295"/>
        <v>0</v>
      </c>
      <c r="N324" s="3520">
        <f t="shared" ca="1" si="295"/>
        <v>0</v>
      </c>
      <c r="O324" s="3520">
        <f t="shared" ca="1" si="295"/>
        <v>0</v>
      </c>
      <c r="P324" s="4476">
        <f>+P442</f>
        <v>0</v>
      </c>
      <c r="Q324" s="2778">
        <f t="shared" ref="Q324:S324" si="296">+Q442</f>
        <v>0</v>
      </c>
      <c r="R324" s="3521">
        <f t="shared" si="296"/>
        <v>0</v>
      </c>
      <c r="S324" s="3522" t="str">
        <f t="shared" si="296"/>
        <v>OK</v>
      </c>
      <c r="T324" s="3522"/>
    </row>
    <row r="325" spans="1:20" s="250" customFormat="1" ht="30" hidden="1" customHeight="1" thickBot="1" x14ac:dyDescent="0.5">
      <c r="A325" s="4307"/>
      <c r="B325" s="3395">
        <v>5502</v>
      </c>
      <c r="C325" s="3503" t="s">
        <v>1309</v>
      </c>
      <c r="D325" s="3396" t="s">
        <v>1254</v>
      </c>
      <c r="E325" s="3518">
        <f t="shared" ref="E325:O327" si="297">+E443</f>
        <v>0</v>
      </c>
      <c r="F325" s="3518">
        <f t="shared" si="297"/>
        <v>0</v>
      </c>
      <c r="G325" s="3518">
        <f t="shared" si="297"/>
        <v>0</v>
      </c>
      <c r="H325" s="3518">
        <f t="shared" si="297"/>
        <v>0</v>
      </c>
      <c r="I325" s="3518">
        <f t="shared" ca="1" si="297"/>
        <v>0</v>
      </c>
      <c r="J325" s="3518">
        <f t="shared" ca="1" si="297"/>
        <v>0</v>
      </c>
      <c r="K325" s="3518">
        <f t="shared" ca="1" si="297"/>
        <v>0</v>
      </c>
      <c r="L325" s="3519">
        <f t="shared" ca="1" si="297"/>
        <v>0</v>
      </c>
      <c r="M325" s="3519">
        <f t="shared" ca="1" si="297"/>
        <v>0</v>
      </c>
      <c r="N325" s="3520">
        <f t="shared" ca="1" si="297"/>
        <v>0</v>
      </c>
      <c r="O325" s="3520">
        <f t="shared" ca="1" si="297"/>
        <v>0</v>
      </c>
      <c r="P325" s="3523">
        <f t="shared" ref="P325:S325" si="298">+P443</f>
        <v>0</v>
      </c>
      <c r="Q325" s="2778">
        <f t="shared" si="298"/>
        <v>0</v>
      </c>
      <c r="R325" s="3521">
        <f t="shared" si="298"/>
        <v>0</v>
      </c>
      <c r="S325" s="3522" t="str">
        <f t="shared" si="298"/>
        <v>OK</v>
      </c>
      <c r="T325" s="3522"/>
    </row>
    <row r="326" spans="1:20" s="250" customFormat="1" ht="30" hidden="1" customHeight="1" thickBot="1" x14ac:dyDescent="0.5">
      <c r="A326" s="4307"/>
      <c r="B326" s="3397">
        <v>5551</v>
      </c>
      <c r="C326" s="3503" t="s">
        <v>1309</v>
      </c>
      <c r="D326" s="3398" t="s">
        <v>1255</v>
      </c>
      <c r="E326" s="3518">
        <f t="shared" si="297"/>
        <v>0</v>
      </c>
      <c r="F326" s="3518">
        <f t="shared" si="297"/>
        <v>0</v>
      </c>
      <c r="G326" s="3518">
        <f t="shared" si="297"/>
        <v>0</v>
      </c>
      <c r="H326" s="3518">
        <f t="shared" si="297"/>
        <v>0</v>
      </c>
      <c r="I326" s="3518">
        <f t="shared" ca="1" si="297"/>
        <v>0</v>
      </c>
      <c r="J326" s="3518">
        <f t="shared" ca="1" si="297"/>
        <v>0</v>
      </c>
      <c r="K326" s="3518">
        <f t="shared" ca="1" si="297"/>
        <v>0</v>
      </c>
      <c r="L326" s="3519">
        <f t="shared" ca="1" si="297"/>
        <v>0</v>
      </c>
      <c r="M326" s="3519">
        <f t="shared" ca="1" si="297"/>
        <v>0</v>
      </c>
      <c r="N326" s="3520">
        <f t="shared" ca="1" si="297"/>
        <v>0</v>
      </c>
      <c r="O326" s="3520">
        <f t="shared" ca="1" si="297"/>
        <v>0</v>
      </c>
      <c r="P326" s="3523">
        <f t="shared" ref="P326:S326" si="299">+P444</f>
        <v>0</v>
      </c>
      <c r="Q326" s="2778">
        <f t="shared" si="299"/>
        <v>0</v>
      </c>
      <c r="R326" s="3521">
        <f t="shared" si="299"/>
        <v>0</v>
      </c>
      <c r="S326" s="3522" t="str">
        <f t="shared" si="299"/>
        <v>OK</v>
      </c>
      <c r="T326" s="3522"/>
    </row>
    <row r="327" spans="1:20" s="250" customFormat="1" ht="30" hidden="1" customHeight="1" thickBot="1" x14ac:dyDescent="0.5">
      <c r="A327" s="4307"/>
      <c r="B327" s="3399">
        <v>5552</v>
      </c>
      <c r="C327" s="3503" t="s">
        <v>1309</v>
      </c>
      <c r="D327" s="3400" t="s">
        <v>1256</v>
      </c>
      <c r="E327" s="3518">
        <f t="shared" si="297"/>
        <v>0</v>
      </c>
      <c r="F327" s="3518">
        <f t="shared" si="297"/>
        <v>0</v>
      </c>
      <c r="G327" s="3518">
        <f t="shared" si="297"/>
        <v>0</v>
      </c>
      <c r="H327" s="3518">
        <f t="shared" si="297"/>
        <v>0</v>
      </c>
      <c r="I327" s="3518">
        <f t="shared" ca="1" si="297"/>
        <v>0</v>
      </c>
      <c r="J327" s="3518">
        <f t="shared" ca="1" si="297"/>
        <v>0</v>
      </c>
      <c r="K327" s="3518">
        <f t="shared" ca="1" si="297"/>
        <v>0</v>
      </c>
      <c r="L327" s="3519">
        <f t="shared" ca="1" si="297"/>
        <v>0</v>
      </c>
      <c r="M327" s="3519">
        <f t="shared" ca="1" si="297"/>
        <v>0</v>
      </c>
      <c r="N327" s="3520">
        <f t="shared" ca="1" si="297"/>
        <v>0</v>
      </c>
      <c r="O327" s="3520">
        <f t="shared" ca="1" si="297"/>
        <v>0</v>
      </c>
      <c r="P327" s="3523">
        <f t="shared" ref="P327:S327" si="300">+P445</f>
        <v>0</v>
      </c>
      <c r="Q327" s="2778">
        <f t="shared" si="300"/>
        <v>0</v>
      </c>
      <c r="R327" s="3521">
        <f t="shared" si="300"/>
        <v>0</v>
      </c>
      <c r="S327" s="3522" t="str">
        <f t="shared" si="300"/>
        <v>OK</v>
      </c>
      <c r="T327" s="3522"/>
    </row>
    <row r="328" spans="1:20" s="250" customFormat="1" ht="30" hidden="1" customHeight="1" thickBot="1" x14ac:dyDescent="0.5">
      <c r="A328" s="4307"/>
      <c r="B328" s="3391">
        <v>5050</v>
      </c>
      <c r="C328" s="4311" t="s">
        <v>374</v>
      </c>
      <c r="D328" s="4312"/>
      <c r="E328" s="3518">
        <f>+E441</f>
        <v>0</v>
      </c>
      <c r="F328" s="3518">
        <f t="shared" ref="F328:O328" si="301">+F441</f>
        <v>0</v>
      </c>
      <c r="G328" s="3518">
        <f t="shared" si="301"/>
        <v>0</v>
      </c>
      <c r="H328" s="3518">
        <f t="shared" si="301"/>
        <v>0</v>
      </c>
      <c r="I328" s="3518">
        <f t="shared" ca="1" si="301"/>
        <v>0</v>
      </c>
      <c r="J328" s="3518">
        <f t="shared" ca="1" si="301"/>
        <v>0</v>
      </c>
      <c r="K328" s="3518">
        <f t="shared" ca="1" si="301"/>
        <v>0</v>
      </c>
      <c r="L328" s="3519">
        <f t="shared" ca="1" si="301"/>
        <v>0</v>
      </c>
      <c r="M328" s="3519">
        <f t="shared" ca="1" si="301"/>
        <v>0</v>
      </c>
      <c r="N328" s="3520">
        <f t="shared" ca="1" si="301"/>
        <v>0</v>
      </c>
      <c r="O328" s="3520">
        <f t="shared" ca="1" si="301"/>
        <v>0</v>
      </c>
      <c r="P328" s="3523">
        <f>+P441</f>
        <v>0</v>
      </c>
      <c r="Q328" s="2778">
        <f t="shared" ref="Q328:S328" si="302">+Q441</f>
        <v>0</v>
      </c>
      <c r="R328" s="3521">
        <f t="shared" si="302"/>
        <v>0</v>
      </c>
      <c r="S328" s="3522" t="str">
        <f t="shared" si="302"/>
        <v>OK</v>
      </c>
      <c r="T328" s="3522"/>
    </row>
    <row r="329" spans="1:20" s="250" customFormat="1" ht="30" hidden="1" customHeight="1" thickBot="1" x14ac:dyDescent="0.5">
      <c r="A329" s="4307"/>
      <c r="B329" s="1948">
        <v>5590</v>
      </c>
      <c r="C329" s="3503" t="s">
        <v>1310</v>
      </c>
      <c r="D329" s="3396" t="s">
        <v>1257</v>
      </c>
      <c r="E329" s="3518">
        <f>+E450</f>
        <v>0</v>
      </c>
      <c r="F329" s="3518">
        <f t="shared" ref="F329:O329" si="303">+F450</f>
        <v>0</v>
      </c>
      <c r="G329" s="3518">
        <f t="shared" si="303"/>
        <v>0</v>
      </c>
      <c r="H329" s="3518">
        <f t="shared" si="303"/>
        <v>0</v>
      </c>
      <c r="I329" s="3518">
        <f t="shared" ca="1" si="303"/>
        <v>0</v>
      </c>
      <c r="J329" s="3518">
        <f t="shared" ca="1" si="303"/>
        <v>0</v>
      </c>
      <c r="K329" s="3518">
        <f t="shared" ca="1" si="303"/>
        <v>0</v>
      </c>
      <c r="L329" s="3519">
        <f t="shared" ca="1" si="303"/>
        <v>0</v>
      </c>
      <c r="M329" s="3519">
        <f t="shared" ca="1" si="303"/>
        <v>0</v>
      </c>
      <c r="N329" s="3520">
        <f t="shared" ca="1" si="303"/>
        <v>0</v>
      </c>
      <c r="O329" s="3520">
        <f t="shared" ca="1" si="303"/>
        <v>0</v>
      </c>
      <c r="P329" s="3523">
        <f>+P450</f>
        <v>0</v>
      </c>
      <c r="Q329" s="2778">
        <f t="shared" ref="Q329:S329" si="304">+Q450</f>
        <v>0</v>
      </c>
      <c r="R329" s="3521">
        <f t="shared" si="304"/>
        <v>0</v>
      </c>
      <c r="S329" s="3522" t="str">
        <f t="shared" si="304"/>
        <v>OK</v>
      </c>
      <c r="T329" s="3522"/>
    </row>
    <row r="330" spans="1:20" s="250" customFormat="1" ht="30" hidden="1" customHeight="1" thickBot="1" x14ac:dyDescent="0.5">
      <c r="A330" s="4307"/>
      <c r="B330" s="1948">
        <v>5591</v>
      </c>
      <c r="C330" s="3503" t="s">
        <v>1310</v>
      </c>
      <c r="D330" s="3396" t="s">
        <v>1258</v>
      </c>
      <c r="E330" s="3518">
        <f t="shared" ref="E330:O332" si="305">+E451</f>
        <v>0</v>
      </c>
      <c r="F330" s="3518">
        <f t="shared" si="305"/>
        <v>0</v>
      </c>
      <c r="G330" s="3518">
        <f t="shared" si="305"/>
        <v>0</v>
      </c>
      <c r="H330" s="3518">
        <f t="shared" si="305"/>
        <v>0</v>
      </c>
      <c r="I330" s="3518">
        <f t="shared" ca="1" si="305"/>
        <v>0</v>
      </c>
      <c r="J330" s="3518">
        <f t="shared" ca="1" si="305"/>
        <v>0</v>
      </c>
      <c r="K330" s="3518">
        <f t="shared" ca="1" si="305"/>
        <v>0</v>
      </c>
      <c r="L330" s="3519">
        <f t="shared" ca="1" si="305"/>
        <v>0</v>
      </c>
      <c r="M330" s="3519">
        <f t="shared" ca="1" si="305"/>
        <v>0</v>
      </c>
      <c r="N330" s="3520">
        <f t="shared" ca="1" si="305"/>
        <v>0</v>
      </c>
      <c r="O330" s="3520">
        <f t="shared" ca="1" si="305"/>
        <v>0</v>
      </c>
      <c r="P330" s="3523">
        <f t="shared" ref="P330:S330" si="306">+P451</f>
        <v>0</v>
      </c>
      <c r="Q330" s="2778">
        <f t="shared" si="306"/>
        <v>0</v>
      </c>
      <c r="R330" s="3521">
        <f t="shared" si="306"/>
        <v>0</v>
      </c>
      <c r="S330" s="3522" t="str">
        <f t="shared" si="306"/>
        <v>OK</v>
      </c>
      <c r="T330" s="3522"/>
    </row>
    <row r="331" spans="1:20" s="250" customFormat="1" ht="30" hidden="1" customHeight="1" thickBot="1" x14ac:dyDescent="0.5">
      <c r="A331" s="4307"/>
      <c r="B331" s="1949">
        <v>5600</v>
      </c>
      <c r="C331" s="3503" t="s">
        <v>1310</v>
      </c>
      <c r="D331" s="3398" t="s">
        <v>1259</v>
      </c>
      <c r="E331" s="3518">
        <f t="shared" si="305"/>
        <v>0</v>
      </c>
      <c r="F331" s="3518">
        <f t="shared" si="305"/>
        <v>0</v>
      </c>
      <c r="G331" s="3518">
        <f t="shared" si="305"/>
        <v>0</v>
      </c>
      <c r="H331" s="3518">
        <f t="shared" si="305"/>
        <v>0</v>
      </c>
      <c r="I331" s="3518">
        <f t="shared" ca="1" si="305"/>
        <v>0</v>
      </c>
      <c r="J331" s="3518">
        <f t="shared" ca="1" si="305"/>
        <v>0</v>
      </c>
      <c r="K331" s="3518">
        <f t="shared" ca="1" si="305"/>
        <v>0</v>
      </c>
      <c r="L331" s="3519">
        <f t="shared" ca="1" si="305"/>
        <v>0</v>
      </c>
      <c r="M331" s="3519">
        <f t="shared" ca="1" si="305"/>
        <v>0</v>
      </c>
      <c r="N331" s="3520">
        <f t="shared" ca="1" si="305"/>
        <v>0</v>
      </c>
      <c r="O331" s="3520">
        <f t="shared" ca="1" si="305"/>
        <v>0</v>
      </c>
      <c r="P331" s="3523">
        <f t="shared" ref="P331:S331" si="307">+P452</f>
        <v>0</v>
      </c>
      <c r="Q331" s="2778">
        <f t="shared" si="307"/>
        <v>0</v>
      </c>
      <c r="R331" s="3521">
        <f t="shared" si="307"/>
        <v>0</v>
      </c>
      <c r="S331" s="3522" t="str">
        <f t="shared" si="307"/>
        <v>OK</v>
      </c>
      <c r="T331" s="3522"/>
    </row>
    <row r="332" spans="1:20" s="250" customFormat="1" ht="30" hidden="1" customHeight="1" thickBot="1" x14ac:dyDescent="0.5">
      <c r="A332" s="4307"/>
      <c r="B332" s="3419">
        <v>5601</v>
      </c>
      <c r="C332" s="3503" t="s">
        <v>1310</v>
      </c>
      <c r="D332" s="3504" t="s">
        <v>1260</v>
      </c>
      <c r="E332" s="3518">
        <f t="shared" si="305"/>
        <v>0</v>
      </c>
      <c r="F332" s="3518">
        <f t="shared" si="305"/>
        <v>0</v>
      </c>
      <c r="G332" s="3518">
        <f t="shared" si="305"/>
        <v>0</v>
      </c>
      <c r="H332" s="3518">
        <f t="shared" si="305"/>
        <v>0</v>
      </c>
      <c r="I332" s="3518">
        <f t="shared" ca="1" si="305"/>
        <v>0</v>
      </c>
      <c r="J332" s="3518">
        <f t="shared" ca="1" si="305"/>
        <v>0</v>
      </c>
      <c r="K332" s="3518">
        <f t="shared" ca="1" si="305"/>
        <v>0</v>
      </c>
      <c r="L332" s="3519">
        <f t="shared" ca="1" si="305"/>
        <v>0</v>
      </c>
      <c r="M332" s="3519">
        <f t="shared" ca="1" si="305"/>
        <v>0</v>
      </c>
      <c r="N332" s="3520">
        <f t="shared" ca="1" si="305"/>
        <v>0</v>
      </c>
      <c r="O332" s="3520">
        <f t="shared" ca="1" si="305"/>
        <v>0</v>
      </c>
      <c r="P332" s="3523">
        <f t="shared" ref="P332:S332" si="308">+P453</f>
        <v>0</v>
      </c>
      <c r="Q332" s="2778">
        <f t="shared" si="308"/>
        <v>0</v>
      </c>
      <c r="R332" s="3521">
        <f t="shared" si="308"/>
        <v>0</v>
      </c>
      <c r="S332" s="3522" t="str">
        <f t="shared" si="308"/>
        <v>OK</v>
      </c>
      <c r="T332" s="3522"/>
    </row>
    <row r="333" spans="1:20" s="250" customFormat="1" ht="30" hidden="1" customHeight="1" thickBot="1" x14ac:dyDescent="0.5">
      <c r="A333" s="4313" t="s">
        <v>323</v>
      </c>
      <c r="B333" s="1947">
        <v>5030</v>
      </c>
      <c r="C333" s="4308" t="s">
        <v>217</v>
      </c>
      <c r="D333" s="4309"/>
      <c r="E333" s="3518">
        <f>+E454</f>
        <v>0</v>
      </c>
      <c r="F333" s="3518">
        <f t="shared" ref="F333:O333" si="309">+F454</f>
        <v>0</v>
      </c>
      <c r="G333" s="3518">
        <f t="shared" si="309"/>
        <v>0</v>
      </c>
      <c r="H333" s="3518">
        <f t="shared" si="309"/>
        <v>0</v>
      </c>
      <c r="I333" s="3518">
        <f t="shared" ca="1" si="309"/>
        <v>0</v>
      </c>
      <c r="J333" s="3518">
        <f t="shared" ca="1" si="309"/>
        <v>0</v>
      </c>
      <c r="K333" s="3518">
        <f t="shared" ca="1" si="309"/>
        <v>0</v>
      </c>
      <c r="L333" s="3519">
        <f t="shared" ca="1" si="309"/>
        <v>0</v>
      </c>
      <c r="M333" s="3519">
        <f t="shared" ca="1" si="309"/>
        <v>0</v>
      </c>
      <c r="N333" s="3520">
        <f t="shared" ca="1" si="309"/>
        <v>0</v>
      </c>
      <c r="O333" s="3520">
        <f t="shared" ca="1" si="309"/>
        <v>0</v>
      </c>
      <c r="P333" s="4476" t="str">
        <f>+P454</f>
        <v>UR2 &gt;150 y &lt;= 500 kWh/mes</v>
      </c>
      <c r="Q333" s="2778">
        <f t="shared" ref="Q333:S333" si="310">+Q454</f>
        <v>0</v>
      </c>
      <c r="R333" s="3521">
        <f t="shared" si="310"/>
        <v>0</v>
      </c>
      <c r="S333" s="3522" t="str">
        <f t="shared" si="310"/>
        <v>OK</v>
      </c>
      <c r="T333" s="3522"/>
    </row>
    <row r="334" spans="1:20" s="250" customFormat="1" ht="30" hidden="1" customHeight="1" thickBot="1" x14ac:dyDescent="0.5">
      <c r="A334" s="4313"/>
      <c r="B334" s="1948">
        <v>5572</v>
      </c>
      <c r="C334" s="1893" t="s">
        <v>1311</v>
      </c>
      <c r="D334" s="3396" t="s">
        <v>1261</v>
      </c>
      <c r="E334" s="3518">
        <f>+E467</f>
        <v>0</v>
      </c>
      <c r="F334" s="3518">
        <f t="shared" ref="F334:O334" si="311">+F467</f>
        <v>0</v>
      </c>
      <c r="G334" s="3518">
        <f t="shared" si="311"/>
        <v>0</v>
      </c>
      <c r="H334" s="3518">
        <f t="shared" si="311"/>
        <v>0</v>
      </c>
      <c r="I334" s="3518">
        <f t="shared" ca="1" si="311"/>
        <v>0</v>
      </c>
      <c r="J334" s="3518">
        <f t="shared" ca="1" si="311"/>
        <v>0</v>
      </c>
      <c r="K334" s="3518">
        <f t="shared" ca="1" si="311"/>
        <v>0</v>
      </c>
      <c r="L334" s="3519">
        <f t="shared" ca="1" si="311"/>
        <v>0</v>
      </c>
      <c r="M334" s="3519">
        <f t="shared" ca="1" si="311"/>
        <v>0</v>
      </c>
      <c r="N334" s="3520">
        <f t="shared" ca="1" si="311"/>
        <v>0</v>
      </c>
      <c r="O334" s="3520">
        <f t="shared" ca="1" si="311"/>
        <v>0</v>
      </c>
      <c r="P334" s="4476">
        <f>+P467</f>
        <v>0</v>
      </c>
      <c r="Q334" s="2778">
        <f t="shared" ref="Q334:S334" si="312">+Q467</f>
        <v>0</v>
      </c>
      <c r="R334" s="3521">
        <f t="shared" si="312"/>
        <v>0</v>
      </c>
      <c r="S334" s="3522" t="str">
        <f t="shared" si="312"/>
        <v>OK</v>
      </c>
      <c r="T334" s="3522"/>
    </row>
    <row r="335" spans="1:20" s="250" customFormat="1" ht="30" hidden="1" customHeight="1" thickBot="1" x14ac:dyDescent="0.5">
      <c r="A335" s="4313"/>
      <c r="B335" s="1948">
        <v>5573</v>
      </c>
      <c r="C335" s="1893" t="s">
        <v>1311</v>
      </c>
      <c r="D335" s="3396" t="s">
        <v>1262</v>
      </c>
      <c r="E335" s="3518">
        <f t="shared" ref="E335:O337" si="313">+E468</f>
        <v>0</v>
      </c>
      <c r="F335" s="3518">
        <f t="shared" si="313"/>
        <v>0</v>
      </c>
      <c r="G335" s="3518">
        <f t="shared" si="313"/>
        <v>0</v>
      </c>
      <c r="H335" s="3518">
        <f t="shared" si="313"/>
        <v>0</v>
      </c>
      <c r="I335" s="3518">
        <f t="shared" ca="1" si="313"/>
        <v>0</v>
      </c>
      <c r="J335" s="3518">
        <f t="shared" ca="1" si="313"/>
        <v>0</v>
      </c>
      <c r="K335" s="3518">
        <f t="shared" ca="1" si="313"/>
        <v>0</v>
      </c>
      <c r="L335" s="3519">
        <f t="shared" ca="1" si="313"/>
        <v>0</v>
      </c>
      <c r="M335" s="3519">
        <f t="shared" ca="1" si="313"/>
        <v>0</v>
      </c>
      <c r="N335" s="3520">
        <f t="shared" ca="1" si="313"/>
        <v>0</v>
      </c>
      <c r="O335" s="3520">
        <f t="shared" ca="1" si="313"/>
        <v>0</v>
      </c>
      <c r="P335" s="4476">
        <f t="shared" ref="P335:S335" si="314">+P468</f>
        <v>0</v>
      </c>
      <c r="Q335" s="2778">
        <f t="shared" si="314"/>
        <v>0</v>
      </c>
      <c r="R335" s="3521">
        <f t="shared" si="314"/>
        <v>0</v>
      </c>
      <c r="S335" s="3522" t="str">
        <f t="shared" si="314"/>
        <v>OK</v>
      </c>
      <c r="T335" s="3522"/>
    </row>
    <row r="336" spans="1:20" s="250" customFormat="1" ht="30" hidden="1" customHeight="1" thickBot="1" x14ac:dyDescent="0.5">
      <c r="A336" s="4313"/>
      <c r="B336" s="1949">
        <v>5582</v>
      </c>
      <c r="C336" s="1893" t="s">
        <v>1311</v>
      </c>
      <c r="D336" s="3398" t="s">
        <v>1263</v>
      </c>
      <c r="E336" s="3518">
        <f t="shared" si="313"/>
        <v>0</v>
      </c>
      <c r="F336" s="3518">
        <f t="shared" si="313"/>
        <v>0</v>
      </c>
      <c r="G336" s="3518">
        <f t="shared" si="313"/>
        <v>0</v>
      </c>
      <c r="H336" s="3518">
        <f t="shared" si="313"/>
        <v>0</v>
      </c>
      <c r="I336" s="3518">
        <f t="shared" ca="1" si="313"/>
        <v>0</v>
      </c>
      <c r="J336" s="3518">
        <f t="shared" ca="1" si="313"/>
        <v>0</v>
      </c>
      <c r="K336" s="3518">
        <f t="shared" ca="1" si="313"/>
        <v>0</v>
      </c>
      <c r="L336" s="3519">
        <f t="shared" ca="1" si="313"/>
        <v>0</v>
      </c>
      <c r="M336" s="3519">
        <f t="shared" ca="1" si="313"/>
        <v>0</v>
      </c>
      <c r="N336" s="3520">
        <f t="shared" ca="1" si="313"/>
        <v>0</v>
      </c>
      <c r="O336" s="3520">
        <f t="shared" ca="1" si="313"/>
        <v>0</v>
      </c>
      <c r="P336" s="4476">
        <f t="shared" ref="P336:S336" si="315">+P469</f>
        <v>0</v>
      </c>
      <c r="Q336" s="2778">
        <f t="shared" si="315"/>
        <v>0</v>
      </c>
      <c r="R336" s="3521">
        <f t="shared" si="315"/>
        <v>0</v>
      </c>
      <c r="S336" s="3522" t="str">
        <f t="shared" si="315"/>
        <v>OK</v>
      </c>
      <c r="T336" s="3522"/>
    </row>
    <row r="337" spans="1:20" s="250" customFormat="1" ht="30" hidden="1" customHeight="1" thickBot="1" x14ac:dyDescent="0.5">
      <c r="A337" s="4313"/>
      <c r="B337" s="1949">
        <v>5583</v>
      </c>
      <c r="C337" s="1893" t="s">
        <v>1311</v>
      </c>
      <c r="D337" s="3398" t="s">
        <v>1264</v>
      </c>
      <c r="E337" s="3518">
        <f t="shared" si="313"/>
        <v>0</v>
      </c>
      <c r="F337" s="3518">
        <f t="shared" si="313"/>
        <v>0</v>
      </c>
      <c r="G337" s="3518">
        <f t="shared" si="313"/>
        <v>0</v>
      </c>
      <c r="H337" s="3518">
        <f t="shared" si="313"/>
        <v>0</v>
      </c>
      <c r="I337" s="3518">
        <f t="shared" ca="1" si="313"/>
        <v>0</v>
      </c>
      <c r="J337" s="3518">
        <f t="shared" ca="1" si="313"/>
        <v>0</v>
      </c>
      <c r="K337" s="3518">
        <f t="shared" ca="1" si="313"/>
        <v>0</v>
      </c>
      <c r="L337" s="3519">
        <f t="shared" ca="1" si="313"/>
        <v>0</v>
      </c>
      <c r="M337" s="3519">
        <f t="shared" ca="1" si="313"/>
        <v>0</v>
      </c>
      <c r="N337" s="3520">
        <f t="shared" ca="1" si="313"/>
        <v>0</v>
      </c>
      <c r="O337" s="3520">
        <f t="shared" ca="1" si="313"/>
        <v>0</v>
      </c>
      <c r="P337" s="4476">
        <f t="shared" ref="P337:S337" si="316">+P470</f>
        <v>0</v>
      </c>
      <c r="Q337" s="2778">
        <f t="shared" si="316"/>
        <v>0</v>
      </c>
      <c r="R337" s="3521">
        <f t="shared" si="316"/>
        <v>0</v>
      </c>
      <c r="S337" s="3522" t="str">
        <f t="shared" si="316"/>
        <v>OK</v>
      </c>
      <c r="T337" s="3522"/>
    </row>
    <row r="338" spans="1:20" s="250" customFormat="1" ht="30" hidden="1" customHeight="1" thickBot="1" x14ac:dyDescent="0.5">
      <c r="A338" s="4313"/>
      <c r="B338" s="1954">
        <v>5040</v>
      </c>
      <c r="C338" s="3743" t="s">
        <v>373</v>
      </c>
      <c r="D338" s="4310"/>
      <c r="E338" s="3518">
        <f>+E455</f>
        <v>0</v>
      </c>
      <c r="F338" s="3518">
        <f t="shared" ref="F338:O338" si="317">+F455</f>
        <v>0</v>
      </c>
      <c r="G338" s="3518">
        <f t="shared" si="317"/>
        <v>0</v>
      </c>
      <c r="H338" s="3518">
        <f t="shared" si="317"/>
        <v>0</v>
      </c>
      <c r="I338" s="3518">
        <f t="shared" ca="1" si="317"/>
        <v>0</v>
      </c>
      <c r="J338" s="3518">
        <f t="shared" ca="1" si="317"/>
        <v>0</v>
      </c>
      <c r="K338" s="3518">
        <f t="shared" ca="1" si="317"/>
        <v>0</v>
      </c>
      <c r="L338" s="3519">
        <f t="shared" ca="1" si="317"/>
        <v>0</v>
      </c>
      <c r="M338" s="3519">
        <f t="shared" ca="1" si="317"/>
        <v>0</v>
      </c>
      <c r="N338" s="3520">
        <f t="shared" ca="1" si="317"/>
        <v>0</v>
      </c>
      <c r="O338" s="3520">
        <f t="shared" ca="1" si="317"/>
        <v>0</v>
      </c>
      <c r="P338" s="4476">
        <f>+P455</f>
        <v>0</v>
      </c>
      <c r="Q338" s="2778">
        <f t="shared" ref="Q338:S338" si="318">+Q455</f>
        <v>0</v>
      </c>
      <c r="R338" s="3521">
        <f t="shared" si="318"/>
        <v>0</v>
      </c>
      <c r="S338" s="3522" t="str">
        <f t="shared" si="318"/>
        <v>OK</v>
      </c>
      <c r="T338" s="3522"/>
    </row>
    <row r="339" spans="1:20" s="250" customFormat="1" ht="30" hidden="1" customHeight="1" thickBot="1" x14ac:dyDescent="0.5">
      <c r="A339" s="4313"/>
      <c r="B339" s="1954">
        <v>5041</v>
      </c>
      <c r="C339" s="3743" t="s">
        <v>1265</v>
      </c>
      <c r="D339" s="4310"/>
      <c r="E339" s="3518">
        <f t="shared" ref="E339:O340" si="319">+E456</f>
        <v>0</v>
      </c>
      <c r="F339" s="3518">
        <f t="shared" si="319"/>
        <v>0</v>
      </c>
      <c r="G339" s="3518">
        <f t="shared" si="319"/>
        <v>0</v>
      </c>
      <c r="H339" s="3518">
        <f t="shared" si="319"/>
        <v>0</v>
      </c>
      <c r="I339" s="3518">
        <f t="shared" ca="1" si="319"/>
        <v>0</v>
      </c>
      <c r="J339" s="3518">
        <f t="shared" ca="1" si="319"/>
        <v>0</v>
      </c>
      <c r="K339" s="3518">
        <f t="shared" ca="1" si="319"/>
        <v>0</v>
      </c>
      <c r="L339" s="3519">
        <f t="shared" ca="1" si="319"/>
        <v>0</v>
      </c>
      <c r="M339" s="3519">
        <f t="shared" ca="1" si="319"/>
        <v>0</v>
      </c>
      <c r="N339" s="3520">
        <f t="shared" ca="1" si="319"/>
        <v>0</v>
      </c>
      <c r="O339" s="3520">
        <f t="shared" ca="1" si="319"/>
        <v>0</v>
      </c>
      <c r="P339" s="4476">
        <f t="shared" ref="P339:S339" si="320">+P456</f>
        <v>0</v>
      </c>
      <c r="Q339" s="2778">
        <f t="shared" si="320"/>
        <v>0</v>
      </c>
      <c r="R339" s="3521">
        <f t="shared" si="320"/>
        <v>0</v>
      </c>
      <c r="S339" s="3522" t="str">
        <f t="shared" si="320"/>
        <v>OK</v>
      </c>
      <c r="T339" s="3522"/>
    </row>
    <row r="340" spans="1:20" s="250" customFormat="1" ht="30" hidden="1" customHeight="1" thickBot="1" x14ac:dyDescent="0.5">
      <c r="A340" s="4313"/>
      <c r="B340" s="1954">
        <v>5045</v>
      </c>
      <c r="C340" s="3743" t="s">
        <v>378</v>
      </c>
      <c r="D340" s="4310"/>
      <c r="E340" s="3518">
        <f t="shared" si="319"/>
        <v>0</v>
      </c>
      <c r="F340" s="3518">
        <f t="shared" si="319"/>
        <v>0</v>
      </c>
      <c r="G340" s="3518">
        <f t="shared" si="319"/>
        <v>0</v>
      </c>
      <c r="H340" s="3518">
        <f t="shared" si="319"/>
        <v>0</v>
      </c>
      <c r="I340" s="3518">
        <f t="shared" ca="1" si="319"/>
        <v>0</v>
      </c>
      <c r="J340" s="3518">
        <f t="shared" ca="1" si="319"/>
        <v>0</v>
      </c>
      <c r="K340" s="3518">
        <f t="shared" ca="1" si="319"/>
        <v>0</v>
      </c>
      <c r="L340" s="3519">
        <f t="shared" ca="1" si="319"/>
        <v>0</v>
      </c>
      <c r="M340" s="3519">
        <f t="shared" ca="1" si="319"/>
        <v>0</v>
      </c>
      <c r="N340" s="3520">
        <f t="shared" ca="1" si="319"/>
        <v>0</v>
      </c>
      <c r="O340" s="3520">
        <f t="shared" ca="1" si="319"/>
        <v>0</v>
      </c>
      <c r="P340" s="4476">
        <f t="shared" ref="P340:S340" si="321">+P457</f>
        <v>0</v>
      </c>
      <c r="Q340" s="2778">
        <f t="shared" si="321"/>
        <v>0</v>
      </c>
      <c r="R340" s="3521">
        <f t="shared" si="321"/>
        <v>0</v>
      </c>
      <c r="S340" s="3522" t="str">
        <f t="shared" si="321"/>
        <v>OK</v>
      </c>
      <c r="T340" s="3522"/>
    </row>
    <row r="341" spans="1:20" s="250" customFormat="1" ht="30" hidden="1" customHeight="1" thickBot="1" x14ac:dyDescent="0.5">
      <c r="A341" s="4313"/>
      <c r="B341" s="1948">
        <v>5503</v>
      </c>
      <c r="C341" s="3505" t="s">
        <v>1312</v>
      </c>
      <c r="D341" s="3396" t="s">
        <v>1266</v>
      </c>
      <c r="E341" s="3518">
        <f>+E461</f>
        <v>0</v>
      </c>
      <c r="F341" s="3518">
        <f t="shared" ref="F341:O341" si="322">+F461</f>
        <v>0</v>
      </c>
      <c r="G341" s="3518">
        <f t="shared" si="322"/>
        <v>0</v>
      </c>
      <c r="H341" s="3518">
        <f t="shared" si="322"/>
        <v>0</v>
      </c>
      <c r="I341" s="3518">
        <f t="shared" ca="1" si="322"/>
        <v>0</v>
      </c>
      <c r="J341" s="3518">
        <f t="shared" ca="1" si="322"/>
        <v>0</v>
      </c>
      <c r="K341" s="3518">
        <f t="shared" ca="1" si="322"/>
        <v>0</v>
      </c>
      <c r="L341" s="3519">
        <f t="shared" ca="1" si="322"/>
        <v>0</v>
      </c>
      <c r="M341" s="3519">
        <f t="shared" ca="1" si="322"/>
        <v>0</v>
      </c>
      <c r="N341" s="3520">
        <f t="shared" ca="1" si="322"/>
        <v>0</v>
      </c>
      <c r="O341" s="3520">
        <f t="shared" ca="1" si="322"/>
        <v>0</v>
      </c>
      <c r="P341" s="4476">
        <f>+P461</f>
        <v>0</v>
      </c>
      <c r="Q341" s="2778">
        <f t="shared" ref="Q341:S341" si="323">+Q461</f>
        <v>0</v>
      </c>
      <c r="R341" s="3521">
        <f t="shared" si="323"/>
        <v>0</v>
      </c>
      <c r="S341" s="3522" t="str">
        <f t="shared" si="323"/>
        <v>OK</v>
      </c>
      <c r="T341" s="3522"/>
    </row>
    <row r="342" spans="1:20" s="250" customFormat="1" ht="30" hidden="1" customHeight="1" thickBot="1" x14ac:dyDescent="0.5">
      <c r="A342" s="4313"/>
      <c r="B342" s="1948">
        <v>5504</v>
      </c>
      <c r="C342" s="3505" t="s">
        <v>1312</v>
      </c>
      <c r="D342" s="3396" t="s">
        <v>1267</v>
      </c>
      <c r="E342" s="3518">
        <f t="shared" ref="E342:O346" si="324">+E462</f>
        <v>0</v>
      </c>
      <c r="F342" s="3518">
        <f t="shared" si="324"/>
        <v>0</v>
      </c>
      <c r="G342" s="3518">
        <f t="shared" si="324"/>
        <v>0</v>
      </c>
      <c r="H342" s="3518">
        <f t="shared" si="324"/>
        <v>0</v>
      </c>
      <c r="I342" s="3518">
        <f t="shared" ca="1" si="324"/>
        <v>0</v>
      </c>
      <c r="J342" s="3518">
        <f t="shared" ca="1" si="324"/>
        <v>0</v>
      </c>
      <c r="K342" s="3518">
        <f t="shared" ca="1" si="324"/>
        <v>0</v>
      </c>
      <c r="L342" s="3519">
        <f t="shared" ca="1" si="324"/>
        <v>0</v>
      </c>
      <c r="M342" s="3519">
        <f t="shared" ca="1" si="324"/>
        <v>0</v>
      </c>
      <c r="N342" s="3520">
        <f t="shared" ca="1" si="324"/>
        <v>0</v>
      </c>
      <c r="O342" s="3520">
        <f t="shared" ca="1" si="324"/>
        <v>0</v>
      </c>
      <c r="P342" s="4476">
        <f t="shared" ref="P342:S342" si="325">+P462</f>
        <v>0</v>
      </c>
      <c r="Q342" s="2778">
        <f t="shared" si="325"/>
        <v>0</v>
      </c>
      <c r="R342" s="3521">
        <f t="shared" si="325"/>
        <v>0</v>
      </c>
      <c r="S342" s="3522" t="str">
        <f t="shared" si="325"/>
        <v>OK</v>
      </c>
      <c r="T342" s="3522"/>
    </row>
    <row r="343" spans="1:20" s="250" customFormat="1" ht="30" hidden="1" customHeight="1" thickBot="1" x14ac:dyDescent="0.5">
      <c r="A343" s="4313"/>
      <c r="B343" s="1948">
        <v>5505</v>
      </c>
      <c r="C343" s="3505" t="s">
        <v>1312</v>
      </c>
      <c r="D343" s="3396" t="s">
        <v>1268</v>
      </c>
      <c r="E343" s="3518">
        <f t="shared" si="324"/>
        <v>0</v>
      </c>
      <c r="F343" s="3518">
        <f t="shared" si="324"/>
        <v>0</v>
      </c>
      <c r="G343" s="3518">
        <f t="shared" si="324"/>
        <v>0</v>
      </c>
      <c r="H343" s="3518">
        <f t="shared" si="324"/>
        <v>0</v>
      </c>
      <c r="I343" s="3518">
        <f t="shared" ca="1" si="324"/>
        <v>0</v>
      </c>
      <c r="J343" s="3518">
        <f t="shared" ca="1" si="324"/>
        <v>0</v>
      </c>
      <c r="K343" s="3518">
        <f t="shared" ca="1" si="324"/>
        <v>0</v>
      </c>
      <c r="L343" s="3519">
        <f t="shared" ca="1" si="324"/>
        <v>0</v>
      </c>
      <c r="M343" s="3519">
        <f t="shared" ca="1" si="324"/>
        <v>0</v>
      </c>
      <c r="N343" s="3520">
        <f t="shared" ca="1" si="324"/>
        <v>0</v>
      </c>
      <c r="O343" s="3520">
        <f t="shared" ca="1" si="324"/>
        <v>0</v>
      </c>
      <c r="P343" s="4476">
        <f t="shared" ref="P343:S343" si="326">+P463</f>
        <v>0</v>
      </c>
      <c r="Q343" s="2778">
        <f t="shared" si="326"/>
        <v>0</v>
      </c>
      <c r="R343" s="3521">
        <f t="shared" si="326"/>
        <v>0</v>
      </c>
      <c r="S343" s="3522" t="str">
        <f t="shared" si="326"/>
        <v>OK</v>
      </c>
      <c r="T343" s="3522"/>
    </row>
    <row r="344" spans="1:20" s="250" customFormat="1" ht="30" hidden="1" customHeight="1" thickBot="1" x14ac:dyDescent="0.5">
      <c r="A344" s="4313"/>
      <c r="B344" s="1949">
        <v>5553</v>
      </c>
      <c r="C344" s="3505" t="s">
        <v>1312</v>
      </c>
      <c r="D344" s="3398" t="s">
        <v>1269</v>
      </c>
      <c r="E344" s="3518">
        <f t="shared" si="324"/>
        <v>0</v>
      </c>
      <c r="F344" s="3518">
        <f t="shared" si="324"/>
        <v>0</v>
      </c>
      <c r="G344" s="3518">
        <f t="shared" si="324"/>
        <v>0</v>
      </c>
      <c r="H344" s="3518">
        <f t="shared" si="324"/>
        <v>0</v>
      </c>
      <c r="I344" s="3518">
        <f t="shared" ca="1" si="324"/>
        <v>0</v>
      </c>
      <c r="J344" s="3518">
        <f t="shared" ca="1" si="324"/>
        <v>0</v>
      </c>
      <c r="K344" s="3518">
        <f t="shared" ca="1" si="324"/>
        <v>0</v>
      </c>
      <c r="L344" s="3519">
        <f t="shared" ca="1" si="324"/>
        <v>0</v>
      </c>
      <c r="M344" s="3519">
        <f t="shared" ca="1" si="324"/>
        <v>0</v>
      </c>
      <c r="N344" s="3520">
        <f t="shared" ca="1" si="324"/>
        <v>0</v>
      </c>
      <c r="O344" s="3520">
        <f t="shared" ca="1" si="324"/>
        <v>0</v>
      </c>
      <c r="P344" s="4476">
        <f t="shared" ref="P344:S344" si="327">+P464</f>
        <v>0</v>
      </c>
      <c r="Q344" s="2778">
        <f t="shared" si="327"/>
        <v>0</v>
      </c>
      <c r="R344" s="3521">
        <f t="shared" si="327"/>
        <v>0</v>
      </c>
      <c r="S344" s="3522" t="str">
        <f t="shared" si="327"/>
        <v>OK</v>
      </c>
      <c r="T344" s="3522"/>
    </row>
    <row r="345" spans="1:20" s="250" customFormat="1" ht="30" hidden="1" customHeight="1" thickBot="1" x14ac:dyDescent="0.5">
      <c r="A345" s="4313"/>
      <c r="B345" s="1949">
        <v>5554</v>
      </c>
      <c r="C345" s="3505" t="s">
        <v>1312</v>
      </c>
      <c r="D345" s="3398" t="s">
        <v>1270</v>
      </c>
      <c r="E345" s="3518">
        <f t="shared" si="324"/>
        <v>0</v>
      </c>
      <c r="F345" s="3518">
        <f t="shared" si="324"/>
        <v>0</v>
      </c>
      <c r="G345" s="3518">
        <f t="shared" si="324"/>
        <v>0</v>
      </c>
      <c r="H345" s="3518">
        <f t="shared" si="324"/>
        <v>0</v>
      </c>
      <c r="I345" s="3518">
        <f t="shared" ca="1" si="324"/>
        <v>0</v>
      </c>
      <c r="J345" s="3518">
        <f t="shared" ca="1" si="324"/>
        <v>0</v>
      </c>
      <c r="K345" s="3518">
        <f t="shared" ca="1" si="324"/>
        <v>0</v>
      </c>
      <c r="L345" s="3519">
        <f t="shared" ca="1" si="324"/>
        <v>0</v>
      </c>
      <c r="M345" s="3519">
        <f t="shared" ca="1" si="324"/>
        <v>0</v>
      </c>
      <c r="N345" s="3520">
        <f t="shared" ca="1" si="324"/>
        <v>0</v>
      </c>
      <c r="O345" s="3520">
        <f t="shared" ca="1" si="324"/>
        <v>0</v>
      </c>
      <c r="P345" s="3523">
        <f t="shared" ref="P345:S345" si="328">+P465</f>
        <v>0</v>
      </c>
      <c r="Q345" s="2778">
        <f t="shared" si="328"/>
        <v>0</v>
      </c>
      <c r="R345" s="3521">
        <f t="shared" si="328"/>
        <v>0</v>
      </c>
      <c r="S345" s="3522" t="str">
        <f t="shared" si="328"/>
        <v>OK</v>
      </c>
      <c r="T345" s="3522"/>
    </row>
    <row r="346" spans="1:20" s="250" customFormat="1" ht="30" hidden="1" customHeight="1" thickBot="1" x14ac:dyDescent="0.5">
      <c r="A346" s="4313"/>
      <c r="B346" s="1949">
        <v>5555</v>
      </c>
      <c r="C346" s="3505" t="s">
        <v>1312</v>
      </c>
      <c r="D346" s="3398" t="s">
        <v>1271</v>
      </c>
      <c r="E346" s="3518">
        <f t="shared" si="324"/>
        <v>0</v>
      </c>
      <c r="F346" s="3518">
        <f t="shared" si="324"/>
        <v>0</v>
      </c>
      <c r="G346" s="3518">
        <f t="shared" si="324"/>
        <v>0</v>
      </c>
      <c r="H346" s="3518">
        <f t="shared" si="324"/>
        <v>0</v>
      </c>
      <c r="I346" s="3518">
        <f t="shared" ca="1" si="324"/>
        <v>0</v>
      </c>
      <c r="J346" s="3518">
        <f t="shared" ca="1" si="324"/>
        <v>0</v>
      </c>
      <c r="K346" s="3518">
        <f t="shared" ca="1" si="324"/>
        <v>0</v>
      </c>
      <c r="L346" s="3519">
        <f t="shared" ca="1" si="324"/>
        <v>0</v>
      </c>
      <c r="M346" s="3519">
        <f t="shared" ca="1" si="324"/>
        <v>0</v>
      </c>
      <c r="N346" s="3520">
        <f t="shared" ca="1" si="324"/>
        <v>0</v>
      </c>
      <c r="O346" s="3520">
        <f t="shared" ca="1" si="324"/>
        <v>0</v>
      </c>
      <c r="P346" s="3523">
        <f t="shared" ref="P346:S346" si="329">+P466</f>
        <v>0</v>
      </c>
      <c r="Q346" s="2778">
        <f t="shared" si="329"/>
        <v>0</v>
      </c>
      <c r="R346" s="3521">
        <f t="shared" si="329"/>
        <v>0</v>
      </c>
      <c r="S346" s="3522" t="str">
        <f t="shared" si="329"/>
        <v>OK</v>
      </c>
      <c r="T346" s="3522"/>
    </row>
    <row r="347" spans="1:20" s="250" customFormat="1" ht="30" hidden="1" customHeight="1" thickBot="1" x14ac:dyDescent="0.5">
      <c r="A347" s="4313"/>
      <c r="B347" s="1955">
        <v>5050</v>
      </c>
      <c r="C347" s="4314" t="s">
        <v>379</v>
      </c>
      <c r="D347" s="4315"/>
      <c r="E347" s="3518">
        <f>+E458</f>
        <v>0</v>
      </c>
      <c r="F347" s="3518">
        <f t="shared" ref="F347:O347" si="330">+F458</f>
        <v>0</v>
      </c>
      <c r="G347" s="3518">
        <f t="shared" si="330"/>
        <v>0</v>
      </c>
      <c r="H347" s="3518">
        <f t="shared" si="330"/>
        <v>0</v>
      </c>
      <c r="I347" s="3518">
        <f t="shared" ca="1" si="330"/>
        <v>0</v>
      </c>
      <c r="J347" s="3518">
        <f t="shared" ca="1" si="330"/>
        <v>0</v>
      </c>
      <c r="K347" s="3518">
        <f t="shared" ca="1" si="330"/>
        <v>0</v>
      </c>
      <c r="L347" s="3519">
        <f t="shared" ca="1" si="330"/>
        <v>0</v>
      </c>
      <c r="M347" s="3519">
        <f t="shared" ca="1" si="330"/>
        <v>0</v>
      </c>
      <c r="N347" s="3520">
        <f t="shared" ca="1" si="330"/>
        <v>0</v>
      </c>
      <c r="O347" s="3520">
        <f t="shared" ca="1" si="330"/>
        <v>0</v>
      </c>
      <c r="P347" s="3523">
        <f>+P458</f>
        <v>0</v>
      </c>
      <c r="Q347" s="2778">
        <f t="shared" ref="Q347:S347" si="331">+Q458</f>
        <v>0</v>
      </c>
      <c r="R347" s="3521">
        <f t="shared" si="331"/>
        <v>0</v>
      </c>
      <c r="S347" s="3522" t="str">
        <f t="shared" si="331"/>
        <v>OK</v>
      </c>
      <c r="T347" s="3522"/>
    </row>
    <row r="348" spans="1:20" s="250" customFormat="1" ht="30" hidden="1" customHeight="1" thickBot="1" x14ac:dyDescent="0.5">
      <c r="A348" s="4313"/>
      <c r="B348" s="1955">
        <v>5051</v>
      </c>
      <c r="C348" s="4314" t="s">
        <v>1246</v>
      </c>
      <c r="D348" s="4315"/>
      <c r="E348" s="3518">
        <f t="shared" ref="E348:O349" si="332">+E459</f>
        <v>0</v>
      </c>
      <c r="F348" s="3518">
        <f t="shared" si="332"/>
        <v>0</v>
      </c>
      <c r="G348" s="3518">
        <f t="shared" si="332"/>
        <v>0</v>
      </c>
      <c r="H348" s="3518">
        <f t="shared" si="332"/>
        <v>0</v>
      </c>
      <c r="I348" s="3518">
        <f t="shared" ca="1" si="332"/>
        <v>0</v>
      </c>
      <c r="J348" s="3518">
        <f t="shared" ca="1" si="332"/>
        <v>0</v>
      </c>
      <c r="K348" s="3518">
        <f t="shared" ca="1" si="332"/>
        <v>0</v>
      </c>
      <c r="L348" s="3519">
        <f t="shared" ca="1" si="332"/>
        <v>0</v>
      </c>
      <c r="M348" s="3519">
        <f t="shared" ca="1" si="332"/>
        <v>0</v>
      </c>
      <c r="N348" s="3520">
        <f t="shared" ca="1" si="332"/>
        <v>0</v>
      </c>
      <c r="O348" s="3520">
        <f t="shared" ca="1" si="332"/>
        <v>0</v>
      </c>
      <c r="P348" s="3523">
        <f t="shared" ref="P348:S348" si="333">+P459</f>
        <v>0</v>
      </c>
      <c r="Q348" s="2778">
        <f t="shared" si="333"/>
        <v>0</v>
      </c>
      <c r="R348" s="3521">
        <f t="shared" si="333"/>
        <v>0</v>
      </c>
      <c r="S348" s="3522" t="str">
        <f t="shared" si="333"/>
        <v>OK</v>
      </c>
      <c r="T348" s="3522"/>
    </row>
    <row r="349" spans="1:20" s="250" customFormat="1" ht="30" hidden="1" customHeight="1" thickBot="1" x14ac:dyDescent="0.5">
      <c r="A349" s="4313"/>
      <c r="B349" s="1955">
        <v>5055</v>
      </c>
      <c r="C349" s="4314" t="s">
        <v>387</v>
      </c>
      <c r="D349" s="4315"/>
      <c r="E349" s="3518">
        <f t="shared" si="332"/>
        <v>0</v>
      </c>
      <c r="F349" s="3518">
        <f t="shared" si="332"/>
        <v>0</v>
      </c>
      <c r="G349" s="3518">
        <f t="shared" si="332"/>
        <v>0</v>
      </c>
      <c r="H349" s="3518">
        <f t="shared" si="332"/>
        <v>0</v>
      </c>
      <c r="I349" s="3518">
        <f t="shared" ca="1" si="332"/>
        <v>0</v>
      </c>
      <c r="J349" s="3518">
        <f t="shared" ca="1" si="332"/>
        <v>0</v>
      </c>
      <c r="K349" s="3518">
        <f t="shared" ca="1" si="332"/>
        <v>0</v>
      </c>
      <c r="L349" s="3519">
        <f t="shared" ca="1" si="332"/>
        <v>0</v>
      </c>
      <c r="M349" s="3519">
        <f t="shared" ca="1" si="332"/>
        <v>0</v>
      </c>
      <c r="N349" s="3520">
        <f t="shared" ca="1" si="332"/>
        <v>0</v>
      </c>
      <c r="O349" s="3520">
        <f t="shared" ca="1" si="332"/>
        <v>0</v>
      </c>
      <c r="P349" s="3523">
        <f t="shared" ref="P349:S349" si="334">+P460</f>
        <v>0</v>
      </c>
      <c r="Q349" s="2778">
        <f t="shared" si="334"/>
        <v>0</v>
      </c>
      <c r="R349" s="3521">
        <f t="shared" si="334"/>
        <v>0</v>
      </c>
      <c r="S349" s="3522" t="str">
        <f t="shared" si="334"/>
        <v>OK</v>
      </c>
      <c r="T349" s="3522"/>
    </row>
    <row r="350" spans="1:20" s="250" customFormat="1" ht="30" hidden="1" customHeight="1" thickBot="1" x14ac:dyDescent="0.5">
      <c r="A350" s="4313"/>
      <c r="B350" s="1948">
        <v>5592</v>
      </c>
      <c r="C350" s="1893" t="s">
        <v>1313</v>
      </c>
      <c r="D350" s="3396" t="s">
        <v>1272</v>
      </c>
      <c r="E350" s="3518">
        <f>+E471</f>
        <v>0</v>
      </c>
      <c r="F350" s="3518">
        <f t="shared" ref="F350:O350" si="335">+F471</f>
        <v>0</v>
      </c>
      <c r="G350" s="3518">
        <f t="shared" si="335"/>
        <v>0</v>
      </c>
      <c r="H350" s="3518">
        <f t="shared" si="335"/>
        <v>0</v>
      </c>
      <c r="I350" s="3518">
        <f t="shared" ca="1" si="335"/>
        <v>0</v>
      </c>
      <c r="J350" s="3518">
        <f t="shared" ca="1" si="335"/>
        <v>0</v>
      </c>
      <c r="K350" s="3518">
        <f t="shared" ca="1" si="335"/>
        <v>0</v>
      </c>
      <c r="L350" s="3519">
        <f t="shared" ca="1" si="335"/>
        <v>0</v>
      </c>
      <c r="M350" s="3519">
        <f t="shared" ca="1" si="335"/>
        <v>0</v>
      </c>
      <c r="N350" s="3520">
        <f t="shared" ca="1" si="335"/>
        <v>0</v>
      </c>
      <c r="O350" s="3520">
        <f t="shared" ca="1" si="335"/>
        <v>0</v>
      </c>
      <c r="P350" s="3523">
        <f>+P471</f>
        <v>0</v>
      </c>
      <c r="Q350" s="2778">
        <f t="shared" ref="Q350:S350" si="336">+Q471</f>
        <v>0</v>
      </c>
      <c r="R350" s="3521">
        <f t="shared" si="336"/>
        <v>0</v>
      </c>
      <c r="S350" s="3522" t="str">
        <f t="shared" si="336"/>
        <v>OK</v>
      </c>
      <c r="T350" s="3522"/>
    </row>
    <row r="351" spans="1:20" s="250" customFormat="1" ht="30" hidden="1" customHeight="1" thickBot="1" x14ac:dyDescent="0.5">
      <c r="A351" s="4313"/>
      <c r="B351" s="1948">
        <v>5593</v>
      </c>
      <c r="C351" s="1893" t="s">
        <v>1313</v>
      </c>
      <c r="D351" s="3396" t="s">
        <v>1273</v>
      </c>
      <c r="E351" s="3518">
        <f t="shared" ref="E351:O356" si="337">+E472</f>
        <v>0</v>
      </c>
      <c r="F351" s="3518">
        <f t="shared" si="337"/>
        <v>0</v>
      </c>
      <c r="G351" s="3518">
        <f t="shared" si="337"/>
        <v>0</v>
      </c>
      <c r="H351" s="3518">
        <f t="shared" si="337"/>
        <v>0</v>
      </c>
      <c r="I351" s="3518">
        <f t="shared" ca="1" si="337"/>
        <v>0</v>
      </c>
      <c r="J351" s="3518">
        <f t="shared" ca="1" si="337"/>
        <v>0</v>
      </c>
      <c r="K351" s="3518">
        <f t="shared" ca="1" si="337"/>
        <v>0</v>
      </c>
      <c r="L351" s="3519">
        <f t="shared" ca="1" si="337"/>
        <v>0</v>
      </c>
      <c r="M351" s="3519">
        <f t="shared" ca="1" si="337"/>
        <v>0</v>
      </c>
      <c r="N351" s="3520">
        <f t="shared" ca="1" si="337"/>
        <v>0</v>
      </c>
      <c r="O351" s="3520">
        <f t="shared" ca="1" si="337"/>
        <v>0</v>
      </c>
      <c r="P351" s="3523">
        <f t="shared" ref="P351:S351" si="338">+P472</f>
        <v>0</v>
      </c>
      <c r="Q351" s="2778">
        <f t="shared" si="338"/>
        <v>0</v>
      </c>
      <c r="R351" s="3521">
        <f t="shared" si="338"/>
        <v>0</v>
      </c>
      <c r="S351" s="3522" t="str">
        <f t="shared" si="338"/>
        <v>OK</v>
      </c>
      <c r="T351" s="3522"/>
    </row>
    <row r="352" spans="1:20" s="250" customFormat="1" ht="30" hidden="1" customHeight="1" thickBot="1" x14ac:dyDescent="0.5">
      <c r="A352" s="4313"/>
      <c r="B352" s="1948">
        <v>5512</v>
      </c>
      <c r="C352" s="1893" t="s">
        <v>1313</v>
      </c>
      <c r="D352" s="3396" t="s">
        <v>1274</v>
      </c>
      <c r="E352" s="3518">
        <f t="shared" si="337"/>
        <v>0</v>
      </c>
      <c r="F352" s="3518">
        <f t="shared" si="337"/>
        <v>0</v>
      </c>
      <c r="G352" s="3518">
        <f t="shared" si="337"/>
        <v>0</v>
      </c>
      <c r="H352" s="3518">
        <f t="shared" si="337"/>
        <v>0</v>
      </c>
      <c r="I352" s="3518">
        <f t="shared" ca="1" si="337"/>
        <v>0</v>
      </c>
      <c r="J352" s="3518">
        <f t="shared" ca="1" si="337"/>
        <v>0</v>
      </c>
      <c r="K352" s="3518">
        <f t="shared" ca="1" si="337"/>
        <v>0</v>
      </c>
      <c r="L352" s="3519">
        <f t="shared" ca="1" si="337"/>
        <v>0</v>
      </c>
      <c r="M352" s="3519">
        <f t="shared" ca="1" si="337"/>
        <v>0</v>
      </c>
      <c r="N352" s="3520">
        <f t="shared" ca="1" si="337"/>
        <v>0</v>
      </c>
      <c r="O352" s="3520">
        <f t="shared" ca="1" si="337"/>
        <v>0</v>
      </c>
      <c r="P352" s="3523">
        <f t="shared" ref="P352:S352" si="339">+P473</f>
        <v>0</v>
      </c>
      <c r="Q352" s="2778">
        <f t="shared" si="339"/>
        <v>0</v>
      </c>
      <c r="R352" s="3521">
        <f t="shared" si="339"/>
        <v>0</v>
      </c>
      <c r="S352" s="3522" t="str">
        <f t="shared" si="339"/>
        <v>OK</v>
      </c>
      <c r="T352" s="3522"/>
    </row>
    <row r="353" spans="1:20" s="250" customFormat="1" ht="30" hidden="1" customHeight="1" thickBot="1" x14ac:dyDescent="0.5">
      <c r="A353" s="4313"/>
      <c r="B353" s="1949">
        <v>5602</v>
      </c>
      <c r="C353" s="1893" t="s">
        <v>1313</v>
      </c>
      <c r="D353" s="3398" t="s">
        <v>1275</v>
      </c>
      <c r="E353" s="3518">
        <f t="shared" si="337"/>
        <v>0</v>
      </c>
      <c r="F353" s="3518">
        <f t="shared" si="337"/>
        <v>0</v>
      </c>
      <c r="G353" s="3518">
        <f t="shared" si="337"/>
        <v>0</v>
      </c>
      <c r="H353" s="3518">
        <f t="shared" si="337"/>
        <v>0</v>
      </c>
      <c r="I353" s="3518">
        <f t="shared" ca="1" si="337"/>
        <v>0</v>
      </c>
      <c r="J353" s="3518">
        <f t="shared" ca="1" si="337"/>
        <v>0</v>
      </c>
      <c r="K353" s="3518">
        <f t="shared" ca="1" si="337"/>
        <v>0</v>
      </c>
      <c r="L353" s="3519">
        <f t="shared" ca="1" si="337"/>
        <v>0</v>
      </c>
      <c r="M353" s="3519">
        <f t="shared" ca="1" si="337"/>
        <v>0</v>
      </c>
      <c r="N353" s="3520">
        <f t="shared" ca="1" si="337"/>
        <v>0</v>
      </c>
      <c r="O353" s="3520">
        <f t="shared" ca="1" si="337"/>
        <v>0</v>
      </c>
      <c r="P353" s="3523">
        <f t="shared" ref="P353:S353" si="340">+P474</f>
        <v>0</v>
      </c>
      <c r="Q353" s="2778">
        <f t="shared" si="340"/>
        <v>0</v>
      </c>
      <c r="R353" s="3521">
        <f t="shared" si="340"/>
        <v>0</v>
      </c>
      <c r="S353" s="3522" t="str">
        <f t="shared" si="340"/>
        <v>OK</v>
      </c>
      <c r="T353" s="3522"/>
    </row>
    <row r="354" spans="1:20" s="250" customFormat="1" ht="30" hidden="1" customHeight="1" thickBot="1" x14ac:dyDescent="0.5">
      <c r="A354" s="4313"/>
      <c r="B354" s="3419">
        <v>5603</v>
      </c>
      <c r="C354" s="1893" t="s">
        <v>1313</v>
      </c>
      <c r="D354" s="3504" t="s">
        <v>1276</v>
      </c>
      <c r="E354" s="3518">
        <f t="shared" si="337"/>
        <v>0</v>
      </c>
      <c r="F354" s="3518">
        <f t="shared" si="337"/>
        <v>0</v>
      </c>
      <c r="G354" s="3518">
        <f t="shared" si="337"/>
        <v>0</v>
      </c>
      <c r="H354" s="3518">
        <f t="shared" si="337"/>
        <v>0</v>
      </c>
      <c r="I354" s="3518">
        <f t="shared" ca="1" si="337"/>
        <v>0</v>
      </c>
      <c r="J354" s="3518">
        <f t="shared" ca="1" si="337"/>
        <v>0</v>
      </c>
      <c r="K354" s="3518">
        <f t="shared" ca="1" si="337"/>
        <v>0</v>
      </c>
      <c r="L354" s="3519">
        <f t="shared" ca="1" si="337"/>
        <v>0</v>
      </c>
      <c r="M354" s="3519">
        <f t="shared" ca="1" si="337"/>
        <v>0</v>
      </c>
      <c r="N354" s="3520">
        <f t="shared" ca="1" si="337"/>
        <v>0</v>
      </c>
      <c r="O354" s="3520">
        <f t="shared" ca="1" si="337"/>
        <v>0</v>
      </c>
      <c r="P354" s="3523">
        <f t="shared" ref="P354:S354" si="341">+P475</f>
        <v>0</v>
      </c>
      <c r="Q354" s="2778">
        <f t="shared" si="341"/>
        <v>0</v>
      </c>
      <c r="R354" s="3521">
        <f t="shared" si="341"/>
        <v>0</v>
      </c>
      <c r="S354" s="3522" t="str">
        <f t="shared" si="341"/>
        <v>OK</v>
      </c>
      <c r="T354" s="3522"/>
    </row>
    <row r="355" spans="1:20" s="250" customFormat="1" ht="30" hidden="1" customHeight="1" thickBot="1" x14ac:dyDescent="0.5">
      <c r="A355" s="4313"/>
      <c r="B355" s="3419">
        <v>5562</v>
      </c>
      <c r="C355" s="1893" t="s">
        <v>1313</v>
      </c>
      <c r="D355" s="3504" t="s">
        <v>1277</v>
      </c>
      <c r="E355" s="3518">
        <f t="shared" si="337"/>
        <v>0</v>
      </c>
      <c r="F355" s="3518">
        <f t="shared" si="337"/>
        <v>0</v>
      </c>
      <c r="G355" s="3518">
        <f t="shared" si="337"/>
        <v>0</v>
      </c>
      <c r="H355" s="3518">
        <f t="shared" si="337"/>
        <v>0</v>
      </c>
      <c r="I355" s="3518">
        <f t="shared" ca="1" si="337"/>
        <v>0</v>
      </c>
      <c r="J355" s="3518">
        <f t="shared" ca="1" si="337"/>
        <v>0</v>
      </c>
      <c r="K355" s="3518">
        <f t="shared" ca="1" si="337"/>
        <v>0</v>
      </c>
      <c r="L355" s="3519">
        <f t="shared" ca="1" si="337"/>
        <v>0</v>
      </c>
      <c r="M355" s="3519">
        <f t="shared" ca="1" si="337"/>
        <v>0</v>
      </c>
      <c r="N355" s="3520">
        <f t="shared" ca="1" si="337"/>
        <v>0</v>
      </c>
      <c r="O355" s="3520">
        <f t="shared" ca="1" si="337"/>
        <v>0</v>
      </c>
      <c r="P355" s="3523">
        <f t="shared" ref="P355:S355" si="342">+P476</f>
        <v>0</v>
      </c>
      <c r="Q355" s="2778">
        <f t="shared" si="342"/>
        <v>0</v>
      </c>
      <c r="R355" s="3521">
        <f t="shared" si="342"/>
        <v>0</v>
      </c>
      <c r="S355" s="3522" t="str">
        <f t="shared" si="342"/>
        <v>OK</v>
      </c>
      <c r="T355" s="3522"/>
    </row>
    <row r="356" spans="1:20" s="250" customFormat="1" ht="30" hidden="1" customHeight="1" thickBot="1" x14ac:dyDescent="0.5">
      <c r="A356" s="4541" t="s">
        <v>324</v>
      </c>
      <c r="B356" s="3496">
        <v>5030</v>
      </c>
      <c r="C356" s="4308" t="s">
        <v>217</v>
      </c>
      <c r="D356" s="4309"/>
      <c r="E356" s="3518">
        <f t="shared" si="337"/>
        <v>0</v>
      </c>
      <c r="F356" s="3518">
        <f t="shared" si="337"/>
        <v>0</v>
      </c>
      <c r="G356" s="3518">
        <f t="shared" si="337"/>
        <v>0</v>
      </c>
      <c r="H356" s="3518">
        <f t="shared" si="337"/>
        <v>0</v>
      </c>
      <c r="I356" s="3518">
        <f t="shared" ca="1" si="337"/>
        <v>0</v>
      </c>
      <c r="J356" s="3518">
        <f t="shared" ca="1" si="337"/>
        <v>0</v>
      </c>
      <c r="K356" s="3518">
        <f t="shared" ca="1" si="337"/>
        <v>0</v>
      </c>
      <c r="L356" s="3519">
        <f t="shared" ca="1" si="337"/>
        <v>0</v>
      </c>
      <c r="M356" s="3519">
        <f t="shared" ca="1" si="337"/>
        <v>0</v>
      </c>
      <c r="N356" s="3520">
        <f t="shared" ca="1" si="337"/>
        <v>0</v>
      </c>
      <c r="O356" s="3520">
        <f t="shared" ca="1" si="337"/>
        <v>0</v>
      </c>
      <c r="P356" s="4554" t="str">
        <f t="shared" ref="P356:S356" si="343">+P477</f>
        <v>UR3 &gt;500 y &lt;= 700 kWh/mes</v>
      </c>
      <c r="Q356" s="2778">
        <f t="shared" si="343"/>
        <v>0</v>
      </c>
      <c r="R356" s="3521">
        <f t="shared" si="343"/>
        <v>0</v>
      </c>
      <c r="S356" s="3522" t="str">
        <f t="shared" si="343"/>
        <v>OK</v>
      </c>
      <c r="T356" s="3522"/>
    </row>
    <row r="357" spans="1:20" s="250" customFormat="1" ht="30" hidden="1" customHeight="1" thickBot="1" x14ac:dyDescent="0.5">
      <c r="A357" s="4542"/>
      <c r="B357" s="3506">
        <v>5574</v>
      </c>
      <c r="C357" s="1893" t="s">
        <v>1308</v>
      </c>
      <c r="D357" s="3396" t="s">
        <v>1278</v>
      </c>
      <c r="E357" s="3518">
        <f>+E488</f>
        <v>0</v>
      </c>
      <c r="F357" s="3518">
        <f t="shared" ref="F357:O357" si="344">+F488</f>
        <v>0</v>
      </c>
      <c r="G357" s="3518">
        <f t="shared" si="344"/>
        <v>0</v>
      </c>
      <c r="H357" s="3518">
        <f t="shared" si="344"/>
        <v>0</v>
      </c>
      <c r="I357" s="3518">
        <f t="shared" ca="1" si="344"/>
        <v>0</v>
      </c>
      <c r="J357" s="3518">
        <f t="shared" ca="1" si="344"/>
        <v>0</v>
      </c>
      <c r="K357" s="3518">
        <f t="shared" ca="1" si="344"/>
        <v>0</v>
      </c>
      <c r="L357" s="3519">
        <f t="shared" ca="1" si="344"/>
        <v>0</v>
      </c>
      <c r="M357" s="3519">
        <f t="shared" ca="1" si="344"/>
        <v>0</v>
      </c>
      <c r="N357" s="3520">
        <f t="shared" ca="1" si="344"/>
        <v>0</v>
      </c>
      <c r="O357" s="3520">
        <f t="shared" ca="1" si="344"/>
        <v>0</v>
      </c>
      <c r="P357" s="4476">
        <f>+P488</f>
        <v>0</v>
      </c>
      <c r="Q357" s="2778">
        <f t="shared" ref="Q357:S357" si="345">+Q488</f>
        <v>0</v>
      </c>
      <c r="R357" s="3521">
        <f t="shared" si="345"/>
        <v>0</v>
      </c>
      <c r="S357" s="3522" t="str">
        <f t="shared" si="345"/>
        <v>OK</v>
      </c>
      <c r="T357" s="3522"/>
    </row>
    <row r="358" spans="1:20" s="250" customFormat="1" ht="30" hidden="1" customHeight="1" thickBot="1" x14ac:dyDescent="0.5">
      <c r="A358" s="4542"/>
      <c r="B358" s="3417">
        <v>5584</v>
      </c>
      <c r="C358" s="1893" t="s">
        <v>1308</v>
      </c>
      <c r="D358" s="3398" t="s">
        <v>1279</v>
      </c>
      <c r="E358" s="3518">
        <f>+E489</f>
        <v>0</v>
      </c>
      <c r="F358" s="3518">
        <f t="shared" ref="F358:O358" si="346">+F489</f>
        <v>0</v>
      </c>
      <c r="G358" s="3518">
        <f t="shared" si="346"/>
        <v>0</v>
      </c>
      <c r="H358" s="3518">
        <f t="shared" si="346"/>
        <v>0</v>
      </c>
      <c r="I358" s="3518">
        <f t="shared" ca="1" si="346"/>
        <v>0</v>
      </c>
      <c r="J358" s="3518">
        <f t="shared" ca="1" si="346"/>
        <v>0</v>
      </c>
      <c r="K358" s="3518">
        <f t="shared" ca="1" si="346"/>
        <v>0</v>
      </c>
      <c r="L358" s="3519">
        <f t="shared" ca="1" si="346"/>
        <v>0</v>
      </c>
      <c r="M358" s="3519">
        <f t="shared" ca="1" si="346"/>
        <v>0</v>
      </c>
      <c r="N358" s="3520">
        <f t="shared" ca="1" si="346"/>
        <v>0</v>
      </c>
      <c r="O358" s="3520">
        <f t="shared" ca="1" si="346"/>
        <v>0</v>
      </c>
      <c r="P358" s="4476">
        <f>+P489</f>
        <v>0</v>
      </c>
      <c r="Q358" s="2778">
        <f t="shared" ref="Q358:S358" si="347">+Q489</f>
        <v>0</v>
      </c>
      <c r="R358" s="3521">
        <f t="shared" si="347"/>
        <v>0</v>
      </c>
      <c r="S358" s="3522" t="str">
        <f t="shared" si="347"/>
        <v>OK</v>
      </c>
      <c r="T358" s="3522"/>
    </row>
    <row r="359" spans="1:20" s="250" customFormat="1" ht="30" hidden="1" customHeight="1" thickBot="1" x14ac:dyDescent="0.5">
      <c r="A359" s="4542"/>
      <c r="B359" s="3493">
        <v>5040</v>
      </c>
      <c r="C359" s="3743" t="s">
        <v>218</v>
      </c>
      <c r="D359" s="4310"/>
      <c r="E359" s="3518">
        <f>+E478</f>
        <v>0</v>
      </c>
      <c r="F359" s="3518">
        <f t="shared" ref="F359:O359" si="348">+F478</f>
        <v>0</v>
      </c>
      <c r="G359" s="3518">
        <f t="shared" si="348"/>
        <v>0</v>
      </c>
      <c r="H359" s="3518">
        <f t="shared" si="348"/>
        <v>0</v>
      </c>
      <c r="I359" s="3518">
        <f t="shared" ca="1" si="348"/>
        <v>0</v>
      </c>
      <c r="J359" s="3518">
        <f t="shared" ca="1" si="348"/>
        <v>0</v>
      </c>
      <c r="K359" s="3518">
        <f t="shared" ca="1" si="348"/>
        <v>0</v>
      </c>
      <c r="L359" s="3519">
        <f t="shared" ca="1" si="348"/>
        <v>0</v>
      </c>
      <c r="M359" s="3519">
        <f t="shared" ca="1" si="348"/>
        <v>0</v>
      </c>
      <c r="N359" s="3520">
        <f t="shared" ca="1" si="348"/>
        <v>0</v>
      </c>
      <c r="O359" s="3520">
        <f t="shared" ca="1" si="348"/>
        <v>0</v>
      </c>
      <c r="P359" s="4476">
        <f>+P478</f>
        <v>0</v>
      </c>
      <c r="Q359" s="2778">
        <f t="shared" ref="Q359:S359" si="349">+Q478</f>
        <v>0</v>
      </c>
      <c r="R359" s="3521">
        <f t="shared" si="349"/>
        <v>0</v>
      </c>
      <c r="S359" s="3522" t="str">
        <f t="shared" si="349"/>
        <v>OK</v>
      </c>
      <c r="T359" s="1410"/>
    </row>
    <row r="360" spans="1:20" s="250" customFormat="1" ht="30" hidden="1" customHeight="1" thickBot="1" x14ac:dyDescent="0.5">
      <c r="A360" s="4542"/>
      <c r="B360" s="3493">
        <v>5041</v>
      </c>
      <c r="C360" s="3743" t="s">
        <v>620</v>
      </c>
      <c r="D360" s="4310"/>
      <c r="E360" s="3518">
        <f t="shared" ref="E360:O361" si="350">+E479</f>
        <v>0</v>
      </c>
      <c r="F360" s="3518">
        <f t="shared" si="350"/>
        <v>0</v>
      </c>
      <c r="G360" s="3518">
        <f t="shared" si="350"/>
        <v>0</v>
      </c>
      <c r="H360" s="3518">
        <f t="shared" si="350"/>
        <v>0</v>
      </c>
      <c r="I360" s="3518">
        <f t="shared" ca="1" si="350"/>
        <v>0</v>
      </c>
      <c r="J360" s="3518">
        <f t="shared" ca="1" si="350"/>
        <v>0</v>
      </c>
      <c r="K360" s="3518">
        <f t="shared" ca="1" si="350"/>
        <v>0</v>
      </c>
      <c r="L360" s="3519">
        <f t="shared" ca="1" si="350"/>
        <v>0</v>
      </c>
      <c r="M360" s="3519">
        <f t="shared" ca="1" si="350"/>
        <v>0</v>
      </c>
      <c r="N360" s="3520">
        <f t="shared" ca="1" si="350"/>
        <v>0</v>
      </c>
      <c r="O360" s="3520">
        <f t="shared" ca="1" si="350"/>
        <v>0</v>
      </c>
      <c r="P360" s="4476">
        <f t="shared" ref="P360:S360" si="351">+P479</f>
        <v>0</v>
      </c>
      <c r="Q360" s="2778">
        <f t="shared" si="351"/>
        <v>0</v>
      </c>
      <c r="R360" s="3521">
        <f t="shared" si="351"/>
        <v>0</v>
      </c>
      <c r="S360" s="3522" t="str">
        <f t="shared" si="351"/>
        <v>OK</v>
      </c>
      <c r="T360" s="1410"/>
    </row>
    <row r="361" spans="1:20" s="250" customFormat="1" ht="30" hidden="1" customHeight="1" thickBot="1" x14ac:dyDescent="0.5">
      <c r="A361" s="4542"/>
      <c r="B361" s="3493">
        <v>5045</v>
      </c>
      <c r="C361" s="3743" t="s">
        <v>378</v>
      </c>
      <c r="D361" s="4310"/>
      <c r="E361" s="3518">
        <f t="shared" si="350"/>
        <v>0</v>
      </c>
      <c r="F361" s="3518">
        <f t="shared" si="350"/>
        <v>0</v>
      </c>
      <c r="G361" s="3518">
        <f t="shared" si="350"/>
        <v>0</v>
      </c>
      <c r="H361" s="3518">
        <f t="shared" si="350"/>
        <v>0</v>
      </c>
      <c r="I361" s="3518">
        <f t="shared" ca="1" si="350"/>
        <v>0</v>
      </c>
      <c r="J361" s="3518">
        <f t="shared" ca="1" si="350"/>
        <v>0</v>
      </c>
      <c r="K361" s="3518">
        <f t="shared" ca="1" si="350"/>
        <v>0</v>
      </c>
      <c r="L361" s="3519">
        <f t="shared" ca="1" si="350"/>
        <v>0</v>
      </c>
      <c r="M361" s="3519">
        <f t="shared" ca="1" si="350"/>
        <v>0</v>
      </c>
      <c r="N361" s="3520">
        <f t="shared" ca="1" si="350"/>
        <v>0</v>
      </c>
      <c r="O361" s="3520">
        <f t="shared" ca="1" si="350"/>
        <v>0</v>
      </c>
      <c r="P361" s="4476">
        <f t="shared" ref="P361:S361" si="352">+P480</f>
        <v>0</v>
      </c>
      <c r="Q361" s="2778">
        <f t="shared" si="352"/>
        <v>0</v>
      </c>
      <c r="R361" s="3521">
        <f t="shared" si="352"/>
        <v>0</v>
      </c>
      <c r="S361" s="3522" t="str">
        <f t="shared" si="352"/>
        <v>OK</v>
      </c>
      <c r="T361" s="1410"/>
    </row>
    <row r="362" spans="1:20" s="250" customFormat="1" ht="30" hidden="1" customHeight="1" thickBot="1" x14ac:dyDescent="0.5">
      <c r="A362" s="4542"/>
      <c r="B362" s="3506">
        <v>5506</v>
      </c>
      <c r="C362" s="1893" t="s">
        <v>1309</v>
      </c>
      <c r="D362" s="3396" t="s">
        <v>1280</v>
      </c>
      <c r="E362" s="3518">
        <f>+E484</f>
        <v>0</v>
      </c>
      <c r="F362" s="3518">
        <f t="shared" ref="F362:O362" si="353">+F484</f>
        <v>0</v>
      </c>
      <c r="G362" s="3518">
        <f t="shared" si="353"/>
        <v>0</v>
      </c>
      <c r="H362" s="3518">
        <f t="shared" si="353"/>
        <v>0</v>
      </c>
      <c r="I362" s="3518">
        <f t="shared" ca="1" si="353"/>
        <v>0</v>
      </c>
      <c r="J362" s="3518">
        <f t="shared" ca="1" si="353"/>
        <v>0</v>
      </c>
      <c r="K362" s="3518">
        <f t="shared" ca="1" si="353"/>
        <v>0</v>
      </c>
      <c r="L362" s="3519">
        <f t="shared" ca="1" si="353"/>
        <v>0</v>
      </c>
      <c r="M362" s="3519">
        <f t="shared" ca="1" si="353"/>
        <v>0</v>
      </c>
      <c r="N362" s="3520">
        <f t="shared" ca="1" si="353"/>
        <v>0</v>
      </c>
      <c r="O362" s="3520">
        <f t="shared" ca="1" si="353"/>
        <v>0</v>
      </c>
      <c r="P362" s="4476">
        <f>+P484</f>
        <v>0</v>
      </c>
      <c r="Q362" s="2778">
        <f t="shared" ref="Q362:S362" si="354">+Q484</f>
        <v>0</v>
      </c>
      <c r="R362" s="3521">
        <f t="shared" si="354"/>
        <v>0</v>
      </c>
      <c r="S362" s="3522" t="str">
        <f t="shared" si="354"/>
        <v>OK</v>
      </c>
      <c r="T362" s="1410"/>
    </row>
    <row r="363" spans="1:20" s="250" customFormat="1" ht="30" hidden="1" customHeight="1" thickBot="1" x14ac:dyDescent="0.5">
      <c r="A363" s="4542"/>
      <c r="B363" s="3506">
        <v>5507</v>
      </c>
      <c r="C363" s="1893" t="s">
        <v>1309</v>
      </c>
      <c r="D363" s="3396" t="s">
        <v>1281</v>
      </c>
      <c r="E363" s="3518">
        <f t="shared" ref="E363:O365" si="355">+E485</f>
        <v>0</v>
      </c>
      <c r="F363" s="3518">
        <f t="shared" si="355"/>
        <v>0</v>
      </c>
      <c r="G363" s="3518">
        <f t="shared" si="355"/>
        <v>0</v>
      </c>
      <c r="H363" s="3518">
        <f t="shared" si="355"/>
        <v>0</v>
      </c>
      <c r="I363" s="3518">
        <f t="shared" ca="1" si="355"/>
        <v>0</v>
      </c>
      <c r="J363" s="3518">
        <f t="shared" ca="1" si="355"/>
        <v>0</v>
      </c>
      <c r="K363" s="3518">
        <f t="shared" ca="1" si="355"/>
        <v>0</v>
      </c>
      <c r="L363" s="3519">
        <f t="shared" ca="1" si="355"/>
        <v>0</v>
      </c>
      <c r="M363" s="3519">
        <f t="shared" ca="1" si="355"/>
        <v>0</v>
      </c>
      <c r="N363" s="3520">
        <f t="shared" ca="1" si="355"/>
        <v>0</v>
      </c>
      <c r="O363" s="3520">
        <f t="shared" ca="1" si="355"/>
        <v>0</v>
      </c>
      <c r="P363" s="4476">
        <f t="shared" ref="P363:S363" si="356">+P485</f>
        <v>0</v>
      </c>
      <c r="Q363" s="2778">
        <f t="shared" si="356"/>
        <v>0</v>
      </c>
      <c r="R363" s="3521">
        <f t="shared" si="356"/>
        <v>0</v>
      </c>
      <c r="S363" s="3522" t="str">
        <f t="shared" si="356"/>
        <v>OK</v>
      </c>
      <c r="T363" s="1410"/>
    </row>
    <row r="364" spans="1:20" s="250" customFormat="1" ht="30" hidden="1" customHeight="1" thickBot="1" x14ac:dyDescent="0.5">
      <c r="A364" s="4542"/>
      <c r="B364" s="3417">
        <v>5556</v>
      </c>
      <c r="C364" s="1893" t="s">
        <v>1309</v>
      </c>
      <c r="D364" s="3398" t="s">
        <v>1282</v>
      </c>
      <c r="E364" s="3518">
        <f t="shared" si="355"/>
        <v>0</v>
      </c>
      <c r="F364" s="3518">
        <f t="shared" si="355"/>
        <v>0</v>
      </c>
      <c r="G364" s="3518">
        <f t="shared" si="355"/>
        <v>0</v>
      </c>
      <c r="H364" s="3518">
        <f t="shared" si="355"/>
        <v>0</v>
      </c>
      <c r="I364" s="3518">
        <f t="shared" ca="1" si="355"/>
        <v>0</v>
      </c>
      <c r="J364" s="3518">
        <f t="shared" ca="1" si="355"/>
        <v>0</v>
      </c>
      <c r="K364" s="3518">
        <f t="shared" ca="1" si="355"/>
        <v>0</v>
      </c>
      <c r="L364" s="3519">
        <f t="shared" ca="1" si="355"/>
        <v>0</v>
      </c>
      <c r="M364" s="3519">
        <f t="shared" ca="1" si="355"/>
        <v>0</v>
      </c>
      <c r="N364" s="3520">
        <f t="shared" ca="1" si="355"/>
        <v>0</v>
      </c>
      <c r="O364" s="3520">
        <f t="shared" ca="1" si="355"/>
        <v>0</v>
      </c>
      <c r="P364" s="4476">
        <f t="shared" ref="P364:S364" si="357">+P486</f>
        <v>0</v>
      </c>
      <c r="Q364" s="2778">
        <f t="shared" si="357"/>
        <v>0</v>
      </c>
      <c r="R364" s="3521">
        <f t="shared" si="357"/>
        <v>0</v>
      </c>
      <c r="S364" s="3522" t="str">
        <f t="shared" si="357"/>
        <v>OK</v>
      </c>
      <c r="T364" s="1410"/>
    </row>
    <row r="365" spans="1:20" s="250" customFormat="1" ht="30" hidden="1" customHeight="1" thickBot="1" x14ac:dyDescent="0.5">
      <c r="A365" s="4542"/>
      <c r="B365" s="3417">
        <v>5557</v>
      </c>
      <c r="C365" s="1893" t="s">
        <v>1309</v>
      </c>
      <c r="D365" s="3398" t="s">
        <v>1283</v>
      </c>
      <c r="E365" s="3518">
        <f t="shared" si="355"/>
        <v>0</v>
      </c>
      <c r="F365" s="3518">
        <f t="shared" si="355"/>
        <v>0</v>
      </c>
      <c r="G365" s="3518">
        <f t="shared" si="355"/>
        <v>0</v>
      </c>
      <c r="H365" s="3518">
        <f t="shared" si="355"/>
        <v>0</v>
      </c>
      <c r="I365" s="3518">
        <f t="shared" ca="1" si="355"/>
        <v>0</v>
      </c>
      <c r="J365" s="3518">
        <f t="shared" ca="1" si="355"/>
        <v>0</v>
      </c>
      <c r="K365" s="3518">
        <f t="shared" ca="1" si="355"/>
        <v>0</v>
      </c>
      <c r="L365" s="3519">
        <f t="shared" ca="1" si="355"/>
        <v>0</v>
      </c>
      <c r="M365" s="3519">
        <f t="shared" ca="1" si="355"/>
        <v>0</v>
      </c>
      <c r="N365" s="3520">
        <f t="shared" ca="1" si="355"/>
        <v>0</v>
      </c>
      <c r="O365" s="3520">
        <f t="shared" ca="1" si="355"/>
        <v>0</v>
      </c>
      <c r="P365" s="4476">
        <f t="shared" ref="P365:S365" si="358">+P487</f>
        <v>0</v>
      </c>
      <c r="Q365" s="2778">
        <f t="shared" si="358"/>
        <v>0</v>
      </c>
      <c r="R365" s="3521">
        <f t="shared" si="358"/>
        <v>0</v>
      </c>
      <c r="S365" s="3522" t="str">
        <f t="shared" si="358"/>
        <v>OK</v>
      </c>
      <c r="T365" s="1410"/>
    </row>
    <row r="366" spans="1:20" s="250" customFormat="1" ht="30" hidden="1" customHeight="1" thickBot="1" x14ac:dyDescent="0.5">
      <c r="A366" s="4542"/>
      <c r="B366" s="3497">
        <v>5050</v>
      </c>
      <c r="C366" s="4314" t="s">
        <v>379</v>
      </c>
      <c r="D366" s="4315"/>
      <c r="E366" s="3518">
        <f>+E481</f>
        <v>0</v>
      </c>
      <c r="F366" s="3518">
        <f t="shared" ref="F366:O366" si="359">+F481</f>
        <v>0</v>
      </c>
      <c r="G366" s="3518">
        <f t="shared" si="359"/>
        <v>0</v>
      </c>
      <c r="H366" s="3518">
        <f t="shared" si="359"/>
        <v>0</v>
      </c>
      <c r="I366" s="3518">
        <f t="shared" ca="1" si="359"/>
        <v>0</v>
      </c>
      <c r="J366" s="3518">
        <f t="shared" ca="1" si="359"/>
        <v>0</v>
      </c>
      <c r="K366" s="3518">
        <f t="shared" ca="1" si="359"/>
        <v>0</v>
      </c>
      <c r="L366" s="3519">
        <f t="shared" ca="1" si="359"/>
        <v>0</v>
      </c>
      <c r="M366" s="3519">
        <f t="shared" ca="1" si="359"/>
        <v>0</v>
      </c>
      <c r="N366" s="3520">
        <f t="shared" ca="1" si="359"/>
        <v>0</v>
      </c>
      <c r="O366" s="3520">
        <f t="shared" ca="1" si="359"/>
        <v>0</v>
      </c>
      <c r="P366" s="3523">
        <f>+P481</f>
        <v>0</v>
      </c>
      <c r="Q366" s="2778">
        <f t="shared" ref="Q366:S366" si="360">+Q481</f>
        <v>0</v>
      </c>
      <c r="R366" s="3521">
        <f t="shared" si="360"/>
        <v>0</v>
      </c>
      <c r="S366" s="3522" t="str">
        <f t="shared" si="360"/>
        <v>OK</v>
      </c>
      <c r="T366" s="1410"/>
    </row>
    <row r="367" spans="1:20" s="250" customFormat="1" ht="30" hidden="1" customHeight="1" thickBot="1" x14ac:dyDescent="0.5">
      <c r="A367" s="4542"/>
      <c r="B367" s="3497">
        <v>5051</v>
      </c>
      <c r="C367" s="4314" t="s">
        <v>1245</v>
      </c>
      <c r="D367" s="4315"/>
      <c r="E367" s="3518">
        <f t="shared" ref="E367:O368" si="361">+E482</f>
        <v>0</v>
      </c>
      <c r="F367" s="3518">
        <f t="shared" si="361"/>
        <v>0</v>
      </c>
      <c r="G367" s="3518">
        <f t="shared" si="361"/>
        <v>0</v>
      </c>
      <c r="H367" s="3518">
        <f t="shared" si="361"/>
        <v>0</v>
      </c>
      <c r="I367" s="3518">
        <f t="shared" ca="1" si="361"/>
        <v>0</v>
      </c>
      <c r="J367" s="3518">
        <f t="shared" ca="1" si="361"/>
        <v>0</v>
      </c>
      <c r="K367" s="3518">
        <f t="shared" ca="1" si="361"/>
        <v>0</v>
      </c>
      <c r="L367" s="3519">
        <f t="shared" ca="1" si="361"/>
        <v>0</v>
      </c>
      <c r="M367" s="3519">
        <f t="shared" ca="1" si="361"/>
        <v>0</v>
      </c>
      <c r="N367" s="3520">
        <f t="shared" ca="1" si="361"/>
        <v>0</v>
      </c>
      <c r="O367" s="3520">
        <f t="shared" ca="1" si="361"/>
        <v>0</v>
      </c>
      <c r="P367" s="3523">
        <f t="shared" ref="P367:S367" si="362">+P482</f>
        <v>0</v>
      </c>
      <c r="Q367" s="2778">
        <f t="shared" si="362"/>
        <v>0</v>
      </c>
      <c r="R367" s="3521">
        <f t="shared" si="362"/>
        <v>0</v>
      </c>
      <c r="S367" s="3522" t="str">
        <f t="shared" si="362"/>
        <v>OK</v>
      </c>
      <c r="T367" s="1410"/>
    </row>
    <row r="368" spans="1:20" s="250" customFormat="1" ht="30" hidden="1" customHeight="1" thickBot="1" x14ac:dyDescent="0.5">
      <c r="A368" s="4542"/>
      <c r="B368" s="3497">
        <v>5055</v>
      </c>
      <c r="C368" s="4314" t="s">
        <v>387</v>
      </c>
      <c r="D368" s="4315"/>
      <c r="E368" s="3518">
        <f t="shared" si="361"/>
        <v>0</v>
      </c>
      <c r="F368" s="3518">
        <f t="shared" si="361"/>
        <v>0</v>
      </c>
      <c r="G368" s="3518">
        <f t="shared" si="361"/>
        <v>0</v>
      </c>
      <c r="H368" s="3518">
        <f t="shared" si="361"/>
        <v>0</v>
      </c>
      <c r="I368" s="3518">
        <f t="shared" ca="1" si="361"/>
        <v>0</v>
      </c>
      <c r="J368" s="3518">
        <f t="shared" ca="1" si="361"/>
        <v>0</v>
      </c>
      <c r="K368" s="3518">
        <f t="shared" ca="1" si="361"/>
        <v>0</v>
      </c>
      <c r="L368" s="3519">
        <f t="shared" ca="1" si="361"/>
        <v>0</v>
      </c>
      <c r="M368" s="3519">
        <f t="shared" ca="1" si="361"/>
        <v>0</v>
      </c>
      <c r="N368" s="3520">
        <f t="shared" ca="1" si="361"/>
        <v>0</v>
      </c>
      <c r="O368" s="3520">
        <f t="shared" ca="1" si="361"/>
        <v>0</v>
      </c>
      <c r="P368" s="3523">
        <f t="shared" ref="P368:S368" si="363">+P483</f>
        <v>0</v>
      </c>
      <c r="Q368" s="2778">
        <f t="shared" si="363"/>
        <v>0</v>
      </c>
      <c r="R368" s="3521">
        <f t="shared" si="363"/>
        <v>0</v>
      </c>
      <c r="S368" s="3522" t="str">
        <f t="shared" si="363"/>
        <v>OK</v>
      </c>
      <c r="T368" s="1410"/>
    </row>
    <row r="369" spans="1:20" s="250" customFormat="1" ht="30" hidden="1" customHeight="1" thickBot="1" x14ac:dyDescent="0.5">
      <c r="A369" s="4542"/>
      <c r="B369" s="3506">
        <v>5594</v>
      </c>
      <c r="C369" s="1893" t="s">
        <v>1310</v>
      </c>
      <c r="D369" s="3396" t="s">
        <v>1360</v>
      </c>
      <c r="E369" s="3518">
        <f>+E490</f>
        <v>0</v>
      </c>
      <c r="F369" s="3518">
        <f t="shared" ref="F369:O369" si="364">+F490</f>
        <v>0</v>
      </c>
      <c r="G369" s="3518">
        <f t="shared" si="364"/>
        <v>0</v>
      </c>
      <c r="H369" s="3518">
        <f t="shared" si="364"/>
        <v>0</v>
      </c>
      <c r="I369" s="3518">
        <f t="shared" ca="1" si="364"/>
        <v>0</v>
      </c>
      <c r="J369" s="3518">
        <f t="shared" ca="1" si="364"/>
        <v>0</v>
      </c>
      <c r="K369" s="3518">
        <f t="shared" ca="1" si="364"/>
        <v>0</v>
      </c>
      <c r="L369" s="3519">
        <f t="shared" ca="1" si="364"/>
        <v>0</v>
      </c>
      <c r="M369" s="3519">
        <f t="shared" ca="1" si="364"/>
        <v>0</v>
      </c>
      <c r="N369" s="3520">
        <f t="shared" ca="1" si="364"/>
        <v>0</v>
      </c>
      <c r="O369" s="3520">
        <f t="shared" ca="1" si="364"/>
        <v>0</v>
      </c>
      <c r="P369" s="3523">
        <f>+P490</f>
        <v>0</v>
      </c>
      <c r="Q369" s="2778">
        <f t="shared" ref="Q369:S369" si="365">+Q490</f>
        <v>0</v>
      </c>
      <c r="R369" s="3521">
        <f t="shared" si="365"/>
        <v>0</v>
      </c>
      <c r="S369" s="3522" t="str">
        <f t="shared" si="365"/>
        <v>OK</v>
      </c>
      <c r="T369" s="1410"/>
    </row>
    <row r="370" spans="1:20" s="250" customFormat="1" ht="30" hidden="1" customHeight="1" thickBot="1" x14ac:dyDescent="0.5">
      <c r="A370" s="4542"/>
      <c r="B370" s="3507">
        <v>5513</v>
      </c>
      <c r="C370" s="1893" t="s">
        <v>1310</v>
      </c>
      <c r="D370" s="3396" t="s">
        <v>1361</v>
      </c>
      <c r="E370" s="3518">
        <f t="shared" ref="E370:O372" si="366">+E491</f>
        <v>0</v>
      </c>
      <c r="F370" s="3518">
        <f t="shared" si="366"/>
        <v>0</v>
      </c>
      <c r="G370" s="3518">
        <f t="shared" si="366"/>
        <v>0</v>
      </c>
      <c r="H370" s="3518">
        <f t="shared" si="366"/>
        <v>0</v>
      </c>
      <c r="I370" s="3518">
        <f t="shared" ca="1" si="366"/>
        <v>0</v>
      </c>
      <c r="J370" s="3518">
        <f t="shared" ca="1" si="366"/>
        <v>0</v>
      </c>
      <c r="K370" s="3518">
        <f t="shared" ca="1" si="366"/>
        <v>0</v>
      </c>
      <c r="L370" s="3519">
        <f t="shared" ca="1" si="366"/>
        <v>0</v>
      </c>
      <c r="M370" s="3519">
        <f t="shared" ca="1" si="366"/>
        <v>0</v>
      </c>
      <c r="N370" s="3520">
        <f t="shared" ca="1" si="366"/>
        <v>0</v>
      </c>
      <c r="O370" s="3520">
        <f t="shared" ca="1" si="366"/>
        <v>0</v>
      </c>
      <c r="P370" s="3523">
        <f t="shared" ref="P370:S370" si="367">+P491</f>
        <v>0</v>
      </c>
      <c r="Q370" s="2778">
        <f t="shared" si="367"/>
        <v>0</v>
      </c>
      <c r="R370" s="3521">
        <f t="shared" si="367"/>
        <v>0</v>
      </c>
      <c r="S370" s="3522" t="str">
        <f t="shared" si="367"/>
        <v>OK</v>
      </c>
      <c r="T370" s="1410"/>
    </row>
    <row r="371" spans="1:20" s="250" customFormat="1" ht="30" hidden="1" customHeight="1" thickBot="1" x14ac:dyDescent="0.5">
      <c r="A371" s="4542"/>
      <c r="B371" s="3508">
        <v>5604</v>
      </c>
      <c r="C371" s="1893" t="s">
        <v>1310</v>
      </c>
      <c r="D371" s="3504" t="s">
        <v>1285</v>
      </c>
      <c r="E371" s="3518">
        <f t="shared" si="366"/>
        <v>0</v>
      </c>
      <c r="F371" s="3518">
        <f t="shared" si="366"/>
        <v>0</v>
      </c>
      <c r="G371" s="3518">
        <f t="shared" si="366"/>
        <v>0</v>
      </c>
      <c r="H371" s="3518">
        <f t="shared" si="366"/>
        <v>0</v>
      </c>
      <c r="I371" s="3518">
        <f t="shared" ca="1" si="366"/>
        <v>0</v>
      </c>
      <c r="J371" s="3518">
        <f t="shared" ca="1" si="366"/>
        <v>0</v>
      </c>
      <c r="K371" s="3518">
        <f t="shared" ca="1" si="366"/>
        <v>0</v>
      </c>
      <c r="L371" s="3519">
        <f t="shared" ca="1" si="366"/>
        <v>0</v>
      </c>
      <c r="M371" s="3519">
        <f t="shared" ca="1" si="366"/>
        <v>0</v>
      </c>
      <c r="N371" s="3520">
        <f t="shared" ca="1" si="366"/>
        <v>0</v>
      </c>
      <c r="O371" s="3520">
        <f t="shared" ca="1" si="366"/>
        <v>0</v>
      </c>
      <c r="P371" s="3523">
        <f t="shared" ref="P371:S371" si="368">+P492</f>
        <v>0</v>
      </c>
      <c r="Q371" s="2778">
        <f t="shared" si="368"/>
        <v>0</v>
      </c>
      <c r="R371" s="3521">
        <f t="shared" si="368"/>
        <v>0</v>
      </c>
      <c r="S371" s="3522" t="str">
        <f t="shared" si="368"/>
        <v>OK</v>
      </c>
      <c r="T371" s="1410"/>
    </row>
    <row r="372" spans="1:20" s="250" customFormat="1" ht="30" hidden="1" customHeight="1" thickBot="1" x14ac:dyDescent="0.5">
      <c r="A372" s="4543"/>
      <c r="B372" s="3508">
        <v>5563</v>
      </c>
      <c r="C372" s="1893" t="s">
        <v>1310</v>
      </c>
      <c r="D372" s="3504" t="s">
        <v>1286</v>
      </c>
      <c r="E372" s="3518">
        <f t="shared" si="366"/>
        <v>0</v>
      </c>
      <c r="F372" s="3518">
        <f t="shared" si="366"/>
        <v>0</v>
      </c>
      <c r="G372" s="3518">
        <f t="shared" si="366"/>
        <v>0</v>
      </c>
      <c r="H372" s="3518">
        <f t="shared" si="366"/>
        <v>0</v>
      </c>
      <c r="I372" s="3518">
        <f t="shared" ca="1" si="366"/>
        <v>0</v>
      </c>
      <c r="J372" s="3518">
        <f t="shared" ca="1" si="366"/>
        <v>0</v>
      </c>
      <c r="K372" s="3518">
        <f t="shared" ca="1" si="366"/>
        <v>0</v>
      </c>
      <c r="L372" s="3519">
        <f t="shared" ca="1" si="366"/>
        <v>0</v>
      </c>
      <c r="M372" s="3519">
        <f t="shared" ca="1" si="366"/>
        <v>0</v>
      </c>
      <c r="N372" s="3520">
        <f t="shared" ca="1" si="366"/>
        <v>0</v>
      </c>
      <c r="O372" s="3520">
        <f t="shared" ca="1" si="366"/>
        <v>0</v>
      </c>
      <c r="P372" s="3523">
        <f t="shared" ref="P372:S372" si="369">+P493</f>
        <v>0</v>
      </c>
      <c r="Q372" s="2778">
        <f t="shared" si="369"/>
        <v>0</v>
      </c>
      <c r="R372" s="3521">
        <f t="shared" si="369"/>
        <v>0</v>
      </c>
      <c r="S372" s="3522" t="str">
        <f t="shared" si="369"/>
        <v>OK</v>
      </c>
      <c r="T372" s="1410"/>
    </row>
    <row r="373" spans="1:20" s="250" customFormat="1" ht="30" hidden="1" customHeight="1" thickBot="1" x14ac:dyDescent="0.5">
      <c r="A373" s="4541" t="s">
        <v>325</v>
      </c>
      <c r="B373" s="3496">
        <v>5030</v>
      </c>
      <c r="C373" s="4544" t="s">
        <v>217</v>
      </c>
      <c r="D373" s="4545"/>
      <c r="E373" s="3518">
        <f>+E494</f>
        <v>0</v>
      </c>
      <c r="F373" s="3518">
        <f t="shared" ref="F373:O373" si="370">+F494</f>
        <v>0</v>
      </c>
      <c r="G373" s="3518">
        <f t="shared" si="370"/>
        <v>0</v>
      </c>
      <c r="H373" s="3518">
        <f t="shared" si="370"/>
        <v>0</v>
      </c>
      <c r="I373" s="3518">
        <f t="shared" ca="1" si="370"/>
        <v>0</v>
      </c>
      <c r="J373" s="3518">
        <f t="shared" ca="1" si="370"/>
        <v>0</v>
      </c>
      <c r="K373" s="3518">
        <f t="shared" ca="1" si="370"/>
        <v>0</v>
      </c>
      <c r="L373" s="3519">
        <f t="shared" ca="1" si="370"/>
        <v>0</v>
      </c>
      <c r="M373" s="3519">
        <f t="shared" ca="1" si="370"/>
        <v>0</v>
      </c>
      <c r="N373" s="3520">
        <f t="shared" ca="1" si="370"/>
        <v>0</v>
      </c>
      <c r="O373" s="3520">
        <f t="shared" ca="1" si="370"/>
        <v>0</v>
      </c>
      <c r="P373" s="4554" t="str">
        <f>+P494</f>
        <v>UR4 &gt;700y &lt;= 1400 kWh/mes</v>
      </c>
      <c r="Q373" s="2778">
        <f t="shared" ref="Q373:S373" si="371">+Q494</f>
        <v>0</v>
      </c>
      <c r="R373" s="3521">
        <f t="shared" si="371"/>
        <v>0</v>
      </c>
      <c r="S373" s="3522" t="str">
        <f t="shared" si="371"/>
        <v>OK</v>
      </c>
      <c r="T373" s="1410"/>
    </row>
    <row r="374" spans="1:20" s="250" customFormat="1" ht="30" hidden="1" customHeight="1" thickBot="1" x14ac:dyDescent="0.5">
      <c r="A374" s="4542"/>
      <c r="B374" s="3506">
        <v>5575</v>
      </c>
      <c r="C374" s="3505" t="s">
        <v>1308</v>
      </c>
      <c r="D374" s="3396" t="s">
        <v>1287</v>
      </c>
      <c r="E374" s="3518">
        <f>+E505</f>
        <v>0</v>
      </c>
      <c r="F374" s="3518">
        <f t="shared" ref="F374:O374" si="372">+F505</f>
        <v>0</v>
      </c>
      <c r="G374" s="3518">
        <f t="shared" si="372"/>
        <v>0</v>
      </c>
      <c r="H374" s="3518">
        <f t="shared" si="372"/>
        <v>0</v>
      </c>
      <c r="I374" s="3518">
        <f t="shared" ca="1" si="372"/>
        <v>0</v>
      </c>
      <c r="J374" s="3518">
        <f t="shared" ca="1" si="372"/>
        <v>0</v>
      </c>
      <c r="K374" s="3518">
        <f t="shared" ca="1" si="372"/>
        <v>0</v>
      </c>
      <c r="L374" s="3519">
        <f t="shared" ca="1" si="372"/>
        <v>0</v>
      </c>
      <c r="M374" s="3519">
        <f t="shared" ca="1" si="372"/>
        <v>0</v>
      </c>
      <c r="N374" s="3520">
        <f t="shared" ca="1" si="372"/>
        <v>0</v>
      </c>
      <c r="O374" s="3520">
        <f t="shared" ca="1" si="372"/>
        <v>0</v>
      </c>
      <c r="P374" s="4476">
        <f>+P505</f>
        <v>0</v>
      </c>
      <c r="Q374" s="2778">
        <f t="shared" ref="Q374:S374" si="373">+Q505</f>
        <v>0</v>
      </c>
      <c r="R374" s="3521">
        <f t="shared" si="373"/>
        <v>0</v>
      </c>
      <c r="S374" s="3522" t="str">
        <f t="shared" si="373"/>
        <v>OK</v>
      </c>
      <c r="T374" s="1410"/>
    </row>
    <row r="375" spans="1:20" s="250" customFormat="1" ht="30" hidden="1" customHeight="1" thickBot="1" x14ac:dyDescent="0.5">
      <c r="A375" s="4542"/>
      <c r="B375" s="3417">
        <v>5585</v>
      </c>
      <c r="C375" s="3505" t="s">
        <v>1308</v>
      </c>
      <c r="D375" s="3398" t="s">
        <v>1288</v>
      </c>
      <c r="E375" s="3518">
        <f>+E506</f>
        <v>0</v>
      </c>
      <c r="F375" s="3518">
        <f t="shared" ref="F375:O375" si="374">+F506</f>
        <v>0</v>
      </c>
      <c r="G375" s="3518">
        <f t="shared" si="374"/>
        <v>0</v>
      </c>
      <c r="H375" s="3518">
        <f t="shared" si="374"/>
        <v>0</v>
      </c>
      <c r="I375" s="3518">
        <f t="shared" ca="1" si="374"/>
        <v>0</v>
      </c>
      <c r="J375" s="3518">
        <f t="shared" ca="1" si="374"/>
        <v>0</v>
      </c>
      <c r="K375" s="3518">
        <f t="shared" ca="1" si="374"/>
        <v>0</v>
      </c>
      <c r="L375" s="3519">
        <f t="shared" ca="1" si="374"/>
        <v>0</v>
      </c>
      <c r="M375" s="3519">
        <f t="shared" ca="1" si="374"/>
        <v>0</v>
      </c>
      <c r="N375" s="3520">
        <f t="shared" ca="1" si="374"/>
        <v>0</v>
      </c>
      <c r="O375" s="3520">
        <f t="shared" ca="1" si="374"/>
        <v>0</v>
      </c>
      <c r="P375" s="4476">
        <f>+P506</f>
        <v>0</v>
      </c>
      <c r="Q375" s="2778">
        <f t="shared" ref="Q375:S375" si="375">+Q506</f>
        <v>0</v>
      </c>
      <c r="R375" s="3521">
        <f t="shared" si="375"/>
        <v>0</v>
      </c>
      <c r="S375" s="3522" t="str">
        <f t="shared" si="375"/>
        <v>OK</v>
      </c>
      <c r="T375" s="1410"/>
    </row>
    <row r="376" spans="1:20" s="250" customFormat="1" ht="30" hidden="1" customHeight="1" thickBot="1" x14ac:dyDescent="0.5">
      <c r="A376" s="4542"/>
      <c r="B376" s="3493">
        <v>5040</v>
      </c>
      <c r="C376" s="4546" t="s">
        <v>218</v>
      </c>
      <c r="D376" s="4547"/>
      <c r="E376" s="3518">
        <f>+E495</f>
        <v>0</v>
      </c>
      <c r="F376" s="3518">
        <f t="shared" ref="F376:O376" si="376">+F495</f>
        <v>0</v>
      </c>
      <c r="G376" s="3518">
        <f t="shared" si="376"/>
        <v>0</v>
      </c>
      <c r="H376" s="3518">
        <f t="shared" si="376"/>
        <v>0</v>
      </c>
      <c r="I376" s="3518">
        <f t="shared" ca="1" si="376"/>
        <v>0</v>
      </c>
      <c r="J376" s="3518">
        <f t="shared" ca="1" si="376"/>
        <v>0</v>
      </c>
      <c r="K376" s="3518">
        <f t="shared" ca="1" si="376"/>
        <v>0</v>
      </c>
      <c r="L376" s="3519">
        <f t="shared" ca="1" si="376"/>
        <v>0</v>
      </c>
      <c r="M376" s="3519">
        <f t="shared" ca="1" si="376"/>
        <v>0</v>
      </c>
      <c r="N376" s="3520">
        <f t="shared" ca="1" si="376"/>
        <v>0</v>
      </c>
      <c r="O376" s="3520">
        <f t="shared" ca="1" si="376"/>
        <v>0</v>
      </c>
      <c r="P376" s="4476">
        <f>+P495</f>
        <v>0</v>
      </c>
      <c r="Q376" s="2778">
        <f t="shared" ref="Q376:S376" si="377">+Q495</f>
        <v>0</v>
      </c>
      <c r="R376" s="3521">
        <f t="shared" si="377"/>
        <v>0</v>
      </c>
      <c r="S376" s="3522" t="str">
        <f t="shared" si="377"/>
        <v>OK</v>
      </c>
      <c r="T376" s="1410"/>
    </row>
    <row r="377" spans="1:20" s="250" customFormat="1" ht="30" hidden="1" customHeight="1" thickBot="1" x14ac:dyDescent="0.5">
      <c r="A377" s="4542"/>
      <c r="B377" s="3493">
        <v>5041</v>
      </c>
      <c r="C377" s="4546" t="s">
        <v>1243</v>
      </c>
      <c r="D377" s="4547"/>
      <c r="E377" s="3518">
        <f t="shared" ref="E377:O378" si="378">+E496</f>
        <v>0</v>
      </c>
      <c r="F377" s="3518">
        <f t="shared" si="378"/>
        <v>0</v>
      </c>
      <c r="G377" s="3518">
        <f t="shared" si="378"/>
        <v>0</v>
      </c>
      <c r="H377" s="3518">
        <f t="shared" si="378"/>
        <v>0</v>
      </c>
      <c r="I377" s="3518">
        <f t="shared" ca="1" si="378"/>
        <v>0</v>
      </c>
      <c r="J377" s="3518">
        <f t="shared" ca="1" si="378"/>
        <v>0</v>
      </c>
      <c r="K377" s="3518">
        <f t="shared" ca="1" si="378"/>
        <v>0</v>
      </c>
      <c r="L377" s="3519">
        <f t="shared" ca="1" si="378"/>
        <v>0</v>
      </c>
      <c r="M377" s="3519">
        <f t="shared" ca="1" si="378"/>
        <v>0</v>
      </c>
      <c r="N377" s="3520">
        <f t="shared" ca="1" si="378"/>
        <v>0</v>
      </c>
      <c r="O377" s="3520">
        <f t="shared" ca="1" si="378"/>
        <v>0</v>
      </c>
      <c r="P377" s="4476">
        <f t="shared" ref="P377:S377" si="379">+P496</f>
        <v>0</v>
      </c>
      <c r="Q377" s="2778">
        <f t="shared" si="379"/>
        <v>0</v>
      </c>
      <c r="R377" s="3521">
        <f t="shared" si="379"/>
        <v>0</v>
      </c>
      <c r="S377" s="3522" t="str">
        <f t="shared" si="379"/>
        <v>OK</v>
      </c>
      <c r="T377" s="1410"/>
    </row>
    <row r="378" spans="1:20" s="250" customFormat="1" ht="30" hidden="1" customHeight="1" thickBot="1" x14ac:dyDescent="0.5">
      <c r="A378" s="4542"/>
      <c r="B378" s="3493">
        <v>5045</v>
      </c>
      <c r="C378" s="4546" t="s">
        <v>397</v>
      </c>
      <c r="D378" s="4547"/>
      <c r="E378" s="3518">
        <f t="shared" si="378"/>
        <v>0</v>
      </c>
      <c r="F378" s="3518">
        <f t="shared" si="378"/>
        <v>0</v>
      </c>
      <c r="G378" s="3518">
        <f t="shared" si="378"/>
        <v>0</v>
      </c>
      <c r="H378" s="3518">
        <f t="shared" si="378"/>
        <v>0</v>
      </c>
      <c r="I378" s="3518">
        <f t="shared" ca="1" si="378"/>
        <v>0</v>
      </c>
      <c r="J378" s="3518">
        <f t="shared" ca="1" si="378"/>
        <v>0</v>
      </c>
      <c r="K378" s="3518">
        <f t="shared" ca="1" si="378"/>
        <v>0</v>
      </c>
      <c r="L378" s="3519">
        <f t="shared" ca="1" si="378"/>
        <v>0</v>
      </c>
      <c r="M378" s="3519">
        <f t="shared" ca="1" si="378"/>
        <v>0</v>
      </c>
      <c r="N378" s="3520">
        <f t="shared" ca="1" si="378"/>
        <v>0</v>
      </c>
      <c r="O378" s="3520">
        <f t="shared" ca="1" si="378"/>
        <v>0</v>
      </c>
      <c r="P378" s="4476">
        <f t="shared" ref="P378:S378" si="380">+P497</f>
        <v>0</v>
      </c>
      <c r="Q378" s="2778">
        <f t="shared" si="380"/>
        <v>0</v>
      </c>
      <c r="R378" s="3521">
        <f t="shared" si="380"/>
        <v>0</v>
      </c>
      <c r="S378" s="3522" t="str">
        <f t="shared" si="380"/>
        <v>OK</v>
      </c>
      <c r="T378" s="1410"/>
    </row>
    <row r="379" spans="1:20" s="250" customFormat="1" ht="30" hidden="1" customHeight="1" thickBot="1" x14ac:dyDescent="0.5">
      <c r="A379" s="4542"/>
      <c r="B379" s="3506">
        <v>5508</v>
      </c>
      <c r="C379" s="3505" t="s">
        <v>1309</v>
      </c>
      <c r="D379" s="3396" t="s">
        <v>1289</v>
      </c>
      <c r="E379" s="3518">
        <f>+E501</f>
        <v>0</v>
      </c>
      <c r="F379" s="3518">
        <f t="shared" ref="F379:O379" si="381">+F501</f>
        <v>0</v>
      </c>
      <c r="G379" s="3518">
        <f t="shared" si="381"/>
        <v>0</v>
      </c>
      <c r="H379" s="3518">
        <f t="shared" si="381"/>
        <v>0</v>
      </c>
      <c r="I379" s="3518">
        <f t="shared" ca="1" si="381"/>
        <v>0</v>
      </c>
      <c r="J379" s="3518">
        <f t="shared" ca="1" si="381"/>
        <v>0</v>
      </c>
      <c r="K379" s="3518">
        <f t="shared" ca="1" si="381"/>
        <v>0</v>
      </c>
      <c r="L379" s="3519">
        <f t="shared" ca="1" si="381"/>
        <v>0</v>
      </c>
      <c r="M379" s="3519">
        <f t="shared" ca="1" si="381"/>
        <v>0</v>
      </c>
      <c r="N379" s="3520">
        <f t="shared" ca="1" si="381"/>
        <v>0</v>
      </c>
      <c r="O379" s="3520">
        <f t="shared" ca="1" si="381"/>
        <v>0</v>
      </c>
      <c r="P379" s="4476">
        <f>+P501</f>
        <v>0</v>
      </c>
      <c r="Q379" s="2778">
        <f t="shared" ref="Q379:S379" si="382">+Q501</f>
        <v>0</v>
      </c>
      <c r="R379" s="3521">
        <f t="shared" si="382"/>
        <v>0</v>
      </c>
      <c r="S379" s="3522" t="str">
        <f t="shared" si="382"/>
        <v>OK</v>
      </c>
      <c r="T379" s="1410"/>
    </row>
    <row r="380" spans="1:20" s="250" customFormat="1" ht="30" hidden="1" customHeight="1" thickBot="1" x14ac:dyDescent="0.5">
      <c r="A380" s="4542"/>
      <c r="B380" s="3506">
        <v>5509</v>
      </c>
      <c r="C380" s="3505" t="s">
        <v>1309</v>
      </c>
      <c r="D380" s="3396" t="s">
        <v>1366</v>
      </c>
      <c r="E380" s="3518">
        <f t="shared" ref="E380:O382" si="383">+E502</f>
        <v>0</v>
      </c>
      <c r="F380" s="3518">
        <f t="shared" si="383"/>
        <v>0</v>
      </c>
      <c r="G380" s="3518">
        <f t="shared" si="383"/>
        <v>0</v>
      </c>
      <c r="H380" s="3518">
        <f t="shared" si="383"/>
        <v>0</v>
      </c>
      <c r="I380" s="3518">
        <f t="shared" ca="1" si="383"/>
        <v>0</v>
      </c>
      <c r="J380" s="3518">
        <f t="shared" ca="1" si="383"/>
        <v>0</v>
      </c>
      <c r="K380" s="3518">
        <f t="shared" ca="1" si="383"/>
        <v>0</v>
      </c>
      <c r="L380" s="3519">
        <f t="shared" ca="1" si="383"/>
        <v>0</v>
      </c>
      <c r="M380" s="3519">
        <f t="shared" ca="1" si="383"/>
        <v>0</v>
      </c>
      <c r="N380" s="3520">
        <f t="shared" ca="1" si="383"/>
        <v>0</v>
      </c>
      <c r="O380" s="3520">
        <f t="shared" ca="1" si="383"/>
        <v>0</v>
      </c>
      <c r="P380" s="4476">
        <f t="shared" ref="P380:S380" si="384">+P502</f>
        <v>0</v>
      </c>
      <c r="Q380" s="2778">
        <f t="shared" si="384"/>
        <v>0</v>
      </c>
      <c r="R380" s="3521">
        <f t="shared" si="384"/>
        <v>0</v>
      </c>
      <c r="S380" s="3522" t="str">
        <f t="shared" si="384"/>
        <v>OK</v>
      </c>
      <c r="T380" s="1410"/>
    </row>
    <row r="381" spans="1:20" s="250" customFormat="1" ht="30" hidden="1" customHeight="1" thickBot="1" x14ac:dyDescent="0.5">
      <c r="A381" s="4542"/>
      <c r="B381" s="3417">
        <v>5558</v>
      </c>
      <c r="C381" s="3505" t="s">
        <v>1309</v>
      </c>
      <c r="D381" s="3398" t="s">
        <v>1290</v>
      </c>
      <c r="E381" s="3518">
        <f t="shared" si="383"/>
        <v>0</v>
      </c>
      <c r="F381" s="3518">
        <f t="shared" si="383"/>
        <v>0</v>
      </c>
      <c r="G381" s="3518">
        <f t="shared" si="383"/>
        <v>0</v>
      </c>
      <c r="H381" s="3518">
        <f t="shared" si="383"/>
        <v>0</v>
      </c>
      <c r="I381" s="3518">
        <f t="shared" ca="1" si="383"/>
        <v>0</v>
      </c>
      <c r="J381" s="3518">
        <f t="shared" ca="1" si="383"/>
        <v>0</v>
      </c>
      <c r="K381" s="3518">
        <f t="shared" ca="1" si="383"/>
        <v>0</v>
      </c>
      <c r="L381" s="3519">
        <f t="shared" ca="1" si="383"/>
        <v>0</v>
      </c>
      <c r="M381" s="3519">
        <f t="shared" ca="1" si="383"/>
        <v>0</v>
      </c>
      <c r="N381" s="3520">
        <f t="shared" ca="1" si="383"/>
        <v>0</v>
      </c>
      <c r="O381" s="3520">
        <f t="shared" ca="1" si="383"/>
        <v>0</v>
      </c>
      <c r="P381" s="4476">
        <f t="shared" ref="P381:S381" si="385">+P503</f>
        <v>0</v>
      </c>
      <c r="Q381" s="2778">
        <f t="shared" si="385"/>
        <v>0</v>
      </c>
      <c r="R381" s="3521">
        <f t="shared" si="385"/>
        <v>0</v>
      </c>
      <c r="S381" s="3522" t="str">
        <f t="shared" si="385"/>
        <v>OK</v>
      </c>
      <c r="T381" s="1410"/>
    </row>
    <row r="382" spans="1:20" s="250" customFormat="1" ht="30" hidden="1" customHeight="1" thickBot="1" x14ac:dyDescent="0.5">
      <c r="A382" s="4542"/>
      <c r="B382" s="3417">
        <v>5559</v>
      </c>
      <c r="C382" s="3505" t="s">
        <v>1309</v>
      </c>
      <c r="D382" s="3398" t="s">
        <v>1291</v>
      </c>
      <c r="E382" s="3518">
        <f t="shared" si="383"/>
        <v>0</v>
      </c>
      <c r="F382" s="3518">
        <f t="shared" si="383"/>
        <v>0</v>
      </c>
      <c r="G382" s="3518">
        <f t="shared" si="383"/>
        <v>0</v>
      </c>
      <c r="H382" s="3518">
        <f t="shared" si="383"/>
        <v>0</v>
      </c>
      <c r="I382" s="3518">
        <f t="shared" ca="1" si="383"/>
        <v>0</v>
      </c>
      <c r="J382" s="3518">
        <f t="shared" ca="1" si="383"/>
        <v>0</v>
      </c>
      <c r="K382" s="3518">
        <f t="shared" ca="1" si="383"/>
        <v>0</v>
      </c>
      <c r="L382" s="3519">
        <f t="shared" ca="1" si="383"/>
        <v>0</v>
      </c>
      <c r="M382" s="3519">
        <f t="shared" ca="1" si="383"/>
        <v>0</v>
      </c>
      <c r="N382" s="3520">
        <f t="shared" ca="1" si="383"/>
        <v>0</v>
      </c>
      <c r="O382" s="3520">
        <f t="shared" ca="1" si="383"/>
        <v>0</v>
      </c>
      <c r="P382" s="4476">
        <f t="shared" ref="P382:S382" si="386">+P504</f>
        <v>0</v>
      </c>
      <c r="Q382" s="2778">
        <f t="shared" si="386"/>
        <v>0</v>
      </c>
      <c r="R382" s="3521">
        <f t="shared" si="386"/>
        <v>0</v>
      </c>
      <c r="S382" s="3522" t="str">
        <f t="shared" si="386"/>
        <v>OK</v>
      </c>
      <c r="T382" s="1410"/>
    </row>
    <row r="383" spans="1:20" s="250" customFormat="1" ht="30" hidden="1" customHeight="1" thickBot="1" x14ac:dyDescent="0.5">
      <c r="A383" s="4542"/>
      <c r="B383" s="3497">
        <v>5050</v>
      </c>
      <c r="C383" s="4548" t="s">
        <v>398</v>
      </c>
      <c r="D383" s="4549"/>
      <c r="E383" s="3518">
        <f>+E498</f>
        <v>0</v>
      </c>
      <c r="F383" s="3518">
        <f t="shared" ref="F383:O383" si="387">+F498</f>
        <v>0</v>
      </c>
      <c r="G383" s="3518">
        <f t="shared" si="387"/>
        <v>0</v>
      </c>
      <c r="H383" s="3518">
        <f t="shared" si="387"/>
        <v>0</v>
      </c>
      <c r="I383" s="3518">
        <f t="shared" ca="1" si="387"/>
        <v>0</v>
      </c>
      <c r="J383" s="3518">
        <f t="shared" ca="1" si="387"/>
        <v>0</v>
      </c>
      <c r="K383" s="3518">
        <f t="shared" ca="1" si="387"/>
        <v>0</v>
      </c>
      <c r="L383" s="3519">
        <f t="shared" ca="1" si="387"/>
        <v>0</v>
      </c>
      <c r="M383" s="3519">
        <f t="shared" ca="1" si="387"/>
        <v>0</v>
      </c>
      <c r="N383" s="3520">
        <f t="shared" ca="1" si="387"/>
        <v>0</v>
      </c>
      <c r="O383" s="3520">
        <f t="shared" ca="1" si="387"/>
        <v>0</v>
      </c>
      <c r="P383" s="3523">
        <f>+P498</f>
        <v>0</v>
      </c>
      <c r="Q383" s="2778">
        <f t="shared" ref="Q383:S383" si="388">+Q498</f>
        <v>0</v>
      </c>
      <c r="R383" s="3521">
        <f t="shared" si="388"/>
        <v>0</v>
      </c>
      <c r="S383" s="3522" t="str">
        <f t="shared" si="388"/>
        <v>OK</v>
      </c>
      <c r="T383" s="1410"/>
    </row>
    <row r="384" spans="1:20" s="250" customFormat="1" ht="30" hidden="1" customHeight="1" thickBot="1" x14ac:dyDescent="0.5">
      <c r="A384" s="4542"/>
      <c r="B384" s="3497">
        <v>5051</v>
      </c>
      <c r="C384" s="4548" t="s">
        <v>1244</v>
      </c>
      <c r="D384" s="4549"/>
      <c r="E384" s="3518">
        <f t="shared" ref="E384:O385" si="389">+E499</f>
        <v>0</v>
      </c>
      <c r="F384" s="3518">
        <f t="shared" si="389"/>
        <v>0</v>
      </c>
      <c r="G384" s="3518">
        <f t="shared" si="389"/>
        <v>0</v>
      </c>
      <c r="H384" s="3518">
        <f t="shared" si="389"/>
        <v>0</v>
      </c>
      <c r="I384" s="3518">
        <f t="shared" ca="1" si="389"/>
        <v>0</v>
      </c>
      <c r="J384" s="3518">
        <f t="shared" ca="1" si="389"/>
        <v>0</v>
      </c>
      <c r="K384" s="3518">
        <f t="shared" ca="1" si="389"/>
        <v>0</v>
      </c>
      <c r="L384" s="3519">
        <f t="shared" ca="1" si="389"/>
        <v>0</v>
      </c>
      <c r="M384" s="3519">
        <f t="shared" ca="1" si="389"/>
        <v>0</v>
      </c>
      <c r="N384" s="3520">
        <f t="shared" ca="1" si="389"/>
        <v>0</v>
      </c>
      <c r="O384" s="3520">
        <f t="shared" ca="1" si="389"/>
        <v>0</v>
      </c>
      <c r="P384" s="3523">
        <f t="shared" ref="P384:S384" si="390">+P499</f>
        <v>0</v>
      </c>
      <c r="Q384" s="2778">
        <f t="shared" si="390"/>
        <v>0</v>
      </c>
      <c r="R384" s="3521">
        <f t="shared" si="390"/>
        <v>0</v>
      </c>
      <c r="S384" s="3522" t="str">
        <f t="shared" si="390"/>
        <v>OK</v>
      </c>
      <c r="T384" s="1410"/>
    </row>
    <row r="385" spans="1:20" s="250" customFormat="1" ht="30" hidden="1" customHeight="1" thickBot="1" x14ac:dyDescent="0.5">
      <c r="A385" s="4542"/>
      <c r="B385" s="3497">
        <v>5055</v>
      </c>
      <c r="C385" s="4548" t="s">
        <v>399</v>
      </c>
      <c r="D385" s="4549"/>
      <c r="E385" s="3518">
        <f t="shared" si="389"/>
        <v>0</v>
      </c>
      <c r="F385" s="3518">
        <f t="shared" si="389"/>
        <v>0</v>
      </c>
      <c r="G385" s="3518">
        <f t="shared" si="389"/>
        <v>0</v>
      </c>
      <c r="H385" s="3518">
        <f t="shared" si="389"/>
        <v>0</v>
      </c>
      <c r="I385" s="3518">
        <f t="shared" ca="1" si="389"/>
        <v>0</v>
      </c>
      <c r="J385" s="3518">
        <f t="shared" ca="1" si="389"/>
        <v>0</v>
      </c>
      <c r="K385" s="3518">
        <f t="shared" ca="1" si="389"/>
        <v>0</v>
      </c>
      <c r="L385" s="3519">
        <f t="shared" ca="1" si="389"/>
        <v>0</v>
      </c>
      <c r="M385" s="3519">
        <f t="shared" ca="1" si="389"/>
        <v>0</v>
      </c>
      <c r="N385" s="3520">
        <f t="shared" ca="1" si="389"/>
        <v>0</v>
      </c>
      <c r="O385" s="3520">
        <f t="shared" ca="1" si="389"/>
        <v>0</v>
      </c>
      <c r="P385" s="3523">
        <f t="shared" ref="P385:S385" si="391">+P500</f>
        <v>0</v>
      </c>
      <c r="Q385" s="2778">
        <f t="shared" si="391"/>
        <v>0</v>
      </c>
      <c r="R385" s="3521">
        <f t="shared" si="391"/>
        <v>0</v>
      </c>
      <c r="S385" s="3522" t="str">
        <f t="shared" si="391"/>
        <v>OK</v>
      </c>
      <c r="T385" s="1410"/>
    </row>
    <row r="386" spans="1:20" s="250" customFormat="1" ht="30" hidden="1" customHeight="1" thickBot="1" x14ac:dyDescent="0.5">
      <c r="A386" s="4542"/>
      <c r="B386" s="3506">
        <v>5595</v>
      </c>
      <c r="C386" s="3505" t="s">
        <v>1310</v>
      </c>
      <c r="D386" s="3396" t="s">
        <v>1292</v>
      </c>
      <c r="E386" s="3518">
        <f>+E507</f>
        <v>0</v>
      </c>
      <c r="F386" s="3518">
        <f t="shared" ref="F386:O386" si="392">+F507</f>
        <v>0</v>
      </c>
      <c r="G386" s="3518">
        <f t="shared" si="392"/>
        <v>0</v>
      </c>
      <c r="H386" s="3518">
        <f t="shared" si="392"/>
        <v>0</v>
      </c>
      <c r="I386" s="3518">
        <f t="shared" ca="1" si="392"/>
        <v>0</v>
      </c>
      <c r="J386" s="3518">
        <f t="shared" ca="1" si="392"/>
        <v>0</v>
      </c>
      <c r="K386" s="3518">
        <f t="shared" ca="1" si="392"/>
        <v>0</v>
      </c>
      <c r="L386" s="3519">
        <f t="shared" ca="1" si="392"/>
        <v>0</v>
      </c>
      <c r="M386" s="3519">
        <f t="shared" ca="1" si="392"/>
        <v>0</v>
      </c>
      <c r="N386" s="3520">
        <f t="shared" ca="1" si="392"/>
        <v>0</v>
      </c>
      <c r="O386" s="3520">
        <f t="shared" ca="1" si="392"/>
        <v>0</v>
      </c>
      <c r="P386" s="3523">
        <f>+P507</f>
        <v>0</v>
      </c>
      <c r="Q386" s="2778">
        <f t="shared" ref="Q386:S386" si="393">+Q507</f>
        <v>0</v>
      </c>
      <c r="R386" s="3521">
        <f t="shared" si="393"/>
        <v>0</v>
      </c>
      <c r="S386" s="3522" t="str">
        <f t="shared" si="393"/>
        <v>OK</v>
      </c>
      <c r="T386" s="1410"/>
    </row>
    <row r="387" spans="1:20" s="250" customFormat="1" ht="30" hidden="1" customHeight="1" thickBot="1" x14ac:dyDescent="0.5">
      <c r="A387" s="4542"/>
      <c r="B387" s="3507">
        <v>5514</v>
      </c>
      <c r="C387" s="3505" t="s">
        <v>1310</v>
      </c>
      <c r="D387" s="3396" t="s">
        <v>1293</v>
      </c>
      <c r="E387" s="3518">
        <f t="shared" ref="E387:O389" si="394">+E508</f>
        <v>0</v>
      </c>
      <c r="F387" s="3518">
        <f t="shared" si="394"/>
        <v>0</v>
      </c>
      <c r="G387" s="3518">
        <f t="shared" si="394"/>
        <v>0</v>
      </c>
      <c r="H387" s="3518">
        <f t="shared" si="394"/>
        <v>0</v>
      </c>
      <c r="I387" s="3518">
        <f t="shared" ca="1" si="394"/>
        <v>0</v>
      </c>
      <c r="J387" s="3518">
        <f t="shared" ca="1" si="394"/>
        <v>0</v>
      </c>
      <c r="K387" s="3518">
        <f t="shared" ca="1" si="394"/>
        <v>0</v>
      </c>
      <c r="L387" s="3519">
        <f t="shared" ca="1" si="394"/>
        <v>0</v>
      </c>
      <c r="M387" s="3519">
        <f t="shared" ca="1" si="394"/>
        <v>0</v>
      </c>
      <c r="N387" s="3520">
        <f t="shared" ca="1" si="394"/>
        <v>0</v>
      </c>
      <c r="O387" s="3520">
        <f t="shared" ca="1" si="394"/>
        <v>0</v>
      </c>
      <c r="P387" s="3523">
        <f t="shared" ref="P387:S387" si="395">+P508</f>
        <v>0</v>
      </c>
      <c r="Q387" s="2778">
        <f t="shared" si="395"/>
        <v>0</v>
      </c>
      <c r="R387" s="3521">
        <f t="shared" si="395"/>
        <v>0</v>
      </c>
      <c r="S387" s="3522" t="str">
        <f t="shared" si="395"/>
        <v>OK</v>
      </c>
      <c r="T387" s="1410"/>
    </row>
    <row r="388" spans="1:20" s="250" customFormat="1" ht="30" hidden="1" customHeight="1" thickBot="1" x14ac:dyDescent="0.5">
      <c r="A388" s="4542"/>
      <c r="B388" s="3508">
        <v>5605</v>
      </c>
      <c r="C388" s="3505" t="s">
        <v>1310</v>
      </c>
      <c r="D388" s="3504" t="s">
        <v>1294</v>
      </c>
      <c r="E388" s="3518">
        <f t="shared" si="394"/>
        <v>0</v>
      </c>
      <c r="F388" s="3518">
        <f t="shared" si="394"/>
        <v>0</v>
      </c>
      <c r="G388" s="3518">
        <f t="shared" si="394"/>
        <v>0</v>
      </c>
      <c r="H388" s="3518">
        <f t="shared" si="394"/>
        <v>0</v>
      </c>
      <c r="I388" s="3518">
        <f t="shared" ca="1" si="394"/>
        <v>0</v>
      </c>
      <c r="J388" s="3518">
        <f t="shared" ca="1" si="394"/>
        <v>0</v>
      </c>
      <c r="K388" s="3518">
        <f t="shared" ca="1" si="394"/>
        <v>0</v>
      </c>
      <c r="L388" s="3519">
        <f t="shared" ca="1" si="394"/>
        <v>0</v>
      </c>
      <c r="M388" s="3519">
        <f t="shared" ca="1" si="394"/>
        <v>0</v>
      </c>
      <c r="N388" s="3520">
        <f t="shared" ca="1" si="394"/>
        <v>0</v>
      </c>
      <c r="O388" s="3520">
        <f t="shared" ca="1" si="394"/>
        <v>0</v>
      </c>
      <c r="P388" s="3523">
        <f t="shared" ref="P388:S388" si="396">+P509</f>
        <v>0</v>
      </c>
      <c r="Q388" s="2778">
        <f t="shared" si="396"/>
        <v>0</v>
      </c>
      <c r="R388" s="3521">
        <f t="shared" si="396"/>
        <v>0</v>
      </c>
      <c r="S388" s="3522" t="str">
        <f t="shared" si="396"/>
        <v>OK</v>
      </c>
      <c r="T388" s="1410"/>
    </row>
    <row r="389" spans="1:20" s="250" customFormat="1" ht="30" hidden="1" customHeight="1" thickBot="1" x14ac:dyDescent="0.5">
      <c r="A389" s="4543"/>
      <c r="B389" s="3508">
        <v>5564</v>
      </c>
      <c r="C389" s="3505" t="s">
        <v>1310</v>
      </c>
      <c r="D389" s="3504" t="s">
        <v>1295</v>
      </c>
      <c r="E389" s="3518">
        <f t="shared" si="394"/>
        <v>0</v>
      </c>
      <c r="F389" s="3518">
        <f t="shared" si="394"/>
        <v>0</v>
      </c>
      <c r="G389" s="3518">
        <f t="shared" si="394"/>
        <v>0</v>
      </c>
      <c r="H389" s="3518">
        <f t="shared" si="394"/>
        <v>0</v>
      </c>
      <c r="I389" s="3518">
        <f t="shared" ca="1" si="394"/>
        <v>0</v>
      </c>
      <c r="J389" s="3518">
        <f t="shared" ca="1" si="394"/>
        <v>0</v>
      </c>
      <c r="K389" s="3518">
        <f t="shared" ca="1" si="394"/>
        <v>0</v>
      </c>
      <c r="L389" s="3519">
        <f t="shared" ca="1" si="394"/>
        <v>0</v>
      </c>
      <c r="M389" s="3519">
        <f t="shared" ca="1" si="394"/>
        <v>0</v>
      </c>
      <c r="N389" s="3520">
        <f t="shared" ca="1" si="394"/>
        <v>0</v>
      </c>
      <c r="O389" s="3520">
        <f t="shared" ca="1" si="394"/>
        <v>0</v>
      </c>
      <c r="P389" s="3523">
        <f t="shared" ref="P389:S389" si="397">+P510</f>
        <v>0</v>
      </c>
      <c r="Q389" s="2778">
        <f t="shared" si="397"/>
        <v>0</v>
      </c>
      <c r="R389" s="3521">
        <f t="shared" si="397"/>
        <v>0</v>
      </c>
      <c r="S389" s="3522" t="str">
        <f t="shared" si="397"/>
        <v>OK</v>
      </c>
      <c r="T389" s="1410"/>
    </row>
    <row r="390" spans="1:20" s="250" customFormat="1" ht="30" hidden="1" customHeight="1" thickBot="1" x14ac:dyDescent="0.5">
      <c r="A390" s="4541" t="s">
        <v>326</v>
      </c>
      <c r="B390" s="3509">
        <v>5030</v>
      </c>
      <c r="C390" s="4308" t="s">
        <v>217</v>
      </c>
      <c r="D390" s="4309"/>
      <c r="E390" s="3518">
        <f>+E511</f>
        <v>0</v>
      </c>
      <c r="F390" s="3518">
        <f t="shared" ref="F390:O390" si="398">+F511</f>
        <v>0</v>
      </c>
      <c r="G390" s="3518">
        <f t="shared" si="398"/>
        <v>0</v>
      </c>
      <c r="H390" s="3518">
        <f t="shared" si="398"/>
        <v>0</v>
      </c>
      <c r="I390" s="3518">
        <f t="shared" ca="1" si="398"/>
        <v>0</v>
      </c>
      <c r="J390" s="3518">
        <f t="shared" ca="1" si="398"/>
        <v>0</v>
      </c>
      <c r="K390" s="3518">
        <f t="shared" ca="1" si="398"/>
        <v>0</v>
      </c>
      <c r="L390" s="3519">
        <f t="shared" ca="1" si="398"/>
        <v>0</v>
      </c>
      <c r="M390" s="3519">
        <f t="shared" ca="1" si="398"/>
        <v>0</v>
      </c>
      <c r="N390" s="3520">
        <f t="shared" ca="1" si="398"/>
        <v>0</v>
      </c>
      <c r="O390" s="3520">
        <f t="shared" ca="1" si="398"/>
        <v>0</v>
      </c>
      <c r="P390" s="4476" t="str">
        <f>+P511</f>
        <v>UR5 &gt;1400 kWh/mes</v>
      </c>
      <c r="Q390" s="2778">
        <f t="shared" ref="Q390:S390" si="399">+Q511</f>
        <v>0</v>
      </c>
      <c r="R390" s="3521">
        <f t="shared" si="399"/>
        <v>0</v>
      </c>
      <c r="S390" s="3522" t="str">
        <f t="shared" si="399"/>
        <v>OK</v>
      </c>
      <c r="T390" s="1410"/>
    </row>
    <row r="391" spans="1:20" s="250" customFormat="1" ht="30" hidden="1" customHeight="1" thickBot="1" x14ac:dyDescent="0.5">
      <c r="A391" s="4542"/>
      <c r="B391" s="3395">
        <v>5576</v>
      </c>
      <c r="C391" s="1893" t="s">
        <v>1308</v>
      </c>
      <c r="D391" s="3396" t="s">
        <v>1296</v>
      </c>
      <c r="E391" s="3518">
        <f>+E522</f>
        <v>0</v>
      </c>
      <c r="F391" s="3518">
        <f t="shared" ref="F391:O391" si="400">+F522</f>
        <v>0</v>
      </c>
      <c r="G391" s="3518">
        <f t="shared" si="400"/>
        <v>0</v>
      </c>
      <c r="H391" s="3518">
        <f t="shared" si="400"/>
        <v>0</v>
      </c>
      <c r="I391" s="3518">
        <f t="shared" ca="1" si="400"/>
        <v>0</v>
      </c>
      <c r="J391" s="3518">
        <f t="shared" ca="1" si="400"/>
        <v>0</v>
      </c>
      <c r="K391" s="3518">
        <f t="shared" ca="1" si="400"/>
        <v>0</v>
      </c>
      <c r="L391" s="3519">
        <f t="shared" ca="1" si="400"/>
        <v>0</v>
      </c>
      <c r="M391" s="3519">
        <f t="shared" ca="1" si="400"/>
        <v>0</v>
      </c>
      <c r="N391" s="3520">
        <f t="shared" ca="1" si="400"/>
        <v>0</v>
      </c>
      <c r="O391" s="3520">
        <f t="shared" ca="1" si="400"/>
        <v>0</v>
      </c>
      <c r="P391" s="4476">
        <f>+P522</f>
        <v>0</v>
      </c>
      <c r="Q391" s="2778">
        <f t="shared" ref="Q391:S391" si="401">+Q522</f>
        <v>0</v>
      </c>
      <c r="R391" s="3521">
        <f t="shared" si="401"/>
        <v>0</v>
      </c>
      <c r="S391" s="3522" t="str">
        <f t="shared" si="401"/>
        <v>OK</v>
      </c>
      <c r="T391" s="1410"/>
    </row>
    <row r="392" spans="1:20" s="250" customFormat="1" ht="30" hidden="1" customHeight="1" thickBot="1" x14ac:dyDescent="0.5">
      <c r="A392" s="4542"/>
      <c r="B392" s="3397">
        <v>5586</v>
      </c>
      <c r="C392" s="1893" t="s">
        <v>1308</v>
      </c>
      <c r="D392" s="3398" t="s">
        <v>1297</v>
      </c>
      <c r="E392" s="3518">
        <f>+E523</f>
        <v>0</v>
      </c>
      <c r="F392" s="3518">
        <f t="shared" ref="F392:O392" si="402">+F523</f>
        <v>0</v>
      </c>
      <c r="G392" s="3518">
        <f t="shared" si="402"/>
        <v>0</v>
      </c>
      <c r="H392" s="3518">
        <f t="shared" si="402"/>
        <v>0</v>
      </c>
      <c r="I392" s="3518">
        <f t="shared" ca="1" si="402"/>
        <v>0</v>
      </c>
      <c r="J392" s="3518">
        <f t="shared" ca="1" si="402"/>
        <v>0</v>
      </c>
      <c r="K392" s="3518">
        <f t="shared" ca="1" si="402"/>
        <v>0</v>
      </c>
      <c r="L392" s="3519">
        <f t="shared" ca="1" si="402"/>
        <v>0</v>
      </c>
      <c r="M392" s="3519">
        <f t="shared" ca="1" si="402"/>
        <v>0</v>
      </c>
      <c r="N392" s="3520">
        <f t="shared" ca="1" si="402"/>
        <v>0</v>
      </c>
      <c r="O392" s="3520">
        <f t="shared" ca="1" si="402"/>
        <v>0</v>
      </c>
      <c r="P392" s="4476">
        <f>+P523</f>
        <v>0</v>
      </c>
      <c r="Q392" s="2778">
        <f t="shared" ref="Q392:S392" si="403">+Q523</f>
        <v>0</v>
      </c>
      <c r="R392" s="3521">
        <f t="shared" si="403"/>
        <v>0</v>
      </c>
      <c r="S392" s="3522" t="str">
        <f t="shared" si="403"/>
        <v>OK</v>
      </c>
      <c r="T392" s="1410"/>
    </row>
    <row r="393" spans="1:20" s="250" customFormat="1" ht="30" hidden="1" customHeight="1" thickBot="1" x14ac:dyDescent="0.5">
      <c r="A393" s="4542"/>
      <c r="B393" s="3510">
        <v>5040</v>
      </c>
      <c r="C393" s="3743" t="s">
        <v>218</v>
      </c>
      <c r="D393" s="4310"/>
      <c r="E393" s="3518">
        <f>+E512</f>
        <v>0</v>
      </c>
      <c r="F393" s="3518">
        <f t="shared" ref="F393:O393" si="404">+F512</f>
        <v>0</v>
      </c>
      <c r="G393" s="3518">
        <f t="shared" si="404"/>
        <v>0</v>
      </c>
      <c r="H393" s="3518">
        <f t="shared" si="404"/>
        <v>0</v>
      </c>
      <c r="I393" s="3518">
        <f t="shared" ca="1" si="404"/>
        <v>0</v>
      </c>
      <c r="J393" s="3518">
        <f t="shared" ca="1" si="404"/>
        <v>0</v>
      </c>
      <c r="K393" s="3518">
        <f t="shared" ca="1" si="404"/>
        <v>0</v>
      </c>
      <c r="L393" s="3519">
        <f t="shared" ca="1" si="404"/>
        <v>0</v>
      </c>
      <c r="M393" s="3519">
        <f t="shared" ca="1" si="404"/>
        <v>0</v>
      </c>
      <c r="N393" s="3520">
        <f t="shared" ca="1" si="404"/>
        <v>0</v>
      </c>
      <c r="O393" s="3520">
        <f t="shared" ca="1" si="404"/>
        <v>0</v>
      </c>
      <c r="P393" s="4476">
        <f>+P512</f>
        <v>0</v>
      </c>
      <c r="Q393" s="2778">
        <f t="shared" ref="Q393:S393" si="405">+Q512</f>
        <v>0</v>
      </c>
      <c r="R393" s="3521">
        <f t="shared" si="405"/>
        <v>0</v>
      </c>
      <c r="S393" s="3522" t="str">
        <f t="shared" si="405"/>
        <v>OK</v>
      </c>
      <c r="T393" s="1410"/>
    </row>
    <row r="394" spans="1:20" s="250" customFormat="1" ht="30" hidden="1" customHeight="1" thickBot="1" x14ac:dyDescent="0.5">
      <c r="A394" s="4542"/>
      <c r="B394" s="3510">
        <v>5041</v>
      </c>
      <c r="C394" s="3743" t="s">
        <v>1298</v>
      </c>
      <c r="D394" s="4310"/>
      <c r="E394" s="3518">
        <f t="shared" ref="E394:O395" si="406">+E513</f>
        <v>0</v>
      </c>
      <c r="F394" s="3518">
        <f t="shared" si="406"/>
        <v>0</v>
      </c>
      <c r="G394" s="3518">
        <f t="shared" si="406"/>
        <v>0</v>
      </c>
      <c r="H394" s="3518">
        <f t="shared" si="406"/>
        <v>0</v>
      </c>
      <c r="I394" s="3518">
        <f t="shared" ca="1" si="406"/>
        <v>0</v>
      </c>
      <c r="J394" s="3518">
        <f t="shared" ca="1" si="406"/>
        <v>0</v>
      </c>
      <c r="K394" s="3518">
        <f t="shared" ca="1" si="406"/>
        <v>0</v>
      </c>
      <c r="L394" s="3519">
        <f t="shared" ca="1" si="406"/>
        <v>0</v>
      </c>
      <c r="M394" s="3519">
        <f t="shared" ca="1" si="406"/>
        <v>0</v>
      </c>
      <c r="N394" s="3520">
        <f t="shared" ca="1" si="406"/>
        <v>0</v>
      </c>
      <c r="O394" s="3520">
        <f t="shared" ca="1" si="406"/>
        <v>0</v>
      </c>
      <c r="P394" s="4476">
        <f t="shared" ref="P394:S394" si="407">+P513</f>
        <v>0</v>
      </c>
      <c r="Q394" s="2778">
        <f t="shared" si="407"/>
        <v>0</v>
      </c>
      <c r="R394" s="3521">
        <f t="shared" si="407"/>
        <v>0</v>
      </c>
      <c r="S394" s="3522" t="str">
        <f t="shared" si="407"/>
        <v>OK</v>
      </c>
      <c r="T394" s="1410"/>
    </row>
    <row r="395" spans="1:20" s="250" customFormat="1" ht="30" hidden="1" customHeight="1" thickBot="1" x14ac:dyDescent="0.5">
      <c r="A395" s="4542"/>
      <c r="B395" s="3510">
        <v>5045</v>
      </c>
      <c r="C395" s="3743" t="s">
        <v>221</v>
      </c>
      <c r="D395" s="4310"/>
      <c r="E395" s="3518">
        <f t="shared" si="406"/>
        <v>0</v>
      </c>
      <c r="F395" s="3518">
        <f t="shared" si="406"/>
        <v>0</v>
      </c>
      <c r="G395" s="3518">
        <f t="shared" si="406"/>
        <v>0</v>
      </c>
      <c r="H395" s="3518">
        <f t="shared" si="406"/>
        <v>0</v>
      </c>
      <c r="I395" s="3518">
        <f t="shared" ca="1" si="406"/>
        <v>0</v>
      </c>
      <c r="J395" s="3518">
        <f t="shared" ca="1" si="406"/>
        <v>0</v>
      </c>
      <c r="K395" s="3518">
        <f t="shared" ca="1" si="406"/>
        <v>0</v>
      </c>
      <c r="L395" s="3519">
        <f t="shared" ca="1" si="406"/>
        <v>0</v>
      </c>
      <c r="M395" s="3519">
        <f t="shared" ca="1" si="406"/>
        <v>0</v>
      </c>
      <c r="N395" s="3520">
        <f t="shared" ca="1" si="406"/>
        <v>0</v>
      </c>
      <c r="O395" s="3520">
        <f t="shared" ca="1" si="406"/>
        <v>0</v>
      </c>
      <c r="P395" s="4476">
        <f t="shared" ref="P395:S395" si="408">+P514</f>
        <v>0</v>
      </c>
      <c r="Q395" s="2778">
        <f t="shared" si="408"/>
        <v>0</v>
      </c>
      <c r="R395" s="3521">
        <f t="shared" si="408"/>
        <v>0</v>
      </c>
      <c r="S395" s="3522" t="str">
        <f t="shared" si="408"/>
        <v>OK</v>
      </c>
      <c r="T395" s="1410"/>
    </row>
    <row r="396" spans="1:20" s="250" customFormat="1" ht="30" hidden="1" customHeight="1" thickBot="1" x14ac:dyDescent="0.5">
      <c r="A396" s="4542"/>
      <c r="B396" s="3395">
        <v>5510</v>
      </c>
      <c r="C396" s="3505" t="s">
        <v>1309</v>
      </c>
      <c r="D396" s="3396" t="s">
        <v>1299</v>
      </c>
      <c r="E396" s="3518">
        <f>+E518</f>
        <v>0</v>
      </c>
      <c r="F396" s="3518">
        <f t="shared" ref="F396:O396" si="409">+F518</f>
        <v>0</v>
      </c>
      <c r="G396" s="3518">
        <f t="shared" si="409"/>
        <v>0</v>
      </c>
      <c r="H396" s="3518">
        <f t="shared" si="409"/>
        <v>0</v>
      </c>
      <c r="I396" s="3518">
        <f t="shared" ca="1" si="409"/>
        <v>0</v>
      </c>
      <c r="J396" s="3518">
        <f t="shared" ca="1" si="409"/>
        <v>0</v>
      </c>
      <c r="K396" s="3518">
        <f t="shared" ca="1" si="409"/>
        <v>0</v>
      </c>
      <c r="L396" s="3519">
        <f t="shared" ca="1" si="409"/>
        <v>0</v>
      </c>
      <c r="M396" s="3519">
        <f t="shared" ca="1" si="409"/>
        <v>0</v>
      </c>
      <c r="N396" s="3520">
        <f t="shared" ca="1" si="409"/>
        <v>0</v>
      </c>
      <c r="O396" s="3520">
        <f t="shared" ca="1" si="409"/>
        <v>0</v>
      </c>
      <c r="P396" s="4476">
        <f>+P518</f>
        <v>0</v>
      </c>
      <c r="Q396" s="2778">
        <f t="shared" ref="Q396:S396" si="410">+Q518</f>
        <v>0</v>
      </c>
      <c r="R396" s="3521">
        <f t="shared" si="410"/>
        <v>0</v>
      </c>
      <c r="S396" s="3522" t="str">
        <f t="shared" si="410"/>
        <v>OK</v>
      </c>
      <c r="T396" s="1410"/>
    </row>
    <row r="397" spans="1:20" s="250" customFormat="1" ht="30" hidden="1" customHeight="1" thickBot="1" x14ac:dyDescent="0.5">
      <c r="A397" s="4542"/>
      <c r="B397" s="3395">
        <v>5511</v>
      </c>
      <c r="C397" s="3505" t="s">
        <v>1309</v>
      </c>
      <c r="D397" s="3396" t="s">
        <v>1300</v>
      </c>
      <c r="E397" s="3518">
        <f t="shared" ref="E397:O399" si="411">+E519</f>
        <v>0</v>
      </c>
      <c r="F397" s="3518">
        <f t="shared" si="411"/>
        <v>0</v>
      </c>
      <c r="G397" s="3518">
        <f t="shared" si="411"/>
        <v>0</v>
      </c>
      <c r="H397" s="3518">
        <f t="shared" si="411"/>
        <v>0</v>
      </c>
      <c r="I397" s="3518">
        <f t="shared" ca="1" si="411"/>
        <v>0</v>
      </c>
      <c r="J397" s="3518">
        <f t="shared" ca="1" si="411"/>
        <v>0</v>
      </c>
      <c r="K397" s="3518">
        <f t="shared" ca="1" si="411"/>
        <v>0</v>
      </c>
      <c r="L397" s="3519">
        <f t="shared" ca="1" si="411"/>
        <v>0</v>
      </c>
      <c r="M397" s="3519">
        <f t="shared" ca="1" si="411"/>
        <v>0</v>
      </c>
      <c r="N397" s="3520">
        <f t="shared" ca="1" si="411"/>
        <v>0</v>
      </c>
      <c r="O397" s="3520">
        <f t="shared" ca="1" si="411"/>
        <v>0</v>
      </c>
      <c r="P397" s="4476">
        <f t="shared" ref="P397:S397" si="412">+P519</f>
        <v>0</v>
      </c>
      <c r="Q397" s="2778">
        <f t="shared" si="412"/>
        <v>0</v>
      </c>
      <c r="R397" s="3521">
        <f t="shared" si="412"/>
        <v>0</v>
      </c>
      <c r="S397" s="3522" t="str">
        <f t="shared" si="412"/>
        <v>OK</v>
      </c>
      <c r="T397" s="1410"/>
    </row>
    <row r="398" spans="1:20" s="250" customFormat="1" ht="30" hidden="1" customHeight="1" thickBot="1" x14ac:dyDescent="0.5">
      <c r="A398" s="4542"/>
      <c r="B398" s="3397">
        <v>5560</v>
      </c>
      <c r="C398" s="3505" t="s">
        <v>1309</v>
      </c>
      <c r="D398" s="3398" t="s">
        <v>1301</v>
      </c>
      <c r="E398" s="3518">
        <f t="shared" si="411"/>
        <v>0</v>
      </c>
      <c r="F398" s="3518">
        <f t="shared" si="411"/>
        <v>0</v>
      </c>
      <c r="G398" s="3518">
        <f t="shared" si="411"/>
        <v>0</v>
      </c>
      <c r="H398" s="3518">
        <f t="shared" si="411"/>
        <v>0</v>
      </c>
      <c r="I398" s="3518">
        <f t="shared" ca="1" si="411"/>
        <v>0</v>
      </c>
      <c r="J398" s="3518">
        <f t="shared" ca="1" si="411"/>
        <v>0</v>
      </c>
      <c r="K398" s="3518">
        <f t="shared" ca="1" si="411"/>
        <v>0</v>
      </c>
      <c r="L398" s="3519">
        <f t="shared" ca="1" si="411"/>
        <v>0</v>
      </c>
      <c r="M398" s="3519">
        <f t="shared" ca="1" si="411"/>
        <v>0</v>
      </c>
      <c r="N398" s="3520">
        <f t="shared" ca="1" si="411"/>
        <v>0</v>
      </c>
      <c r="O398" s="3520">
        <f t="shared" ca="1" si="411"/>
        <v>0</v>
      </c>
      <c r="P398" s="4476">
        <f t="shared" ref="P398:S398" si="413">+P520</f>
        <v>0</v>
      </c>
      <c r="Q398" s="2778">
        <f t="shared" si="413"/>
        <v>0</v>
      </c>
      <c r="R398" s="3521">
        <f t="shared" si="413"/>
        <v>0</v>
      </c>
      <c r="S398" s="3522" t="str">
        <f t="shared" si="413"/>
        <v>OK</v>
      </c>
      <c r="T398" s="1410"/>
    </row>
    <row r="399" spans="1:20" s="250" customFormat="1" ht="30" hidden="1" customHeight="1" thickBot="1" x14ac:dyDescent="0.5">
      <c r="A399" s="4542"/>
      <c r="B399" s="3397">
        <v>5561</v>
      </c>
      <c r="C399" s="3505" t="s">
        <v>1309</v>
      </c>
      <c r="D399" s="3398" t="s">
        <v>1302</v>
      </c>
      <c r="E399" s="3518">
        <f t="shared" si="411"/>
        <v>0</v>
      </c>
      <c r="F399" s="3518">
        <f t="shared" si="411"/>
        <v>0</v>
      </c>
      <c r="G399" s="3518">
        <f t="shared" si="411"/>
        <v>0</v>
      </c>
      <c r="H399" s="3518">
        <f t="shared" si="411"/>
        <v>0</v>
      </c>
      <c r="I399" s="3518">
        <f t="shared" ca="1" si="411"/>
        <v>0</v>
      </c>
      <c r="J399" s="3518">
        <f t="shared" ca="1" si="411"/>
        <v>0</v>
      </c>
      <c r="K399" s="3518">
        <f t="shared" ca="1" si="411"/>
        <v>0</v>
      </c>
      <c r="L399" s="3519">
        <f t="shared" ca="1" si="411"/>
        <v>0</v>
      </c>
      <c r="M399" s="3519">
        <f t="shared" ca="1" si="411"/>
        <v>0</v>
      </c>
      <c r="N399" s="3520">
        <f t="shared" ca="1" si="411"/>
        <v>0</v>
      </c>
      <c r="O399" s="3520">
        <f t="shared" ca="1" si="411"/>
        <v>0</v>
      </c>
      <c r="P399" s="4476">
        <f t="shared" ref="P399:S399" si="414">+P521</f>
        <v>0</v>
      </c>
      <c r="Q399" s="2778">
        <f t="shared" si="414"/>
        <v>0</v>
      </c>
      <c r="R399" s="3521">
        <f t="shared" si="414"/>
        <v>0</v>
      </c>
      <c r="S399" s="3522" t="str">
        <f t="shared" si="414"/>
        <v>OK</v>
      </c>
      <c r="T399" s="1410"/>
    </row>
    <row r="400" spans="1:20" s="250" customFormat="1" ht="30" hidden="1" customHeight="1" thickBot="1" x14ac:dyDescent="0.5">
      <c r="A400" s="4542"/>
      <c r="B400" s="3511">
        <v>5050</v>
      </c>
      <c r="C400" s="4314" t="s">
        <v>379</v>
      </c>
      <c r="D400" s="4315"/>
      <c r="E400" s="3518">
        <f>+E515</f>
        <v>0</v>
      </c>
      <c r="F400" s="3518">
        <f t="shared" ref="F400:O400" si="415">+F515</f>
        <v>0</v>
      </c>
      <c r="G400" s="3518">
        <f t="shared" si="415"/>
        <v>0</v>
      </c>
      <c r="H400" s="3518">
        <f t="shared" si="415"/>
        <v>0</v>
      </c>
      <c r="I400" s="3518">
        <f t="shared" ca="1" si="415"/>
        <v>0</v>
      </c>
      <c r="J400" s="3518">
        <f t="shared" ca="1" si="415"/>
        <v>0</v>
      </c>
      <c r="K400" s="3518">
        <f t="shared" ca="1" si="415"/>
        <v>0</v>
      </c>
      <c r="L400" s="3519">
        <f t="shared" ca="1" si="415"/>
        <v>0</v>
      </c>
      <c r="M400" s="3519">
        <f t="shared" ca="1" si="415"/>
        <v>0</v>
      </c>
      <c r="N400" s="3520">
        <f t="shared" ca="1" si="415"/>
        <v>0</v>
      </c>
      <c r="O400" s="3520">
        <f t="shared" ca="1" si="415"/>
        <v>0</v>
      </c>
      <c r="P400" s="3523">
        <f>+P515</f>
        <v>0</v>
      </c>
      <c r="Q400" s="2778">
        <f t="shared" ref="Q400:S400" si="416">+Q515</f>
        <v>0</v>
      </c>
      <c r="R400" s="3521">
        <f t="shared" si="416"/>
        <v>0</v>
      </c>
      <c r="S400" s="3522" t="str">
        <f t="shared" si="416"/>
        <v>OK</v>
      </c>
      <c r="T400" s="1410"/>
    </row>
    <row r="401" spans="1:20" s="250" customFormat="1" ht="30" hidden="1" customHeight="1" thickBot="1" x14ac:dyDescent="0.5">
      <c r="A401" s="4542"/>
      <c r="B401" s="3511">
        <v>5051</v>
      </c>
      <c r="C401" s="4314" t="s">
        <v>1303</v>
      </c>
      <c r="D401" s="4315"/>
      <c r="E401" s="3518">
        <f t="shared" ref="E401:O402" si="417">+E516</f>
        <v>0</v>
      </c>
      <c r="F401" s="3518">
        <f t="shared" si="417"/>
        <v>0</v>
      </c>
      <c r="G401" s="3518">
        <f t="shared" si="417"/>
        <v>0</v>
      </c>
      <c r="H401" s="3518">
        <f t="shared" si="417"/>
        <v>0</v>
      </c>
      <c r="I401" s="3518">
        <f t="shared" ca="1" si="417"/>
        <v>0</v>
      </c>
      <c r="J401" s="3518">
        <f t="shared" ca="1" si="417"/>
        <v>0</v>
      </c>
      <c r="K401" s="3518">
        <f t="shared" ca="1" si="417"/>
        <v>0</v>
      </c>
      <c r="L401" s="3519">
        <f t="shared" ca="1" si="417"/>
        <v>0</v>
      </c>
      <c r="M401" s="3519">
        <f t="shared" ca="1" si="417"/>
        <v>0</v>
      </c>
      <c r="N401" s="3520">
        <f t="shared" ca="1" si="417"/>
        <v>0</v>
      </c>
      <c r="O401" s="3520">
        <f t="shared" ca="1" si="417"/>
        <v>0</v>
      </c>
      <c r="P401" s="3523">
        <f t="shared" ref="P401:S401" si="418">+P516</f>
        <v>0</v>
      </c>
      <c r="Q401" s="2778">
        <f t="shared" si="418"/>
        <v>0</v>
      </c>
      <c r="R401" s="3521">
        <f t="shared" si="418"/>
        <v>0</v>
      </c>
      <c r="S401" s="3522" t="str">
        <f t="shared" si="418"/>
        <v>OK</v>
      </c>
      <c r="T401" s="1410"/>
    </row>
    <row r="402" spans="1:20" s="250" customFormat="1" ht="30" hidden="1" customHeight="1" thickBot="1" x14ac:dyDescent="0.5">
      <c r="A402" s="4542"/>
      <c r="B402" s="3511">
        <v>5055</v>
      </c>
      <c r="C402" s="4314" t="s">
        <v>387</v>
      </c>
      <c r="D402" s="4315"/>
      <c r="E402" s="3518">
        <f t="shared" si="417"/>
        <v>0</v>
      </c>
      <c r="F402" s="3518">
        <f t="shared" si="417"/>
        <v>0</v>
      </c>
      <c r="G402" s="3518">
        <f t="shared" si="417"/>
        <v>0</v>
      </c>
      <c r="H402" s="3518">
        <f t="shared" si="417"/>
        <v>0</v>
      </c>
      <c r="I402" s="3518">
        <f t="shared" ca="1" si="417"/>
        <v>0</v>
      </c>
      <c r="J402" s="3518">
        <f t="shared" ca="1" si="417"/>
        <v>0</v>
      </c>
      <c r="K402" s="3518">
        <f t="shared" ca="1" si="417"/>
        <v>0</v>
      </c>
      <c r="L402" s="3519">
        <f t="shared" ca="1" si="417"/>
        <v>0</v>
      </c>
      <c r="M402" s="3519">
        <f t="shared" ca="1" si="417"/>
        <v>0</v>
      </c>
      <c r="N402" s="3520">
        <f t="shared" ca="1" si="417"/>
        <v>0</v>
      </c>
      <c r="O402" s="3520">
        <f t="shared" ca="1" si="417"/>
        <v>0</v>
      </c>
      <c r="P402" s="3523">
        <f t="shared" ref="P402:S402" si="419">+P517</f>
        <v>0</v>
      </c>
      <c r="Q402" s="2778">
        <f t="shared" si="419"/>
        <v>0</v>
      </c>
      <c r="R402" s="3521">
        <f t="shared" si="419"/>
        <v>0</v>
      </c>
      <c r="S402" s="3522" t="str">
        <f t="shared" si="419"/>
        <v>OK</v>
      </c>
      <c r="T402" s="1410"/>
    </row>
    <row r="403" spans="1:20" s="250" customFormat="1" ht="30" hidden="1" customHeight="1" thickBot="1" x14ac:dyDescent="0.5">
      <c r="A403" s="4542"/>
      <c r="B403" s="3395">
        <v>5596</v>
      </c>
      <c r="C403" s="1893" t="s">
        <v>1310</v>
      </c>
      <c r="D403" s="3396" t="s">
        <v>1304</v>
      </c>
      <c r="E403" s="3518">
        <f>+E524</f>
        <v>0</v>
      </c>
      <c r="F403" s="3518">
        <f t="shared" ref="F403:O403" si="420">+F524</f>
        <v>0</v>
      </c>
      <c r="G403" s="3518">
        <f t="shared" si="420"/>
        <v>0</v>
      </c>
      <c r="H403" s="3518">
        <f t="shared" si="420"/>
        <v>0</v>
      </c>
      <c r="I403" s="3518">
        <f t="shared" ca="1" si="420"/>
        <v>0</v>
      </c>
      <c r="J403" s="3518">
        <f t="shared" ca="1" si="420"/>
        <v>0</v>
      </c>
      <c r="K403" s="3518">
        <f t="shared" ca="1" si="420"/>
        <v>0</v>
      </c>
      <c r="L403" s="3519">
        <f t="shared" ca="1" si="420"/>
        <v>0</v>
      </c>
      <c r="M403" s="3519">
        <f t="shared" ca="1" si="420"/>
        <v>0</v>
      </c>
      <c r="N403" s="3520">
        <f t="shared" ca="1" si="420"/>
        <v>0</v>
      </c>
      <c r="O403" s="3520">
        <f t="shared" ca="1" si="420"/>
        <v>0</v>
      </c>
      <c r="P403" s="3523">
        <f>+P524</f>
        <v>0</v>
      </c>
      <c r="Q403" s="2778">
        <f t="shared" ref="Q403:S403" si="421">+Q524</f>
        <v>0</v>
      </c>
      <c r="R403" s="3521">
        <f t="shared" si="421"/>
        <v>0</v>
      </c>
      <c r="S403" s="3522" t="str">
        <f t="shared" si="421"/>
        <v>OK</v>
      </c>
      <c r="T403" s="1410"/>
    </row>
    <row r="404" spans="1:20" s="250" customFormat="1" ht="30" hidden="1" customHeight="1" thickBot="1" x14ac:dyDescent="0.5">
      <c r="A404" s="4542"/>
      <c r="B404" s="3512">
        <v>5515</v>
      </c>
      <c r="C404" s="1893" t="s">
        <v>1310</v>
      </c>
      <c r="D404" s="3396" t="s">
        <v>1305</v>
      </c>
      <c r="E404" s="3518">
        <f t="shared" ref="E404:O425" si="422">+E525</f>
        <v>0</v>
      </c>
      <c r="F404" s="3518">
        <f t="shared" si="422"/>
        <v>0</v>
      </c>
      <c r="G404" s="3518">
        <f t="shared" si="422"/>
        <v>0</v>
      </c>
      <c r="H404" s="3518">
        <f t="shared" si="422"/>
        <v>0</v>
      </c>
      <c r="I404" s="3518">
        <f t="shared" ca="1" si="422"/>
        <v>0</v>
      </c>
      <c r="J404" s="3518">
        <f t="shared" ca="1" si="422"/>
        <v>0</v>
      </c>
      <c r="K404" s="3518">
        <f t="shared" ca="1" si="422"/>
        <v>0</v>
      </c>
      <c r="L404" s="3519">
        <f t="shared" ca="1" si="422"/>
        <v>0</v>
      </c>
      <c r="M404" s="3519">
        <f t="shared" ca="1" si="422"/>
        <v>0</v>
      </c>
      <c r="N404" s="3520">
        <f t="shared" ca="1" si="422"/>
        <v>0</v>
      </c>
      <c r="O404" s="3520">
        <f t="shared" ca="1" si="422"/>
        <v>0</v>
      </c>
      <c r="P404" s="3523">
        <f t="shared" ref="P404:S404" si="423">+P525</f>
        <v>0</v>
      </c>
      <c r="Q404" s="2778">
        <f t="shared" si="423"/>
        <v>0</v>
      </c>
      <c r="R404" s="3521">
        <f t="shared" si="423"/>
        <v>0</v>
      </c>
      <c r="S404" s="3522" t="str">
        <f t="shared" si="423"/>
        <v>OK</v>
      </c>
      <c r="T404" s="1410"/>
    </row>
    <row r="405" spans="1:20" s="250" customFormat="1" ht="30" hidden="1" customHeight="1" thickBot="1" x14ac:dyDescent="0.5">
      <c r="A405" s="4542"/>
      <c r="B405" s="3513">
        <v>5606</v>
      </c>
      <c r="C405" s="1893" t="s">
        <v>1310</v>
      </c>
      <c r="D405" s="3504" t="s">
        <v>1306</v>
      </c>
      <c r="E405" s="3518">
        <f t="shared" si="422"/>
        <v>0</v>
      </c>
      <c r="F405" s="3518">
        <f t="shared" si="422"/>
        <v>0</v>
      </c>
      <c r="G405" s="3518">
        <f t="shared" si="422"/>
        <v>0</v>
      </c>
      <c r="H405" s="3518">
        <f t="shared" si="422"/>
        <v>0</v>
      </c>
      <c r="I405" s="3518">
        <f t="shared" ca="1" si="422"/>
        <v>0</v>
      </c>
      <c r="J405" s="3518">
        <f t="shared" ca="1" si="422"/>
        <v>0</v>
      </c>
      <c r="K405" s="3518">
        <f t="shared" ca="1" si="422"/>
        <v>0</v>
      </c>
      <c r="L405" s="3519">
        <f t="shared" ca="1" si="422"/>
        <v>0</v>
      </c>
      <c r="M405" s="3519">
        <f t="shared" ca="1" si="422"/>
        <v>0</v>
      </c>
      <c r="N405" s="3520">
        <f t="shared" ca="1" si="422"/>
        <v>0</v>
      </c>
      <c r="O405" s="3520">
        <f t="shared" ca="1" si="422"/>
        <v>0</v>
      </c>
      <c r="P405" s="3523">
        <f t="shared" ref="P405:S405" si="424">+P526</f>
        <v>0</v>
      </c>
      <c r="Q405" s="2778">
        <f t="shared" si="424"/>
        <v>0</v>
      </c>
      <c r="R405" s="3521">
        <f t="shared" si="424"/>
        <v>0</v>
      </c>
      <c r="S405" s="3522" t="str">
        <f t="shared" si="424"/>
        <v>OK</v>
      </c>
      <c r="T405" s="1410"/>
    </row>
    <row r="406" spans="1:20" s="250" customFormat="1" ht="30" hidden="1" customHeight="1" thickBot="1" x14ac:dyDescent="0.5">
      <c r="A406" s="4543"/>
      <c r="B406" s="3399">
        <v>5565</v>
      </c>
      <c r="C406" s="3514" t="s">
        <v>1310</v>
      </c>
      <c r="D406" s="3400" t="s">
        <v>1307</v>
      </c>
      <c r="E406" s="3518">
        <f t="shared" si="422"/>
        <v>0</v>
      </c>
      <c r="F406" s="3518">
        <f t="shared" si="422"/>
        <v>0</v>
      </c>
      <c r="G406" s="3518">
        <f t="shared" si="422"/>
        <v>0</v>
      </c>
      <c r="H406" s="3518">
        <f t="shared" si="422"/>
        <v>0</v>
      </c>
      <c r="I406" s="3518">
        <f t="shared" ca="1" si="422"/>
        <v>0</v>
      </c>
      <c r="J406" s="3518">
        <f t="shared" ca="1" si="422"/>
        <v>0</v>
      </c>
      <c r="K406" s="3518">
        <f t="shared" ca="1" si="422"/>
        <v>0</v>
      </c>
      <c r="L406" s="3519">
        <f t="shared" ca="1" si="422"/>
        <v>0</v>
      </c>
      <c r="M406" s="3519">
        <f t="shared" ca="1" si="422"/>
        <v>0</v>
      </c>
      <c r="N406" s="3520">
        <f t="shared" ca="1" si="422"/>
        <v>0</v>
      </c>
      <c r="O406" s="3520">
        <f t="shared" ca="1" si="422"/>
        <v>0</v>
      </c>
      <c r="P406" s="3523">
        <f t="shared" ref="P406:S406" si="425">+P527</f>
        <v>0</v>
      </c>
      <c r="Q406" s="2778">
        <f t="shared" si="425"/>
        <v>0</v>
      </c>
      <c r="R406" s="3521">
        <f t="shared" si="425"/>
        <v>0</v>
      </c>
      <c r="S406" s="3522" t="str">
        <f t="shared" si="425"/>
        <v>OK</v>
      </c>
      <c r="T406" s="1410"/>
    </row>
    <row r="407" spans="1:20" s="250" customFormat="1" ht="30" hidden="1" customHeight="1" thickBot="1" x14ac:dyDescent="0.5">
      <c r="A407" s="4054" t="s">
        <v>21</v>
      </c>
      <c r="B407" s="3739" t="s">
        <v>187</v>
      </c>
      <c r="C407" s="3740"/>
      <c r="D407" s="3741"/>
      <c r="E407" s="3518">
        <f t="shared" si="422"/>
        <v>0</v>
      </c>
      <c r="F407" s="3518">
        <f t="shared" si="422"/>
        <v>0</v>
      </c>
      <c r="G407" s="3518">
        <f t="shared" si="422"/>
        <v>0</v>
      </c>
      <c r="H407" s="3518">
        <f t="shared" si="422"/>
        <v>0</v>
      </c>
      <c r="I407" s="3518">
        <f t="shared" ca="1" si="422"/>
        <v>0</v>
      </c>
      <c r="J407" s="3518">
        <f t="shared" ca="1" si="422"/>
        <v>0</v>
      </c>
      <c r="K407" s="3518">
        <f t="shared" ca="1" si="422"/>
        <v>0</v>
      </c>
      <c r="L407" s="3519">
        <f t="shared" ca="1" si="422"/>
        <v>0</v>
      </c>
      <c r="M407" s="3519">
        <f t="shared" ca="1" si="422"/>
        <v>0</v>
      </c>
      <c r="N407" s="3520">
        <f t="shared" ca="1" si="422"/>
        <v>0</v>
      </c>
      <c r="O407" s="3520">
        <f t="shared" ca="1" si="422"/>
        <v>0</v>
      </c>
      <c r="P407" s="4477" t="str">
        <f t="shared" ref="P407:S407" si="426">+P528</f>
        <v>NR1</v>
      </c>
      <c r="Q407" s="2778">
        <f t="shared" si="426"/>
        <v>0</v>
      </c>
      <c r="R407" s="3521">
        <f t="shared" si="426"/>
        <v>0</v>
      </c>
      <c r="S407" s="3522" t="str">
        <f t="shared" si="426"/>
        <v>OK</v>
      </c>
      <c r="T407" s="1410"/>
    </row>
    <row r="408" spans="1:20" s="250" customFormat="1" ht="30" hidden="1" customHeight="1" thickBot="1" x14ac:dyDescent="0.5">
      <c r="A408" s="4055"/>
      <c r="B408" s="3739" t="s">
        <v>188</v>
      </c>
      <c r="C408" s="3740"/>
      <c r="D408" s="3741"/>
      <c r="E408" s="3518">
        <f t="shared" si="422"/>
        <v>0</v>
      </c>
      <c r="F408" s="3518">
        <f t="shared" si="422"/>
        <v>0</v>
      </c>
      <c r="G408" s="3518">
        <f t="shared" si="422"/>
        <v>0</v>
      </c>
      <c r="H408" s="3518">
        <f t="shared" si="422"/>
        <v>0</v>
      </c>
      <c r="I408" s="3518">
        <f t="shared" ca="1" si="422"/>
        <v>0</v>
      </c>
      <c r="J408" s="3518">
        <f t="shared" ca="1" si="422"/>
        <v>0</v>
      </c>
      <c r="K408" s="3518">
        <f t="shared" ca="1" si="422"/>
        <v>0</v>
      </c>
      <c r="L408" s="3519">
        <f t="shared" ca="1" si="422"/>
        <v>0</v>
      </c>
      <c r="M408" s="3519">
        <f t="shared" ca="1" si="422"/>
        <v>0</v>
      </c>
      <c r="N408" s="3520">
        <f t="shared" ca="1" si="422"/>
        <v>0</v>
      </c>
      <c r="O408" s="3520">
        <f t="shared" ca="1" si="422"/>
        <v>0</v>
      </c>
      <c r="P408" s="4478">
        <f t="shared" ref="P408:S408" si="427">+P529</f>
        <v>0</v>
      </c>
      <c r="Q408" s="2778">
        <f t="shared" si="427"/>
        <v>0</v>
      </c>
      <c r="R408" s="3521">
        <f t="shared" si="427"/>
        <v>0</v>
      </c>
      <c r="S408" s="3522" t="str">
        <f t="shared" si="427"/>
        <v>OK</v>
      </c>
      <c r="T408" s="1410"/>
    </row>
    <row r="409" spans="1:20" s="250" customFormat="1" ht="30" hidden="1" customHeight="1" thickBot="1" x14ac:dyDescent="0.5">
      <c r="A409" s="3817" t="s">
        <v>71</v>
      </c>
      <c r="B409" s="3794" t="s">
        <v>224</v>
      </c>
      <c r="C409" s="3795"/>
      <c r="D409" s="3796"/>
      <c r="E409" s="3518">
        <f t="shared" si="422"/>
        <v>0</v>
      </c>
      <c r="F409" s="3518">
        <f t="shared" si="422"/>
        <v>0</v>
      </c>
      <c r="G409" s="3518">
        <f t="shared" si="422"/>
        <v>0</v>
      </c>
      <c r="H409" s="3518">
        <f t="shared" si="422"/>
        <v>0</v>
      </c>
      <c r="I409" s="3518">
        <f t="shared" ca="1" si="422"/>
        <v>0</v>
      </c>
      <c r="J409" s="3518">
        <f t="shared" ca="1" si="422"/>
        <v>0</v>
      </c>
      <c r="K409" s="3518">
        <f t="shared" ca="1" si="422"/>
        <v>0</v>
      </c>
      <c r="L409" s="3519">
        <f t="shared" ca="1" si="422"/>
        <v>0</v>
      </c>
      <c r="M409" s="3519">
        <f t="shared" ca="1" si="422"/>
        <v>0</v>
      </c>
      <c r="N409" s="3520">
        <f t="shared" ca="1" si="422"/>
        <v>0</v>
      </c>
      <c r="O409" s="3520">
        <f t="shared" ca="1" si="422"/>
        <v>0</v>
      </c>
      <c r="P409" s="4479" t="str">
        <f t="shared" ref="P409:S409" si="428">+P530</f>
        <v>NR2</v>
      </c>
      <c r="Q409" s="2778">
        <f t="shared" si="428"/>
        <v>0</v>
      </c>
      <c r="R409" s="3521">
        <f t="shared" si="428"/>
        <v>0</v>
      </c>
      <c r="S409" s="3522" t="str">
        <f t="shared" si="428"/>
        <v>OK</v>
      </c>
      <c r="T409" s="1410"/>
    </row>
    <row r="410" spans="1:20" s="250" customFormat="1" ht="30" hidden="1" customHeight="1" thickBot="1" x14ac:dyDescent="0.5">
      <c r="A410" s="3818"/>
      <c r="B410" s="3794" t="s">
        <v>225</v>
      </c>
      <c r="C410" s="3795"/>
      <c r="D410" s="3796"/>
      <c r="E410" s="3518">
        <f t="shared" si="422"/>
        <v>0</v>
      </c>
      <c r="F410" s="3518">
        <f t="shared" si="422"/>
        <v>0</v>
      </c>
      <c r="G410" s="3518">
        <f t="shared" si="422"/>
        <v>0</v>
      </c>
      <c r="H410" s="3518">
        <f t="shared" si="422"/>
        <v>0</v>
      </c>
      <c r="I410" s="3518">
        <f t="shared" ca="1" si="422"/>
        <v>0</v>
      </c>
      <c r="J410" s="3518">
        <f t="shared" ca="1" si="422"/>
        <v>0</v>
      </c>
      <c r="K410" s="3518">
        <f t="shared" ca="1" si="422"/>
        <v>0</v>
      </c>
      <c r="L410" s="3519">
        <f t="shared" ca="1" si="422"/>
        <v>0</v>
      </c>
      <c r="M410" s="3519">
        <f t="shared" ca="1" si="422"/>
        <v>0</v>
      </c>
      <c r="N410" s="3520">
        <f t="shared" ca="1" si="422"/>
        <v>0</v>
      </c>
      <c r="O410" s="3520">
        <f t="shared" ca="1" si="422"/>
        <v>0</v>
      </c>
      <c r="P410" s="4480">
        <f t="shared" ref="P410:S410" si="429">+P531</f>
        <v>0</v>
      </c>
      <c r="Q410" s="2778">
        <f t="shared" si="429"/>
        <v>0</v>
      </c>
      <c r="R410" s="3521">
        <f t="shared" si="429"/>
        <v>0</v>
      </c>
      <c r="S410" s="3522" t="str">
        <f t="shared" si="429"/>
        <v>OK</v>
      </c>
      <c r="T410" s="1410"/>
    </row>
    <row r="411" spans="1:20" s="250" customFormat="1" ht="30" hidden="1" customHeight="1" thickBot="1" x14ac:dyDescent="0.55000000000000004">
      <c r="A411" s="3727" t="s">
        <v>227</v>
      </c>
      <c r="B411" s="4273" t="s">
        <v>228</v>
      </c>
      <c r="C411" s="4273"/>
      <c r="D411" s="4273"/>
      <c r="E411" s="3518">
        <f t="shared" si="422"/>
        <v>0</v>
      </c>
      <c r="F411" s="3518">
        <f t="shared" ca="1" si="422"/>
        <v>0</v>
      </c>
      <c r="G411" s="3518">
        <f t="shared" ca="1" si="422"/>
        <v>0</v>
      </c>
      <c r="H411" s="3518">
        <f t="shared" ca="1" si="422"/>
        <v>0</v>
      </c>
      <c r="I411" s="3518">
        <f t="shared" ca="1" si="422"/>
        <v>0</v>
      </c>
      <c r="J411" s="3518">
        <f t="shared" ca="1" si="422"/>
        <v>0</v>
      </c>
      <c r="K411" s="3518">
        <f t="shared" ca="1" si="422"/>
        <v>0</v>
      </c>
      <c r="L411" s="3519">
        <f t="shared" ca="1" si="422"/>
        <v>0</v>
      </c>
      <c r="M411" s="3519">
        <f t="shared" ca="1" si="422"/>
        <v>0</v>
      </c>
      <c r="N411" s="3520">
        <f t="shared" ca="1" si="422"/>
        <v>0</v>
      </c>
      <c r="O411" s="3520">
        <f t="shared" ca="1" si="422"/>
        <v>0</v>
      </c>
      <c r="P411" s="3524">
        <f t="shared" ref="P411:S411" si="430">+P532</f>
        <v>0</v>
      </c>
      <c r="Q411" s="2778">
        <f t="shared" ca="1" si="430"/>
        <v>0</v>
      </c>
      <c r="R411" s="3521">
        <f t="shared" ca="1" si="430"/>
        <v>0</v>
      </c>
      <c r="S411" s="3522" t="str">
        <f t="shared" ca="1" si="430"/>
        <v>OK</v>
      </c>
      <c r="T411" s="1410"/>
    </row>
    <row r="412" spans="1:20" s="250" customFormat="1" ht="30" hidden="1" customHeight="1" thickBot="1" x14ac:dyDescent="0.55000000000000004">
      <c r="A412" s="3728"/>
      <c r="B412" s="4273" t="s">
        <v>229</v>
      </c>
      <c r="C412" s="4273"/>
      <c r="D412" s="4273"/>
      <c r="E412" s="3518">
        <f t="shared" si="422"/>
        <v>0</v>
      </c>
      <c r="F412" s="3518">
        <f t="shared" ca="1" si="422"/>
        <v>0</v>
      </c>
      <c r="G412" s="3518">
        <f t="shared" ca="1" si="422"/>
        <v>0</v>
      </c>
      <c r="H412" s="3518">
        <f t="shared" ca="1" si="422"/>
        <v>0</v>
      </c>
      <c r="I412" s="3518">
        <f t="shared" ca="1" si="422"/>
        <v>0</v>
      </c>
      <c r="J412" s="3518">
        <f t="shared" ca="1" si="422"/>
        <v>0</v>
      </c>
      <c r="K412" s="3518">
        <f t="shared" ca="1" si="422"/>
        <v>0</v>
      </c>
      <c r="L412" s="3519">
        <f t="shared" ca="1" si="422"/>
        <v>0</v>
      </c>
      <c r="M412" s="3519">
        <f t="shared" ca="1" si="422"/>
        <v>0</v>
      </c>
      <c r="N412" s="3520">
        <f t="shared" ca="1" si="422"/>
        <v>0</v>
      </c>
      <c r="O412" s="3520">
        <f t="shared" ca="1" si="422"/>
        <v>0</v>
      </c>
      <c r="P412" s="3524">
        <f t="shared" ref="P412:S412" si="431">+P533</f>
        <v>0</v>
      </c>
      <c r="Q412" s="2778">
        <f t="shared" ca="1" si="431"/>
        <v>0</v>
      </c>
      <c r="R412" s="3521">
        <f t="shared" ca="1" si="431"/>
        <v>0</v>
      </c>
      <c r="S412" s="3522" t="str">
        <f t="shared" ca="1" si="431"/>
        <v>OK</v>
      </c>
      <c r="T412" s="1410"/>
    </row>
    <row r="413" spans="1:20" s="250" customFormat="1" ht="30" hidden="1" customHeight="1" thickBot="1" x14ac:dyDescent="0.55000000000000004">
      <c r="A413" s="3728"/>
      <c r="B413" s="4273" t="s">
        <v>230</v>
      </c>
      <c r="C413" s="4273"/>
      <c r="D413" s="4273"/>
      <c r="E413" s="3518">
        <f t="shared" si="422"/>
        <v>0</v>
      </c>
      <c r="F413" s="3518">
        <f t="shared" ca="1" si="422"/>
        <v>0</v>
      </c>
      <c r="G413" s="3518">
        <f t="shared" ca="1" si="422"/>
        <v>0</v>
      </c>
      <c r="H413" s="3518">
        <f t="shared" ca="1" si="422"/>
        <v>0</v>
      </c>
      <c r="I413" s="3518">
        <f t="shared" ca="1" si="422"/>
        <v>0</v>
      </c>
      <c r="J413" s="3518">
        <f t="shared" ca="1" si="422"/>
        <v>0</v>
      </c>
      <c r="K413" s="3518">
        <f t="shared" ca="1" si="422"/>
        <v>0</v>
      </c>
      <c r="L413" s="3519">
        <f t="shared" ca="1" si="422"/>
        <v>0</v>
      </c>
      <c r="M413" s="3519">
        <f t="shared" ca="1" si="422"/>
        <v>0</v>
      </c>
      <c r="N413" s="3520">
        <f t="shared" ca="1" si="422"/>
        <v>0</v>
      </c>
      <c r="O413" s="3520">
        <f t="shared" ca="1" si="422"/>
        <v>0</v>
      </c>
      <c r="P413" s="3524">
        <f t="shared" ref="P413:S413" si="432">+P534</f>
        <v>0</v>
      </c>
      <c r="Q413" s="2778">
        <f t="shared" ca="1" si="432"/>
        <v>0</v>
      </c>
      <c r="R413" s="3521">
        <f t="shared" ca="1" si="432"/>
        <v>0</v>
      </c>
      <c r="S413" s="3522" t="str">
        <f t="shared" ca="1" si="432"/>
        <v>OK</v>
      </c>
      <c r="T413" s="1410"/>
    </row>
    <row r="414" spans="1:20" s="250" customFormat="1" ht="30" hidden="1" customHeight="1" thickBot="1" x14ac:dyDescent="0.55000000000000004">
      <c r="A414" s="3728"/>
      <c r="B414" s="4273" t="s">
        <v>231</v>
      </c>
      <c r="C414" s="4273"/>
      <c r="D414" s="4273"/>
      <c r="E414" s="3518">
        <f t="shared" si="422"/>
        <v>0</v>
      </c>
      <c r="F414" s="3518">
        <f t="shared" ca="1" si="422"/>
        <v>0</v>
      </c>
      <c r="G414" s="3518">
        <f t="shared" ca="1" si="422"/>
        <v>0</v>
      </c>
      <c r="H414" s="3518">
        <f t="shared" ca="1" si="422"/>
        <v>0</v>
      </c>
      <c r="I414" s="3518">
        <f t="shared" ca="1" si="422"/>
        <v>0</v>
      </c>
      <c r="J414" s="3518">
        <f t="shared" ca="1" si="422"/>
        <v>0</v>
      </c>
      <c r="K414" s="3518">
        <f t="shared" ca="1" si="422"/>
        <v>0</v>
      </c>
      <c r="L414" s="3519">
        <f t="shared" ca="1" si="422"/>
        <v>0</v>
      </c>
      <c r="M414" s="3519">
        <f t="shared" ca="1" si="422"/>
        <v>0</v>
      </c>
      <c r="N414" s="3520">
        <f t="shared" ca="1" si="422"/>
        <v>0</v>
      </c>
      <c r="O414" s="3520">
        <f t="shared" ca="1" si="422"/>
        <v>0</v>
      </c>
      <c r="P414" s="3524">
        <f t="shared" ref="P414:S414" si="433">+P535</f>
        <v>0</v>
      </c>
      <c r="Q414" s="2778">
        <f t="shared" ca="1" si="433"/>
        <v>0</v>
      </c>
      <c r="R414" s="3521">
        <f t="shared" ca="1" si="433"/>
        <v>0</v>
      </c>
      <c r="S414" s="3522" t="str">
        <f t="shared" ca="1" si="433"/>
        <v>OK</v>
      </c>
      <c r="T414" s="1410"/>
    </row>
    <row r="415" spans="1:20" s="250" customFormat="1" ht="30" hidden="1" customHeight="1" thickBot="1" x14ac:dyDescent="0.55000000000000004">
      <c r="A415" s="3729"/>
      <c r="B415" s="4273" t="s">
        <v>232</v>
      </c>
      <c r="C415" s="4273"/>
      <c r="D415" s="4273"/>
      <c r="E415" s="3518">
        <f t="shared" si="422"/>
        <v>0</v>
      </c>
      <c r="F415" s="3518">
        <f t="shared" ca="1" si="422"/>
        <v>0</v>
      </c>
      <c r="G415" s="3518">
        <f t="shared" ca="1" si="422"/>
        <v>0</v>
      </c>
      <c r="H415" s="3518">
        <f t="shared" ca="1" si="422"/>
        <v>0</v>
      </c>
      <c r="I415" s="3518">
        <f t="shared" ca="1" si="422"/>
        <v>0</v>
      </c>
      <c r="J415" s="3518">
        <f t="shared" ca="1" si="422"/>
        <v>0</v>
      </c>
      <c r="K415" s="3518">
        <f t="shared" ca="1" si="422"/>
        <v>0</v>
      </c>
      <c r="L415" s="3519">
        <f t="shared" ca="1" si="422"/>
        <v>0</v>
      </c>
      <c r="M415" s="3519">
        <f t="shared" ca="1" si="422"/>
        <v>0</v>
      </c>
      <c r="N415" s="3520">
        <f t="shared" ca="1" si="422"/>
        <v>0</v>
      </c>
      <c r="O415" s="3520">
        <f t="shared" ca="1" si="422"/>
        <v>0</v>
      </c>
      <c r="P415" s="3524">
        <f t="shared" ref="P415:S415" si="434">+P536</f>
        <v>0</v>
      </c>
      <c r="Q415" s="2778">
        <f t="shared" ca="1" si="434"/>
        <v>0</v>
      </c>
      <c r="R415" s="3521">
        <f t="shared" ca="1" si="434"/>
        <v>0</v>
      </c>
      <c r="S415" s="3522" t="str">
        <f t="shared" ca="1" si="434"/>
        <v>OK</v>
      </c>
      <c r="T415" s="1410"/>
    </row>
    <row r="416" spans="1:20" s="250" customFormat="1" ht="30" hidden="1" customHeight="1" thickBot="1" x14ac:dyDescent="0.55000000000000004">
      <c r="A416" s="3727" t="s">
        <v>233</v>
      </c>
      <c r="B416" s="4273" t="s">
        <v>234</v>
      </c>
      <c r="C416" s="4273"/>
      <c r="D416" s="4273"/>
      <c r="E416" s="3518">
        <f t="shared" si="422"/>
        <v>0</v>
      </c>
      <c r="F416" s="3518">
        <f t="shared" ca="1" si="422"/>
        <v>0</v>
      </c>
      <c r="G416" s="3518">
        <f t="shared" ca="1" si="422"/>
        <v>0</v>
      </c>
      <c r="H416" s="3518">
        <f t="shared" ca="1" si="422"/>
        <v>0</v>
      </c>
      <c r="I416" s="3518">
        <f t="shared" ca="1" si="422"/>
        <v>0</v>
      </c>
      <c r="J416" s="3518">
        <f t="shared" ca="1" si="422"/>
        <v>0</v>
      </c>
      <c r="K416" s="3518">
        <f t="shared" ca="1" si="422"/>
        <v>0</v>
      </c>
      <c r="L416" s="3519">
        <f t="shared" ca="1" si="422"/>
        <v>0</v>
      </c>
      <c r="M416" s="3519">
        <f t="shared" ca="1" si="422"/>
        <v>0</v>
      </c>
      <c r="N416" s="3520">
        <f t="shared" ca="1" si="422"/>
        <v>0</v>
      </c>
      <c r="O416" s="3520">
        <f t="shared" ca="1" si="422"/>
        <v>0</v>
      </c>
      <c r="P416" s="3524">
        <f t="shared" ref="P416:S416" si="435">+P537</f>
        <v>0</v>
      </c>
      <c r="Q416" s="2778">
        <f t="shared" ca="1" si="435"/>
        <v>0</v>
      </c>
      <c r="R416" s="3521">
        <f t="shared" ca="1" si="435"/>
        <v>0</v>
      </c>
      <c r="S416" s="3522" t="str">
        <f t="shared" ca="1" si="435"/>
        <v>OK</v>
      </c>
      <c r="T416" s="1410"/>
    </row>
    <row r="417" spans="1:20" s="250" customFormat="1" ht="30" hidden="1" customHeight="1" thickBot="1" x14ac:dyDescent="0.55000000000000004">
      <c r="A417" s="3728"/>
      <c r="B417" s="4273" t="s">
        <v>235</v>
      </c>
      <c r="C417" s="4273"/>
      <c r="D417" s="4273"/>
      <c r="E417" s="3518">
        <f t="shared" si="422"/>
        <v>0</v>
      </c>
      <c r="F417" s="3518">
        <f t="shared" ca="1" si="422"/>
        <v>0</v>
      </c>
      <c r="G417" s="3518">
        <f t="shared" ca="1" si="422"/>
        <v>0</v>
      </c>
      <c r="H417" s="3518">
        <f t="shared" ca="1" si="422"/>
        <v>0</v>
      </c>
      <c r="I417" s="3518">
        <f t="shared" ca="1" si="422"/>
        <v>0</v>
      </c>
      <c r="J417" s="3518">
        <f t="shared" ca="1" si="422"/>
        <v>0</v>
      </c>
      <c r="K417" s="3518">
        <f t="shared" ca="1" si="422"/>
        <v>0</v>
      </c>
      <c r="L417" s="3519">
        <f t="shared" ca="1" si="422"/>
        <v>0</v>
      </c>
      <c r="M417" s="3519">
        <f t="shared" ca="1" si="422"/>
        <v>0</v>
      </c>
      <c r="N417" s="3520">
        <f t="shared" ca="1" si="422"/>
        <v>0</v>
      </c>
      <c r="O417" s="3520">
        <f t="shared" ca="1" si="422"/>
        <v>0</v>
      </c>
      <c r="P417" s="3525">
        <f t="shared" ref="P417:S417" si="436">+P538</f>
        <v>0</v>
      </c>
      <c r="Q417" s="2778">
        <f t="shared" ca="1" si="436"/>
        <v>0</v>
      </c>
      <c r="R417" s="3521">
        <f t="shared" ca="1" si="436"/>
        <v>0</v>
      </c>
      <c r="S417" s="3522" t="str">
        <f t="shared" ca="1" si="436"/>
        <v>OK</v>
      </c>
      <c r="T417" s="1410"/>
    </row>
    <row r="418" spans="1:20" s="250" customFormat="1" ht="30" hidden="1" customHeight="1" thickBot="1" x14ac:dyDescent="0.55000000000000004">
      <c r="A418" s="3728"/>
      <c r="B418" s="4273" t="s">
        <v>236</v>
      </c>
      <c r="C418" s="4273"/>
      <c r="D418" s="4273"/>
      <c r="E418" s="3518">
        <f t="shared" si="422"/>
        <v>0</v>
      </c>
      <c r="F418" s="3518">
        <f t="shared" ca="1" si="422"/>
        <v>0</v>
      </c>
      <c r="G418" s="3518">
        <f t="shared" ca="1" si="422"/>
        <v>0</v>
      </c>
      <c r="H418" s="3518">
        <f t="shared" ca="1" si="422"/>
        <v>0</v>
      </c>
      <c r="I418" s="3518">
        <f t="shared" ca="1" si="422"/>
        <v>0</v>
      </c>
      <c r="J418" s="3518">
        <f t="shared" ca="1" si="422"/>
        <v>0</v>
      </c>
      <c r="K418" s="3518">
        <f t="shared" ca="1" si="422"/>
        <v>0</v>
      </c>
      <c r="L418" s="3519">
        <f t="shared" ca="1" si="422"/>
        <v>0</v>
      </c>
      <c r="M418" s="3519">
        <f t="shared" ca="1" si="422"/>
        <v>0</v>
      </c>
      <c r="N418" s="3520">
        <f t="shared" ca="1" si="422"/>
        <v>0</v>
      </c>
      <c r="O418" s="3520">
        <f t="shared" ca="1" si="422"/>
        <v>0</v>
      </c>
      <c r="P418" s="3525">
        <f t="shared" ref="P418:S418" si="437">+P539</f>
        <v>0</v>
      </c>
      <c r="Q418" s="2778">
        <f t="shared" ca="1" si="437"/>
        <v>0</v>
      </c>
      <c r="R418" s="3521">
        <f t="shared" ca="1" si="437"/>
        <v>0</v>
      </c>
      <c r="S418" s="3522" t="str">
        <f t="shared" ca="1" si="437"/>
        <v>OK</v>
      </c>
      <c r="T418" s="1410"/>
    </row>
    <row r="419" spans="1:20" s="250" customFormat="1" ht="30" hidden="1" customHeight="1" thickBot="1" x14ac:dyDescent="0.55000000000000004">
      <c r="A419" s="3729"/>
      <c r="B419" s="4273" t="s">
        <v>237</v>
      </c>
      <c r="C419" s="4273"/>
      <c r="D419" s="4273"/>
      <c r="E419" s="3518">
        <f t="shared" si="422"/>
        <v>0</v>
      </c>
      <c r="F419" s="3518">
        <f t="shared" ca="1" si="422"/>
        <v>0</v>
      </c>
      <c r="G419" s="3518">
        <f t="shared" ca="1" si="422"/>
        <v>0</v>
      </c>
      <c r="H419" s="3518">
        <f t="shared" ca="1" si="422"/>
        <v>0</v>
      </c>
      <c r="I419" s="3518">
        <f t="shared" ca="1" si="422"/>
        <v>0</v>
      </c>
      <c r="J419" s="3518">
        <f t="shared" ca="1" si="422"/>
        <v>0</v>
      </c>
      <c r="K419" s="3518">
        <f t="shared" ca="1" si="422"/>
        <v>0</v>
      </c>
      <c r="L419" s="3519">
        <f t="shared" ca="1" si="422"/>
        <v>0</v>
      </c>
      <c r="M419" s="3519">
        <f t="shared" ca="1" si="422"/>
        <v>0</v>
      </c>
      <c r="N419" s="3520">
        <f t="shared" ca="1" si="422"/>
        <v>0</v>
      </c>
      <c r="O419" s="3520">
        <f t="shared" ca="1" si="422"/>
        <v>0</v>
      </c>
      <c r="P419" s="3525">
        <f t="shared" ref="P419:S419" si="438">+P540</f>
        <v>0</v>
      </c>
      <c r="Q419" s="2778">
        <f t="shared" ca="1" si="438"/>
        <v>0</v>
      </c>
      <c r="R419" s="3521">
        <f t="shared" ca="1" si="438"/>
        <v>0</v>
      </c>
      <c r="S419" s="3522" t="str">
        <f t="shared" ca="1" si="438"/>
        <v>OK</v>
      </c>
      <c r="T419" s="1410"/>
    </row>
    <row r="420" spans="1:20" s="250" customFormat="1" ht="30" hidden="1" customHeight="1" thickBot="1" x14ac:dyDescent="0.5">
      <c r="A420" s="2504"/>
      <c r="B420" s="2709"/>
      <c r="C420" s="2506"/>
      <c r="D420" s="2945"/>
      <c r="E420" s="3518">
        <f t="shared" si="422"/>
        <v>0</v>
      </c>
      <c r="F420" s="3518">
        <f t="shared" si="422"/>
        <v>0</v>
      </c>
      <c r="G420" s="3518">
        <f t="shared" si="422"/>
        <v>0</v>
      </c>
      <c r="H420" s="3518">
        <f t="shared" si="422"/>
        <v>0</v>
      </c>
      <c r="I420" s="3518">
        <f t="shared" si="422"/>
        <v>0</v>
      </c>
      <c r="J420" s="3518">
        <f t="shared" si="422"/>
        <v>0</v>
      </c>
      <c r="K420" s="3518">
        <f t="shared" si="422"/>
        <v>0</v>
      </c>
      <c r="L420" s="3519">
        <f t="shared" si="422"/>
        <v>0</v>
      </c>
      <c r="M420" s="3519">
        <f t="shared" si="422"/>
        <v>0</v>
      </c>
      <c r="N420" s="3520">
        <f t="shared" si="422"/>
        <v>0</v>
      </c>
      <c r="O420" s="3520">
        <f t="shared" si="422"/>
        <v>0</v>
      </c>
      <c r="P420" s="3520">
        <f t="shared" ref="P420:S420" si="439">+P541</f>
        <v>0</v>
      </c>
      <c r="Q420" s="3526">
        <f t="shared" si="439"/>
        <v>0</v>
      </c>
      <c r="R420" s="3526">
        <f t="shared" si="439"/>
        <v>0</v>
      </c>
      <c r="S420" s="1410">
        <f t="shared" si="439"/>
        <v>0</v>
      </c>
      <c r="T420" s="1410"/>
    </row>
    <row r="421" spans="1:20" s="250" customFormat="1" ht="30" hidden="1" customHeight="1" thickBot="1" x14ac:dyDescent="0.55000000000000004">
      <c r="A421" s="2946"/>
      <c r="B421" s="2947"/>
      <c r="C421" s="2948"/>
      <c r="D421" s="2949"/>
      <c r="E421" s="3518">
        <f t="shared" si="422"/>
        <v>0</v>
      </c>
      <c r="F421" s="3518">
        <f t="shared" si="422"/>
        <v>0</v>
      </c>
      <c r="G421" s="3518">
        <f t="shared" si="422"/>
        <v>0</v>
      </c>
      <c r="H421" s="3518">
        <f t="shared" si="422"/>
        <v>0</v>
      </c>
      <c r="I421" s="3518">
        <f t="shared" si="422"/>
        <v>0</v>
      </c>
      <c r="J421" s="3518">
        <f t="shared" si="422"/>
        <v>0</v>
      </c>
      <c r="K421" s="3518">
        <f t="shared" si="422"/>
        <v>0</v>
      </c>
      <c r="L421" s="3519">
        <f t="shared" si="422"/>
        <v>0</v>
      </c>
      <c r="M421" s="3519">
        <f t="shared" si="422"/>
        <v>0</v>
      </c>
      <c r="N421" s="3520">
        <f t="shared" si="422"/>
        <v>0</v>
      </c>
      <c r="O421" s="3520">
        <f t="shared" si="422"/>
        <v>0</v>
      </c>
      <c r="P421" s="3525">
        <f t="shared" ref="P421:S421" si="440">+P542</f>
        <v>0</v>
      </c>
      <c r="Q421" s="3525">
        <f t="shared" si="440"/>
        <v>0</v>
      </c>
      <c r="R421" s="3525">
        <f t="shared" si="440"/>
        <v>0</v>
      </c>
      <c r="S421" s="1410">
        <f t="shared" si="440"/>
        <v>0</v>
      </c>
      <c r="T421" s="1410"/>
    </row>
    <row r="422" spans="1:20" s="250" customFormat="1" ht="30" hidden="1" customHeight="1" thickBot="1" x14ac:dyDescent="0.55000000000000004">
      <c r="A422" s="1613"/>
      <c r="B422" s="1624"/>
      <c r="C422" s="2200"/>
      <c r="D422" s="2201"/>
      <c r="E422" s="3518">
        <f t="shared" si="422"/>
        <v>0</v>
      </c>
      <c r="F422" s="3518">
        <f t="shared" si="422"/>
        <v>0</v>
      </c>
      <c r="G422" s="3518">
        <f t="shared" si="422"/>
        <v>0</v>
      </c>
      <c r="H422" s="3518">
        <f t="shared" si="422"/>
        <v>0</v>
      </c>
      <c r="I422" s="3518">
        <f t="shared" si="422"/>
        <v>0</v>
      </c>
      <c r="J422" s="3518">
        <f t="shared" si="422"/>
        <v>0</v>
      </c>
      <c r="K422" s="3518">
        <f t="shared" si="422"/>
        <v>0</v>
      </c>
      <c r="L422" s="3519">
        <f t="shared" si="422"/>
        <v>0</v>
      </c>
      <c r="M422" s="3519">
        <f t="shared" si="422"/>
        <v>0</v>
      </c>
      <c r="N422" s="3520">
        <f t="shared" si="422"/>
        <v>0</v>
      </c>
      <c r="O422" s="3520">
        <f t="shared" si="422"/>
        <v>0</v>
      </c>
      <c r="P422" s="3525">
        <f t="shared" ref="P422:S422" si="441">+P543</f>
        <v>0</v>
      </c>
      <c r="Q422" s="3525">
        <f t="shared" si="441"/>
        <v>0</v>
      </c>
      <c r="R422" s="3525">
        <f t="shared" si="441"/>
        <v>0</v>
      </c>
      <c r="S422" s="1410">
        <f t="shared" si="441"/>
        <v>0</v>
      </c>
      <c r="T422" s="1410"/>
    </row>
    <row r="423" spans="1:20" s="250" customFormat="1" ht="30" hidden="1" customHeight="1" x14ac:dyDescent="0.5">
      <c r="A423" s="4288" t="s">
        <v>417</v>
      </c>
      <c r="B423" s="4289"/>
      <c r="C423" s="4289"/>
      <c r="D423" s="4290"/>
      <c r="E423" s="3527">
        <f t="shared" si="422"/>
        <v>0</v>
      </c>
      <c r="F423" s="3527">
        <f t="shared" si="422"/>
        <v>0</v>
      </c>
      <c r="G423" s="3527">
        <f t="shared" si="422"/>
        <v>0</v>
      </c>
      <c r="H423" s="3527">
        <f t="shared" si="422"/>
        <v>0</v>
      </c>
      <c r="I423" s="3527">
        <f t="shared" si="422"/>
        <v>0</v>
      </c>
      <c r="J423" s="3527">
        <f t="shared" si="422"/>
        <v>0</v>
      </c>
      <c r="K423" s="3527">
        <f t="shared" si="422"/>
        <v>0</v>
      </c>
      <c r="L423" s="3519">
        <f t="shared" si="422"/>
        <v>0</v>
      </c>
      <c r="M423" s="3519">
        <f t="shared" si="422"/>
        <v>0</v>
      </c>
      <c r="N423" s="3520">
        <f t="shared" si="422"/>
        <v>0</v>
      </c>
      <c r="O423" s="3520">
        <f t="shared" si="422"/>
        <v>0</v>
      </c>
      <c r="P423" s="3525">
        <f t="shared" ref="P423:S423" si="442">+P544</f>
        <v>0</v>
      </c>
      <c r="Q423" s="2778">
        <f t="shared" si="442"/>
        <v>0</v>
      </c>
      <c r="R423" s="3521">
        <f t="shared" si="442"/>
        <v>0</v>
      </c>
      <c r="S423" s="3522" t="str">
        <f t="shared" si="442"/>
        <v>OK</v>
      </c>
      <c r="T423" s="1410"/>
    </row>
    <row r="424" spans="1:20" s="250" customFormat="1" ht="30" hidden="1" customHeight="1" x14ac:dyDescent="0.45">
      <c r="A424" s="1627"/>
      <c r="B424" s="1628"/>
      <c r="C424" s="2321"/>
      <c r="D424" s="1628"/>
      <c r="E424" s="3528">
        <f t="shared" si="422"/>
        <v>0</v>
      </c>
      <c r="F424" s="3528">
        <f t="shared" si="422"/>
        <v>0</v>
      </c>
      <c r="G424" s="3528">
        <f t="shared" si="422"/>
        <v>0</v>
      </c>
      <c r="H424" s="3528">
        <f t="shared" si="422"/>
        <v>0</v>
      </c>
      <c r="I424" s="3528">
        <f t="shared" si="422"/>
        <v>0</v>
      </c>
      <c r="J424" s="3528">
        <f t="shared" si="422"/>
        <v>0</v>
      </c>
      <c r="K424" s="3528">
        <f t="shared" si="422"/>
        <v>0</v>
      </c>
      <c r="L424" s="3528">
        <f t="shared" si="422"/>
        <v>0</v>
      </c>
      <c r="M424" s="3528">
        <f t="shared" si="422"/>
        <v>0</v>
      </c>
      <c r="N424" s="3528">
        <f t="shared" si="422"/>
        <v>0</v>
      </c>
      <c r="O424" s="1410">
        <f t="shared" si="422"/>
        <v>0</v>
      </c>
      <c r="P424" s="1410">
        <f t="shared" ref="P424:S424" si="443">+P545</f>
        <v>0</v>
      </c>
      <c r="Q424" s="1410">
        <f t="shared" si="443"/>
        <v>0</v>
      </c>
      <c r="R424" s="1410">
        <f t="shared" si="443"/>
        <v>0</v>
      </c>
      <c r="S424" s="1410">
        <f t="shared" si="443"/>
        <v>0</v>
      </c>
      <c r="T424" s="1410"/>
    </row>
    <row r="425" spans="1:20" s="250" customFormat="1" ht="30" hidden="1" customHeight="1" x14ac:dyDescent="0.5">
      <c r="A425" s="4283" t="s">
        <v>419</v>
      </c>
      <c r="B425" s="4283"/>
      <c r="C425" s="4283"/>
      <c r="D425" s="4284"/>
      <c r="E425" s="3529">
        <f t="shared" si="422"/>
        <v>0</v>
      </c>
      <c r="F425" s="3529">
        <f t="shared" ca="1" si="422"/>
        <v>0</v>
      </c>
      <c r="G425" s="3529">
        <f t="shared" ca="1" si="422"/>
        <v>0</v>
      </c>
      <c r="H425" s="3529">
        <f t="shared" ca="1" si="422"/>
        <v>0</v>
      </c>
      <c r="I425" s="3529">
        <f t="shared" ca="1" si="422"/>
        <v>0</v>
      </c>
      <c r="J425" s="3529">
        <f t="shared" ca="1" si="422"/>
        <v>0</v>
      </c>
      <c r="K425" s="3529">
        <f t="shared" ca="1" si="422"/>
        <v>0</v>
      </c>
      <c r="L425" s="3530">
        <f t="shared" ca="1" si="422"/>
        <v>0</v>
      </c>
      <c r="M425" s="3530">
        <f t="shared" ca="1" si="422"/>
        <v>0</v>
      </c>
      <c r="N425" s="3530">
        <f t="shared" ca="1" si="422"/>
        <v>0</v>
      </c>
      <c r="O425" s="3529">
        <f t="shared" ca="1" si="422"/>
        <v>0</v>
      </c>
      <c r="P425" s="1410">
        <f t="shared" ref="P425:S425" si="444">+P546</f>
        <v>0</v>
      </c>
      <c r="Q425" s="1410">
        <f t="shared" si="444"/>
        <v>0</v>
      </c>
      <c r="R425" s="3531">
        <f t="shared" si="444"/>
        <v>0</v>
      </c>
      <c r="S425" s="4550">
        <f t="shared" si="444"/>
        <v>0</v>
      </c>
      <c r="T425" s="4550"/>
    </row>
    <row r="426" spans="1:20" s="250" customFormat="1" ht="30" hidden="1" customHeight="1" x14ac:dyDescent="0.35">
      <c r="A426" s="1882"/>
      <c r="B426" s="1882"/>
      <c r="C426" s="2320"/>
      <c r="D426" s="2308"/>
      <c r="E426" s="2308"/>
      <c r="F426" s="3499"/>
      <c r="G426" s="3499"/>
      <c r="H426" s="3499"/>
      <c r="I426" s="3499"/>
      <c r="J426" s="3499"/>
      <c r="K426" s="3499"/>
      <c r="L426" s="1860"/>
      <c r="M426" s="1860"/>
      <c r="N426" s="1860"/>
      <c r="O426" s="1860"/>
      <c r="Q426" s="3500"/>
      <c r="S426" s="1736"/>
      <c r="T426" s="2994"/>
    </row>
    <row r="427" spans="1:20" s="250" customFormat="1" ht="30" hidden="1" customHeight="1" x14ac:dyDescent="0.35">
      <c r="A427" s="1882"/>
      <c r="B427" s="1882"/>
      <c r="C427" s="2320"/>
      <c r="D427" s="2308"/>
      <c r="E427" s="3558">
        <f>+E425-E546</f>
        <v>0</v>
      </c>
      <c r="F427" s="3558">
        <f t="shared" ref="F427:O427" ca="1" si="445">+F425-F546</f>
        <v>0</v>
      </c>
      <c r="G427" s="3558">
        <f t="shared" ca="1" si="445"/>
        <v>0</v>
      </c>
      <c r="H427" s="3558">
        <f t="shared" ca="1" si="445"/>
        <v>0</v>
      </c>
      <c r="I427" s="3558">
        <f t="shared" ca="1" si="445"/>
        <v>0</v>
      </c>
      <c r="J427" s="3558">
        <f t="shared" ca="1" si="445"/>
        <v>0</v>
      </c>
      <c r="K427" s="3558">
        <f t="shared" ca="1" si="445"/>
        <v>0</v>
      </c>
      <c r="L427" s="3558">
        <f t="shared" ca="1" si="445"/>
        <v>0</v>
      </c>
      <c r="M427" s="3558">
        <f t="shared" ca="1" si="445"/>
        <v>0</v>
      </c>
      <c r="N427" s="3558">
        <f t="shared" ca="1" si="445"/>
        <v>0</v>
      </c>
      <c r="O427" s="3558">
        <f t="shared" ca="1" si="445"/>
        <v>0</v>
      </c>
      <c r="Q427" s="3500"/>
      <c r="S427" s="1736"/>
      <c r="T427" s="2994"/>
    </row>
    <row r="428" spans="1:20" s="250" customFormat="1" ht="30" hidden="1" customHeight="1" x14ac:dyDescent="0.35">
      <c r="A428" s="1882"/>
      <c r="B428" s="1882"/>
      <c r="C428" s="2320"/>
      <c r="D428" s="2308"/>
      <c r="E428" s="2308"/>
      <c r="F428" s="3499"/>
      <c r="G428" s="3499"/>
      <c r="H428" s="3499"/>
      <c r="I428" s="3499"/>
      <c r="J428" s="3499"/>
      <c r="K428" s="3499"/>
      <c r="L428" s="1860"/>
      <c r="M428" s="1860"/>
      <c r="N428" s="1860"/>
      <c r="O428" s="1860"/>
      <c r="Q428" s="3500"/>
      <c r="S428" s="1736"/>
      <c r="T428" s="2994"/>
    </row>
    <row r="429" spans="1:20" s="250" customFormat="1" ht="30" hidden="1" customHeight="1" x14ac:dyDescent="0.35">
      <c r="A429" s="1882"/>
      <c r="B429" s="1882"/>
      <c r="C429" s="2320"/>
      <c r="D429" s="2308"/>
      <c r="E429" s="2308"/>
      <c r="F429" s="3499"/>
      <c r="G429" s="3499"/>
      <c r="H429" s="3499"/>
      <c r="I429" s="3499"/>
      <c r="J429" s="3499"/>
      <c r="K429" s="3499"/>
      <c r="L429" s="1860"/>
      <c r="M429" s="1860"/>
      <c r="N429" s="1860"/>
      <c r="O429" s="1860"/>
      <c r="Q429" s="3500"/>
      <c r="S429" s="1736"/>
      <c r="T429" s="2994"/>
    </row>
    <row r="430" spans="1:20" s="250" customFormat="1" ht="30" hidden="1" customHeight="1" x14ac:dyDescent="0.35">
      <c r="A430" s="1882"/>
      <c r="B430" s="1882"/>
      <c r="C430" s="2320"/>
      <c r="D430" s="2308"/>
      <c r="E430" s="2308"/>
      <c r="F430" s="3499"/>
      <c r="G430" s="3499"/>
      <c r="H430" s="3499"/>
      <c r="I430" s="3499"/>
      <c r="J430" s="3499"/>
      <c r="K430" s="3499"/>
      <c r="L430" s="1860"/>
      <c r="M430" s="1860"/>
      <c r="N430" s="1860"/>
      <c r="O430" s="1860"/>
      <c r="Q430" s="3500"/>
      <c r="S430" s="1736"/>
      <c r="T430" s="2994"/>
    </row>
    <row r="431" spans="1:20" s="250" customFormat="1" ht="30" hidden="1" customHeight="1" x14ac:dyDescent="0.35">
      <c r="A431" s="1882"/>
      <c r="B431" s="1882"/>
      <c r="C431" s="2320"/>
      <c r="D431" s="2308"/>
      <c r="E431" s="2308"/>
      <c r="F431" s="3499"/>
      <c r="G431" s="3499"/>
      <c r="H431" s="3499"/>
      <c r="I431" s="3499"/>
      <c r="J431" s="3499"/>
      <c r="K431" s="3499"/>
      <c r="L431" s="1860"/>
      <c r="M431" s="1860"/>
      <c r="N431" s="1860"/>
      <c r="O431" s="1860"/>
      <c r="Q431" s="3500"/>
      <c r="S431" s="1736"/>
      <c r="T431" s="2994"/>
    </row>
    <row r="432" spans="1:20" s="250" customFormat="1" ht="30" hidden="1" customHeight="1" x14ac:dyDescent="0.35">
      <c r="A432" s="1882"/>
      <c r="B432" s="1882"/>
      <c r="C432" s="2320"/>
      <c r="D432" s="2308"/>
      <c r="E432" s="2308"/>
      <c r="F432" s="3499"/>
      <c r="G432" s="3499"/>
      <c r="H432" s="3499"/>
      <c r="I432" s="3499"/>
      <c r="J432" s="3499"/>
      <c r="K432" s="3499"/>
      <c r="L432" s="1860"/>
      <c r="M432" s="1860"/>
      <c r="N432" s="1860"/>
      <c r="O432" s="1860"/>
      <c r="Q432" s="3500"/>
      <c r="S432" s="1736"/>
      <c r="T432" s="2994"/>
    </row>
    <row r="433" spans="1:20" s="250" customFormat="1" ht="30" hidden="1" customHeight="1" x14ac:dyDescent="0.35">
      <c r="A433" s="1882"/>
      <c r="B433" s="1882"/>
      <c r="C433" s="2320"/>
      <c r="D433" s="2308"/>
      <c r="E433" s="2308"/>
      <c r="F433" s="3499"/>
      <c r="G433" s="3499"/>
      <c r="H433" s="3499"/>
      <c r="I433" s="3499"/>
      <c r="J433" s="3499"/>
      <c r="K433" s="3499"/>
      <c r="L433" s="1860"/>
      <c r="M433" s="1860"/>
      <c r="N433" s="1860"/>
      <c r="O433" s="1860"/>
      <c r="Q433" s="3500"/>
      <c r="S433" s="1736"/>
      <c r="T433" s="2994"/>
    </row>
    <row r="434" spans="1:20" s="250" customFormat="1" ht="30" hidden="1" customHeight="1" x14ac:dyDescent="0.35">
      <c r="A434" s="1882"/>
      <c r="B434" s="1882"/>
      <c r="C434" s="2320"/>
      <c r="D434" s="2308"/>
      <c r="E434" s="2308"/>
      <c r="F434" s="3499"/>
      <c r="G434" s="3499"/>
      <c r="H434" s="3499"/>
      <c r="I434" s="3499"/>
      <c r="J434" s="3499"/>
      <c r="K434" s="3499"/>
      <c r="L434" s="1860"/>
      <c r="M434" s="1860"/>
      <c r="N434" s="1860"/>
      <c r="O434" s="1860"/>
      <c r="Q434" s="3500"/>
      <c r="S434" s="1736"/>
      <c r="T434" s="2994"/>
    </row>
    <row r="435" spans="1:20" s="250" customFormat="1" ht="30" hidden="1" customHeight="1" x14ac:dyDescent="0.35">
      <c r="A435" s="1882"/>
      <c r="B435" s="1882"/>
      <c r="C435" s="2320"/>
      <c r="D435" s="2308"/>
      <c r="E435" s="2308"/>
      <c r="F435" s="3499"/>
      <c r="G435" s="3499"/>
      <c r="H435" s="3499"/>
      <c r="I435" s="3499"/>
      <c r="J435" s="3499"/>
      <c r="K435" s="3499"/>
      <c r="L435" s="1860"/>
      <c r="M435" s="1860"/>
      <c r="N435" s="1860"/>
      <c r="O435" s="1860"/>
      <c r="Q435" s="3500"/>
      <c r="S435" s="1736"/>
      <c r="T435" s="2994"/>
    </row>
    <row r="436" spans="1:20" s="250" customFormat="1" ht="30" hidden="1" customHeight="1" x14ac:dyDescent="0.35">
      <c r="A436" s="1882"/>
      <c r="B436" s="1882"/>
      <c r="C436" s="2320"/>
      <c r="D436" s="2308"/>
      <c r="E436" s="2308"/>
      <c r="F436" s="3499"/>
      <c r="G436" s="3499"/>
      <c r="H436" s="3499"/>
      <c r="I436" s="3499"/>
      <c r="J436" s="3499"/>
      <c r="K436" s="3499"/>
      <c r="L436" s="1860"/>
      <c r="M436" s="1860"/>
      <c r="N436" s="1860"/>
      <c r="O436" s="1860"/>
      <c r="Q436" s="3500"/>
      <c r="S436" s="1736"/>
      <c r="T436" s="2994"/>
    </row>
    <row r="437" spans="1:20" s="250" customFormat="1" ht="30" hidden="1" customHeight="1" x14ac:dyDescent="0.35">
      <c r="A437" s="1882"/>
      <c r="B437" s="1882"/>
      <c r="C437" s="2320"/>
      <c r="D437" s="2308"/>
      <c r="E437" s="2308"/>
      <c r="F437" s="3499"/>
      <c r="G437" s="3499"/>
      <c r="H437" s="3499"/>
      <c r="I437" s="3499"/>
      <c r="J437" s="3499"/>
      <c r="K437" s="3499"/>
      <c r="L437" s="1860"/>
      <c r="M437" s="1860"/>
      <c r="N437" s="1860"/>
      <c r="O437" s="1860"/>
      <c r="Q437" s="3500"/>
      <c r="S437" s="1736"/>
      <c r="T437" s="2994"/>
    </row>
    <row r="438" spans="1:20" s="250" customFormat="1" ht="30" hidden="1" customHeight="1" thickBot="1" x14ac:dyDescent="0.4">
      <c r="A438" s="1882"/>
      <c r="B438" s="1882"/>
      <c r="C438" s="2320"/>
      <c r="D438" s="2308"/>
      <c r="E438" s="2308"/>
      <c r="F438" s="3499"/>
      <c r="G438" s="3499"/>
      <c r="H438" s="3499"/>
      <c r="I438" s="3499"/>
      <c r="J438" s="3499"/>
      <c r="K438" s="3499"/>
      <c r="L438" s="1860"/>
      <c r="M438" s="1860"/>
      <c r="N438" s="1860"/>
      <c r="O438" s="1860"/>
      <c r="Q438" s="3500"/>
      <c r="S438" s="1736"/>
      <c r="T438" s="2994"/>
    </row>
    <row r="439" spans="1:20" s="250" customFormat="1" ht="30" hidden="1" customHeight="1" thickBot="1" x14ac:dyDescent="0.4">
      <c r="A439" s="4100" t="s">
        <v>41</v>
      </c>
      <c r="B439" s="3172">
        <v>5030</v>
      </c>
      <c r="C439" s="3758" t="s">
        <v>217</v>
      </c>
      <c r="D439" s="3758"/>
      <c r="E439" s="1886">
        <f>+INT(E598)</f>
        <v>0</v>
      </c>
      <c r="F439" s="1886">
        <f t="shared" ref="F439:G439" si="446">+INT(F598)</f>
        <v>0</v>
      </c>
      <c r="G439" s="1886">
        <f t="shared" si="446"/>
        <v>0</v>
      </c>
      <c r="H439" s="1886">
        <f>+INT(H598)</f>
        <v>0</v>
      </c>
      <c r="I439" s="1886">
        <f t="shared" ref="I439:K439" ca="1" si="447">+INT(I598)</f>
        <v>0</v>
      </c>
      <c r="J439" s="1886">
        <f t="shared" ca="1" si="447"/>
        <v>0</v>
      </c>
      <c r="K439" s="1886">
        <f t="shared" ca="1" si="447"/>
        <v>0</v>
      </c>
      <c r="L439" s="1887">
        <f t="shared" ref="L439" ca="1" si="448">+F439+I439</f>
        <v>0</v>
      </c>
      <c r="M439" s="1887">
        <f t="shared" ref="M439" ca="1" si="449">+G439+J439</f>
        <v>0</v>
      </c>
      <c r="N439" s="1888">
        <f t="shared" ref="N439" ca="1" si="450">+H439+K439</f>
        <v>0</v>
      </c>
      <c r="O439" s="1888">
        <f t="shared" ref="O439:O544" ca="1" si="451">SUM(L439:N439)</f>
        <v>0</v>
      </c>
      <c r="P439" s="4484" t="s">
        <v>41</v>
      </c>
      <c r="Q439" s="2778">
        <f>+SUM(F439:H439)</f>
        <v>0</v>
      </c>
      <c r="R439" s="2082">
        <f>++'Compra -HOJA1'!F290</f>
        <v>0</v>
      </c>
      <c r="S439" s="1736" t="str">
        <f>+IF(Q439=R439,"OK","VERIFICAR")</f>
        <v>OK</v>
      </c>
      <c r="T439" s="1736"/>
    </row>
    <row r="440" spans="1:20" s="250" customFormat="1" ht="27" hidden="1" customHeight="1" thickBot="1" x14ac:dyDescent="0.4">
      <c r="A440" s="4101"/>
      <c r="B440" s="1954">
        <v>5040</v>
      </c>
      <c r="C440" s="3743" t="s">
        <v>218</v>
      </c>
      <c r="D440" s="3744"/>
      <c r="E440" s="1886">
        <f t="shared" ref="E440:K440" si="452">+INT(E599)</f>
        <v>0</v>
      </c>
      <c r="F440" s="1886">
        <f t="shared" si="452"/>
        <v>0</v>
      </c>
      <c r="G440" s="1886">
        <f t="shared" si="452"/>
        <v>0</v>
      </c>
      <c r="H440" s="1886">
        <f t="shared" si="452"/>
        <v>0</v>
      </c>
      <c r="I440" s="1886">
        <f t="shared" ca="1" si="452"/>
        <v>0</v>
      </c>
      <c r="J440" s="1886">
        <f t="shared" ca="1" si="452"/>
        <v>0</v>
      </c>
      <c r="K440" s="1886">
        <f t="shared" ca="1" si="452"/>
        <v>0</v>
      </c>
      <c r="L440" s="1887">
        <f t="shared" ref="L440:L507" ca="1" si="453">+F440+I440</f>
        <v>0</v>
      </c>
      <c r="M440" s="1887">
        <f t="shared" ref="M440:M507" ca="1" si="454">+G440+J440</f>
        <v>0</v>
      </c>
      <c r="N440" s="1888">
        <f t="shared" ref="N440:N507" ca="1" si="455">+H440+K440</f>
        <v>0</v>
      </c>
      <c r="O440" s="1888">
        <f t="shared" ref="O440:O507" ca="1" si="456">SUM(L440:N440)</f>
        <v>0</v>
      </c>
      <c r="P440" s="4485"/>
      <c r="Q440" s="2778">
        <f t="shared" ref="Q440:Q507" si="457">+SUM(F440:H440)</f>
        <v>0</v>
      </c>
      <c r="R440" s="2082">
        <f>++'Compra -HOJA1'!F291</f>
        <v>0</v>
      </c>
      <c r="S440" s="1736" t="str">
        <f t="shared" ref="S440:S507" si="458">+IF(Q440=R440,"OK","VERIFICAR")</f>
        <v>OK</v>
      </c>
      <c r="T440" s="1736"/>
    </row>
    <row r="441" spans="1:20" s="250" customFormat="1" ht="27" hidden="1" customHeight="1" thickBot="1" x14ac:dyDescent="0.4">
      <c r="A441" s="4101"/>
      <c r="B441" s="1955">
        <v>5050</v>
      </c>
      <c r="C441" s="3742" t="s">
        <v>219</v>
      </c>
      <c r="D441" s="3742"/>
      <c r="E441" s="1886">
        <f t="shared" ref="E441:K441" si="459">+INT(E600)</f>
        <v>0</v>
      </c>
      <c r="F441" s="1886">
        <f t="shared" si="459"/>
        <v>0</v>
      </c>
      <c r="G441" s="1886">
        <f t="shared" si="459"/>
        <v>0</v>
      </c>
      <c r="H441" s="1886">
        <f t="shared" si="459"/>
        <v>0</v>
      </c>
      <c r="I441" s="1886">
        <f t="shared" ca="1" si="459"/>
        <v>0</v>
      </c>
      <c r="J441" s="1886">
        <f t="shared" ca="1" si="459"/>
        <v>0</v>
      </c>
      <c r="K441" s="1886">
        <f t="shared" ca="1" si="459"/>
        <v>0</v>
      </c>
      <c r="L441" s="1887">
        <f t="shared" ca="1" si="453"/>
        <v>0</v>
      </c>
      <c r="M441" s="1887">
        <f t="shared" ca="1" si="454"/>
        <v>0</v>
      </c>
      <c r="N441" s="1888">
        <f t="shared" ca="1" si="455"/>
        <v>0</v>
      </c>
      <c r="O441" s="1888">
        <f t="shared" ca="1" si="456"/>
        <v>0</v>
      </c>
      <c r="P441" s="4485"/>
      <c r="Q441" s="2778">
        <f t="shared" si="457"/>
        <v>0</v>
      </c>
      <c r="R441" s="2082">
        <f>++'Compra -HOJA1'!F292</f>
        <v>0</v>
      </c>
      <c r="S441" s="1736" t="str">
        <f t="shared" si="458"/>
        <v>OK</v>
      </c>
      <c r="T441" s="1736"/>
    </row>
    <row r="442" spans="1:20" s="250" customFormat="1" ht="27" hidden="1" customHeight="1" thickBot="1" x14ac:dyDescent="0.4">
      <c r="A442" s="4101"/>
      <c r="B442" s="1721">
        <v>5501</v>
      </c>
      <c r="C442" s="3751" t="s">
        <v>1231</v>
      </c>
      <c r="D442" s="1721" t="s">
        <v>46</v>
      </c>
      <c r="E442" s="1886">
        <f t="shared" ref="E442:K442" si="460">+INT(E601)</f>
        <v>0</v>
      </c>
      <c r="F442" s="1886">
        <f t="shared" si="460"/>
        <v>0</v>
      </c>
      <c r="G442" s="1886">
        <f t="shared" si="460"/>
        <v>0</v>
      </c>
      <c r="H442" s="1886">
        <f t="shared" si="460"/>
        <v>0</v>
      </c>
      <c r="I442" s="1886">
        <f t="shared" ca="1" si="460"/>
        <v>0</v>
      </c>
      <c r="J442" s="1886">
        <f t="shared" ca="1" si="460"/>
        <v>0</v>
      </c>
      <c r="K442" s="1886">
        <f t="shared" ca="1" si="460"/>
        <v>0</v>
      </c>
      <c r="L442" s="1887">
        <f t="shared" ca="1" si="453"/>
        <v>0</v>
      </c>
      <c r="M442" s="1887">
        <f t="shared" ca="1" si="454"/>
        <v>0</v>
      </c>
      <c r="N442" s="1888">
        <f t="shared" ca="1" si="455"/>
        <v>0</v>
      </c>
      <c r="O442" s="1888">
        <f t="shared" ca="1" si="456"/>
        <v>0</v>
      </c>
      <c r="P442" s="4485"/>
      <c r="Q442" s="2778">
        <f t="shared" si="457"/>
        <v>0</v>
      </c>
      <c r="R442" s="2082">
        <f>++'Compra -HOJA1'!F293</f>
        <v>0</v>
      </c>
      <c r="S442" s="1736" t="str">
        <f t="shared" si="458"/>
        <v>OK</v>
      </c>
      <c r="T442" s="1736"/>
    </row>
    <row r="443" spans="1:20" s="250" customFormat="1" ht="27" hidden="1" customHeight="1" thickBot="1" x14ac:dyDescent="0.4">
      <c r="A443" s="4101"/>
      <c r="B443" s="1721">
        <v>5502</v>
      </c>
      <c r="C443" s="3746"/>
      <c r="D443" s="1721" t="s">
        <v>47</v>
      </c>
      <c r="E443" s="1886">
        <f t="shared" ref="E443:K443" si="461">+INT(E602)</f>
        <v>0</v>
      </c>
      <c r="F443" s="1886">
        <f t="shared" si="461"/>
        <v>0</v>
      </c>
      <c r="G443" s="1886">
        <f t="shared" si="461"/>
        <v>0</v>
      </c>
      <c r="H443" s="1886">
        <f t="shared" si="461"/>
        <v>0</v>
      </c>
      <c r="I443" s="1886">
        <f t="shared" ca="1" si="461"/>
        <v>0</v>
      </c>
      <c r="J443" s="1886">
        <f t="shared" ca="1" si="461"/>
        <v>0</v>
      </c>
      <c r="K443" s="1886">
        <f t="shared" ca="1" si="461"/>
        <v>0</v>
      </c>
      <c r="L443" s="1887">
        <f t="shared" ca="1" si="453"/>
        <v>0</v>
      </c>
      <c r="M443" s="1887">
        <f t="shared" ca="1" si="454"/>
        <v>0</v>
      </c>
      <c r="N443" s="1888">
        <f t="shared" ca="1" si="455"/>
        <v>0</v>
      </c>
      <c r="O443" s="1888">
        <f t="shared" ca="1" si="456"/>
        <v>0</v>
      </c>
      <c r="P443" s="4485"/>
      <c r="Q443" s="2778">
        <f t="shared" si="457"/>
        <v>0</v>
      </c>
      <c r="R443" s="2082">
        <f>++'Compra -HOJA1'!F294</f>
        <v>0</v>
      </c>
      <c r="S443" s="1736" t="str">
        <f t="shared" si="458"/>
        <v>OK</v>
      </c>
      <c r="T443" s="1736"/>
    </row>
    <row r="444" spans="1:20" s="250" customFormat="1" ht="27" hidden="1" customHeight="1" thickBot="1" x14ac:dyDescent="0.4">
      <c r="A444" s="4101"/>
      <c r="B444" s="1949">
        <v>5551</v>
      </c>
      <c r="C444" s="3746"/>
      <c r="D444" s="1949" t="s">
        <v>169</v>
      </c>
      <c r="E444" s="1886">
        <f t="shared" ref="E444:K444" si="462">+INT(E603)</f>
        <v>0</v>
      </c>
      <c r="F444" s="1886">
        <f t="shared" si="462"/>
        <v>0</v>
      </c>
      <c r="G444" s="1886">
        <f t="shared" si="462"/>
        <v>0</v>
      </c>
      <c r="H444" s="1886">
        <f t="shared" si="462"/>
        <v>0</v>
      </c>
      <c r="I444" s="1886">
        <f t="shared" ca="1" si="462"/>
        <v>0</v>
      </c>
      <c r="J444" s="1886">
        <f t="shared" ca="1" si="462"/>
        <v>0</v>
      </c>
      <c r="K444" s="1886">
        <f t="shared" ca="1" si="462"/>
        <v>0</v>
      </c>
      <c r="L444" s="1887">
        <f t="shared" ca="1" si="453"/>
        <v>0</v>
      </c>
      <c r="M444" s="1887">
        <f t="shared" ca="1" si="454"/>
        <v>0</v>
      </c>
      <c r="N444" s="1888">
        <f t="shared" ca="1" si="455"/>
        <v>0</v>
      </c>
      <c r="O444" s="1888">
        <f t="shared" ca="1" si="456"/>
        <v>0</v>
      </c>
      <c r="P444" s="4485"/>
      <c r="Q444" s="2778">
        <f t="shared" si="457"/>
        <v>0</v>
      </c>
      <c r="R444" s="2082">
        <f>++'Compra -HOJA1'!F295</f>
        <v>0</v>
      </c>
      <c r="S444" s="1736" t="str">
        <f t="shared" si="458"/>
        <v>OK</v>
      </c>
      <c r="T444" s="1736"/>
    </row>
    <row r="445" spans="1:20" s="250" customFormat="1" ht="27" hidden="1" customHeight="1" thickBot="1" x14ac:dyDescent="0.4">
      <c r="A445" s="4101"/>
      <c r="B445" s="3173">
        <v>5552</v>
      </c>
      <c r="C445" s="3747"/>
      <c r="D445" s="3173" t="s">
        <v>49</v>
      </c>
      <c r="E445" s="1886">
        <f t="shared" ref="E445:K445" si="463">+INT(E604)</f>
        <v>0</v>
      </c>
      <c r="F445" s="1886">
        <f t="shared" si="463"/>
        <v>0</v>
      </c>
      <c r="G445" s="1886">
        <f t="shared" si="463"/>
        <v>0</v>
      </c>
      <c r="H445" s="1886">
        <f t="shared" si="463"/>
        <v>0</v>
      </c>
      <c r="I445" s="1886">
        <f t="shared" ca="1" si="463"/>
        <v>0</v>
      </c>
      <c r="J445" s="1886">
        <f t="shared" ca="1" si="463"/>
        <v>0</v>
      </c>
      <c r="K445" s="1886">
        <f t="shared" ca="1" si="463"/>
        <v>0</v>
      </c>
      <c r="L445" s="1887">
        <f t="shared" ca="1" si="453"/>
        <v>0</v>
      </c>
      <c r="M445" s="1887">
        <f t="shared" ca="1" si="454"/>
        <v>0</v>
      </c>
      <c r="N445" s="1888">
        <f t="shared" ca="1" si="455"/>
        <v>0</v>
      </c>
      <c r="O445" s="1888">
        <f t="shared" ca="1" si="456"/>
        <v>0</v>
      </c>
      <c r="P445" s="4485"/>
      <c r="Q445" s="2778">
        <f t="shared" si="457"/>
        <v>0</v>
      </c>
      <c r="R445" s="2082">
        <f>++'Compra -HOJA1'!F296</f>
        <v>0</v>
      </c>
      <c r="S445" s="1736" t="str">
        <f t="shared" si="458"/>
        <v>OK</v>
      </c>
      <c r="T445" s="1736"/>
    </row>
    <row r="446" spans="1:20" s="250" customFormat="1" ht="27" hidden="1" customHeight="1" thickBot="1" x14ac:dyDescent="0.4">
      <c r="A446" s="4101"/>
      <c r="B446" s="1721">
        <v>5570</v>
      </c>
      <c r="C446" s="3751" t="s">
        <v>1232</v>
      </c>
      <c r="D446" s="1721" t="s">
        <v>46</v>
      </c>
      <c r="E446" s="1886">
        <f t="shared" ref="E446:K446" si="464">+INT(E605)</f>
        <v>0</v>
      </c>
      <c r="F446" s="1886">
        <f t="shared" si="464"/>
        <v>0</v>
      </c>
      <c r="G446" s="1886">
        <f t="shared" si="464"/>
        <v>0</v>
      </c>
      <c r="H446" s="1886">
        <f t="shared" si="464"/>
        <v>0</v>
      </c>
      <c r="I446" s="1886">
        <f t="shared" ca="1" si="464"/>
        <v>0</v>
      </c>
      <c r="J446" s="1886">
        <f t="shared" ca="1" si="464"/>
        <v>0</v>
      </c>
      <c r="K446" s="1886">
        <f t="shared" ca="1" si="464"/>
        <v>0</v>
      </c>
      <c r="L446" s="1887">
        <f t="shared" ca="1" si="453"/>
        <v>0</v>
      </c>
      <c r="M446" s="1887">
        <f t="shared" ca="1" si="454"/>
        <v>0</v>
      </c>
      <c r="N446" s="1888">
        <f t="shared" ca="1" si="455"/>
        <v>0</v>
      </c>
      <c r="O446" s="1888">
        <f t="shared" ca="1" si="456"/>
        <v>0</v>
      </c>
      <c r="P446" s="3369"/>
      <c r="Q446" s="2778">
        <f t="shared" si="457"/>
        <v>0</v>
      </c>
      <c r="R446" s="2082">
        <f>++'Compra -HOJA1'!F297</f>
        <v>0</v>
      </c>
      <c r="S446" s="1736" t="str">
        <f t="shared" si="458"/>
        <v>OK</v>
      </c>
      <c r="T446" s="1736"/>
    </row>
    <row r="447" spans="1:20" s="250" customFormat="1" ht="27" hidden="1" customHeight="1" thickBot="1" x14ac:dyDescent="0.4">
      <c r="A447" s="4101"/>
      <c r="B447" s="1721">
        <v>5571</v>
      </c>
      <c r="C447" s="3746"/>
      <c r="D447" s="1721" t="s">
        <v>47</v>
      </c>
      <c r="E447" s="1886">
        <f t="shared" ref="E447:K447" si="465">+INT(E606)</f>
        <v>0</v>
      </c>
      <c r="F447" s="1886">
        <f t="shared" si="465"/>
        <v>0</v>
      </c>
      <c r="G447" s="1886">
        <f t="shared" si="465"/>
        <v>0</v>
      </c>
      <c r="H447" s="1886">
        <f t="shared" si="465"/>
        <v>0</v>
      </c>
      <c r="I447" s="1886">
        <f t="shared" ca="1" si="465"/>
        <v>0</v>
      </c>
      <c r="J447" s="1886">
        <f t="shared" ca="1" si="465"/>
        <v>0</v>
      </c>
      <c r="K447" s="1886">
        <f t="shared" ca="1" si="465"/>
        <v>0</v>
      </c>
      <c r="L447" s="1887">
        <f t="shared" ca="1" si="453"/>
        <v>0</v>
      </c>
      <c r="M447" s="1887">
        <f t="shared" ca="1" si="454"/>
        <v>0</v>
      </c>
      <c r="N447" s="1888">
        <f t="shared" ca="1" si="455"/>
        <v>0</v>
      </c>
      <c r="O447" s="1888">
        <f t="shared" ca="1" si="456"/>
        <v>0</v>
      </c>
      <c r="P447" s="3369"/>
      <c r="Q447" s="2778">
        <f t="shared" si="457"/>
        <v>0</v>
      </c>
      <c r="R447" s="2082">
        <f>++'Compra -HOJA1'!F298</f>
        <v>0</v>
      </c>
      <c r="S447" s="1736" t="str">
        <f t="shared" si="458"/>
        <v>OK</v>
      </c>
      <c r="T447" s="1736"/>
    </row>
    <row r="448" spans="1:20" s="250" customFormat="1" ht="27" hidden="1" customHeight="1" thickBot="1" x14ac:dyDescent="0.4">
      <c r="A448" s="4101"/>
      <c r="B448" s="1949">
        <v>5580</v>
      </c>
      <c r="C448" s="3746"/>
      <c r="D448" s="1949" t="s">
        <v>169</v>
      </c>
      <c r="E448" s="1886">
        <f t="shared" ref="E448:K448" si="466">+INT(E607)</f>
        <v>0</v>
      </c>
      <c r="F448" s="1886">
        <f t="shared" si="466"/>
        <v>0</v>
      </c>
      <c r="G448" s="1886">
        <f t="shared" si="466"/>
        <v>0</v>
      </c>
      <c r="H448" s="1886">
        <f t="shared" si="466"/>
        <v>0</v>
      </c>
      <c r="I448" s="1886">
        <f t="shared" ca="1" si="466"/>
        <v>0</v>
      </c>
      <c r="J448" s="1886">
        <f t="shared" ca="1" si="466"/>
        <v>0</v>
      </c>
      <c r="K448" s="1886">
        <f t="shared" ca="1" si="466"/>
        <v>0</v>
      </c>
      <c r="L448" s="1887">
        <f t="shared" ca="1" si="453"/>
        <v>0</v>
      </c>
      <c r="M448" s="1887">
        <f t="shared" ca="1" si="454"/>
        <v>0</v>
      </c>
      <c r="N448" s="1888">
        <f t="shared" ca="1" si="455"/>
        <v>0</v>
      </c>
      <c r="O448" s="1888">
        <f t="shared" ca="1" si="456"/>
        <v>0</v>
      </c>
      <c r="P448" s="3369"/>
      <c r="Q448" s="2778">
        <f t="shared" si="457"/>
        <v>0</v>
      </c>
      <c r="R448" s="2082">
        <f>++'Compra -HOJA1'!F299</f>
        <v>0</v>
      </c>
      <c r="S448" s="1736" t="str">
        <f t="shared" si="458"/>
        <v>OK</v>
      </c>
      <c r="T448" s="1736"/>
    </row>
    <row r="449" spans="1:20" s="250" customFormat="1" ht="27" hidden="1" customHeight="1" thickBot="1" x14ac:dyDescent="0.4">
      <c r="A449" s="4101"/>
      <c r="B449" s="3173">
        <v>5581</v>
      </c>
      <c r="C449" s="3747"/>
      <c r="D449" s="3173" t="s">
        <v>49</v>
      </c>
      <c r="E449" s="1886">
        <f t="shared" ref="E449:K449" si="467">+INT(E608)</f>
        <v>0</v>
      </c>
      <c r="F449" s="1886">
        <f t="shared" si="467"/>
        <v>0</v>
      </c>
      <c r="G449" s="1886">
        <f t="shared" si="467"/>
        <v>0</v>
      </c>
      <c r="H449" s="1886">
        <f t="shared" si="467"/>
        <v>0</v>
      </c>
      <c r="I449" s="1886">
        <f t="shared" ca="1" si="467"/>
        <v>0</v>
      </c>
      <c r="J449" s="1886">
        <f t="shared" ca="1" si="467"/>
        <v>0</v>
      </c>
      <c r="K449" s="1886">
        <f t="shared" ca="1" si="467"/>
        <v>0</v>
      </c>
      <c r="L449" s="1887">
        <f t="shared" ca="1" si="453"/>
        <v>0</v>
      </c>
      <c r="M449" s="1887">
        <f t="shared" ca="1" si="454"/>
        <v>0</v>
      </c>
      <c r="N449" s="1888">
        <f t="shared" ca="1" si="455"/>
        <v>0</v>
      </c>
      <c r="O449" s="1888">
        <f t="shared" ca="1" si="456"/>
        <v>0</v>
      </c>
      <c r="P449" s="3369"/>
      <c r="Q449" s="2778">
        <f t="shared" si="457"/>
        <v>0</v>
      </c>
      <c r="R449" s="2082">
        <f>++'Compra -HOJA1'!F300</f>
        <v>0</v>
      </c>
      <c r="S449" s="1736" t="str">
        <f t="shared" si="458"/>
        <v>OK</v>
      </c>
      <c r="T449" s="1736"/>
    </row>
    <row r="450" spans="1:20" s="250" customFormat="1" ht="27" hidden="1" customHeight="1" thickBot="1" x14ac:dyDescent="0.4">
      <c r="A450" s="4101"/>
      <c r="B450" s="1721">
        <v>5590</v>
      </c>
      <c r="C450" s="3751" t="s">
        <v>1233</v>
      </c>
      <c r="D450" s="1721" t="s">
        <v>46</v>
      </c>
      <c r="E450" s="1886">
        <f t="shared" ref="E450:K450" si="468">+INT(E609)</f>
        <v>0</v>
      </c>
      <c r="F450" s="1886">
        <f t="shared" si="468"/>
        <v>0</v>
      </c>
      <c r="G450" s="1886">
        <f t="shared" si="468"/>
        <v>0</v>
      </c>
      <c r="H450" s="1886">
        <f t="shared" si="468"/>
        <v>0</v>
      </c>
      <c r="I450" s="1886">
        <f t="shared" ca="1" si="468"/>
        <v>0</v>
      </c>
      <c r="J450" s="1886">
        <f t="shared" ca="1" si="468"/>
        <v>0</v>
      </c>
      <c r="K450" s="1886">
        <f t="shared" ca="1" si="468"/>
        <v>0</v>
      </c>
      <c r="L450" s="1887">
        <f t="shared" ca="1" si="453"/>
        <v>0</v>
      </c>
      <c r="M450" s="1887">
        <f t="shared" ca="1" si="454"/>
        <v>0</v>
      </c>
      <c r="N450" s="1888">
        <f t="shared" ca="1" si="455"/>
        <v>0</v>
      </c>
      <c r="O450" s="1888">
        <f t="shared" ca="1" si="456"/>
        <v>0</v>
      </c>
      <c r="P450" s="3369"/>
      <c r="Q450" s="2778">
        <f t="shared" si="457"/>
        <v>0</v>
      </c>
      <c r="R450" s="2082">
        <f>++'Compra -HOJA1'!F301</f>
        <v>0</v>
      </c>
      <c r="S450" s="1736" t="str">
        <f t="shared" si="458"/>
        <v>OK</v>
      </c>
      <c r="T450" s="1736"/>
    </row>
    <row r="451" spans="1:20" s="250" customFormat="1" ht="27" hidden="1" customHeight="1" thickBot="1" x14ac:dyDescent="0.4">
      <c r="A451" s="4101"/>
      <c r="B451" s="1721">
        <v>5591</v>
      </c>
      <c r="C451" s="3746"/>
      <c r="D451" s="1721" t="s">
        <v>47</v>
      </c>
      <c r="E451" s="1886">
        <f t="shared" ref="E451:K451" si="469">+INT(E610)</f>
        <v>0</v>
      </c>
      <c r="F451" s="1886">
        <f t="shared" si="469"/>
        <v>0</v>
      </c>
      <c r="G451" s="1886">
        <f t="shared" si="469"/>
        <v>0</v>
      </c>
      <c r="H451" s="1886">
        <f t="shared" si="469"/>
        <v>0</v>
      </c>
      <c r="I451" s="1886">
        <f t="shared" ca="1" si="469"/>
        <v>0</v>
      </c>
      <c r="J451" s="1886">
        <f t="shared" ca="1" si="469"/>
        <v>0</v>
      </c>
      <c r="K451" s="1886">
        <f t="shared" ca="1" si="469"/>
        <v>0</v>
      </c>
      <c r="L451" s="1887">
        <f t="shared" ca="1" si="453"/>
        <v>0</v>
      </c>
      <c r="M451" s="1887">
        <f t="shared" ca="1" si="454"/>
        <v>0</v>
      </c>
      <c r="N451" s="1888">
        <f t="shared" ca="1" si="455"/>
        <v>0</v>
      </c>
      <c r="O451" s="1888">
        <f t="shared" ca="1" si="456"/>
        <v>0</v>
      </c>
      <c r="P451" s="3369"/>
      <c r="Q451" s="2778">
        <f t="shared" si="457"/>
        <v>0</v>
      </c>
      <c r="R451" s="2082">
        <f>++'Compra -HOJA1'!F302</f>
        <v>0</v>
      </c>
      <c r="S451" s="1736" t="str">
        <f t="shared" si="458"/>
        <v>OK</v>
      </c>
      <c r="T451" s="1736"/>
    </row>
    <row r="452" spans="1:20" s="250" customFormat="1" ht="27" hidden="1" customHeight="1" thickBot="1" x14ac:dyDescent="0.4">
      <c r="A452" s="4101"/>
      <c r="B452" s="1949">
        <v>5600</v>
      </c>
      <c r="C452" s="3746"/>
      <c r="D452" s="1949" t="s">
        <v>169</v>
      </c>
      <c r="E452" s="1886">
        <f t="shared" ref="E452:K452" si="470">+INT(E611)</f>
        <v>0</v>
      </c>
      <c r="F452" s="1886">
        <f t="shared" si="470"/>
        <v>0</v>
      </c>
      <c r="G452" s="1886">
        <f t="shared" si="470"/>
        <v>0</v>
      </c>
      <c r="H452" s="1886">
        <f t="shared" si="470"/>
        <v>0</v>
      </c>
      <c r="I452" s="1886">
        <f t="shared" ca="1" si="470"/>
        <v>0</v>
      </c>
      <c r="J452" s="1886">
        <f t="shared" ca="1" si="470"/>
        <v>0</v>
      </c>
      <c r="K452" s="1886">
        <f t="shared" ca="1" si="470"/>
        <v>0</v>
      </c>
      <c r="L452" s="1887">
        <f t="shared" ca="1" si="453"/>
        <v>0</v>
      </c>
      <c r="M452" s="1887">
        <f t="shared" ca="1" si="454"/>
        <v>0</v>
      </c>
      <c r="N452" s="1888">
        <f t="shared" ca="1" si="455"/>
        <v>0</v>
      </c>
      <c r="O452" s="1888">
        <f t="shared" ca="1" si="456"/>
        <v>0</v>
      </c>
      <c r="P452" s="3369"/>
      <c r="Q452" s="2778">
        <f t="shared" si="457"/>
        <v>0</v>
      </c>
      <c r="R452" s="2082">
        <f>++'Compra -HOJA1'!F303</f>
        <v>0</v>
      </c>
      <c r="S452" s="1736" t="str">
        <f t="shared" si="458"/>
        <v>OK</v>
      </c>
      <c r="T452" s="1736"/>
    </row>
    <row r="453" spans="1:20" s="250" customFormat="1" ht="27" hidden="1" customHeight="1" thickBot="1" x14ac:dyDescent="0.4">
      <c r="A453" s="4102"/>
      <c r="B453" s="3173">
        <v>5601</v>
      </c>
      <c r="C453" s="3747"/>
      <c r="D453" s="3173" t="s">
        <v>49</v>
      </c>
      <c r="E453" s="1886">
        <f t="shared" ref="E453:K453" si="471">+INT(E612)</f>
        <v>0</v>
      </c>
      <c r="F453" s="1886">
        <f t="shared" si="471"/>
        <v>0</v>
      </c>
      <c r="G453" s="1886">
        <f t="shared" si="471"/>
        <v>0</v>
      </c>
      <c r="H453" s="1886">
        <f t="shared" si="471"/>
        <v>0</v>
      </c>
      <c r="I453" s="1886">
        <f t="shared" ca="1" si="471"/>
        <v>0</v>
      </c>
      <c r="J453" s="1886">
        <f t="shared" ca="1" si="471"/>
        <v>0</v>
      </c>
      <c r="K453" s="1886">
        <f t="shared" ca="1" si="471"/>
        <v>0</v>
      </c>
      <c r="L453" s="1887">
        <f t="shared" ca="1" si="453"/>
        <v>0</v>
      </c>
      <c r="M453" s="1887">
        <f t="shared" ca="1" si="454"/>
        <v>0</v>
      </c>
      <c r="N453" s="1888">
        <f t="shared" ca="1" si="455"/>
        <v>0</v>
      </c>
      <c r="O453" s="1888">
        <f t="shared" ca="1" si="456"/>
        <v>0</v>
      </c>
      <c r="P453" s="3369"/>
      <c r="Q453" s="2778">
        <f t="shared" si="457"/>
        <v>0</v>
      </c>
      <c r="R453" s="2082">
        <f>++'Compra -HOJA1'!F304</f>
        <v>0</v>
      </c>
      <c r="S453" s="1736" t="str">
        <f t="shared" si="458"/>
        <v>OK</v>
      </c>
      <c r="T453" s="1736"/>
    </row>
    <row r="454" spans="1:20" s="250" customFormat="1" ht="27" hidden="1" customHeight="1" thickBot="1" x14ac:dyDescent="0.4">
      <c r="A454" s="4062" t="s">
        <v>52</v>
      </c>
      <c r="B454" s="3172">
        <v>5030</v>
      </c>
      <c r="C454" s="3758" t="s">
        <v>217</v>
      </c>
      <c r="D454" s="3758"/>
      <c r="E454" s="1886">
        <f t="shared" ref="E454:K454" si="472">+INT(E613)</f>
        <v>0</v>
      </c>
      <c r="F454" s="1886">
        <f t="shared" si="472"/>
        <v>0</v>
      </c>
      <c r="G454" s="1886">
        <f t="shared" si="472"/>
        <v>0</v>
      </c>
      <c r="H454" s="1886">
        <f t="shared" si="472"/>
        <v>0</v>
      </c>
      <c r="I454" s="1886">
        <f t="shared" ca="1" si="472"/>
        <v>0</v>
      </c>
      <c r="J454" s="1886">
        <f t="shared" ca="1" si="472"/>
        <v>0</v>
      </c>
      <c r="K454" s="1886">
        <f t="shared" ca="1" si="472"/>
        <v>0</v>
      </c>
      <c r="L454" s="1887">
        <f t="shared" ca="1" si="453"/>
        <v>0</v>
      </c>
      <c r="M454" s="1887">
        <f t="shared" ca="1" si="454"/>
        <v>0</v>
      </c>
      <c r="N454" s="1888">
        <f t="shared" ca="1" si="455"/>
        <v>0</v>
      </c>
      <c r="O454" s="1888">
        <f t="shared" ca="1" si="456"/>
        <v>0</v>
      </c>
      <c r="P454" s="4485" t="s">
        <v>52</v>
      </c>
      <c r="Q454" s="2778">
        <f t="shared" si="457"/>
        <v>0</v>
      </c>
      <c r="R454" s="2082">
        <f>++'Compra -HOJA1'!F305</f>
        <v>0</v>
      </c>
      <c r="S454" s="1736" t="str">
        <f t="shared" si="458"/>
        <v>OK</v>
      </c>
      <c r="T454" s="1736"/>
    </row>
    <row r="455" spans="1:20" s="250" customFormat="1" ht="27" hidden="1" customHeight="1" thickBot="1" x14ac:dyDescent="0.4">
      <c r="A455" s="4063"/>
      <c r="B455" s="1954">
        <v>5040</v>
      </c>
      <c r="C455" s="3743" t="s">
        <v>218</v>
      </c>
      <c r="D455" s="3744"/>
      <c r="E455" s="1886">
        <f t="shared" ref="E455:K455" si="473">+INT(E614)</f>
        <v>0</v>
      </c>
      <c r="F455" s="1886">
        <f t="shared" si="473"/>
        <v>0</v>
      </c>
      <c r="G455" s="1886">
        <f t="shared" si="473"/>
        <v>0</v>
      </c>
      <c r="H455" s="1886">
        <f t="shared" si="473"/>
        <v>0</v>
      </c>
      <c r="I455" s="1886">
        <f t="shared" ca="1" si="473"/>
        <v>0</v>
      </c>
      <c r="J455" s="1886">
        <f t="shared" ca="1" si="473"/>
        <v>0</v>
      </c>
      <c r="K455" s="1886">
        <f t="shared" ca="1" si="473"/>
        <v>0</v>
      </c>
      <c r="L455" s="1887">
        <f t="shared" ca="1" si="453"/>
        <v>0</v>
      </c>
      <c r="M455" s="1887">
        <f t="shared" ca="1" si="454"/>
        <v>0</v>
      </c>
      <c r="N455" s="1888">
        <f t="shared" ca="1" si="455"/>
        <v>0</v>
      </c>
      <c r="O455" s="1888">
        <f t="shared" ca="1" si="456"/>
        <v>0</v>
      </c>
      <c r="P455" s="4485"/>
      <c r="Q455" s="2778">
        <f t="shared" si="457"/>
        <v>0</v>
      </c>
      <c r="R455" s="2082">
        <f>++'Compra -HOJA1'!F306</f>
        <v>0</v>
      </c>
      <c r="S455" s="1736" t="str">
        <f t="shared" si="458"/>
        <v>OK</v>
      </c>
      <c r="T455" s="1736"/>
    </row>
    <row r="456" spans="1:20" s="250" customFormat="1" ht="27" hidden="1" customHeight="1" thickBot="1" x14ac:dyDescent="0.4">
      <c r="A456" s="4063"/>
      <c r="B456" s="1954"/>
      <c r="C456" s="3743" t="s">
        <v>620</v>
      </c>
      <c r="D456" s="3744"/>
      <c r="E456" s="1886">
        <f t="shared" ref="E456:K456" si="474">+INT(E615)</f>
        <v>0</v>
      </c>
      <c r="F456" s="1886">
        <f t="shared" si="474"/>
        <v>0</v>
      </c>
      <c r="G456" s="1886">
        <f t="shared" si="474"/>
        <v>0</v>
      </c>
      <c r="H456" s="1886">
        <f t="shared" si="474"/>
        <v>0</v>
      </c>
      <c r="I456" s="1886">
        <f t="shared" ca="1" si="474"/>
        <v>0</v>
      </c>
      <c r="J456" s="1886">
        <f t="shared" ca="1" si="474"/>
        <v>0</v>
      </c>
      <c r="K456" s="1886">
        <f t="shared" ca="1" si="474"/>
        <v>0</v>
      </c>
      <c r="L456" s="1887">
        <f t="shared" ca="1" si="453"/>
        <v>0</v>
      </c>
      <c r="M456" s="1887">
        <f t="shared" ca="1" si="454"/>
        <v>0</v>
      </c>
      <c r="N456" s="1888">
        <f t="shared" ca="1" si="455"/>
        <v>0</v>
      </c>
      <c r="O456" s="1888">
        <f t="shared" ca="1" si="456"/>
        <v>0</v>
      </c>
      <c r="P456" s="4485"/>
      <c r="Q456" s="2778">
        <f t="shared" si="457"/>
        <v>0</v>
      </c>
      <c r="R456" s="2082">
        <f>++'Compra -HOJA1'!F307</f>
        <v>0</v>
      </c>
      <c r="S456" s="1736" t="str">
        <f t="shared" si="458"/>
        <v>OK</v>
      </c>
      <c r="T456" s="1736"/>
    </row>
    <row r="457" spans="1:20" s="250" customFormat="1" ht="27" hidden="1" customHeight="1" thickBot="1" x14ac:dyDescent="0.4">
      <c r="A457" s="4063"/>
      <c r="B457" s="1954">
        <v>5045</v>
      </c>
      <c r="C457" s="3743" t="s">
        <v>221</v>
      </c>
      <c r="D457" s="3744"/>
      <c r="E457" s="1886">
        <f t="shared" ref="E457:K457" si="475">+INT(E616)</f>
        <v>0</v>
      </c>
      <c r="F457" s="1886">
        <f t="shared" si="475"/>
        <v>0</v>
      </c>
      <c r="G457" s="1886">
        <f t="shared" si="475"/>
        <v>0</v>
      </c>
      <c r="H457" s="1886">
        <f t="shared" si="475"/>
        <v>0</v>
      </c>
      <c r="I457" s="1886">
        <f t="shared" ca="1" si="475"/>
        <v>0</v>
      </c>
      <c r="J457" s="1886">
        <f t="shared" ca="1" si="475"/>
        <v>0</v>
      </c>
      <c r="K457" s="1886">
        <f t="shared" ca="1" si="475"/>
        <v>0</v>
      </c>
      <c r="L457" s="1887">
        <f t="shared" ca="1" si="453"/>
        <v>0</v>
      </c>
      <c r="M457" s="1887">
        <f t="shared" ca="1" si="454"/>
        <v>0</v>
      </c>
      <c r="N457" s="1888">
        <f t="shared" ca="1" si="455"/>
        <v>0</v>
      </c>
      <c r="O457" s="1888">
        <f t="shared" ca="1" si="456"/>
        <v>0</v>
      </c>
      <c r="P457" s="4485"/>
      <c r="Q457" s="2778">
        <f t="shared" si="457"/>
        <v>0</v>
      </c>
      <c r="R457" s="2082">
        <f>++'Compra -HOJA1'!F308</f>
        <v>0</v>
      </c>
      <c r="S457" s="1736" t="str">
        <f t="shared" si="458"/>
        <v>OK</v>
      </c>
      <c r="T457" s="1736"/>
    </row>
    <row r="458" spans="1:20" s="250" customFormat="1" ht="27" hidden="1" customHeight="1" thickBot="1" x14ac:dyDescent="0.4">
      <c r="A458" s="4063"/>
      <c r="B458" s="1955">
        <v>5050</v>
      </c>
      <c r="C458" s="3742" t="s">
        <v>219</v>
      </c>
      <c r="D458" s="3742"/>
      <c r="E458" s="1886">
        <f t="shared" ref="E458:K458" si="476">+INT(E617)</f>
        <v>0</v>
      </c>
      <c r="F458" s="1886">
        <f t="shared" si="476"/>
        <v>0</v>
      </c>
      <c r="G458" s="1886">
        <f t="shared" si="476"/>
        <v>0</v>
      </c>
      <c r="H458" s="1886">
        <f t="shared" si="476"/>
        <v>0</v>
      </c>
      <c r="I458" s="1886">
        <f t="shared" ca="1" si="476"/>
        <v>0</v>
      </c>
      <c r="J458" s="1886">
        <f t="shared" ca="1" si="476"/>
        <v>0</v>
      </c>
      <c r="K458" s="1886">
        <f t="shared" ca="1" si="476"/>
        <v>0</v>
      </c>
      <c r="L458" s="1887">
        <f t="shared" ca="1" si="453"/>
        <v>0</v>
      </c>
      <c r="M458" s="1887">
        <f t="shared" ca="1" si="454"/>
        <v>0</v>
      </c>
      <c r="N458" s="1888">
        <f t="shared" ca="1" si="455"/>
        <v>0</v>
      </c>
      <c r="O458" s="1888">
        <f t="shared" ca="1" si="456"/>
        <v>0</v>
      </c>
      <c r="P458" s="4485"/>
      <c r="Q458" s="2778">
        <f t="shared" si="457"/>
        <v>0</v>
      </c>
      <c r="R458" s="2082">
        <f>++'Compra -HOJA1'!F309</f>
        <v>0</v>
      </c>
      <c r="S458" s="1736" t="str">
        <f t="shared" si="458"/>
        <v>OK</v>
      </c>
      <c r="T458" s="1736"/>
    </row>
    <row r="459" spans="1:20" s="250" customFormat="1" ht="27" hidden="1" customHeight="1" thickBot="1" x14ac:dyDescent="0.4">
      <c r="A459" s="4063"/>
      <c r="B459" s="1955"/>
      <c r="C459" s="3742" t="s">
        <v>621</v>
      </c>
      <c r="D459" s="3742"/>
      <c r="E459" s="1886">
        <f t="shared" ref="E459:K459" si="477">+INT(E618)</f>
        <v>0</v>
      </c>
      <c r="F459" s="1886">
        <f t="shared" si="477"/>
        <v>0</v>
      </c>
      <c r="G459" s="1886">
        <f t="shared" si="477"/>
        <v>0</v>
      </c>
      <c r="H459" s="1886">
        <f t="shared" si="477"/>
        <v>0</v>
      </c>
      <c r="I459" s="1886">
        <f t="shared" ca="1" si="477"/>
        <v>0</v>
      </c>
      <c r="J459" s="1886">
        <f t="shared" ca="1" si="477"/>
        <v>0</v>
      </c>
      <c r="K459" s="1886">
        <f t="shared" ca="1" si="477"/>
        <v>0</v>
      </c>
      <c r="L459" s="1887">
        <f t="shared" ca="1" si="453"/>
        <v>0</v>
      </c>
      <c r="M459" s="1887">
        <f t="shared" ca="1" si="454"/>
        <v>0</v>
      </c>
      <c r="N459" s="1888">
        <f t="shared" ca="1" si="455"/>
        <v>0</v>
      </c>
      <c r="O459" s="1888">
        <f t="shared" ca="1" si="456"/>
        <v>0</v>
      </c>
      <c r="P459" s="4485"/>
      <c r="Q459" s="2778">
        <f t="shared" si="457"/>
        <v>0</v>
      </c>
      <c r="R459" s="2082">
        <f>++'Compra -HOJA1'!F310</f>
        <v>0</v>
      </c>
      <c r="S459" s="1736" t="str">
        <f t="shared" si="458"/>
        <v>OK</v>
      </c>
      <c r="T459" s="1736"/>
    </row>
    <row r="460" spans="1:20" s="250" customFormat="1" ht="27" hidden="1" customHeight="1" thickBot="1" x14ac:dyDescent="0.4">
      <c r="A460" s="4063"/>
      <c r="B460" s="1955">
        <v>5055</v>
      </c>
      <c r="C460" s="3742" t="s">
        <v>222</v>
      </c>
      <c r="D460" s="3742"/>
      <c r="E460" s="1886">
        <f t="shared" ref="E460:K460" si="478">+INT(E619)</f>
        <v>0</v>
      </c>
      <c r="F460" s="1886">
        <f t="shared" si="478"/>
        <v>0</v>
      </c>
      <c r="G460" s="1886">
        <f t="shared" si="478"/>
        <v>0</v>
      </c>
      <c r="H460" s="1886">
        <f t="shared" si="478"/>
        <v>0</v>
      </c>
      <c r="I460" s="1886">
        <f t="shared" ca="1" si="478"/>
        <v>0</v>
      </c>
      <c r="J460" s="1886">
        <f t="shared" ca="1" si="478"/>
        <v>0</v>
      </c>
      <c r="K460" s="1886">
        <f t="shared" ca="1" si="478"/>
        <v>0</v>
      </c>
      <c r="L460" s="1887">
        <f t="shared" ca="1" si="453"/>
        <v>0</v>
      </c>
      <c r="M460" s="1887">
        <f t="shared" ca="1" si="454"/>
        <v>0</v>
      </c>
      <c r="N460" s="1888">
        <f t="shared" ca="1" si="455"/>
        <v>0</v>
      </c>
      <c r="O460" s="1888">
        <f t="shared" ca="1" si="456"/>
        <v>0</v>
      </c>
      <c r="P460" s="4485"/>
      <c r="Q460" s="2778">
        <f t="shared" si="457"/>
        <v>0</v>
      </c>
      <c r="R460" s="2082">
        <f>++'Compra -HOJA1'!F311</f>
        <v>0</v>
      </c>
      <c r="S460" s="1736" t="str">
        <f t="shared" si="458"/>
        <v>OK</v>
      </c>
      <c r="T460" s="1736"/>
    </row>
    <row r="461" spans="1:20" s="250" customFormat="1" ht="27" hidden="1" customHeight="1" thickBot="1" x14ac:dyDescent="0.4">
      <c r="A461" s="4063"/>
      <c r="B461" s="1948">
        <v>5503</v>
      </c>
      <c r="C461" s="3751" t="s">
        <v>1234</v>
      </c>
      <c r="D461" s="1948" t="s">
        <v>53</v>
      </c>
      <c r="E461" s="1886">
        <f t="shared" ref="E461:K461" si="479">+INT(E620)</f>
        <v>0</v>
      </c>
      <c r="F461" s="1886">
        <f t="shared" si="479"/>
        <v>0</v>
      </c>
      <c r="G461" s="1886">
        <f t="shared" si="479"/>
        <v>0</v>
      </c>
      <c r="H461" s="1886">
        <f t="shared" si="479"/>
        <v>0</v>
      </c>
      <c r="I461" s="1886">
        <f t="shared" ca="1" si="479"/>
        <v>0</v>
      </c>
      <c r="J461" s="1886">
        <f t="shared" ca="1" si="479"/>
        <v>0</v>
      </c>
      <c r="K461" s="1886">
        <f t="shared" ca="1" si="479"/>
        <v>0</v>
      </c>
      <c r="L461" s="1887">
        <f t="shared" ca="1" si="453"/>
        <v>0</v>
      </c>
      <c r="M461" s="1887">
        <f t="shared" ca="1" si="454"/>
        <v>0</v>
      </c>
      <c r="N461" s="1888">
        <f t="shared" ca="1" si="455"/>
        <v>0</v>
      </c>
      <c r="O461" s="1888">
        <f t="shared" ca="1" si="456"/>
        <v>0</v>
      </c>
      <c r="P461" s="4485"/>
      <c r="Q461" s="2778">
        <f t="shared" si="457"/>
        <v>0</v>
      </c>
      <c r="R461" s="2082">
        <f>++'Compra -HOJA1'!F312</f>
        <v>0</v>
      </c>
      <c r="S461" s="1736" t="str">
        <f t="shared" si="458"/>
        <v>OK</v>
      </c>
      <c r="T461" s="1736"/>
    </row>
    <row r="462" spans="1:20" s="250" customFormat="1" ht="27" hidden="1" customHeight="1" thickBot="1" x14ac:dyDescent="0.4">
      <c r="A462" s="4063"/>
      <c r="B462" s="1948">
        <v>5504</v>
      </c>
      <c r="C462" s="3746"/>
      <c r="D462" s="1948" t="s">
        <v>54</v>
      </c>
      <c r="E462" s="1886">
        <f t="shared" ref="E462:K462" si="480">+INT(E621)</f>
        <v>0</v>
      </c>
      <c r="F462" s="1886">
        <f t="shared" si="480"/>
        <v>0</v>
      </c>
      <c r="G462" s="1886">
        <f t="shared" si="480"/>
        <v>0</v>
      </c>
      <c r="H462" s="1886">
        <f t="shared" si="480"/>
        <v>0</v>
      </c>
      <c r="I462" s="1886">
        <f t="shared" ca="1" si="480"/>
        <v>0</v>
      </c>
      <c r="J462" s="1886">
        <f t="shared" ca="1" si="480"/>
        <v>0</v>
      </c>
      <c r="K462" s="1886">
        <f t="shared" ca="1" si="480"/>
        <v>0</v>
      </c>
      <c r="L462" s="1887">
        <f t="shared" ca="1" si="453"/>
        <v>0</v>
      </c>
      <c r="M462" s="1887">
        <f t="shared" ca="1" si="454"/>
        <v>0</v>
      </c>
      <c r="N462" s="1888">
        <f t="shared" ca="1" si="455"/>
        <v>0</v>
      </c>
      <c r="O462" s="1888">
        <f t="shared" ca="1" si="456"/>
        <v>0</v>
      </c>
      <c r="P462" s="4485"/>
      <c r="Q462" s="2778">
        <f t="shared" si="457"/>
        <v>0</v>
      </c>
      <c r="R462" s="2082">
        <f>++'Compra -HOJA1'!F313</f>
        <v>0</v>
      </c>
      <c r="S462" s="1736" t="str">
        <f t="shared" si="458"/>
        <v>OK</v>
      </c>
      <c r="T462" s="1736"/>
    </row>
    <row r="463" spans="1:20" s="250" customFormat="1" ht="27" hidden="1" customHeight="1" thickBot="1" x14ac:dyDescent="0.4">
      <c r="A463" s="4063"/>
      <c r="B463" s="1948"/>
      <c r="C463" s="3746"/>
      <c r="D463" s="1948" t="s">
        <v>622</v>
      </c>
      <c r="E463" s="1886">
        <f t="shared" ref="E463:K463" si="481">+INT(E622)</f>
        <v>0</v>
      </c>
      <c r="F463" s="1886">
        <f t="shared" si="481"/>
        <v>0</v>
      </c>
      <c r="G463" s="1886">
        <f t="shared" si="481"/>
        <v>0</v>
      </c>
      <c r="H463" s="1886">
        <f t="shared" si="481"/>
        <v>0</v>
      </c>
      <c r="I463" s="1886">
        <f t="shared" ca="1" si="481"/>
        <v>0</v>
      </c>
      <c r="J463" s="1886">
        <f t="shared" ca="1" si="481"/>
        <v>0</v>
      </c>
      <c r="K463" s="1886">
        <f t="shared" ca="1" si="481"/>
        <v>0</v>
      </c>
      <c r="L463" s="1887">
        <f t="shared" ca="1" si="453"/>
        <v>0</v>
      </c>
      <c r="M463" s="1887">
        <f t="shared" ca="1" si="454"/>
        <v>0</v>
      </c>
      <c r="N463" s="1888">
        <f t="shared" ca="1" si="455"/>
        <v>0</v>
      </c>
      <c r="O463" s="1888">
        <f t="shared" ca="1" si="456"/>
        <v>0</v>
      </c>
      <c r="P463" s="4485"/>
      <c r="Q463" s="2778">
        <f t="shared" si="457"/>
        <v>0</v>
      </c>
      <c r="R463" s="2082">
        <f>++'Compra -HOJA1'!F314</f>
        <v>0</v>
      </c>
      <c r="S463" s="1736" t="str">
        <f t="shared" si="458"/>
        <v>OK</v>
      </c>
      <c r="T463" s="1736"/>
    </row>
    <row r="464" spans="1:20" s="250" customFormat="1" ht="27" hidden="1" customHeight="1" thickBot="1" x14ac:dyDescent="0.4">
      <c r="A464" s="4063"/>
      <c r="B464" s="1949">
        <v>5553</v>
      </c>
      <c r="C464" s="3746"/>
      <c r="D464" s="1949" t="s">
        <v>55</v>
      </c>
      <c r="E464" s="1886">
        <f t="shared" ref="E464:K464" si="482">+INT(E623)</f>
        <v>0</v>
      </c>
      <c r="F464" s="1886">
        <f t="shared" si="482"/>
        <v>0</v>
      </c>
      <c r="G464" s="1886">
        <f t="shared" si="482"/>
        <v>0</v>
      </c>
      <c r="H464" s="1886">
        <f t="shared" si="482"/>
        <v>0</v>
      </c>
      <c r="I464" s="1886">
        <f t="shared" ca="1" si="482"/>
        <v>0</v>
      </c>
      <c r="J464" s="1886">
        <f t="shared" ca="1" si="482"/>
        <v>0</v>
      </c>
      <c r="K464" s="1886">
        <f t="shared" ca="1" si="482"/>
        <v>0</v>
      </c>
      <c r="L464" s="1887">
        <f t="shared" ca="1" si="453"/>
        <v>0</v>
      </c>
      <c r="M464" s="1887">
        <f t="shared" ca="1" si="454"/>
        <v>0</v>
      </c>
      <c r="N464" s="1888">
        <f t="shared" ca="1" si="455"/>
        <v>0</v>
      </c>
      <c r="O464" s="1888">
        <f t="shared" ca="1" si="456"/>
        <v>0</v>
      </c>
      <c r="P464" s="4485"/>
      <c r="Q464" s="2778">
        <f t="shared" si="457"/>
        <v>0</v>
      </c>
      <c r="R464" s="2082">
        <f>++'Compra -HOJA1'!F315</f>
        <v>0</v>
      </c>
      <c r="S464" s="1736" t="str">
        <f t="shared" si="458"/>
        <v>OK</v>
      </c>
      <c r="T464" s="1736"/>
    </row>
    <row r="465" spans="1:20" s="250" customFormat="1" ht="27" hidden="1" customHeight="1" thickBot="1" x14ac:dyDescent="0.4">
      <c r="A465" s="4063"/>
      <c r="B465" s="3173">
        <v>5554</v>
      </c>
      <c r="C465" s="3746"/>
      <c r="D465" s="3173" t="s">
        <v>56</v>
      </c>
      <c r="E465" s="1886">
        <f t="shared" ref="E465:K465" si="483">+INT(E624)</f>
        <v>0</v>
      </c>
      <c r="F465" s="1886">
        <f t="shared" si="483"/>
        <v>0</v>
      </c>
      <c r="G465" s="1886">
        <f t="shared" si="483"/>
        <v>0</v>
      </c>
      <c r="H465" s="1886">
        <f t="shared" si="483"/>
        <v>0</v>
      </c>
      <c r="I465" s="1886">
        <f t="shared" ca="1" si="483"/>
        <v>0</v>
      </c>
      <c r="J465" s="1886">
        <f t="shared" ca="1" si="483"/>
        <v>0</v>
      </c>
      <c r="K465" s="1886">
        <f t="shared" ca="1" si="483"/>
        <v>0</v>
      </c>
      <c r="L465" s="1887">
        <f t="shared" ca="1" si="453"/>
        <v>0</v>
      </c>
      <c r="M465" s="1887">
        <f t="shared" ca="1" si="454"/>
        <v>0</v>
      </c>
      <c r="N465" s="1888">
        <f t="shared" ca="1" si="455"/>
        <v>0</v>
      </c>
      <c r="O465" s="1888">
        <f t="shared" ca="1" si="456"/>
        <v>0</v>
      </c>
      <c r="P465" s="4485"/>
      <c r="Q465" s="2778">
        <f t="shared" si="457"/>
        <v>0</v>
      </c>
      <c r="R465" s="2082">
        <f>++'Compra -HOJA1'!F316</f>
        <v>0</v>
      </c>
      <c r="S465" s="1736" t="str">
        <f t="shared" si="458"/>
        <v>OK</v>
      </c>
      <c r="T465" s="1736"/>
    </row>
    <row r="466" spans="1:20" s="250" customFormat="1" ht="27" hidden="1" customHeight="1" thickBot="1" x14ac:dyDescent="0.4">
      <c r="A466" s="4063"/>
      <c r="B466" s="3419"/>
      <c r="C466" s="3752"/>
      <c r="D466" s="1949" t="s">
        <v>623</v>
      </c>
      <c r="E466" s="1886">
        <f t="shared" ref="E466:K466" si="484">+INT(E625)</f>
        <v>0</v>
      </c>
      <c r="F466" s="1886">
        <f t="shared" si="484"/>
        <v>0</v>
      </c>
      <c r="G466" s="1886">
        <f t="shared" si="484"/>
        <v>0</v>
      </c>
      <c r="H466" s="1886">
        <f t="shared" si="484"/>
        <v>0</v>
      </c>
      <c r="I466" s="1886">
        <f t="shared" ca="1" si="484"/>
        <v>0</v>
      </c>
      <c r="J466" s="1886">
        <f t="shared" ca="1" si="484"/>
        <v>0</v>
      </c>
      <c r="K466" s="1886">
        <f t="shared" ca="1" si="484"/>
        <v>0</v>
      </c>
      <c r="L466" s="1887">
        <f t="shared" ca="1" si="453"/>
        <v>0</v>
      </c>
      <c r="M466" s="1887">
        <f t="shared" ca="1" si="454"/>
        <v>0</v>
      </c>
      <c r="N466" s="1888">
        <f t="shared" ca="1" si="455"/>
        <v>0</v>
      </c>
      <c r="O466" s="1888">
        <f t="shared" ca="1" si="456"/>
        <v>0</v>
      </c>
      <c r="P466" s="3369"/>
      <c r="Q466" s="2778">
        <f t="shared" si="457"/>
        <v>0</v>
      </c>
      <c r="R466" s="2082">
        <f>++'Compra -HOJA1'!F317</f>
        <v>0</v>
      </c>
      <c r="S466" s="1736" t="str">
        <f t="shared" si="458"/>
        <v>OK</v>
      </c>
      <c r="T466" s="1736"/>
    </row>
    <row r="467" spans="1:20" s="250" customFormat="1" ht="27" hidden="1" customHeight="1" thickBot="1" x14ac:dyDescent="0.4">
      <c r="A467" s="4063"/>
      <c r="B467" s="1948">
        <v>5572</v>
      </c>
      <c r="C467" s="4074" t="s">
        <v>1235</v>
      </c>
      <c r="D467" s="1948" t="s">
        <v>53</v>
      </c>
      <c r="E467" s="1886">
        <f t="shared" ref="E467:K467" si="485">+INT(E626)</f>
        <v>0</v>
      </c>
      <c r="F467" s="1886">
        <f t="shared" si="485"/>
        <v>0</v>
      </c>
      <c r="G467" s="1886">
        <f t="shared" si="485"/>
        <v>0</v>
      </c>
      <c r="H467" s="1886">
        <f t="shared" si="485"/>
        <v>0</v>
      </c>
      <c r="I467" s="1886">
        <f t="shared" ca="1" si="485"/>
        <v>0</v>
      </c>
      <c r="J467" s="1886">
        <f t="shared" ca="1" si="485"/>
        <v>0</v>
      </c>
      <c r="K467" s="1886">
        <f t="shared" ca="1" si="485"/>
        <v>0</v>
      </c>
      <c r="L467" s="1887">
        <f t="shared" ca="1" si="453"/>
        <v>0</v>
      </c>
      <c r="M467" s="1887">
        <f t="shared" ca="1" si="454"/>
        <v>0</v>
      </c>
      <c r="N467" s="1888">
        <f t="shared" ca="1" si="455"/>
        <v>0</v>
      </c>
      <c r="O467" s="1888">
        <f t="shared" ca="1" si="456"/>
        <v>0</v>
      </c>
      <c r="P467" s="3369"/>
      <c r="Q467" s="2778">
        <f t="shared" si="457"/>
        <v>0</v>
      </c>
      <c r="R467" s="2082">
        <f>++'Compra -HOJA1'!F318</f>
        <v>0</v>
      </c>
      <c r="S467" s="1736" t="str">
        <f t="shared" si="458"/>
        <v>OK</v>
      </c>
      <c r="T467" s="1736"/>
    </row>
    <row r="468" spans="1:20" s="250" customFormat="1" ht="27" hidden="1" customHeight="1" thickBot="1" x14ac:dyDescent="0.4">
      <c r="A468" s="4063"/>
      <c r="B468" s="1948">
        <v>5573</v>
      </c>
      <c r="C468" s="4074"/>
      <c r="D468" s="1948" t="s">
        <v>54</v>
      </c>
      <c r="E468" s="1886">
        <f t="shared" ref="E468:K468" si="486">+INT(E627)</f>
        <v>0</v>
      </c>
      <c r="F468" s="1886">
        <f t="shared" si="486"/>
        <v>0</v>
      </c>
      <c r="G468" s="1886">
        <f t="shared" si="486"/>
        <v>0</v>
      </c>
      <c r="H468" s="1886">
        <f t="shared" si="486"/>
        <v>0</v>
      </c>
      <c r="I468" s="1886">
        <f t="shared" ca="1" si="486"/>
        <v>0</v>
      </c>
      <c r="J468" s="1886">
        <f t="shared" ca="1" si="486"/>
        <v>0</v>
      </c>
      <c r="K468" s="1886">
        <f t="shared" ca="1" si="486"/>
        <v>0</v>
      </c>
      <c r="L468" s="1887">
        <f t="shared" ca="1" si="453"/>
        <v>0</v>
      </c>
      <c r="M468" s="1887">
        <f t="shared" ca="1" si="454"/>
        <v>0</v>
      </c>
      <c r="N468" s="1888">
        <f t="shared" ca="1" si="455"/>
        <v>0</v>
      </c>
      <c r="O468" s="1888">
        <f t="shared" ca="1" si="456"/>
        <v>0</v>
      </c>
      <c r="P468" s="3369"/>
      <c r="Q468" s="2778">
        <f t="shared" si="457"/>
        <v>0</v>
      </c>
      <c r="R468" s="2082">
        <f>++'Compra -HOJA1'!F319</f>
        <v>0</v>
      </c>
      <c r="S468" s="1736" t="str">
        <f t="shared" si="458"/>
        <v>OK</v>
      </c>
      <c r="T468" s="1736"/>
    </row>
    <row r="469" spans="1:20" s="250" customFormat="1" ht="27" hidden="1" customHeight="1" thickBot="1" x14ac:dyDescent="0.4">
      <c r="A469" s="4063"/>
      <c r="B469" s="1949">
        <v>5582</v>
      </c>
      <c r="C469" s="4074"/>
      <c r="D469" s="1949" t="s">
        <v>55</v>
      </c>
      <c r="E469" s="1886">
        <f t="shared" ref="E469:K469" si="487">+INT(E628)</f>
        <v>0</v>
      </c>
      <c r="F469" s="1886">
        <f t="shared" si="487"/>
        <v>0</v>
      </c>
      <c r="G469" s="1886">
        <f t="shared" si="487"/>
        <v>0</v>
      </c>
      <c r="H469" s="1886">
        <f t="shared" si="487"/>
        <v>0</v>
      </c>
      <c r="I469" s="1886">
        <f t="shared" ca="1" si="487"/>
        <v>0</v>
      </c>
      <c r="J469" s="1886">
        <f t="shared" ca="1" si="487"/>
        <v>0</v>
      </c>
      <c r="K469" s="1886">
        <f t="shared" ca="1" si="487"/>
        <v>0</v>
      </c>
      <c r="L469" s="1887">
        <f t="shared" ca="1" si="453"/>
        <v>0</v>
      </c>
      <c r="M469" s="1887">
        <f t="shared" ca="1" si="454"/>
        <v>0</v>
      </c>
      <c r="N469" s="1888">
        <f t="shared" ca="1" si="455"/>
        <v>0</v>
      </c>
      <c r="O469" s="1888">
        <f t="shared" ca="1" si="456"/>
        <v>0</v>
      </c>
      <c r="P469" s="3369"/>
      <c r="Q469" s="2778">
        <f t="shared" si="457"/>
        <v>0</v>
      </c>
      <c r="R469" s="2082">
        <f>++'Compra -HOJA1'!F320</f>
        <v>0</v>
      </c>
      <c r="S469" s="1736" t="str">
        <f t="shared" si="458"/>
        <v>OK</v>
      </c>
      <c r="T469" s="1736"/>
    </row>
    <row r="470" spans="1:20" s="250" customFormat="1" ht="27" hidden="1" customHeight="1" thickBot="1" x14ac:dyDescent="0.4">
      <c r="A470" s="4063"/>
      <c r="B470" s="3173">
        <v>5583</v>
      </c>
      <c r="C470" s="4074"/>
      <c r="D470" s="3173" t="s">
        <v>56</v>
      </c>
      <c r="E470" s="1886">
        <f t="shared" ref="E470:K470" si="488">+INT(E629)</f>
        <v>0</v>
      </c>
      <c r="F470" s="1886">
        <f t="shared" si="488"/>
        <v>0</v>
      </c>
      <c r="G470" s="1886">
        <f t="shared" si="488"/>
        <v>0</v>
      </c>
      <c r="H470" s="1886">
        <f t="shared" si="488"/>
        <v>0</v>
      </c>
      <c r="I470" s="1886">
        <f t="shared" ca="1" si="488"/>
        <v>0</v>
      </c>
      <c r="J470" s="1886">
        <f t="shared" ca="1" si="488"/>
        <v>0</v>
      </c>
      <c r="K470" s="1886">
        <f t="shared" ca="1" si="488"/>
        <v>0</v>
      </c>
      <c r="L470" s="1887">
        <f t="shared" ca="1" si="453"/>
        <v>0</v>
      </c>
      <c r="M470" s="1887">
        <f t="shared" ca="1" si="454"/>
        <v>0</v>
      </c>
      <c r="N470" s="1888">
        <f t="shared" ca="1" si="455"/>
        <v>0</v>
      </c>
      <c r="O470" s="1888">
        <f t="shared" ca="1" si="456"/>
        <v>0</v>
      </c>
      <c r="P470" s="3369"/>
      <c r="Q470" s="2778">
        <f t="shared" si="457"/>
        <v>0</v>
      </c>
      <c r="R470" s="2082">
        <f>++'Compra -HOJA1'!F321</f>
        <v>0</v>
      </c>
      <c r="S470" s="1736" t="str">
        <f t="shared" si="458"/>
        <v>OK</v>
      </c>
      <c r="T470" s="1736"/>
    </row>
    <row r="471" spans="1:20" s="250" customFormat="1" ht="27" hidden="1" customHeight="1" thickBot="1" x14ac:dyDescent="0.4">
      <c r="A471" s="4063"/>
      <c r="B471" s="1948">
        <v>5592</v>
      </c>
      <c r="C471" s="3746" t="s">
        <v>1236</v>
      </c>
      <c r="D471" s="1948" t="s">
        <v>53</v>
      </c>
      <c r="E471" s="1886">
        <f t="shared" ref="E471:K471" si="489">+INT(E630)</f>
        <v>0</v>
      </c>
      <c r="F471" s="1886">
        <f t="shared" si="489"/>
        <v>0</v>
      </c>
      <c r="G471" s="1886">
        <f t="shared" si="489"/>
        <v>0</v>
      </c>
      <c r="H471" s="1886">
        <f t="shared" si="489"/>
        <v>0</v>
      </c>
      <c r="I471" s="1886">
        <f t="shared" ca="1" si="489"/>
        <v>0</v>
      </c>
      <c r="J471" s="1886">
        <f t="shared" ca="1" si="489"/>
        <v>0</v>
      </c>
      <c r="K471" s="1886">
        <f t="shared" ca="1" si="489"/>
        <v>0</v>
      </c>
      <c r="L471" s="1887">
        <f t="shared" ca="1" si="453"/>
        <v>0</v>
      </c>
      <c r="M471" s="1887">
        <f t="shared" ca="1" si="454"/>
        <v>0</v>
      </c>
      <c r="N471" s="1888">
        <f t="shared" ca="1" si="455"/>
        <v>0</v>
      </c>
      <c r="O471" s="1888">
        <f t="shared" ca="1" si="456"/>
        <v>0</v>
      </c>
      <c r="P471" s="3369"/>
      <c r="Q471" s="2778">
        <f t="shared" si="457"/>
        <v>0</v>
      </c>
      <c r="R471" s="2082">
        <f>++'Compra -HOJA1'!F322</f>
        <v>0</v>
      </c>
      <c r="S471" s="1736" t="str">
        <f t="shared" si="458"/>
        <v>OK</v>
      </c>
      <c r="T471" s="1736"/>
    </row>
    <row r="472" spans="1:20" s="250" customFormat="1" ht="27" hidden="1" customHeight="1" thickBot="1" x14ac:dyDescent="0.4">
      <c r="A472" s="4063"/>
      <c r="B472" s="1948">
        <v>5593</v>
      </c>
      <c r="C472" s="3746"/>
      <c r="D472" s="1948" t="s">
        <v>54</v>
      </c>
      <c r="E472" s="1886">
        <f t="shared" ref="E472:K473" si="490">+INT(E631)</f>
        <v>0</v>
      </c>
      <c r="F472" s="1886">
        <f t="shared" si="490"/>
        <v>0</v>
      </c>
      <c r="G472" s="1886">
        <f t="shared" si="490"/>
        <v>0</v>
      </c>
      <c r="H472" s="1886">
        <f t="shared" si="490"/>
        <v>0</v>
      </c>
      <c r="I472" s="1886">
        <f t="shared" ca="1" si="490"/>
        <v>0</v>
      </c>
      <c r="J472" s="1886">
        <f t="shared" ca="1" si="490"/>
        <v>0</v>
      </c>
      <c r="K472" s="1886">
        <f t="shared" ca="1" si="490"/>
        <v>0</v>
      </c>
      <c r="L472" s="1887">
        <f t="shared" ca="1" si="453"/>
        <v>0</v>
      </c>
      <c r="M472" s="1887">
        <f t="shared" ca="1" si="454"/>
        <v>0</v>
      </c>
      <c r="N472" s="1888">
        <f t="shared" ca="1" si="455"/>
        <v>0</v>
      </c>
      <c r="O472" s="1888">
        <f t="shared" ca="1" si="456"/>
        <v>0</v>
      </c>
      <c r="P472" s="3369"/>
      <c r="Q472" s="2778">
        <f t="shared" si="457"/>
        <v>0</v>
      </c>
      <c r="R472" s="2082">
        <f>++'Compra -HOJA1'!F323</f>
        <v>0</v>
      </c>
      <c r="S472" s="1736" t="str">
        <f t="shared" si="458"/>
        <v>OK</v>
      </c>
      <c r="T472" s="1736"/>
    </row>
    <row r="473" spans="1:20" s="250" customFormat="1" ht="27" hidden="1" customHeight="1" thickBot="1" x14ac:dyDescent="0.4">
      <c r="A473" s="4063"/>
      <c r="B473" s="1948"/>
      <c r="C473" s="3746"/>
      <c r="D473" s="1948" t="s">
        <v>1359</v>
      </c>
      <c r="E473" s="1886">
        <f t="shared" si="490"/>
        <v>0</v>
      </c>
      <c r="F473" s="1886">
        <f t="shared" si="490"/>
        <v>0</v>
      </c>
      <c r="G473" s="1886">
        <f t="shared" si="490"/>
        <v>0</v>
      </c>
      <c r="H473" s="1886">
        <f t="shared" si="490"/>
        <v>0</v>
      </c>
      <c r="I473" s="1886">
        <f t="shared" ca="1" si="490"/>
        <v>0</v>
      </c>
      <c r="J473" s="1886">
        <f t="shared" ca="1" si="490"/>
        <v>0</v>
      </c>
      <c r="K473" s="1886">
        <f t="shared" ca="1" si="490"/>
        <v>0</v>
      </c>
      <c r="L473" s="1887">
        <f t="shared" ref="L473" ca="1" si="491">+F473+I473</f>
        <v>0</v>
      </c>
      <c r="M473" s="1887">
        <f t="shared" ref="M473" ca="1" si="492">+G473+J473</f>
        <v>0</v>
      </c>
      <c r="N473" s="1888">
        <f t="shared" ref="N473" ca="1" si="493">+H473+K473</f>
        <v>0</v>
      </c>
      <c r="O473" s="1888">
        <f t="shared" ref="O473" ca="1" si="494">SUM(L473:N473)</f>
        <v>0</v>
      </c>
      <c r="P473" s="3369"/>
      <c r="Q473" s="2778">
        <f t="shared" ref="Q473" si="495">+SUM(F473:H473)</f>
        <v>0</v>
      </c>
      <c r="R473" s="2082">
        <f>++'Compra -HOJA1'!F324</f>
        <v>0</v>
      </c>
      <c r="S473" s="1736" t="str">
        <f t="shared" ref="S473" si="496">+IF(Q473=R473,"OK","VERIFICAR")</f>
        <v>OK</v>
      </c>
      <c r="T473" s="1736"/>
    </row>
    <row r="474" spans="1:20" s="250" customFormat="1" ht="27" hidden="1" customHeight="1" thickBot="1" x14ac:dyDescent="0.4">
      <c r="A474" s="4063"/>
      <c r="B474" s="1949">
        <v>5602</v>
      </c>
      <c r="C474" s="3746"/>
      <c r="D474" s="1949" t="s">
        <v>55</v>
      </c>
      <c r="E474" s="1886">
        <f t="shared" ref="E474:K474" si="497">+INT(E633)</f>
        <v>0</v>
      </c>
      <c r="F474" s="1886">
        <f t="shared" si="497"/>
        <v>0</v>
      </c>
      <c r="G474" s="1886">
        <f t="shared" si="497"/>
        <v>0</v>
      </c>
      <c r="H474" s="1886">
        <f t="shared" si="497"/>
        <v>0</v>
      </c>
      <c r="I474" s="1886">
        <f t="shared" ca="1" si="497"/>
        <v>0</v>
      </c>
      <c r="J474" s="1886">
        <f t="shared" ca="1" si="497"/>
        <v>0</v>
      </c>
      <c r="K474" s="1886">
        <f t="shared" ca="1" si="497"/>
        <v>0</v>
      </c>
      <c r="L474" s="1887">
        <f t="shared" ca="1" si="453"/>
        <v>0</v>
      </c>
      <c r="M474" s="1887">
        <f t="shared" ca="1" si="454"/>
        <v>0</v>
      </c>
      <c r="N474" s="1888">
        <f t="shared" ca="1" si="455"/>
        <v>0</v>
      </c>
      <c r="O474" s="1888">
        <f t="shared" ca="1" si="456"/>
        <v>0</v>
      </c>
      <c r="P474" s="3369"/>
      <c r="Q474" s="2778">
        <f t="shared" si="457"/>
        <v>0</v>
      </c>
      <c r="R474" s="2082">
        <f>++'Compra -HOJA1'!F325</f>
        <v>0</v>
      </c>
      <c r="S474" s="1736" t="str">
        <f t="shared" si="458"/>
        <v>OK</v>
      </c>
      <c r="T474" s="1736"/>
    </row>
    <row r="475" spans="1:20" s="250" customFormat="1" ht="27" hidden="1" customHeight="1" thickBot="1" x14ac:dyDescent="0.4">
      <c r="A475" s="4064"/>
      <c r="B475" s="3173">
        <v>5603</v>
      </c>
      <c r="C475" s="3747"/>
      <c r="D475" s="3173" t="s">
        <v>56</v>
      </c>
      <c r="E475" s="1886">
        <f t="shared" ref="E475:K476" si="498">+INT(E634)</f>
        <v>0</v>
      </c>
      <c r="F475" s="1886">
        <f t="shared" si="498"/>
        <v>0</v>
      </c>
      <c r="G475" s="1886">
        <f t="shared" si="498"/>
        <v>0</v>
      </c>
      <c r="H475" s="1886">
        <f t="shared" si="498"/>
        <v>0</v>
      </c>
      <c r="I475" s="1886">
        <f t="shared" ca="1" si="498"/>
        <v>0</v>
      </c>
      <c r="J475" s="1886">
        <f t="shared" ca="1" si="498"/>
        <v>0</v>
      </c>
      <c r="K475" s="1886">
        <f t="shared" ca="1" si="498"/>
        <v>0</v>
      </c>
      <c r="L475" s="1887">
        <f t="shared" ca="1" si="453"/>
        <v>0</v>
      </c>
      <c r="M475" s="1887">
        <f t="shared" ca="1" si="454"/>
        <v>0</v>
      </c>
      <c r="N475" s="1888">
        <f t="shared" ca="1" si="455"/>
        <v>0</v>
      </c>
      <c r="O475" s="1888">
        <f t="shared" ca="1" si="456"/>
        <v>0</v>
      </c>
      <c r="P475" s="3369"/>
      <c r="Q475" s="2778">
        <f t="shared" si="457"/>
        <v>0</v>
      </c>
      <c r="R475" s="2082">
        <f>++'Compra -HOJA1'!F326</f>
        <v>0</v>
      </c>
      <c r="S475" s="1736" t="str">
        <f t="shared" si="458"/>
        <v>OK</v>
      </c>
      <c r="T475" s="1736"/>
    </row>
    <row r="476" spans="1:20" s="250" customFormat="1" ht="27" hidden="1" customHeight="1" thickBot="1" x14ac:dyDescent="0.4">
      <c r="A476" s="3489"/>
      <c r="B476" s="3515"/>
      <c r="C476" s="3482"/>
      <c r="D476" s="3173" t="s">
        <v>623</v>
      </c>
      <c r="E476" s="1886">
        <f t="shared" si="498"/>
        <v>0</v>
      </c>
      <c r="F476" s="1886">
        <f t="shared" si="498"/>
        <v>0</v>
      </c>
      <c r="G476" s="1886">
        <f t="shared" si="498"/>
        <v>0</v>
      </c>
      <c r="H476" s="1886">
        <f t="shared" si="498"/>
        <v>0</v>
      </c>
      <c r="I476" s="1886">
        <f t="shared" ca="1" si="498"/>
        <v>0</v>
      </c>
      <c r="J476" s="1886">
        <f t="shared" ca="1" si="498"/>
        <v>0</v>
      </c>
      <c r="K476" s="1886">
        <f t="shared" ca="1" si="498"/>
        <v>0</v>
      </c>
      <c r="L476" s="1887">
        <f t="shared" ref="L476" ca="1" si="499">+F476+I476</f>
        <v>0</v>
      </c>
      <c r="M476" s="1887">
        <f t="shared" ref="M476" ca="1" si="500">+G476+J476</f>
        <v>0</v>
      </c>
      <c r="N476" s="1888">
        <f t="shared" ref="N476" ca="1" si="501">+H476+K476</f>
        <v>0</v>
      </c>
      <c r="O476" s="1888">
        <f t="shared" ref="O476" ca="1" si="502">SUM(L476:N476)</f>
        <v>0</v>
      </c>
      <c r="P476" s="3369"/>
      <c r="Q476" s="2778">
        <f t="shared" ref="Q476" si="503">+SUM(F476:H476)</f>
        <v>0</v>
      </c>
      <c r="R476" s="2082">
        <f>++'Compra -HOJA1'!F327</f>
        <v>0</v>
      </c>
      <c r="S476" s="1736" t="str">
        <f t="shared" ref="S476" si="504">+IF(Q476=R476,"OK","VERIFICAR")</f>
        <v>OK</v>
      </c>
      <c r="T476" s="1736"/>
    </row>
    <row r="477" spans="1:20" s="250" customFormat="1" ht="27" hidden="1" customHeight="1" thickBot="1" x14ac:dyDescent="0.4">
      <c r="A477" s="4065" t="s">
        <v>57</v>
      </c>
      <c r="B477" s="3172">
        <v>5030</v>
      </c>
      <c r="C477" s="3758" t="s">
        <v>217</v>
      </c>
      <c r="D477" s="3758"/>
      <c r="E477" s="1886">
        <f t="shared" ref="E477:K477" si="505">+INT(E636)</f>
        <v>0</v>
      </c>
      <c r="F477" s="1886">
        <f t="shared" si="505"/>
        <v>0</v>
      </c>
      <c r="G477" s="1886">
        <f t="shared" si="505"/>
        <v>0</v>
      </c>
      <c r="H477" s="1886">
        <f t="shared" si="505"/>
        <v>0</v>
      </c>
      <c r="I477" s="1886">
        <f t="shared" ca="1" si="505"/>
        <v>0</v>
      </c>
      <c r="J477" s="1886">
        <f t="shared" ca="1" si="505"/>
        <v>0</v>
      </c>
      <c r="K477" s="1886">
        <f t="shared" ca="1" si="505"/>
        <v>0</v>
      </c>
      <c r="L477" s="1887">
        <f t="shared" ca="1" si="453"/>
        <v>0</v>
      </c>
      <c r="M477" s="1887">
        <f t="shared" ca="1" si="454"/>
        <v>0</v>
      </c>
      <c r="N477" s="1888">
        <f t="shared" ca="1" si="455"/>
        <v>0</v>
      </c>
      <c r="O477" s="1888">
        <f t="shared" ca="1" si="456"/>
        <v>0</v>
      </c>
      <c r="P477" s="4484" t="s">
        <v>57</v>
      </c>
      <c r="Q477" s="2778">
        <f t="shared" si="457"/>
        <v>0</v>
      </c>
      <c r="R477" s="2082">
        <f>++'Compra -HOJA1'!F328</f>
        <v>0</v>
      </c>
      <c r="S477" s="1736" t="str">
        <f t="shared" si="458"/>
        <v>OK</v>
      </c>
      <c r="T477" s="1736"/>
    </row>
    <row r="478" spans="1:20" s="250" customFormat="1" ht="27" hidden="1" customHeight="1" thickBot="1" x14ac:dyDescent="0.4">
      <c r="A478" s="4066"/>
      <c r="B478" s="1954">
        <v>5040</v>
      </c>
      <c r="C478" s="3743" t="s">
        <v>218</v>
      </c>
      <c r="D478" s="3744"/>
      <c r="E478" s="1886">
        <f t="shared" ref="E478:K478" si="506">+INT(E637)</f>
        <v>0</v>
      </c>
      <c r="F478" s="1886">
        <f t="shared" si="506"/>
        <v>0</v>
      </c>
      <c r="G478" s="1886">
        <f t="shared" si="506"/>
        <v>0</v>
      </c>
      <c r="H478" s="1886">
        <f t="shared" si="506"/>
        <v>0</v>
      </c>
      <c r="I478" s="1886">
        <f t="shared" ca="1" si="506"/>
        <v>0</v>
      </c>
      <c r="J478" s="1886">
        <f t="shared" ca="1" si="506"/>
        <v>0</v>
      </c>
      <c r="K478" s="1886">
        <f t="shared" ca="1" si="506"/>
        <v>0</v>
      </c>
      <c r="L478" s="1887">
        <f t="shared" ca="1" si="453"/>
        <v>0</v>
      </c>
      <c r="M478" s="1887">
        <f t="shared" ca="1" si="454"/>
        <v>0</v>
      </c>
      <c r="N478" s="1888">
        <f t="shared" ca="1" si="455"/>
        <v>0</v>
      </c>
      <c r="O478" s="1888">
        <f t="shared" ca="1" si="456"/>
        <v>0</v>
      </c>
      <c r="P478" s="4485"/>
      <c r="Q478" s="2778">
        <f t="shared" si="457"/>
        <v>0</v>
      </c>
      <c r="R478" s="2082">
        <f>++'Compra -HOJA1'!F329</f>
        <v>0</v>
      </c>
      <c r="S478" s="1736" t="str">
        <f t="shared" si="458"/>
        <v>OK</v>
      </c>
      <c r="T478" s="1736"/>
    </row>
    <row r="479" spans="1:20" s="250" customFormat="1" ht="27" hidden="1" customHeight="1" thickBot="1" x14ac:dyDescent="0.4">
      <c r="A479" s="4066"/>
      <c r="B479" s="1954"/>
      <c r="C479" s="3743" t="s">
        <v>620</v>
      </c>
      <c r="D479" s="3744"/>
      <c r="E479" s="1886">
        <f t="shared" ref="E479:K479" si="507">+INT(E638)</f>
        <v>0</v>
      </c>
      <c r="F479" s="1886">
        <f t="shared" si="507"/>
        <v>0</v>
      </c>
      <c r="G479" s="1886">
        <f t="shared" si="507"/>
        <v>0</v>
      </c>
      <c r="H479" s="1886">
        <f t="shared" si="507"/>
        <v>0</v>
      </c>
      <c r="I479" s="1886">
        <f t="shared" ca="1" si="507"/>
        <v>0</v>
      </c>
      <c r="J479" s="1886">
        <f t="shared" ca="1" si="507"/>
        <v>0</v>
      </c>
      <c r="K479" s="1886">
        <f t="shared" ca="1" si="507"/>
        <v>0</v>
      </c>
      <c r="L479" s="1887">
        <f t="shared" ca="1" si="453"/>
        <v>0</v>
      </c>
      <c r="M479" s="1887">
        <f t="shared" ca="1" si="454"/>
        <v>0</v>
      </c>
      <c r="N479" s="1888">
        <f t="shared" ca="1" si="455"/>
        <v>0</v>
      </c>
      <c r="O479" s="1888">
        <f t="shared" ca="1" si="456"/>
        <v>0</v>
      </c>
      <c r="P479" s="4485"/>
      <c r="Q479" s="2778">
        <f t="shared" si="457"/>
        <v>0</v>
      </c>
      <c r="R479" s="2082">
        <f>++'Compra -HOJA1'!F330</f>
        <v>0</v>
      </c>
      <c r="S479" s="1736" t="str">
        <f t="shared" si="458"/>
        <v>OK</v>
      </c>
      <c r="T479" s="1736"/>
    </row>
    <row r="480" spans="1:20" s="250" customFormat="1" ht="27" hidden="1" customHeight="1" thickBot="1" x14ac:dyDescent="0.4">
      <c r="A480" s="4066"/>
      <c r="B480" s="1954">
        <v>5045</v>
      </c>
      <c r="C480" s="3743" t="s">
        <v>221</v>
      </c>
      <c r="D480" s="3744"/>
      <c r="E480" s="1886">
        <f t="shared" ref="E480:K480" si="508">+INT(E639)</f>
        <v>0</v>
      </c>
      <c r="F480" s="1886">
        <f t="shared" si="508"/>
        <v>0</v>
      </c>
      <c r="G480" s="1886">
        <f t="shared" si="508"/>
        <v>0</v>
      </c>
      <c r="H480" s="1886">
        <f t="shared" si="508"/>
        <v>0</v>
      </c>
      <c r="I480" s="1886">
        <f t="shared" ca="1" si="508"/>
        <v>0</v>
      </c>
      <c r="J480" s="1886">
        <f t="shared" ca="1" si="508"/>
        <v>0</v>
      </c>
      <c r="K480" s="1886">
        <f t="shared" ca="1" si="508"/>
        <v>0</v>
      </c>
      <c r="L480" s="1887">
        <f t="shared" ca="1" si="453"/>
        <v>0</v>
      </c>
      <c r="M480" s="1887">
        <f t="shared" ca="1" si="454"/>
        <v>0</v>
      </c>
      <c r="N480" s="1888">
        <f t="shared" ca="1" si="455"/>
        <v>0</v>
      </c>
      <c r="O480" s="1888">
        <f t="shared" ca="1" si="456"/>
        <v>0</v>
      </c>
      <c r="P480" s="4485"/>
      <c r="Q480" s="2778">
        <f t="shared" si="457"/>
        <v>0</v>
      </c>
      <c r="R480" s="2082">
        <f>++'Compra -HOJA1'!F331</f>
        <v>0</v>
      </c>
      <c r="S480" s="1736" t="str">
        <f t="shared" si="458"/>
        <v>OK</v>
      </c>
    </row>
    <row r="481" spans="1:19" s="250" customFormat="1" ht="27" hidden="1" customHeight="1" thickBot="1" x14ac:dyDescent="0.4">
      <c r="A481" s="4066"/>
      <c r="B481" s="1955">
        <v>5050</v>
      </c>
      <c r="C481" s="3742" t="s">
        <v>219</v>
      </c>
      <c r="D481" s="3742"/>
      <c r="E481" s="1886">
        <f t="shared" ref="E481:K481" si="509">+INT(E640)</f>
        <v>0</v>
      </c>
      <c r="F481" s="1886">
        <f t="shared" si="509"/>
        <v>0</v>
      </c>
      <c r="G481" s="1886">
        <f t="shared" si="509"/>
        <v>0</v>
      </c>
      <c r="H481" s="1886">
        <f t="shared" si="509"/>
        <v>0</v>
      </c>
      <c r="I481" s="1886">
        <f t="shared" ca="1" si="509"/>
        <v>0</v>
      </c>
      <c r="J481" s="1886">
        <f t="shared" ca="1" si="509"/>
        <v>0</v>
      </c>
      <c r="K481" s="1886">
        <f t="shared" ca="1" si="509"/>
        <v>0</v>
      </c>
      <c r="L481" s="1887">
        <f t="shared" ca="1" si="453"/>
        <v>0</v>
      </c>
      <c r="M481" s="1887">
        <f t="shared" ca="1" si="454"/>
        <v>0</v>
      </c>
      <c r="N481" s="1888">
        <f t="shared" ca="1" si="455"/>
        <v>0</v>
      </c>
      <c r="O481" s="1888">
        <f t="shared" ca="1" si="456"/>
        <v>0</v>
      </c>
      <c r="P481" s="4485"/>
      <c r="Q481" s="2778">
        <f t="shared" si="457"/>
        <v>0</v>
      </c>
      <c r="R481" s="2082">
        <f>++'Compra -HOJA1'!F332</f>
        <v>0</v>
      </c>
      <c r="S481" s="1736" t="str">
        <f t="shared" si="458"/>
        <v>OK</v>
      </c>
    </row>
    <row r="482" spans="1:19" s="250" customFormat="1" ht="27" hidden="1" customHeight="1" thickBot="1" x14ac:dyDescent="0.4">
      <c r="A482" s="4066"/>
      <c r="B482" s="1955"/>
      <c r="C482" s="3742" t="s">
        <v>621</v>
      </c>
      <c r="D482" s="3742"/>
      <c r="E482" s="1886">
        <f t="shared" ref="E482:K482" si="510">+INT(E641)</f>
        <v>0</v>
      </c>
      <c r="F482" s="1886">
        <f t="shared" si="510"/>
        <v>0</v>
      </c>
      <c r="G482" s="1886">
        <f t="shared" si="510"/>
        <v>0</v>
      </c>
      <c r="H482" s="1886">
        <f t="shared" si="510"/>
        <v>0</v>
      </c>
      <c r="I482" s="1886">
        <f t="shared" ca="1" si="510"/>
        <v>0</v>
      </c>
      <c r="J482" s="1886">
        <f t="shared" ca="1" si="510"/>
        <v>0</v>
      </c>
      <c r="K482" s="1886">
        <f t="shared" ca="1" si="510"/>
        <v>0</v>
      </c>
      <c r="L482" s="1887">
        <f t="shared" ca="1" si="453"/>
        <v>0</v>
      </c>
      <c r="M482" s="1887">
        <f t="shared" ca="1" si="454"/>
        <v>0</v>
      </c>
      <c r="N482" s="1888">
        <f t="shared" ca="1" si="455"/>
        <v>0</v>
      </c>
      <c r="O482" s="1888">
        <f t="shared" ca="1" si="456"/>
        <v>0</v>
      </c>
      <c r="P482" s="4485"/>
      <c r="Q482" s="2778">
        <f t="shared" si="457"/>
        <v>0</v>
      </c>
      <c r="R482" s="2082">
        <f>++'Compra -HOJA1'!F333</f>
        <v>0</v>
      </c>
      <c r="S482" s="1736" t="str">
        <f t="shared" si="458"/>
        <v>OK</v>
      </c>
    </row>
    <row r="483" spans="1:19" s="250" customFormat="1" ht="27" hidden="1" customHeight="1" thickBot="1" x14ac:dyDescent="0.4">
      <c r="A483" s="4066"/>
      <c r="B483" s="1955">
        <v>5055</v>
      </c>
      <c r="C483" s="3742" t="s">
        <v>222</v>
      </c>
      <c r="D483" s="3742"/>
      <c r="E483" s="1886">
        <f t="shared" ref="E483:K483" si="511">+INT(E642)</f>
        <v>0</v>
      </c>
      <c r="F483" s="1886">
        <f t="shared" si="511"/>
        <v>0</v>
      </c>
      <c r="G483" s="1886">
        <f t="shared" si="511"/>
        <v>0</v>
      </c>
      <c r="H483" s="1886">
        <f t="shared" si="511"/>
        <v>0</v>
      </c>
      <c r="I483" s="1886">
        <f t="shared" ca="1" si="511"/>
        <v>0</v>
      </c>
      <c r="J483" s="1886">
        <f t="shared" ca="1" si="511"/>
        <v>0</v>
      </c>
      <c r="K483" s="1886">
        <f t="shared" ca="1" si="511"/>
        <v>0</v>
      </c>
      <c r="L483" s="1887">
        <f t="shared" ca="1" si="453"/>
        <v>0</v>
      </c>
      <c r="M483" s="1887">
        <f t="shared" ca="1" si="454"/>
        <v>0</v>
      </c>
      <c r="N483" s="1888">
        <f t="shared" ca="1" si="455"/>
        <v>0</v>
      </c>
      <c r="O483" s="1888">
        <f t="shared" ca="1" si="456"/>
        <v>0</v>
      </c>
      <c r="P483" s="4485"/>
      <c r="Q483" s="2778">
        <f t="shared" si="457"/>
        <v>0</v>
      </c>
      <c r="R483" s="2082">
        <f>++'Compra -HOJA1'!F334</f>
        <v>0</v>
      </c>
      <c r="S483" s="1736" t="str">
        <f t="shared" si="458"/>
        <v>OK</v>
      </c>
    </row>
    <row r="484" spans="1:19" s="250" customFormat="1" ht="27" hidden="1" customHeight="1" thickBot="1" x14ac:dyDescent="0.4">
      <c r="A484" s="4066"/>
      <c r="B484" s="1948">
        <v>5506</v>
      </c>
      <c r="C484" s="3751" t="s">
        <v>1234</v>
      </c>
      <c r="D484" s="1948" t="s">
        <v>59</v>
      </c>
      <c r="E484" s="1886">
        <f t="shared" ref="E484:K484" si="512">+INT(E643)</f>
        <v>0</v>
      </c>
      <c r="F484" s="1886">
        <f t="shared" si="512"/>
        <v>0</v>
      </c>
      <c r="G484" s="1886">
        <f t="shared" si="512"/>
        <v>0</v>
      </c>
      <c r="H484" s="1886">
        <f t="shared" si="512"/>
        <v>0</v>
      </c>
      <c r="I484" s="1886">
        <f t="shared" ca="1" si="512"/>
        <v>0</v>
      </c>
      <c r="J484" s="1886">
        <f t="shared" ca="1" si="512"/>
        <v>0</v>
      </c>
      <c r="K484" s="1886">
        <f t="shared" ca="1" si="512"/>
        <v>0</v>
      </c>
      <c r="L484" s="1887">
        <f t="shared" ca="1" si="453"/>
        <v>0</v>
      </c>
      <c r="M484" s="1887">
        <f t="shared" ca="1" si="454"/>
        <v>0</v>
      </c>
      <c r="N484" s="1888">
        <f t="shared" ca="1" si="455"/>
        <v>0</v>
      </c>
      <c r="O484" s="1888">
        <f t="shared" ca="1" si="456"/>
        <v>0</v>
      </c>
      <c r="P484" s="4485"/>
      <c r="Q484" s="2778">
        <f t="shared" si="457"/>
        <v>0</v>
      </c>
      <c r="R484" s="2082">
        <f>++'Compra -HOJA1'!F335</f>
        <v>0</v>
      </c>
      <c r="S484" s="1736" t="str">
        <f t="shared" si="458"/>
        <v>OK</v>
      </c>
    </row>
    <row r="485" spans="1:19" s="250" customFormat="1" ht="27" hidden="1" customHeight="1" thickBot="1" x14ac:dyDescent="0.4">
      <c r="A485" s="4066"/>
      <c r="B485" s="1948"/>
      <c r="C485" s="3746"/>
      <c r="D485" s="1948" t="s">
        <v>590</v>
      </c>
      <c r="E485" s="1886">
        <f t="shared" ref="E485:K485" si="513">+INT(E644)</f>
        <v>0</v>
      </c>
      <c r="F485" s="1886">
        <f t="shared" si="513"/>
        <v>0</v>
      </c>
      <c r="G485" s="1886">
        <f t="shared" si="513"/>
        <v>0</v>
      </c>
      <c r="H485" s="1886">
        <f t="shared" si="513"/>
        <v>0</v>
      </c>
      <c r="I485" s="1886">
        <f t="shared" ca="1" si="513"/>
        <v>0</v>
      </c>
      <c r="J485" s="1886">
        <f t="shared" ca="1" si="513"/>
        <v>0</v>
      </c>
      <c r="K485" s="1886">
        <f t="shared" ca="1" si="513"/>
        <v>0</v>
      </c>
      <c r="L485" s="1887">
        <f t="shared" ca="1" si="453"/>
        <v>0</v>
      </c>
      <c r="M485" s="1887">
        <f t="shared" ca="1" si="454"/>
        <v>0</v>
      </c>
      <c r="N485" s="1888">
        <f t="shared" ca="1" si="455"/>
        <v>0</v>
      </c>
      <c r="O485" s="1888">
        <f t="shared" ca="1" si="456"/>
        <v>0</v>
      </c>
      <c r="P485" s="4485"/>
      <c r="Q485" s="2778">
        <f t="shared" si="457"/>
        <v>0</v>
      </c>
      <c r="R485" s="2082">
        <f>++'Compra -HOJA1'!F336</f>
        <v>0</v>
      </c>
      <c r="S485" s="1736" t="str">
        <f t="shared" si="458"/>
        <v>OK</v>
      </c>
    </row>
    <row r="486" spans="1:19" s="250" customFormat="1" ht="27" hidden="1" customHeight="1" thickBot="1" x14ac:dyDescent="0.4">
      <c r="A486" s="4066"/>
      <c r="B486" s="1949">
        <v>5556</v>
      </c>
      <c r="C486" s="3747"/>
      <c r="D486" s="3173" t="s">
        <v>60</v>
      </c>
      <c r="E486" s="1886">
        <f t="shared" ref="E486:K486" si="514">+INT(E645)</f>
        <v>0</v>
      </c>
      <c r="F486" s="1886">
        <f t="shared" si="514"/>
        <v>0</v>
      </c>
      <c r="G486" s="1886">
        <f t="shared" si="514"/>
        <v>0</v>
      </c>
      <c r="H486" s="1886">
        <f t="shared" si="514"/>
        <v>0</v>
      </c>
      <c r="I486" s="1886">
        <f t="shared" ca="1" si="514"/>
        <v>0</v>
      </c>
      <c r="J486" s="1886">
        <f t="shared" ca="1" si="514"/>
        <v>0</v>
      </c>
      <c r="K486" s="1886">
        <f t="shared" ca="1" si="514"/>
        <v>0</v>
      </c>
      <c r="L486" s="1887">
        <f t="shared" ca="1" si="453"/>
        <v>0</v>
      </c>
      <c r="M486" s="1887">
        <f t="shared" ca="1" si="454"/>
        <v>0</v>
      </c>
      <c r="N486" s="1888">
        <f t="shared" ca="1" si="455"/>
        <v>0</v>
      </c>
      <c r="O486" s="1888">
        <f t="shared" ca="1" si="456"/>
        <v>0</v>
      </c>
      <c r="P486" s="4485"/>
      <c r="Q486" s="2778">
        <f t="shared" si="457"/>
        <v>0</v>
      </c>
      <c r="R486" s="2082">
        <f>++'Compra -HOJA1'!F337</f>
        <v>0</v>
      </c>
      <c r="S486" s="1736" t="str">
        <f t="shared" si="458"/>
        <v>OK</v>
      </c>
    </row>
    <row r="487" spans="1:19" s="250" customFormat="1" ht="27" hidden="1" customHeight="1" thickBot="1" x14ac:dyDescent="0.4">
      <c r="A487" s="4066"/>
      <c r="B487" s="1949"/>
      <c r="C487" s="3482"/>
      <c r="D487" s="1949" t="s">
        <v>591</v>
      </c>
      <c r="E487" s="1886">
        <f t="shared" ref="E487:K487" si="515">+INT(E646)</f>
        <v>0</v>
      </c>
      <c r="F487" s="1886">
        <f t="shared" si="515"/>
        <v>0</v>
      </c>
      <c r="G487" s="1886">
        <f t="shared" si="515"/>
        <v>0</v>
      </c>
      <c r="H487" s="1886">
        <f t="shared" si="515"/>
        <v>0</v>
      </c>
      <c r="I487" s="1886">
        <f t="shared" ca="1" si="515"/>
        <v>0</v>
      </c>
      <c r="J487" s="1886">
        <f t="shared" ca="1" si="515"/>
        <v>0</v>
      </c>
      <c r="K487" s="1886">
        <f t="shared" ca="1" si="515"/>
        <v>0</v>
      </c>
      <c r="L487" s="1887">
        <f t="shared" ca="1" si="453"/>
        <v>0</v>
      </c>
      <c r="M487" s="1887">
        <f t="shared" ca="1" si="454"/>
        <v>0</v>
      </c>
      <c r="N487" s="1888">
        <f t="shared" ca="1" si="455"/>
        <v>0</v>
      </c>
      <c r="O487" s="1888">
        <f t="shared" ca="1" si="456"/>
        <v>0</v>
      </c>
      <c r="P487" s="3369"/>
      <c r="Q487" s="2778">
        <f t="shared" si="457"/>
        <v>0</v>
      </c>
      <c r="R487" s="2082">
        <f>++'Compra -HOJA1'!F338</f>
        <v>0</v>
      </c>
      <c r="S487" s="1736" t="str">
        <f t="shared" si="458"/>
        <v>OK</v>
      </c>
    </row>
    <row r="488" spans="1:19" s="250" customFormat="1" ht="27" hidden="1" customHeight="1" thickBot="1" x14ac:dyDescent="0.4">
      <c r="A488" s="4066"/>
      <c r="B488" s="1948">
        <v>5574</v>
      </c>
      <c r="C488" s="3751" t="s">
        <v>1232</v>
      </c>
      <c r="D488" s="1948" t="s">
        <v>59</v>
      </c>
      <c r="E488" s="1886">
        <f t="shared" ref="E488:K488" si="516">+INT(E647)</f>
        <v>0</v>
      </c>
      <c r="F488" s="1886">
        <f t="shared" si="516"/>
        <v>0</v>
      </c>
      <c r="G488" s="1886">
        <f t="shared" si="516"/>
        <v>0</v>
      </c>
      <c r="H488" s="1886">
        <f t="shared" si="516"/>
        <v>0</v>
      </c>
      <c r="I488" s="1886">
        <f t="shared" ca="1" si="516"/>
        <v>0</v>
      </c>
      <c r="J488" s="1886">
        <f t="shared" ca="1" si="516"/>
        <v>0</v>
      </c>
      <c r="K488" s="1886">
        <f t="shared" ca="1" si="516"/>
        <v>0</v>
      </c>
      <c r="L488" s="1887">
        <f t="shared" ca="1" si="453"/>
        <v>0</v>
      </c>
      <c r="M488" s="1887">
        <f t="shared" ca="1" si="454"/>
        <v>0</v>
      </c>
      <c r="N488" s="1888">
        <f t="shared" ca="1" si="455"/>
        <v>0</v>
      </c>
      <c r="O488" s="1888">
        <f t="shared" ca="1" si="456"/>
        <v>0</v>
      </c>
      <c r="P488" s="3369"/>
      <c r="Q488" s="2778">
        <f t="shared" si="457"/>
        <v>0</v>
      </c>
      <c r="R488" s="2082">
        <f>++'Compra -HOJA1'!F339</f>
        <v>0</v>
      </c>
      <c r="S488" s="1736" t="str">
        <f t="shared" si="458"/>
        <v>OK</v>
      </c>
    </row>
    <row r="489" spans="1:19" s="250" customFormat="1" ht="27" hidden="1" customHeight="1" thickBot="1" x14ac:dyDescent="0.4">
      <c r="A489" s="4066"/>
      <c r="B489" s="1949">
        <v>5584</v>
      </c>
      <c r="C489" s="3747"/>
      <c r="D489" s="3173" t="s">
        <v>60</v>
      </c>
      <c r="E489" s="1886">
        <f t="shared" ref="E489:K489" si="517">+INT(E648)</f>
        <v>0</v>
      </c>
      <c r="F489" s="1886">
        <f t="shared" si="517"/>
        <v>0</v>
      </c>
      <c r="G489" s="1886">
        <f t="shared" si="517"/>
        <v>0</v>
      </c>
      <c r="H489" s="1886">
        <f t="shared" si="517"/>
        <v>0</v>
      </c>
      <c r="I489" s="1886">
        <f t="shared" ca="1" si="517"/>
        <v>0</v>
      </c>
      <c r="J489" s="1886">
        <f t="shared" ca="1" si="517"/>
        <v>0</v>
      </c>
      <c r="K489" s="1886">
        <f t="shared" ca="1" si="517"/>
        <v>0</v>
      </c>
      <c r="L489" s="1887">
        <f t="shared" ca="1" si="453"/>
        <v>0</v>
      </c>
      <c r="M489" s="1887">
        <f t="shared" ca="1" si="454"/>
        <v>0</v>
      </c>
      <c r="N489" s="1888">
        <f t="shared" ca="1" si="455"/>
        <v>0</v>
      </c>
      <c r="O489" s="1888">
        <f t="shared" ca="1" si="456"/>
        <v>0</v>
      </c>
      <c r="P489" s="3369"/>
      <c r="Q489" s="2778">
        <f t="shared" si="457"/>
        <v>0</v>
      </c>
      <c r="R489" s="2082">
        <f>++'Compra -HOJA1'!F340</f>
        <v>0</v>
      </c>
      <c r="S489" s="1736" t="str">
        <f t="shared" si="458"/>
        <v>OK</v>
      </c>
    </row>
    <row r="490" spans="1:19" s="250" customFormat="1" ht="27" hidden="1" customHeight="1" thickBot="1" x14ac:dyDescent="0.4">
      <c r="A490" s="4066"/>
      <c r="B490" s="1948">
        <v>5594</v>
      </c>
      <c r="C490" s="3751" t="s">
        <v>1233</v>
      </c>
      <c r="D490" s="1948" t="s">
        <v>59</v>
      </c>
      <c r="E490" s="1886">
        <f t="shared" ref="E490:K491" si="518">+INT(E649)</f>
        <v>0</v>
      </c>
      <c r="F490" s="1886">
        <f t="shared" si="518"/>
        <v>0</v>
      </c>
      <c r="G490" s="1886">
        <f t="shared" si="518"/>
        <v>0</v>
      </c>
      <c r="H490" s="1886">
        <f t="shared" si="518"/>
        <v>0</v>
      </c>
      <c r="I490" s="1886">
        <f t="shared" ca="1" si="518"/>
        <v>0</v>
      </c>
      <c r="J490" s="1886">
        <f t="shared" ca="1" si="518"/>
        <v>0</v>
      </c>
      <c r="K490" s="1886">
        <f t="shared" ca="1" si="518"/>
        <v>0</v>
      </c>
      <c r="L490" s="1887">
        <f t="shared" ca="1" si="453"/>
        <v>0</v>
      </c>
      <c r="M490" s="1887">
        <f t="shared" ca="1" si="454"/>
        <v>0</v>
      </c>
      <c r="N490" s="1888">
        <f t="shared" ca="1" si="455"/>
        <v>0</v>
      </c>
      <c r="O490" s="1888">
        <f t="shared" ca="1" si="456"/>
        <v>0</v>
      </c>
      <c r="P490" s="3369"/>
      <c r="Q490" s="2778">
        <f t="shared" si="457"/>
        <v>0</v>
      </c>
      <c r="R490" s="2082">
        <f>++'Compra -HOJA1'!F341</f>
        <v>0</v>
      </c>
      <c r="S490" s="1736" t="str">
        <f t="shared" si="458"/>
        <v>OK</v>
      </c>
    </row>
    <row r="491" spans="1:19" s="250" customFormat="1" ht="27" hidden="1" customHeight="1" thickBot="1" x14ac:dyDescent="0.4">
      <c r="A491" s="4066"/>
      <c r="B491" s="3484"/>
      <c r="C491" s="3746"/>
      <c r="D491" s="1948" t="s">
        <v>1320</v>
      </c>
      <c r="E491" s="1886">
        <f t="shared" si="518"/>
        <v>0</v>
      </c>
      <c r="F491" s="1886">
        <f t="shared" si="518"/>
        <v>0</v>
      </c>
      <c r="G491" s="1886">
        <f t="shared" si="518"/>
        <v>0</v>
      </c>
      <c r="H491" s="1886">
        <f t="shared" si="518"/>
        <v>0</v>
      </c>
      <c r="I491" s="1886">
        <f t="shared" ca="1" si="518"/>
        <v>0</v>
      </c>
      <c r="J491" s="1886">
        <f t="shared" ca="1" si="518"/>
        <v>0</v>
      </c>
      <c r="K491" s="1886">
        <f t="shared" ca="1" si="518"/>
        <v>0</v>
      </c>
      <c r="L491" s="1887">
        <f t="shared" ref="L491" ca="1" si="519">+F491+I491</f>
        <v>0</v>
      </c>
      <c r="M491" s="1887">
        <f t="shared" ref="M491" ca="1" si="520">+G491+J491</f>
        <v>0</v>
      </c>
      <c r="N491" s="1888">
        <f t="shared" ref="N491" ca="1" si="521">+H491+K491</f>
        <v>0</v>
      </c>
      <c r="O491" s="1888">
        <f t="shared" ref="O491" ca="1" si="522">SUM(L491:N491)</f>
        <v>0</v>
      </c>
      <c r="P491" s="3369"/>
      <c r="Q491" s="2778">
        <f t="shared" ref="Q491" si="523">+SUM(F491:H491)</f>
        <v>0</v>
      </c>
      <c r="R491" s="2082">
        <f>++'Compra -HOJA1'!F342</f>
        <v>0</v>
      </c>
      <c r="S491" s="1736" t="str">
        <f t="shared" ref="S491" si="524">+IF(Q491=R491,"OK","VERIFICAR")</f>
        <v>OK</v>
      </c>
    </row>
    <row r="492" spans="1:19" s="250" customFormat="1" ht="27" hidden="1" customHeight="1" thickBot="1" x14ac:dyDescent="0.4">
      <c r="A492" s="4067"/>
      <c r="B492" s="3419">
        <v>5604</v>
      </c>
      <c r="C492" s="3747"/>
      <c r="D492" s="3173" t="s">
        <v>60</v>
      </c>
      <c r="E492" s="1886">
        <f t="shared" ref="E492:K493" si="525">+INT(E651)</f>
        <v>0</v>
      </c>
      <c r="F492" s="1886">
        <f t="shared" si="525"/>
        <v>0</v>
      </c>
      <c r="G492" s="1886">
        <f t="shared" si="525"/>
        <v>0</v>
      </c>
      <c r="H492" s="1886">
        <f t="shared" si="525"/>
        <v>0</v>
      </c>
      <c r="I492" s="1886">
        <f t="shared" ca="1" si="525"/>
        <v>0</v>
      </c>
      <c r="J492" s="1886">
        <f t="shared" ca="1" si="525"/>
        <v>0</v>
      </c>
      <c r="K492" s="1886">
        <f t="shared" ca="1" si="525"/>
        <v>0</v>
      </c>
      <c r="L492" s="1887">
        <f t="shared" ca="1" si="453"/>
        <v>0</v>
      </c>
      <c r="M492" s="1887">
        <f t="shared" ca="1" si="454"/>
        <v>0</v>
      </c>
      <c r="N492" s="1888">
        <f t="shared" ca="1" si="455"/>
        <v>0</v>
      </c>
      <c r="O492" s="1888">
        <f t="shared" ca="1" si="456"/>
        <v>0</v>
      </c>
      <c r="P492" s="3369"/>
      <c r="Q492" s="2778">
        <f t="shared" si="457"/>
        <v>0</v>
      </c>
      <c r="R492" s="2082">
        <f>++'Compra -HOJA1'!F343</f>
        <v>0</v>
      </c>
      <c r="S492" s="1736" t="str">
        <f t="shared" si="458"/>
        <v>OK</v>
      </c>
    </row>
    <row r="493" spans="1:19" s="250" customFormat="1" ht="27" hidden="1" customHeight="1" thickBot="1" x14ac:dyDescent="0.4">
      <c r="A493" s="3490"/>
      <c r="B493" s="3515"/>
      <c r="C493" s="3482"/>
      <c r="D493" s="3173" t="s">
        <v>1321</v>
      </c>
      <c r="E493" s="1886">
        <f t="shared" si="525"/>
        <v>0</v>
      </c>
      <c r="F493" s="1886">
        <f t="shared" si="525"/>
        <v>0</v>
      </c>
      <c r="G493" s="1886">
        <f t="shared" si="525"/>
        <v>0</v>
      </c>
      <c r="H493" s="1886">
        <f t="shared" si="525"/>
        <v>0</v>
      </c>
      <c r="I493" s="1886">
        <f t="shared" ca="1" si="525"/>
        <v>0</v>
      </c>
      <c r="J493" s="1886">
        <f t="shared" ca="1" si="525"/>
        <v>0</v>
      </c>
      <c r="K493" s="1886">
        <f t="shared" ca="1" si="525"/>
        <v>0</v>
      </c>
      <c r="L493" s="1887">
        <f t="shared" ref="L493" ca="1" si="526">+F493+I493</f>
        <v>0</v>
      </c>
      <c r="M493" s="1887">
        <f t="shared" ref="M493" ca="1" si="527">+G493+J493</f>
        <v>0</v>
      </c>
      <c r="N493" s="1888">
        <f t="shared" ref="N493" ca="1" si="528">+H493+K493</f>
        <v>0</v>
      </c>
      <c r="O493" s="1888">
        <f t="shared" ref="O493" ca="1" si="529">SUM(L493:N493)</f>
        <v>0</v>
      </c>
      <c r="P493" s="3369"/>
      <c r="Q493" s="2778">
        <f t="shared" ref="Q493" si="530">+SUM(F493:H493)</f>
        <v>0</v>
      </c>
      <c r="R493" s="2082">
        <f>++'Compra -HOJA1'!F344</f>
        <v>0</v>
      </c>
      <c r="S493" s="1736" t="str">
        <f t="shared" ref="S493" si="531">+IF(Q493=R493,"OK","VERIFICAR")</f>
        <v>OK</v>
      </c>
    </row>
    <row r="494" spans="1:19" s="250" customFormat="1" ht="27" hidden="1" customHeight="1" thickBot="1" x14ac:dyDescent="0.4">
      <c r="A494" s="4068" t="s">
        <v>62</v>
      </c>
      <c r="B494" s="3172">
        <v>5030</v>
      </c>
      <c r="C494" s="3758" t="s">
        <v>217</v>
      </c>
      <c r="D494" s="3758"/>
      <c r="E494" s="1886">
        <f t="shared" ref="E494:K494" si="532">+INT(E653)</f>
        <v>0</v>
      </c>
      <c r="F494" s="1886">
        <f t="shared" si="532"/>
        <v>0</v>
      </c>
      <c r="G494" s="1886">
        <f t="shared" si="532"/>
        <v>0</v>
      </c>
      <c r="H494" s="1886">
        <f t="shared" si="532"/>
        <v>0</v>
      </c>
      <c r="I494" s="1886">
        <f t="shared" ca="1" si="532"/>
        <v>0</v>
      </c>
      <c r="J494" s="1886">
        <f t="shared" ca="1" si="532"/>
        <v>0</v>
      </c>
      <c r="K494" s="1886">
        <f t="shared" ca="1" si="532"/>
        <v>0</v>
      </c>
      <c r="L494" s="1887">
        <f t="shared" ca="1" si="453"/>
        <v>0</v>
      </c>
      <c r="M494" s="1887">
        <f t="shared" ca="1" si="454"/>
        <v>0</v>
      </c>
      <c r="N494" s="1888">
        <f t="shared" ca="1" si="455"/>
        <v>0</v>
      </c>
      <c r="O494" s="1888">
        <f t="shared" ca="1" si="456"/>
        <v>0</v>
      </c>
      <c r="P494" s="4484" t="s">
        <v>62</v>
      </c>
      <c r="Q494" s="2778">
        <f t="shared" si="457"/>
        <v>0</v>
      </c>
      <c r="R494" s="2082">
        <f>++'Compra -HOJA1'!F345</f>
        <v>0</v>
      </c>
      <c r="S494" s="1736" t="str">
        <f t="shared" si="458"/>
        <v>OK</v>
      </c>
    </row>
    <row r="495" spans="1:19" s="250" customFormat="1" ht="27" hidden="1" customHeight="1" thickBot="1" x14ac:dyDescent="0.4">
      <c r="A495" s="4069"/>
      <c r="B495" s="1954">
        <v>5040</v>
      </c>
      <c r="C495" s="3743" t="s">
        <v>218</v>
      </c>
      <c r="D495" s="3744"/>
      <c r="E495" s="1886">
        <f t="shared" ref="E495:K495" si="533">+INT(E654)</f>
        <v>0</v>
      </c>
      <c r="F495" s="1886">
        <f t="shared" si="533"/>
        <v>0</v>
      </c>
      <c r="G495" s="1886">
        <f t="shared" si="533"/>
        <v>0</v>
      </c>
      <c r="H495" s="1886">
        <f t="shared" si="533"/>
        <v>0</v>
      </c>
      <c r="I495" s="1886">
        <f t="shared" ca="1" si="533"/>
        <v>0</v>
      </c>
      <c r="J495" s="1886">
        <f t="shared" ca="1" si="533"/>
        <v>0</v>
      </c>
      <c r="K495" s="1886">
        <f t="shared" ca="1" si="533"/>
        <v>0</v>
      </c>
      <c r="L495" s="1887">
        <f t="shared" ca="1" si="453"/>
        <v>0</v>
      </c>
      <c r="M495" s="1887">
        <f t="shared" ca="1" si="454"/>
        <v>0</v>
      </c>
      <c r="N495" s="1888">
        <f t="shared" ca="1" si="455"/>
        <v>0</v>
      </c>
      <c r="O495" s="1888">
        <f t="shared" ca="1" si="456"/>
        <v>0</v>
      </c>
      <c r="P495" s="4485"/>
      <c r="Q495" s="2778">
        <f t="shared" si="457"/>
        <v>0</v>
      </c>
      <c r="R495" s="2082">
        <f>++'Compra -HOJA1'!F346</f>
        <v>0</v>
      </c>
      <c r="S495" s="1736" t="str">
        <f t="shared" si="458"/>
        <v>OK</v>
      </c>
    </row>
    <row r="496" spans="1:19" s="250" customFormat="1" ht="27" hidden="1" customHeight="1" thickBot="1" x14ac:dyDescent="0.4">
      <c r="A496" s="4069"/>
      <c r="B496" s="1954"/>
      <c r="C496" s="3743" t="s">
        <v>620</v>
      </c>
      <c r="D496" s="3744"/>
      <c r="E496" s="1886">
        <f t="shared" ref="E496:K496" si="534">+INT(E655)</f>
        <v>0</v>
      </c>
      <c r="F496" s="1886">
        <f t="shared" si="534"/>
        <v>0</v>
      </c>
      <c r="G496" s="1886">
        <f t="shared" si="534"/>
        <v>0</v>
      </c>
      <c r="H496" s="1886">
        <f t="shared" si="534"/>
        <v>0</v>
      </c>
      <c r="I496" s="1886">
        <f t="shared" ca="1" si="534"/>
        <v>0</v>
      </c>
      <c r="J496" s="1886">
        <f t="shared" ca="1" si="534"/>
        <v>0</v>
      </c>
      <c r="K496" s="1886">
        <f t="shared" ca="1" si="534"/>
        <v>0</v>
      </c>
      <c r="L496" s="1887">
        <f t="shared" ca="1" si="453"/>
        <v>0</v>
      </c>
      <c r="M496" s="1887">
        <f t="shared" ca="1" si="454"/>
        <v>0</v>
      </c>
      <c r="N496" s="1888">
        <f t="shared" ca="1" si="455"/>
        <v>0</v>
      </c>
      <c r="O496" s="1888">
        <f t="shared" ca="1" si="456"/>
        <v>0</v>
      </c>
      <c r="P496" s="4485"/>
      <c r="Q496" s="2778">
        <f t="shared" si="457"/>
        <v>0</v>
      </c>
      <c r="R496" s="2082">
        <f>++'Compra -HOJA1'!F347</f>
        <v>0</v>
      </c>
      <c r="S496" s="1736" t="str">
        <f t="shared" si="458"/>
        <v>OK</v>
      </c>
    </row>
    <row r="497" spans="1:19" s="250" customFormat="1" ht="27" hidden="1" customHeight="1" thickBot="1" x14ac:dyDescent="0.4">
      <c r="A497" s="4069"/>
      <c r="B497" s="1954">
        <v>5045</v>
      </c>
      <c r="C497" s="3743" t="s">
        <v>221</v>
      </c>
      <c r="D497" s="3744"/>
      <c r="E497" s="1886">
        <f t="shared" ref="E497:K497" si="535">+INT(E656)</f>
        <v>0</v>
      </c>
      <c r="F497" s="1886">
        <f t="shared" si="535"/>
        <v>0</v>
      </c>
      <c r="G497" s="1886">
        <f t="shared" si="535"/>
        <v>0</v>
      </c>
      <c r="H497" s="1886">
        <f t="shared" si="535"/>
        <v>0</v>
      </c>
      <c r="I497" s="1886">
        <f t="shared" ca="1" si="535"/>
        <v>0</v>
      </c>
      <c r="J497" s="1886">
        <f t="shared" ca="1" si="535"/>
        <v>0</v>
      </c>
      <c r="K497" s="1886">
        <f t="shared" ca="1" si="535"/>
        <v>0</v>
      </c>
      <c r="L497" s="1887">
        <f t="shared" ca="1" si="453"/>
        <v>0</v>
      </c>
      <c r="M497" s="1887">
        <f t="shared" ca="1" si="454"/>
        <v>0</v>
      </c>
      <c r="N497" s="1888">
        <f t="shared" ca="1" si="455"/>
        <v>0</v>
      </c>
      <c r="O497" s="1888">
        <f t="shared" ca="1" si="456"/>
        <v>0</v>
      </c>
      <c r="P497" s="4485"/>
      <c r="Q497" s="2778">
        <f t="shared" si="457"/>
        <v>0</v>
      </c>
      <c r="R497" s="2082">
        <f>++'Compra -HOJA1'!F348</f>
        <v>0</v>
      </c>
      <c r="S497" s="1736" t="str">
        <f t="shared" si="458"/>
        <v>OK</v>
      </c>
    </row>
    <row r="498" spans="1:19" ht="27" hidden="1" customHeight="1" thickBot="1" x14ac:dyDescent="0.5">
      <c r="A498" s="4069"/>
      <c r="B498" s="1955">
        <v>5050</v>
      </c>
      <c r="C498" s="3742" t="s">
        <v>219</v>
      </c>
      <c r="D498" s="3742"/>
      <c r="E498" s="1886">
        <f t="shared" ref="E498:K498" si="536">+INT(E657)</f>
        <v>0</v>
      </c>
      <c r="F498" s="1886">
        <f t="shared" si="536"/>
        <v>0</v>
      </c>
      <c r="G498" s="1886">
        <f t="shared" si="536"/>
        <v>0</v>
      </c>
      <c r="H498" s="1886">
        <f t="shared" si="536"/>
        <v>0</v>
      </c>
      <c r="I498" s="1886">
        <f t="shared" ca="1" si="536"/>
        <v>0</v>
      </c>
      <c r="J498" s="1886">
        <f t="shared" ca="1" si="536"/>
        <v>0</v>
      </c>
      <c r="K498" s="1886">
        <f t="shared" ca="1" si="536"/>
        <v>0</v>
      </c>
      <c r="L498" s="1887">
        <f t="shared" ca="1" si="453"/>
        <v>0</v>
      </c>
      <c r="M498" s="1887">
        <f t="shared" ca="1" si="454"/>
        <v>0</v>
      </c>
      <c r="N498" s="1888">
        <f t="shared" ca="1" si="455"/>
        <v>0</v>
      </c>
      <c r="O498" s="1888">
        <f t="shared" ca="1" si="456"/>
        <v>0</v>
      </c>
      <c r="P498" s="4485"/>
      <c r="Q498" s="2778">
        <f t="shared" si="457"/>
        <v>0</v>
      </c>
      <c r="R498" s="2082">
        <f>++'Compra -HOJA1'!F349</f>
        <v>0</v>
      </c>
      <c r="S498" s="1736" t="str">
        <f t="shared" si="458"/>
        <v>OK</v>
      </c>
    </row>
    <row r="499" spans="1:19" ht="27" hidden="1" customHeight="1" thickBot="1" x14ac:dyDescent="0.5">
      <c r="A499" s="4069"/>
      <c r="B499" s="1955"/>
      <c r="C499" s="3742" t="s">
        <v>621</v>
      </c>
      <c r="D499" s="3742"/>
      <c r="E499" s="1886">
        <f t="shared" ref="E499:K499" si="537">+INT(E658)</f>
        <v>0</v>
      </c>
      <c r="F499" s="1886">
        <f t="shared" si="537"/>
        <v>0</v>
      </c>
      <c r="G499" s="1886">
        <f t="shared" si="537"/>
        <v>0</v>
      </c>
      <c r="H499" s="1886">
        <f t="shared" si="537"/>
        <v>0</v>
      </c>
      <c r="I499" s="1886">
        <f t="shared" ca="1" si="537"/>
        <v>0</v>
      </c>
      <c r="J499" s="1886">
        <f t="shared" ca="1" si="537"/>
        <v>0</v>
      </c>
      <c r="K499" s="1886">
        <f t="shared" ca="1" si="537"/>
        <v>0</v>
      </c>
      <c r="L499" s="1887">
        <f t="shared" ca="1" si="453"/>
        <v>0</v>
      </c>
      <c r="M499" s="1887">
        <f t="shared" ca="1" si="454"/>
        <v>0</v>
      </c>
      <c r="N499" s="1888">
        <f t="shared" ca="1" si="455"/>
        <v>0</v>
      </c>
      <c r="O499" s="1888">
        <f t="shared" ca="1" si="456"/>
        <v>0</v>
      </c>
      <c r="P499" s="4485"/>
      <c r="Q499" s="2778">
        <f t="shared" si="457"/>
        <v>0</v>
      </c>
      <c r="R499" s="2082">
        <f>++'Compra -HOJA1'!F350</f>
        <v>0</v>
      </c>
      <c r="S499" s="1736" t="str">
        <f t="shared" si="458"/>
        <v>OK</v>
      </c>
    </row>
    <row r="500" spans="1:19" ht="27" hidden="1" customHeight="1" thickBot="1" x14ac:dyDescent="0.5">
      <c r="A500" s="4069"/>
      <c r="B500" s="1955">
        <v>5055</v>
      </c>
      <c r="C500" s="3742" t="s">
        <v>222</v>
      </c>
      <c r="D500" s="3742"/>
      <c r="E500" s="1886">
        <f t="shared" ref="E500:K500" si="538">+INT(E659)</f>
        <v>0</v>
      </c>
      <c r="F500" s="1886">
        <f t="shared" si="538"/>
        <v>0</v>
      </c>
      <c r="G500" s="1886">
        <f t="shared" si="538"/>
        <v>0</v>
      </c>
      <c r="H500" s="1886">
        <f t="shared" si="538"/>
        <v>0</v>
      </c>
      <c r="I500" s="1886">
        <f t="shared" ca="1" si="538"/>
        <v>0</v>
      </c>
      <c r="J500" s="1886">
        <f t="shared" ca="1" si="538"/>
        <v>0</v>
      </c>
      <c r="K500" s="1886">
        <f t="shared" ca="1" si="538"/>
        <v>0</v>
      </c>
      <c r="L500" s="1887">
        <f t="shared" ca="1" si="453"/>
        <v>0</v>
      </c>
      <c r="M500" s="1887">
        <f t="shared" ca="1" si="454"/>
        <v>0</v>
      </c>
      <c r="N500" s="1888">
        <f t="shared" ca="1" si="455"/>
        <v>0</v>
      </c>
      <c r="O500" s="1888">
        <f t="shared" ca="1" si="456"/>
        <v>0</v>
      </c>
      <c r="P500" s="4485"/>
      <c r="Q500" s="2778">
        <f t="shared" si="457"/>
        <v>0</v>
      </c>
      <c r="R500" s="2082">
        <f>++'Compra -HOJA1'!F351</f>
        <v>0</v>
      </c>
      <c r="S500" s="1736" t="str">
        <f t="shared" si="458"/>
        <v>OK</v>
      </c>
    </row>
    <row r="501" spans="1:19" ht="27" hidden="1" customHeight="1" thickBot="1" x14ac:dyDescent="0.5">
      <c r="A501" s="4069"/>
      <c r="B501" s="1948">
        <v>5508</v>
      </c>
      <c r="C501" s="3751" t="s">
        <v>1234</v>
      </c>
      <c r="D501" s="1948" t="s">
        <v>64</v>
      </c>
      <c r="E501" s="1886">
        <f t="shared" ref="E501:K501" si="539">+INT(E660)</f>
        <v>0</v>
      </c>
      <c r="F501" s="1886">
        <f t="shared" si="539"/>
        <v>0</v>
      </c>
      <c r="G501" s="1886">
        <f t="shared" si="539"/>
        <v>0</v>
      </c>
      <c r="H501" s="1886">
        <f t="shared" si="539"/>
        <v>0</v>
      </c>
      <c r="I501" s="1886">
        <f t="shared" ca="1" si="539"/>
        <v>0</v>
      </c>
      <c r="J501" s="1886">
        <f t="shared" ca="1" si="539"/>
        <v>0</v>
      </c>
      <c r="K501" s="1886">
        <f t="shared" ca="1" si="539"/>
        <v>0</v>
      </c>
      <c r="L501" s="1887">
        <f t="shared" ca="1" si="453"/>
        <v>0</v>
      </c>
      <c r="M501" s="1887">
        <f t="shared" ca="1" si="454"/>
        <v>0</v>
      </c>
      <c r="N501" s="1888">
        <f t="shared" ca="1" si="455"/>
        <v>0</v>
      </c>
      <c r="O501" s="1888">
        <f t="shared" ca="1" si="456"/>
        <v>0</v>
      </c>
      <c r="P501" s="4485"/>
      <c r="Q501" s="2778">
        <f t="shared" si="457"/>
        <v>0</v>
      </c>
      <c r="R501" s="2082">
        <f>++'Compra -HOJA1'!F352</f>
        <v>0</v>
      </c>
      <c r="S501" s="1736" t="str">
        <f t="shared" si="458"/>
        <v>OK</v>
      </c>
    </row>
    <row r="502" spans="1:19" ht="27" hidden="1" customHeight="1" thickBot="1" x14ac:dyDescent="0.5">
      <c r="A502" s="4069"/>
      <c r="B502" s="3484"/>
      <c r="C502" s="3746"/>
      <c r="D502" s="1948" t="s">
        <v>624</v>
      </c>
      <c r="E502" s="1886">
        <f t="shared" ref="E502:K502" si="540">+INT(E661)</f>
        <v>0</v>
      </c>
      <c r="F502" s="1886">
        <f t="shared" si="540"/>
        <v>0</v>
      </c>
      <c r="G502" s="1886">
        <f t="shared" si="540"/>
        <v>0</v>
      </c>
      <c r="H502" s="1886">
        <f t="shared" si="540"/>
        <v>0</v>
      </c>
      <c r="I502" s="1886">
        <f t="shared" ca="1" si="540"/>
        <v>0</v>
      </c>
      <c r="J502" s="1886">
        <f t="shared" ca="1" si="540"/>
        <v>0</v>
      </c>
      <c r="K502" s="1886">
        <f t="shared" ca="1" si="540"/>
        <v>0</v>
      </c>
      <c r="L502" s="1887">
        <f t="shared" ca="1" si="453"/>
        <v>0</v>
      </c>
      <c r="M502" s="1887">
        <f t="shared" ca="1" si="454"/>
        <v>0</v>
      </c>
      <c r="N502" s="1888">
        <f t="shared" ca="1" si="455"/>
        <v>0</v>
      </c>
      <c r="O502" s="1888">
        <f t="shared" ca="1" si="456"/>
        <v>0</v>
      </c>
      <c r="P502" s="4485"/>
      <c r="Q502" s="2778">
        <f t="shared" si="457"/>
        <v>0</v>
      </c>
      <c r="R502" s="2082">
        <f>++'Compra -HOJA1'!F353</f>
        <v>0</v>
      </c>
      <c r="S502" s="1736" t="str">
        <f t="shared" si="458"/>
        <v>OK</v>
      </c>
    </row>
    <row r="503" spans="1:19" ht="27" hidden="1" customHeight="1" thickBot="1" x14ac:dyDescent="0.5">
      <c r="A503" s="4069"/>
      <c r="B503" s="3173">
        <v>5558</v>
      </c>
      <c r="C503" s="3746"/>
      <c r="D503" s="3173" t="s">
        <v>65</v>
      </c>
      <c r="E503" s="1886">
        <f t="shared" ref="E503:K503" si="541">+INT(E662)</f>
        <v>0</v>
      </c>
      <c r="F503" s="1886">
        <f t="shared" si="541"/>
        <v>0</v>
      </c>
      <c r="G503" s="1886">
        <f t="shared" si="541"/>
        <v>0</v>
      </c>
      <c r="H503" s="1886">
        <f t="shared" si="541"/>
        <v>0</v>
      </c>
      <c r="I503" s="1886">
        <f t="shared" ca="1" si="541"/>
        <v>0</v>
      </c>
      <c r="J503" s="1886">
        <f t="shared" ca="1" si="541"/>
        <v>0</v>
      </c>
      <c r="K503" s="1886">
        <f t="shared" ca="1" si="541"/>
        <v>0</v>
      </c>
      <c r="L503" s="1887">
        <f t="shared" ca="1" si="453"/>
        <v>0</v>
      </c>
      <c r="M503" s="1887">
        <f t="shared" ca="1" si="454"/>
        <v>0</v>
      </c>
      <c r="N503" s="1888">
        <f t="shared" ca="1" si="455"/>
        <v>0</v>
      </c>
      <c r="O503" s="1888">
        <f t="shared" ca="1" si="456"/>
        <v>0</v>
      </c>
      <c r="P503" s="4485"/>
      <c r="Q503" s="2778">
        <f t="shared" si="457"/>
        <v>0</v>
      </c>
      <c r="R503" s="2082">
        <f>++'Compra -HOJA1'!F354</f>
        <v>0</v>
      </c>
      <c r="S503" s="1736" t="str">
        <f t="shared" si="458"/>
        <v>OK</v>
      </c>
    </row>
    <row r="504" spans="1:19" ht="27" hidden="1" customHeight="1" thickBot="1" x14ac:dyDescent="0.5">
      <c r="A504" s="4069"/>
      <c r="B504" s="3419"/>
      <c r="C504" s="3752"/>
      <c r="D504" s="1949" t="s">
        <v>625</v>
      </c>
      <c r="E504" s="1886">
        <f t="shared" ref="E504:K504" si="542">+INT(E663)</f>
        <v>0</v>
      </c>
      <c r="F504" s="1886">
        <f t="shared" si="542"/>
        <v>0</v>
      </c>
      <c r="G504" s="1886">
        <f t="shared" si="542"/>
        <v>0</v>
      </c>
      <c r="H504" s="1886">
        <f t="shared" si="542"/>
        <v>0</v>
      </c>
      <c r="I504" s="1886">
        <f t="shared" ca="1" si="542"/>
        <v>0</v>
      </c>
      <c r="J504" s="1886">
        <f t="shared" ca="1" si="542"/>
        <v>0</v>
      </c>
      <c r="K504" s="1886">
        <f t="shared" ca="1" si="542"/>
        <v>0</v>
      </c>
      <c r="L504" s="1887">
        <f t="shared" ca="1" si="453"/>
        <v>0</v>
      </c>
      <c r="M504" s="1887">
        <f t="shared" ca="1" si="454"/>
        <v>0</v>
      </c>
      <c r="N504" s="1888">
        <f t="shared" ca="1" si="455"/>
        <v>0</v>
      </c>
      <c r="O504" s="1888">
        <f t="shared" ca="1" si="456"/>
        <v>0</v>
      </c>
      <c r="P504" s="3369"/>
      <c r="Q504" s="2778">
        <f t="shared" si="457"/>
        <v>0</v>
      </c>
      <c r="R504" s="2082">
        <f>++'Compra -HOJA1'!F355</f>
        <v>0</v>
      </c>
      <c r="S504" s="1736" t="str">
        <f t="shared" si="458"/>
        <v>OK</v>
      </c>
    </row>
    <row r="505" spans="1:19" ht="27" hidden="1" customHeight="1" thickBot="1" x14ac:dyDescent="0.5">
      <c r="A505" s="4069"/>
      <c r="B505" s="1948">
        <v>5575</v>
      </c>
      <c r="C505" s="3751" t="s">
        <v>1232</v>
      </c>
      <c r="D505" s="1948" t="s">
        <v>64</v>
      </c>
      <c r="E505" s="1886">
        <f t="shared" ref="E505:K505" si="543">+INT(E664)</f>
        <v>0</v>
      </c>
      <c r="F505" s="1886">
        <f t="shared" si="543"/>
        <v>0</v>
      </c>
      <c r="G505" s="1886">
        <f t="shared" si="543"/>
        <v>0</v>
      </c>
      <c r="H505" s="1886">
        <f t="shared" si="543"/>
        <v>0</v>
      </c>
      <c r="I505" s="1886">
        <f t="shared" ca="1" si="543"/>
        <v>0</v>
      </c>
      <c r="J505" s="1886">
        <f t="shared" ca="1" si="543"/>
        <v>0</v>
      </c>
      <c r="K505" s="1886">
        <f t="shared" ca="1" si="543"/>
        <v>0</v>
      </c>
      <c r="L505" s="1887">
        <f t="shared" ca="1" si="453"/>
        <v>0</v>
      </c>
      <c r="M505" s="1887">
        <f t="shared" ca="1" si="454"/>
        <v>0</v>
      </c>
      <c r="N505" s="1888">
        <f t="shared" ca="1" si="455"/>
        <v>0</v>
      </c>
      <c r="O505" s="1888">
        <f t="shared" ca="1" si="456"/>
        <v>0</v>
      </c>
      <c r="P505" s="3369"/>
      <c r="Q505" s="2778">
        <f t="shared" si="457"/>
        <v>0</v>
      </c>
      <c r="R505" s="2082">
        <f>++'Compra -HOJA1'!F356</f>
        <v>0</v>
      </c>
      <c r="S505" s="1736" t="str">
        <f t="shared" si="458"/>
        <v>OK</v>
      </c>
    </row>
    <row r="506" spans="1:19" ht="27" hidden="1" customHeight="1" thickBot="1" x14ac:dyDescent="0.5">
      <c r="A506" s="4069"/>
      <c r="B506" s="3173">
        <v>5585</v>
      </c>
      <c r="C506" s="3747"/>
      <c r="D506" s="3173" t="s">
        <v>65</v>
      </c>
      <c r="E506" s="1886">
        <f t="shared" ref="E506:K506" si="544">+INT(E665)</f>
        <v>0</v>
      </c>
      <c r="F506" s="1886">
        <f t="shared" si="544"/>
        <v>0</v>
      </c>
      <c r="G506" s="1886">
        <f t="shared" si="544"/>
        <v>0</v>
      </c>
      <c r="H506" s="1886">
        <f t="shared" si="544"/>
        <v>0</v>
      </c>
      <c r="I506" s="1886">
        <f t="shared" ca="1" si="544"/>
        <v>0</v>
      </c>
      <c r="J506" s="1886">
        <f t="shared" ca="1" si="544"/>
        <v>0</v>
      </c>
      <c r="K506" s="1886">
        <f t="shared" ca="1" si="544"/>
        <v>0</v>
      </c>
      <c r="L506" s="1887">
        <f t="shared" ca="1" si="453"/>
        <v>0</v>
      </c>
      <c r="M506" s="1887">
        <f t="shared" ca="1" si="454"/>
        <v>0</v>
      </c>
      <c r="N506" s="1888">
        <f t="shared" ca="1" si="455"/>
        <v>0</v>
      </c>
      <c r="O506" s="1888">
        <f t="shared" ca="1" si="456"/>
        <v>0</v>
      </c>
      <c r="P506" s="3369"/>
      <c r="Q506" s="2778">
        <f t="shared" si="457"/>
        <v>0</v>
      </c>
      <c r="R506" s="2082">
        <f>++'Compra -HOJA1'!F357</f>
        <v>0</v>
      </c>
      <c r="S506" s="1736" t="str">
        <f t="shared" si="458"/>
        <v>OK</v>
      </c>
    </row>
    <row r="507" spans="1:19" ht="27" hidden="1" customHeight="1" thickBot="1" x14ac:dyDescent="0.5">
      <c r="A507" s="4069"/>
      <c r="B507" s="1948">
        <v>5595</v>
      </c>
      <c r="C507" s="3751" t="s">
        <v>1233</v>
      </c>
      <c r="D507" s="1948" t="s">
        <v>64</v>
      </c>
      <c r="E507" s="1886">
        <f t="shared" ref="E507:K508" si="545">+INT(E666)</f>
        <v>0</v>
      </c>
      <c r="F507" s="1886">
        <f t="shared" si="545"/>
        <v>0</v>
      </c>
      <c r="G507" s="1886">
        <f t="shared" si="545"/>
        <v>0</v>
      </c>
      <c r="H507" s="1886">
        <f t="shared" si="545"/>
        <v>0</v>
      </c>
      <c r="I507" s="1886">
        <f t="shared" ca="1" si="545"/>
        <v>0</v>
      </c>
      <c r="J507" s="1886">
        <f t="shared" ca="1" si="545"/>
        <v>0</v>
      </c>
      <c r="K507" s="1886">
        <f t="shared" ca="1" si="545"/>
        <v>0</v>
      </c>
      <c r="L507" s="1887">
        <f t="shared" ca="1" si="453"/>
        <v>0</v>
      </c>
      <c r="M507" s="1887">
        <f t="shared" ca="1" si="454"/>
        <v>0</v>
      </c>
      <c r="N507" s="1888">
        <f t="shared" ca="1" si="455"/>
        <v>0</v>
      </c>
      <c r="O507" s="1888">
        <f t="shared" ca="1" si="456"/>
        <v>0</v>
      </c>
      <c r="P507" s="3369"/>
      <c r="Q507" s="2778">
        <f t="shared" si="457"/>
        <v>0</v>
      </c>
      <c r="R507" s="2082">
        <f>++'Compra -HOJA1'!F358</f>
        <v>0</v>
      </c>
      <c r="S507" s="1736" t="str">
        <f t="shared" si="458"/>
        <v>OK</v>
      </c>
    </row>
    <row r="508" spans="1:19" ht="27" hidden="1" customHeight="1" thickBot="1" x14ac:dyDescent="0.5">
      <c r="A508" s="4069"/>
      <c r="B508" s="3484"/>
      <c r="C508" s="3746"/>
      <c r="D508" s="1948" t="s">
        <v>1324</v>
      </c>
      <c r="E508" s="1886">
        <f t="shared" si="545"/>
        <v>0</v>
      </c>
      <c r="F508" s="1886">
        <f t="shared" si="545"/>
        <v>0</v>
      </c>
      <c r="G508" s="1886">
        <f t="shared" si="545"/>
        <v>0</v>
      </c>
      <c r="H508" s="1886">
        <f t="shared" si="545"/>
        <v>0</v>
      </c>
      <c r="I508" s="1886">
        <f t="shared" ca="1" si="545"/>
        <v>0</v>
      </c>
      <c r="J508" s="1886">
        <f t="shared" ca="1" si="545"/>
        <v>0</v>
      </c>
      <c r="K508" s="1886">
        <f t="shared" ca="1" si="545"/>
        <v>0</v>
      </c>
      <c r="L508" s="1887">
        <f t="shared" ref="L508" ca="1" si="546">+F508+I508</f>
        <v>0</v>
      </c>
      <c r="M508" s="1887">
        <f t="shared" ref="M508" ca="1" si="547">+G508+J508</f>
        <v>0</v>
      </c>
      <c r="N508" s="1888">
        <f t="shared" ref="N508" ca="1" si="548">+H508+K508</f>
        <v>0</v>
      </c>
      <c r="O508" s="1888">
        <f t="shared" ref="O508" ca="1" si="549">SUM(L508:N508)</f>
        <v>0</v>
      </c>
      <c r="P508" s="3369"/>
      <c r="Q508" s="2778">
        <f t="shared" ref="Q508" si="550">+SUM(F508:H508)</f>
        <v>0</v>
      </c>
      <c r="R508" s="2082">
        <f>++'Compra -HOJA1'!F359</f>
        <v>0</v>
      </c>
      <c r="S508" s="1736" t="str">
        <f t="shared" ref="S508" si="551">+IF(Q508=R508,"OK","VERIFICAR")</f>
        <v>OK</v>
      </c>
    </row>
    <row r="509" spans="1:19" ht="27" hidden="1" customHeight="1" thickBot="1" x14ac:dyDescent="0.5">
      <c r="A509" s="4070"/>
      <c r="B509" s="3173">
        <v>5605</v>
      </c>
      <c r="C509" s="3747"/>
      <c r="D509" s="3173" t="s">
        <v>65</v>
      </c>
      <c r="E509" s="1886">
        <f t="shared" ref="E509:K510" si="552">+INT(E668)</f>
        <v>0</v>
      </c>
      <c r="F509" s="1886">
        <f t="shared" si="552"/>
        <v>0</v>
      </c>
      <c r="G509" s="1886">
        <f t="shared" si="552"/>
        <v>0</v>
      </c>
      <c r="H509" s="1886">
        <f t="shared" si="552"/>
        <v>0</v>
      </c>
      <c r="I509" s="1886">
        <f t="shared" ca="1" si="552"/>
        <v>0</v>
      </c>
      <c r="J509" s="1886">
        <f t="shared" ca="1" si="552"/>
        <v>0</v>
      </c>
      <c r="K509" s="1886">
        <f t="shared" ca="1" si="552"/>
        <v>0</v>
      </c>
      <c r="L509" s="1887">
        <f t="shared" ref="L509:L531" ca="1" si="553">+F509+I509</f>
        <v>0</v>
      </c>
      <c r="M509" s="1887">
        <f t="shared" ref="M509:M531" ca="1" si="554">+G509+J509</f>
        <v>0</v>
      </c>
      <c r="N509" s="1888">
        <f t="shared" ref="N509:N531" ca="1" si="555">+H509+K509</f>
        <v>0</v>
      </c>
      <c r="O509" s="1888">
        <f t="shared" ref="O509:O531" ca="1" si="556">SUM(L509:N509)</f>
        <v>0</v>
      </c>
      <c r="P509" s="3369"/>
      <c r="Q509" s="2778">
        <f t="shared" ref="Q509:Q540" si="557">+SUM(F509:H509)</f>
        <v>0</v>
      </c>
      <c r="R509" s="2082">
        <f>++'Compra -HOJA1'!F360</f>
        <v>0</v>
      </c>
      <c r="S509" s="1736" t="str">
        <f t="shared" ref="S509:S540" si="558">+IF(Q509=R509,"OK","VERIFICAR")</f>
        <v>OK</v>
      </c>
    </row>
    <row r="510" spans="1:19" ht="27" hidden="1" customHeight="1" thickBot="1" x14ac:dyDescent="0.5">
      <c r="A510" s="3491"/>
      <c r="B510" s="3515"/>
      <c r="C510" s="3482"/>
      <c r="D510" s="3173" t="s">
        <v>1325</v>
      </c>
      <c r="E510" s="1886">
        <f t="shared" si="552"/>
        <v>0</v>
      </c>
      <c r="F510" s="1886">
        <f t="shared" si="552"/>
        <v>0</v>
      </c>
      <c r="G510" s="1886">
        <f t="shared" si="552"/>
        <v>0</v>
      </c>
      <c r="H510" s="1886">
        <f t="shared" si="552"/>
        <v>0</v>
      </c>
      <c r="I510" s="1886">
        <f t="shared" ca="1" si="552"/>
        <v>0</v>
      </c>
      <c r="J510" s="1886">
        <f t="shared" ca="1" si="552"/>
        <v>0</v>
      </c>
      <c r="K510" s="1886">
        <f t="shared" ca="1" si="552"/>
        <v>0</v>
      </c>
      <c r="L510" s="1887">
        <f t="shared" ref="L510" ca="1" si="559">+F510+I510</f>
        <v>0</v>
      </c>
      <c r="M510" s="1887">
        <f t="shared" ref="M510" ca="1" si="560">+G510+J510</f>
        <v>0</v>
      </c>
      <c r="N510" s="1888">
        <f t="shared" ref="N510" ca="1" si="561">+H510+K510</f>
        <v>0</v>
      </c>
      <c r="O510" s="1888">
        <f t="shared" ref="O510" ca="1" si="562">SUM(L510:N510)</f>
        <v>0</v>
      </c>
      <c r="P510" s="3369"/>
      <c r="Q510" s="2778">
        <f t="shared" ref="Q510" si="563">+SUM(F510:H510)</f>
        <v>0</v>
      </c>
      <c r="R510" s="2082">
        <f>++'Compra -HOJA1'!F361</f>
        <v>0</v>
      </c>
      <c r="S510" s="1736" t="str">
        <f t="shared" ref="S510" si="564">+IF(Q510=R510,"OK","VERIFICAR")</f>
        <v>OK</v>
      </c>
    </row>
    <row r="511" spans="1:19" ht="27" hidden="1" customHeight="1" thickBot="1" x14ac:dyDescent="0.5">
      <c r="A511" s="4071" t="s">
        <v>67</v>
      </c>
      <c r="B511" s="3172">
        <v>5030</v>
      </c>
      <c r="C511" s="3758" t="s">
        <v>217</v>
      </c>
      <c r="D511" s="3758"/>
      <c r="E511" s="1886">
        <f t="shared" ref="E511:K511" si="565">+INT(E670)</f>
        <v>0</v>
      </c>
      <c r="F511" s="1886">
        <f t="shared" si="565"/>
        <v>0</v>
      </c>
      <c r="G511" s="1886">
        <f t="shared" si="565"/>
        <v>0</v>
      </c>
      <c r="H511" s="1886">
        <f t="shared" si="565"/>
        <v>0</v>
      </c>
      <c r="I511" s="1886">
        <f t="shared" ca="1" si="565"/>
        <v>0</v>
      </c>
      <c r="J511" s="1886">
        <f t="shared" ca="1" si="565"/>
        <v>0</v>
      </c>
      <c r="K511" s="1886">
        <f t="shared" ca="1" si="565"/>
        <v>0</v>
      </c>
      <c r="L511" s="1887">
        <f t="shared" ca="1" si="553"/>
        <v>0</v>
      </c>
      <c r="M511" s="1887">
        <f t="shared" ca="1" si="554"/>
        <v>0</v>
      </c>
      <c r="N511" s="1888">
        <f t="shared" ca="1" si="555"/>
        <v>0</v>
      </c>
      <c r="O511" s="1888">
        <f t="shared" ca="1" si="556"/>
        <v>0</v>
      </c>
      <c r="P511" s="4485" t="s">
        <v>67</v>
      </c>
      <c r="Q511" s="2778">
        <f t="shared" si="557"/>
        <v>0</v>
      </c>
      <c r="R511" s="2082">
        <f>++'Compra -HOJA1'!F362</f>
        <v>0</v>
      </c>
      <c r="S511" s="1736" t="str">
        <f t="shared" si="558"/>
        <v>OK</v>
      </c>
    </row>
    <row r="512" spans="1:19" ht="27" hidden="1" customHeight="1" thickBot="1" x14ac:dyDescent="0.5">
      <c r="A512" s="4072"/>
      <c r="B512" s="1954">
        <v>5040</v>
      </c>
      <c r="C512" s="3743" t="s">
        <v>218</v>
      </c>
      <c r="D512" s="3744"/>
      <c r="E512" s="1886">
        <f t="shared" ref="E512:K512" si="566">+INT(E671)</f>
        <v>0</v>
      </c>
      <c r="F512" s="1886">
        <f t="shared" si="566"/>
        <v>0</v>
      </c>
      <c r="G512" s="1886">
        <f t="shared" si="566"/>
        <v>0</v>
      </c>
      <c r="H512" s="1886">
        <f t="shared" si="566"/>
        <v>0</v>
      </c>
      <c r="I512" s="1886">
        <f t="shared" ca="1" si="566"/>
        <v>0</v>
      </c>
      <c r="J512" s="1886">
        <f t="shared" ca="1" si="566"/>
        <v>0</v>
      </c>
      <c r="K512" s="1886">
        <f t="shared" ca="1" si="566"/>
        <v>0</v>
      </c>
      <c r="L512" s="1887">
        <f t="shared" ca="1" si="553"/>
        <v>0</v>
      </c>
      <c r="M512" s="1887">
        <f t="shared" ca="1" si="554"/>
        <v>0</v>
      </c>
      <c r="N512" s="1888">
        <f t="shared" ca="1" si="555"/>
        <v>0</v>
      </c>
      <c r="O512" s="1888">
        <f t="shared" ca="1" si="556"/>
        <v>0</v>
      </c>
      <c r="P512" s="4485"/>
      <c r="Q512" s="2778">
        <f t="shared" si="557"/>
        <v>0</v>
      </c>
      <c r="R512" s="2082">
        <f>++'Compra -HOJA1'!F363</f>
        <v>0</v>
      </c>
      <c r="S512" s="1736" t="str">
        <f t="shared" si="558"/>
        <v>OK</v>
      </c>
    </row>
    <row r="513" spans="1:19" ht="27" hidden="1" customHeight="1" thickBot="1" x14ac:dyDescent="0.5">
      <c r="A513" s="4072"/>
      <c r="B513" s="1954"/>
      <c r="C513" s="3743" t="s">
        <v>620</v>
      </c>
      <c r="D513" s="3744"/>
      <c r="E513" s="1886">
        <f t="shared" ref="E513:K513" si="567">+INT(E672)</f>
        <v>0</v>
      </c>
      <c r="F513" s="1886">
        <f t="shared" si="567"/>
        <v>0</v>
      </c>
      <c r="G513" s="1886">
        <f t="shared" si="567"/>
        <v>0</v>
      </c>
      <c r="H513" s="1886">
        <f t="shared" si="567"/>
        <v>0</v>
      </c>
      <c r="I513" s="1886">
        <f t="shared" ca="1" si="567"/>
        <v>0</v>
      </c>
      <c r="J513" s="1886">
        <f t="shared" ca="1" si="567"/>
        <v>0</v>
      </c>
      <c r="K513" s="1886">
        <f t="shared" ca="1" si="567"/>
        <v>0</v>
      </c>
      <c r="L513" s="1887">
        <f t="shared" ca="1" si="553"/>
        <v>0</v>
      </c>
      <c r="M513" s="1887">
        <f t="shared" ca="1" si="554"/>
        <v>0</v>
      </c>
      <c r="N513" s="1888">
        <f t="shared" ca="1" si="555"/>
        <v>0</v>
      </c>
      <c r="O513" s="1888">
        <f t="shared" ca="1" si="556"/>
        <v>0</v>
      </c>
      <c r="P513" s="4485"/>
      <c r="Q513" s="2778">
        <f t="shared" si="557"/>
        <v>0</v>
      </c>
      <c r="R513" s="2082">
        <f>++'Compra -HOJA1'!F364</f>
        <v>0</v>
      </c>
      <c r="S513" s="1736" t="str">
        <f t="shared" si="558"/>
        <v>OK</v>
      </c>
    </row>
    <row r="514" spans="1:19" ht="27" hidden="1" customHeight="1" thickBot="1" x14ac:dyDescent="0.5">
      <c r="A514" s="4072"/>
      <c r="B514" s="1954">
        <v>5045</v>
      </c>
      <c r="C514" s="3743" t="s">
        <v>221</v>
      </c>
      <c r="D514" s="3744"/>
      <c r="E514" s="1886">
        <f t="shared" ref="E514:K514" si="568">+INT(E673)</f>
        <v>0</v>
      </c>
      <c r="F514" s="1886">
        <f t="shared" si="568"/>
        <v>0</v>
      </c>
      <c r="G514" s="1886">
        <f t="shared" si="568"/>
        <v>0</v>
      </c>
      <c r="H514" s="1886">
        <f t="shared" si="568"/>
        <v>0</v>
      </c>
      <c r="I514" s="1886">
        <f t="shared" ca="1" si="568"/>
        <v>0</v>
      </c>
      <c r="J514" s="1886">
        <f t="shared" ca="1" si="568"/>
        <v>0</v>
      </c>
      <c r="K514" s="1886">
        <f t="shared" ca="1" si="568"/>
        <v>0</v>
      </c>
      <c r="L514" s="1887">
        <f t="shared" ca="1" si="553"/>
        <v>0</v>
      </c>
      <c r="M514" s="1887">
        <f t="shared" ca="1" si="554"/>
        <v>0</v>
      </c>
      <c r="N514" s="1888">
        <f t="shared" ca="1" si="555"/>
        <v>0</v>
      </c>
      <c r="O514" s="1888">
        <f t="shared" ca="1" si="556"/>
        <v>0</v>
      </c>
      <c r="P514" s="4485"/>
      <c r="Q514" s="2778">
        <f t="shared" si="557"/>
        <v>0</v>
      </c>
      <c r="R514" s="2082">
        <f>++'Compra -HOJA1'!F365</f>
        <v>0</v>
      </c>
      <c r="S514" s="1736" t="str">
        <f t="shared" si="558"/>
        <v>OK</v>
      </c>
    </row>
    <row r="515" spans="1:19" ht="27" hidden="1" customHeight="1" thickBot="1" x14ac:dyDescent="0.5">
      <c r="A515" s="4072"/>
      <c r="B515" s="1955">
        <v>5050</v>
      </c>
      <c r="C515" s="3742" t="s">
        <v>219</v>
      </c>
      <c r="D515" s="3742"/>
      <c r="E515" s="1886">
        <f t="shared" ref="E515:K515" si="569">+INT(E674)</f>
        <v>0</v>
      </c>
      <c r="F515" s="1886">
        <f t="shared" si="569"/>
        <v>0</v>
      </c>
      <c r="G515" s="1886">
        <f t="shared" si="569"/>
        <v>0</v>
      </c>
      <c r="H515" s="1886">
        <f t="shared" si="569"/>
        <v>0</v>
      </c>
      <c r="I515" s="1886">
        <f t="shared" ca="1" si="569"/>
        <v>0</v>
      </c>
      <c r="J515" s="1886">
        <f t="shared" ca="1" si="569"/>
        <v>0</v>
      </c>
      <c r="K515" s="1886">
        <f t="shared" ca="1" si="569"/>
        <v>0</v>
      </c>
      <c r="L515" s="1887">
        <f t="shared" ca="1" si="553"/>
        <v>0</v>
      </c>
      <c r="M515" s="1887">
        <f t="shared" ca="1" si="554"/>
        <v>0</v>
      </c>
      <c r="N515" s="1888">
        <f t="shared" ca="1" si="555"/>
        <v>0</v>
      </c>
      <c r="O515" s="1888">
        <f t="shared" ca="1" si="556"/>
        <v>0</v>
      </c>
      <c r="P515" s="4485"/>
      <c r="Q515" s="2778">
        <f t="shared" si="557"/>
        <v>0</v>
      </c>
      <c r="R515" s="2082">
        <f>++'Compra -HOJA1'!F366</f>
        <v>0</v>
      </c>
      <c r="S515" s="1736" t="str">
        <f t="shared" si="558"/>
        <v>OK</v>
      </c>
    </row>
    <row r="516" spans="1:19" ht="27" hidden="1" customHeight="1" thickBot="1" x14ac:dyDescent="0.5">
      <c r="A516" s="4072"/>
      <c r="B516" s="1955"/>
      <c r="C516" s="3742" t="s">
        <v>621</v>
      </c>
      <c r="D516" s="3742"/>
      <c r="E516" s="1886">
        <f t="shared" ref="E516:K516" si="570">+INT(E675)</f>
        <v>0</v>
      </c>
      <c r="F516" s="1886">
        <f t="shared" si="570"/>
        <v>0</v>
      </c>
      <c r="G516" s="1886">
        <f t="shared" si="570"/>
        <v>0</v>
      </c>
      <c r="H516" s="1886">
        <f t="shared" si="570"/>
        <v>0</v>
      </c>
      <c r="I516" s="1886">
        <f t="shared" ca="1" si="570"/>
        <v>0</v>
      </c>
      <c r="J516" s="1886">
        <f t="shared" ca="1" si="570"/>
        <v>0</v>
      </c>
      <c r="K516" s="1886">
        <f t="shared" ca="1" si="570"/>
        <v>0</v>
      </c>
      <c r="L516" s="1887">
        <f t="shared" ca="1" si="553"/>
        <v>0</v>
      </c>
      <c r="M516" s="1887">
        <f t="shared" ca="1" si="554"/>
        <v>0</v>
      </c>
      <c r="N516" s="1888">
        <f t="shared" ca="1" si="555"/>
        <v>0</v>
      </c>
      <c r="O516" s="1888">
        <f t="shared" ca="1" si="556"/>
        <v>0</v>
      </c>
      <c r="P516" s="4485"/>
      <c r="Q516" s="2778">
        <f t="shared" si="557"/>
        <v>0</v>
      </c>
      <c r="R516" s="2082">
        <f>++'Compra -HOJA1'!F367</f>
        <v>0</v>
      </c>
      <c r="S516" s="1736" t="str">
        <f t="shared" si="558"/>
        <v>OK</v>
      </c>
    </row>
    <row r="517" spans="1:19" ht="27" hidden="1" customHeight="1" thickBot="1" x14ac:dyDescent="0.5">
      <c r="A517" s="4072"/>
      <c r="B517" s="1955">
        <v>5055</v>
      </c>
      <c r="C517" s="3742" t="s">
        <v>222</v>
      </c>
      <c r="D517" s="3742"/>
      <c r="E517" s="1886">
        <f t="shared" ref="E517:K517" si="571">+INT(E676)</f>
        <v>0</v>
      </c>
      <c r="F517" s="1886">
        <f t="shared" si="571"/>
        <v>0</v>
      </c>
      <c r="G517" s="1886">
        <f t="shared" si="571"/>
        <v>0</v>
      </c>
      <c r="H517" s="1886">
        <f t="shared" si="571"/>
        <v>0</v>
      </c>
      <c r="I517" s="1886">
        <f t="shared" ca="1" si="571"/>
        <v>0</v>
      </c>
      <c r="J517" s="1886">
        <f t="shared" ca="1" si="571"/>
        <v>0</v>
      </c>
      <c r="K517" s="1886">
        <f t="shared" ca="1" si="571"/>
        <v>0</v>
      </c>
      <c r="L517" s="1887">
        <f t="shared" ca="1" si="553"/>
        <v>0</v>
      </c>
      <c r="M517" s="1887">
        <f t="shared" ca="1" si="554"/>
        <v>0</v>
      </c>
      <c r="N517" s="1888">
        <f t="shared" ca="1" si="555"/>
        <v>0</v>
      </c>
      <c r="O517" s="1888">
        <f t="shared" ca="1" si="556"/>
        <v>0</v>
      </c>
      <c r="P517" s="4485"/>
      <c r="Q517" s="2778">
        <f t="shared" si="557"/>
        <v>0</v>
      </c>
      <c r="R517" s="2082">
        <f>++'Compra -HOJA1'!F368</f>
        <v>0</v>
      </c>
      <c r="S517" s="1736" t="str">
        <f t="shared" si="558"/>
        <v>OK</v>
      </c>
    </row>
    <row r="518" spans="1:19" ht="27" hidden="1" customHeight="1" thickBot="1" x14ac:dyDescent="0.5">
      <c r="A518" s="4072"/>
      <c r="B518" s="1948">
        <v>5510</v>
      </c>
      <c r="C518" s="3751" t="s">
        <v>1234</v>
      </c>
      <c r="D518" s="1948" t="s">
        <v>68</v>
      </c>
      <c r="E518" s="1886">
        <f t="shared" ref="E518:K518" si="572">+INT(E677)</f>
        <v>0</v>
      </c>
      <c r="F518" s="1886">
        <f t="shared" si="572"/>
        <v>0</v>
      </c>
      <c r="G518" s="1886">
        <f t="shared" si="572"/>
        <v>0</v>
      </c>
      <c r="H518" s="1886">
        <f t="shared" si="572"/>
        <v>0</v>
      </c>
      <c r="I518" s="1886">
        <f t="shared" ca="1" si="572"/>
        <v>0</v>
      </c>
      <c r="J518" s="1886">
        <f t="shared" ca="1" si="572"/>
        <v>0</v>
      </c>
      <c r="K518" s="1886">
        <f t="shared" ca="1" si="572"/>
        <v>0</v>
      </c>
      <c r="L518" s="1887">
        <f t="shared" ca="1" si="553"/>
        <v>0</v>
      </c>
      <c r="M518" s="1887">
        <f t="shared" ca="1" si="554"/>
        <v>0</v>
      </c>
      <c r="N518" s="1888">
        <f t="shared" ca="1" si="555"/>
        <v>0</v>
      </c>
      <c r="O518" s="1888">
        <f t="shared" ca="1" si="556"/>
        <v>0</v>
      </c>
      <c r="P518" s="4485"/>
      <c r="Q518" s="2778">
        <f t="shared" si="557"/>
        <v>0</v>
      </c>
      <c r="R518" s="2082">
        <f>++'Compra -HOJA1'!F369</f>
        <v>0</v>
      </c>
      <c r="S518" s="1736" t="str">
        <f t="shared" si="558"/>
        <v>OK</v>
      </c>
    </row>
    <row r="519" spans="1:19" ht="27" hidden="1" customHeight="1" thickBot="1" x14ac:dyDescent="0.5">
      <c r="A519" s="4072"/>
      <c r="B519" s="1948"/>
      <c r="C519" s="3746"/>
      <c r="D519" s="1948" t="s">
        <v>624</v>
      </c>
      <c r="E519" s="1886">
        <f t="shared" ref="E519:K519" si="573">+INT(E678)</f>
        <v>0</v>
      </c>
      <c r="F519" s="1886">
        <f t="shared" si="573"/>
        <v>0</v>
      </c>
      <c r="G519" s="1886">
        <f t="shared" si="573"/>
        <v>0</v>
      </c>
      <c r="H519" s="1886">
        <f t="shared" si="573"/>
        <v>0</v>
      </c>
      <c r="I519" s="1886">
        <f t="shared" ca="1" si="573"/>
        <v>0</v>
      </c>
      <c r="J519" s="1886">
        <f t="shared" ca="1" si="573"/>
        <v>0</v>
      </c>
      <c r="K519" s="1886">
        <f t="shared" ca="1" si="573"/>
        <v>0</v>
      </c>
      <c r="L519" s="1887">
        <f t="shared" ca="1" si="553"/>
        <v>0</v>
      </c>
      <c r="M519" s="1887">
        <f t="shared" ca="1" si="554"/>
        <v>0</v>
      </c>
      <c r="N519" s="1888">
        <f t="shared" ca="1" si="555"/>
        <v>0</v>
      </c>
      <c r="O519" s="1888">
        <f t="shared" ca="1" si="556"/>
        <v>0</v>
      </c>
      <c r="P519" s="4485"/>
      <c r="Q519" s="2778">
        <f t="shared" si="557"/>
        <v>0</v>
      </c>
      <c r="R519" s="2082">
        <f>++'Compra -HOJA1'!F370</f>
        <v>0</v>
      </c>
      <c r="S519" s="1736" t="str">
        <f t="shared" si="558"/>
        <v>OK</v>
      </c>
    </row>
    <row r="520" spans="1:19" ht="27" hidden="1" customHeight="1" thickBot="1" x14ac:dyDescent="0.5">
      <c r="A520" s="4072"/>
      <c r="B520" s="1949">
        <v>5560</v>
      </c>
      <c r="C520" s="3746"/>
      <c r="D520" s="1949" t="s">
        <v>69</v>
      </c>
      <c r="E520" s="1886">
        <f t="shared" ref="E520:K520" si="574">+INT(E679)</f>
        <v>0</v>
      </c>
      <c r="F520" s="1886">
        <f t="shared" si="574"/>
        <v>0</v>
      </c>
      <c r="G520" s="1886">
        <f t="shared" si="574"/>
        <v>0</v>
      </c>
      <c r="H520" s="1886">
        <f t="shared" si="574"/>
        <v>0</v>
      </c>
      <c r="I520" s="1886">
        <f t="shared" ca="1" si="574"/>
        <v>0</v>
      </c>
      <c r="J520" s="1886">
        <f t="shared" ca="1" si="574"/>
        <v>0</v>
      </c>
      <c r="K520" s="1886">
        <f t="shared" ca="1" si="574"/>
        <v>0</v>
      </c>
      <c r="L520" s="1887">
        <f t="shared" ca="1" si="553"/>
        <v>0</v>
      </c>
      <c r="M520" s="1887">
        <f t="shared" ca="1" si="554"/>
        <v>0</v>
      </c>
      <c r="N520" s="1888">
        <f t="shared" ca="1" si="555"/>
        <v>0</v>
      </c>
      <c r="O520" s="1888">
        <f t="shared" ca="1" si="556"/>
        <v>0</v>
      </c>
      <c r="P520" s="4485"/>
      <c r="Q520" s="2778">
        <f t="shared" si="557"/>
        <v>0</v>
      </c>
      <c r="R520" s="2082">
        <f>++'Compra -HOJA1'!F371</f>
        <v>0</v>
      </c>
      <c r="S520" s="1736" t="str">
        <f t="shared" si="558"/>
        <v>OK</v>
      </c>
    </row>
    <row r="521" spans="1:19" ht="27" hidden="1" customHeight="1" thickBot="1" x14ac:dyDescent="0.5">
      <c r="A521" s="4072"/>
      <c r="B521" s="1949"/>
      <c r="C521" s="3752"/>
      <c r="D521" s="1949" t="s">
        <v>625</v>
      </c>
      <c r="E521" s="1886">
        <f t="shared" ref="E521:K521" si="575">+INT(E680)</f>
        <v>0</v>
      </c>
      <c r="F521" s="1886">
        <f t="shared" si="575"/>
        <v>0</v>
      </c>
      <c r="G521" s="1886">
        <f t="shared" si="575"/>
        <v>0</v>
      </c>
      <c r="H521" s="1886">
        <f t="shared" si="575"/>
        <v>0</v>
      </c>
      <c r="I521" s="1886">
        <f t="shared" ca="1" si="575"/>
        <v>0</v>
      </c>
      <c r="J521" s="1886">
        <f t="shared" ca="1" si="575"/>
        <v>0</v>
      </c>
      <c r="K521" s="1886">
        <f t="shared" ca="1" si="575"/>
        <v>0</v>
      </c>
      <c r="L521" s="1887">
        <f t="shared" ca="1" si="553"/>
        <v>0</v>
      </c>
      <c r="M521" s="1887">
        <f t="shared" ca="1" si="554"/>
        <v>0</v>
      </c>
      <c r="N521" s="1888">
        <f t="shared" ca="1" si="555"/>
        <v>0</v>
      </c>
      <c r="O521" s="1888">
        <f t="shared" ca="1" si="556"/>
        <v>0</v>
      </c>
      <c r="P521" s="3369"/>
      <c r="Q521" s="2778">
        <f t="shared" si="557"/>
        <v>0</v>
      </c>
      <c r="R521" s="2082">
        <f>++'Compra -HOJA1'!F372</f>
        <v>0</v>
      </c>
      <c r="S521" s="1736" t="str">
        <f t="shared" si="558"/>
        <v>OK</v>
      </c>
    </row>
    <row r="522" spans="1:19" ht="27" hidden="1" customHeight="1" thickBot="1" x14ac:dyDescent="0.5">
      <c r="A522" s="4072"/>
      <c r="B522" s="1948">
        <v>5576</v>
      </c>
      <c r="C522" s="3751" t="s">
        <v>1232</v>
      </c>
      <c r="D522" s="1948" t="s">
        <v>68</v>
      </c>
      <c r="E522" s="1886">
        <f t="shared" ref="E522:K522" si="576">+INT(E681)</f>
        <v>0</v>
      </c>
      <c r="F522" s="1886">
        <f t="shared" si="576"/>
        <v>0</v>
      </c>
      <c r="G522" s="1886">
        <f t="shared" si="576"/>
        <v>0</v>
      </c>
      <c r="H522" s="1886">
        <f t="shared" si="576"/>
        <v>0</v>
      </c>
      <c r="I522" s="1886">
        <f t="shared" ca="1" si="576"/>
        <v>0</v>
      </c>
      <c r="J522" s="1886">
        <f t="shared" ca="1" si="576"/>
        <v>0</v>
      </c>
      <c r="K522" s="1886">
        <f t="shared" ca="1" si="576"/>
        <v>0</v>
      </c>
      <c r="L522" s="1887">
        <f t="shared" ca="1" si="553"/>
        <v>0</v>
      </c>
      <c r="M522" s="1887">
        <f t="shared" ca="1" si="554"/>
        <v>0</v>
      </c>
      <c r="N522" s="1888">
        <f t="shared" ca="1" si="555"/>
        <v>0</v>
      </c>
      <c r="O522" s="1888">
        <f t="shared" ca="1" si="556"/>
        <v>0</v>
      </c>
      <c r="P522" s="3369"/>
      <c r="Q522" s="2778">
        <f t="shared" si="557"/>
        <v>0</v>
      </c>
      <c r="R522" s="2082">
        <f>++'Compra -HOJA1'!F373</f>
        <v>0</v>
      </c>
      <c r="S522" s="1736" t="str">
        <f t="shared" si="558"/>
        <v>OK</v>
      </c>
    </row>
    <row r="523" spans="1:19" ht="27" hidden="1" customHeight="1" thickBot="1" x14ac:dyDescent="0.5">
      <c r="A523" s="4072"/>
      <c r="B523" s="1949">
        <v>5586</v>
      </c>
      <c r="C523" s="3747"/>
      <c r="D523" s="1949" t="s">
        <v>69</v>
      </c>
      <c r="E523" s="1886">
        <f t="shared" ref="E523:K523" si="577">+INT(E682)</f>
        <v>0</v>
      </c>
      <c r="F523" s="1886">
        <f t="shared" si="577"/>
        <v>0</v>
      </c>
      <c r="G523" s="1886">
        <f t="shared" si="577"/>
        <v>0</v>
      </c>
      <c r="H523" s="1886">
        <f t="shared" si="577"/>
        <v>0</v>
      </c>
      <c r="I523" s="1886">
        <f t="shared" ca="1" si="577"/>
        <v>0</v>
      </c>
      <c r="J523" s="1886">
        <f t="shared" ca="1" si="577"/>
        <v>0</v>
      </c>
      <c r="K523" s="1886">
        <f t="shared" ca="1" si="577"/>
        <v>0</v>
      </c>
      <c r="L523" s="1887">
        <f t="shared" ca="1" si="553"/>
        <v>0</v>
      </c>
      <c r="M523" s="1887">
        <f t="shared" ca="1" si="554"/>
        <v>0</v>
      </c>
      <c r="N523" s="1888">
        <f t="shared" ca="1" si="555"/>
        <v>0</v>
      </c>
      <c r="O523" s="1888">
        <f t="shared" ca="1" si="556"/>
        <v>0</v>
      </c>
      <c r="P523" s="3369"/>
      <c r="Q523" s="2778">
        <f t="shared" si="557"/>
        <v>0</v>
      </c>
      <c r="R523" s="2082">
        <f>++'Compra -HOJA1'!F374</f>
        <v>0</v>
      </c>
      <c r="S523" s="1736" t="str">
        <f t="shared" si="558"/>
        <v>OK</v>
      </c>
    </row>
    <row r="524" spans="1:19" ht="27" hidden="1" customHeight="1" thickBot="1" x14ac:dyDescent="0.5">
      <c r="A524" s="4072"/>
      <c r="B524" s="1948">
        <v>5596</v>
      </c>
      <c r="C524" s="3751" t="s">
        <v>1233</v>
      </c>
      <c r="D524" s="1948" t="s">
        <v>68</v>
      </c>
      <c r="E524" s="1886">
        <f t="shared" ref="E524:K525" si="578">+INT(E683)</f>
        <v>0</v>
      </c>
      <c r="F524" s="1886">
        <f t="shared" si="578"/>
        <v>0</v>
      </c>
      <c r="G524" s="1886">
        <f t="shared" si="578"/>
        <v>0</v>
      </c>
      <c r="H524" s="1886">
        <f t="shared" si="578"/>
        <v>0</v>
      </c>
      <c r="I524" s="1886">
        <f t="shared" ca="1" si="578"/>
        <v>0</v>
      </c>
      <c r="J524" s="1886">
        <f t="shared" ca="1" si="578"/>
        <v>0</v>
      </c>
      <c r="K524" s="1886">
        <f t="shared" ca="1" si="578"/>
        <v>0</v>
      </c>
      <c r="L524" s="1887">
        <f t="shared" ca="1" si="553"/>
        <v>0</v>
      </c>
      <c r="M524" s="1887">
        <f t="shared" ca="1" si="554"/>
        <v>0</v>
      </c>
      <c r="N524" s="1888">
        <f t="shared" ca="1" si="555"/>
        <v>0</v>
      </c>
      <c r="O524" s="1888">
        <f t="shared" ca="1" si="556"/>
        <v>0</v>
      </c>
      <c r="P524" s="3369"/>
      <c r="Q524" s="2778">
        <f t="shared" si="557"/>
        <v>0</v>
      </c>
      <c r="R524" s="2082">
        <f>++'Compra -HOJA1'!F375</f>
        <v>0</v>
      </c>
      <c r="S524" s="1736" t="str">
        <f t="shared" si="558"/>
        <v>OK</v>
      </c>
    </row>
    <row r="525" spans="1:19" ht="27" hidden="1" customHeight="1" thickBot="1" x14ac:dyDescent="0.5">
      <c r="A525" s="4072"/>
      <c r="B525" s="1948"/>
      <c r="C525" s="3746"/>
      <c r="D525" s="1948" t="s">
        <v>1357</v>
      </c>
      <c r="E525" s="1886">
        <f t="shared" si="578"/>
        <v>0</v>
      </c>
      <c r="F525" s="1886">
        <f t="shared" si="578"/>
        <v>0</v>
      </c>
      <c r="G525" s="1886">
        <f t="shared" si="578"/>
        <v>0</v>
      </c>
      <c r="H525" s="1886">
        <f t="shared" si="578"/>
        <v>0</v>
      </c>
      <c r="I525" s="1886">
        <f t="shared" ca="1" si="578"/>
        <v>0</v>
      </c>
      <c r="J525" s="1886">
        <f t="shared" ca="1" si="578"/>
        <v>0</v>
      </c>
      <c r="K525" s="1886">
        <f t="shared" ca="1" si="578"/>
        <v>0</v>
      </c>
      <c r="L525" s="1887">
        <f t="shared" ref="L525" ca="1" si="579">+F525+I525</f>
        <v>0</v>
      </c>
      <c r="M525" s="1887">
        <f t="shared" ref="M525" ca="1" si="580">+G525+J525</f>
        <v>0</v>
      </c>
      <c r="N525" s="1888">
        <f t="shared" ref="N525" ca="1" si="581">+H525+K525</f>
        <v>0</v>
      </c>
      <c r="O525" s="1888">
        <f t="shared" ref="O525" ca="1" si="582">SUM(L525:N525)</f>
        <v>0</v>
      </c>
      <c r="P525" s="3369"/>
      <c r="Q525" s="2778">
        <f t="shared" ref="Q525" si="583">+SUM(F525:H525)</f>
        <v>0</v>
      </c>
      <c r="R525" s="2082">
        <f>++'Compra -HOJA1'!F376</f>
        <v>0</v>
      </c>
      <c r="S525" s="1736" t="str">
        <f t="shared" ref="S525" si="584">+IF(Q525=R525,"OK","VERIFICAR")</f>
        <v>OK</v>
      </c>
    </row>
    <row r="526" spans="1:19" ht="27" hidden="1" customHeight="1" thickBot="1" x14ac:dyDescent="0.5">
      <c r="A526" s="4073"/>
      <c r="B526" s="1949">
        <v>5606</v>
      </c>
      <c r="C526" s="3747"/>
      <c r="D526" s="1949" t="s">
        <v>69</v>
      </c>
      <c r="E526" s="1886">
        <f t="shared" ref="E526:K527" si="585">+INT(E685)</f>
        <v>0</v>
      </c>
      <c r="F526" s="1886">
        <f t="shared" si="585"/>
        <v>0</v>
      </c>
      <c r="G526" s="1886">
        <f t="shared" si="585"/>
        <v>0</v>
      </c>
      <c r="H526" s="1886">
        <f t="shared" si="585"/>
        <v>0</v>
      </c>
      <c r="I526" s="1886">
        <f t="shared" ca="1" si="585"/>
        <v>0</v>
      </c>
      <c r="J526" s="1886">
        <f t="shared" ca="1" si="585"/>
        <v>0</v>
      </c>
      <c r="K526" s="1886">
        <f t="shared" ca="1" si="585"/>
        <v>0</v>
      </c>
      <c r="L526" s="1887">
        <f t="shared" ca="1" si="553"/>
        <v>0</v>
      </c>
      <c r="M526" s="1887">
        <f t="shared" ca="1" si="554"/>
        <v>0</v>
      </c>
      <c r="N526" s="1888">
        <f t="shared" ca="1" si="555"/>
        <v>0</v>
      </c>
      <c r="O526" s="1888">
        <f t="shared" ca="1" si="556"/>
        <v>0</v>
      </c>
      <c r="P526" s="3369"/>
      <c r="Q526" s="2778">
        <f t="shared" si="557"/>
        <v>0</v>
      </c>
      <c r="R526" s="2082">
        <f>++'Compra -HOJA1'!F377</f>
        <v>0</v>
      </c>
      <c r="S526" s="1736" t="str">
        <f t="shared" si="558"/>
        <v>OK</v>
      </c>
    </row>
    <row r="527" spans="1:19" ht="27" hidden="1" customHeight="1" thickBot="1" x14ac:dyDescent="0.5">
      <c r="A527" s="3492"/>
      <c r="B527" s="3516"/>
      <c r="C527" s="3517"/>
      <c r="D527" s="1949" t="s">
        <v>1333</v>
      </c>
      <c r="E527" s="1886">
        <f t="shared" si="585"/>
        <v>0</v>
      </c>
      <c r="F527" s="1886">
        <f t="shared" si="585"/>
        <v>0</v>
      </c>
      <c r="G527" s="1886">
        <f t="shared" si="585"/>
        <v>0</v>
      </c>
      <c r="H527" s="1886">
        <f t="shared" si="585"/>
        <v>0</v>
      </c>
      <c r="I527" s="1886">
        <f t="shared" ca="1" si="585"/>
        <v>0</v>
      </c>
      <c r="J527" s="1886">
        <f t="shared" ca="1" si="585"/>
        <v>0</v>
      </c>
      <c r="K527" s="1886">
        <f t="shared" ca="1" si="585"/>
        <v>0</v>
      </c>
      <c r="L527" s="1887">
        <f t="shared" ref="L527" ca="1" si="586">+F527+I527</f>
        <v>0</v>
      </c>
      <c r="M527" s="1887">
        <f t="shared" ref="M527" ca="1" si="587">+G527+J527</f>
        <v>0</v>
      </c>
      <c r="N527" s="1888">
        <f t="shared" ref="N527" ca="1" si="588">+H527+K527</f>
        <v>0</v>
      </c>
      <c r="O527" s="1888">
        <f t="shared" ref="O527" ca="1" si="589">SUM(L527:N527)</f>
        <v>0</v>
      </c>
      <c r="P527" s="3369"/>
      <c r="Q527" s="2778">
        <f t="shared" ref="Q527" si="590">+SUM(F527:H527)</f>
        <v>0</v>
      </c>
      <c r="R527" s="2082">
        <f>++'Compra -HOJA1'!F378</f>
        <v>0</v>
      </c>
      <c r="S527" s="1736" t="str">
        <f t="shared" ref="S527" si="591">+IF(Q527=R527,"OK","VERIFICAR")</f>
        <v>OK</v>
      </c>
    </row>
    <row r="528" spans="1:19" ht="27" hidden="1" customHeight="1" thickBot="1" x14ac:dyDescent="0.5">
      <c r="A528" s="4054" t="s">
        <v>21</v>
      </c>
      <c r="B528" s="3739" t="s">
        <v>187</v>
      </c>
      <c r="C528" s="3740"/>
      <c r="D528" s="3741"/>
      <c r="E528" s="1886">
        <f t="shared" ref="E528:K528" si="592">+INT(E687)</f>
        <v>0</v>
      </c>
      <c r="F528" s="1886">
        <f t="shared" si="592"/>
        <v>0</v>
      </c>
      <c r="G528" s="1886">
        <f t="shared" si="592"/>
        <v>0</v>
      </c>
      <c r="H528" s="1886">
        <f t="shared" si="592"/>
        <v>0</v>
      </c>
      <c r="I528" s="1886">
        <f t="shared" ca="1" si="592"/>
        <v>0</v>
      </c>
      <c r="J528" s="1886">
        <f t="shared" ca="1" si="592"/>
        <v>0</v>
      </c>
      <c r="K528" s="1886">
        <f t="shared" ca="1" si="592"/>
        <v>0</v>
      </c>
      <c r="L528" s="1887">
        <f t="shared" ca="1" si="553"/>
        <v>0</v>
      </c>
      <c r="M528" s="1887">
        <f t="shared" ca="1" si="554"/>
        <v>0</v>
      </c>
      <c r="N528" s="1888">
        <f t="shared" ca="1" si="555"/>
        <v>0</v>
      </c>
      <c r="O528" s="1888">
        <f t="shared" ca="1" si="556"/>
        <v>0</v>
      </c>
      <c r="P528" s="4537" t="s">
        <v>21</v>
      </c>
      <c r="Q528" s="2778">
        <f t="shared" si="557"/>
        <v>0</v>
      </c>
      <c r="R528" s="2082">
        <f>++'Compra -HOJA1'!F379</f>
        <v>0</v>
      </c>
      <c r="S528" s="1736" t="str">
        <f t="shared" si="558"/>
        <v>OK</v>
      </c>
    </row>
    <row r="529" spans="1:19" ht="27" hidden="1" customHeight="1" thickBot="1" x14ac:dyDescent="0.5">
      <c r="A529" s="4055"/>
      <c r="B529" s="3739" t="s">
        <v>188</v>
      </c>
      <c r="C529" s="3740"/>
      <c r="D529" s="3741"/>
      <c r="E529" s="1886">
        <f t="shared" ref="E529:K529" si="593">+INT(E688)</f>
        <v>0</v>
      </c>
      <c r="F529" s="1886">
        <f t="shared" si="593"/>
        <v>0</v>
      </c>
      <c r="G529" s="1886">
        <f t="shared" si="593"/>
        <v>0</v>
      </c>
      <c r="H529" s="1886">
        <f t="shared" si="593"/>
        <v>0</v>
      </c>
      <c r="I529" s="1886">
        <f t="shared" ca="1" si="593"/>
        <v>0</v>
      </c>
      <c r="J529" s="1886">
        <f t="shared" ca="1" si="593"/>
        <v>0</v>
      </c>
      <c r="K529" s="1886">
        <f t="shared" ca="1" si="593"/>
        <v>0</v>
      </c>
      <c r="L529" s="1887">
        <f t="shared" ca="1" si="553"/>
        <v>0</v>
      </c>
      <c r="M529" s="1887">
        <f t="shared" ca="1" si="554"/>
        <v>0</v>
      </c>
      <c r="N529" s="1888">
        <f t="shared" ca="1" si="555"/>
        <v>0</v>
      </c>
      <c r="O529" s="1888">
        <f t="shared" ca="1" si="556"/>
        <v>0</v>
      </c>
      <c r="P529" s="4538"/>
      <c r="Q529" s="2778">
        <f t="shared" si="557"/>
        <v>0</v>
      </c>
      <c r="R529" s="2082">
        <f>++'Compra -HOJA1'!F380</f>
        <v>0</v>
      </c>
      <c r="S529" s="1736" t="str">
        <f t="shared" si="558"/>
        <v>OK</v>
      </c>
    </row>
    <row r="530" spans="1:19" ht="27" hidden="1" customHeight="1" thickBot="1" x14ac:dyDescent="0.5">
      <c r="A530" s="3817" t="s">
        <v>71</v>
      </c>
      <c r="B530" s="3794" t="s">
        <v>224</v>
      </c>
      <c r="C530" s="3795"/>
      <c r="D530" s="3796"/>
      <c r="E530" s="1886">
        <f t="shared" ref="E530:K530" si="594">+INT(E689)</f>
        <v>0</v>
      </c>
      <c r="F530" s="1886">
        <f t="shared" si="594"/>
        <v>0</v>
      </c>
      <c r="G530" s="1886">
        <f t="shared" si="594"/>
        <v>0</v>
      </c>
      <c r="H530" s="1886">
        <f t="shared" si="594"/>
        <v>0</v>
      </c>
      <c r="I530" s="1886">
        <f t="shared" ca="1" si="594"/>
        <v>0</v>
      </c>
      <c r="J530" s="1886">
        <f t="shared" ca="1" si="594"/>
        <v>0</v>
      </c>
      <c r="K530" s="1886">
        <f t="shared" ca="1" si="594"/>
        <v>0</v>
      </c>
      <c r="L530" s="1887">
        <f t="shared" ca="1" si="553"/>
        <v>0</v>
      </c>
      <c r="M530" s="1887">
        <f t="shared" ca="1" si="554"/>
        <v>0</v>
      </c>
      <c r="N530" s="1888">
        <f t="shared" ca="1" si="555"/>
        <v>0</v>
      </c>
      <c r="O530" s="1888">
        <f t="shared" ca="1" si="556"/>
        <v>0</v>
      </c>
      <c r="P530" s="4539" t="s">
        <v>71</v>
      </c>
      <c r="Q530" s="2778">
        <f t="shared" si="557"/>
        <v>0</v>
      </c>
      <c r="R530" s="2082">
        <f>++'Compra -HOJA1'!F381</f>
        <v>0</v>
      </c>
      <c r="S530" s="1736" t="str">
        <f t="shared" si="558"/>
        <v>OK</v>
      </c>
    </row>
    <row r="531" spans="1:19" ht="27" hidden="1" customHeight="1" thickBot="1" x14ac:dyDescent="0.5">
      <c r="A531" s="3818"/>
      <c r="B531" s="3794" t="s">
        <v>225</v>
      </c>
      <c r="C531" s="3795"/>
      <c r="D531" s="3796"/>
      <c r="E531" s="1886">
        <f t="shared" ref="E531:K531" si="595">+INT(E690)</f>
        <v>0</v>
      </c>
      <c r="F531" s="1886">
        <f t="shared" si="595"/>
        <v>0</v>
      </c>
      <c r="G531" s="1886">
        <f t="shared" si="595"/>
        <v>0</v>
      </c>
      <c r="H531" s="1886">
        <f t="shared" si="595"/>
        <v>0</v>
      </c>
      <c r="I531" s="1886">
        <f t="shared" ca="1" si="595"/>
        <v>0</v>
      </c>
      <c r="J531" s="1886">
        <f t="shared" ca="1" si="595"/>
        <v>0</v>
      </c>
      <c r="K531" s="1886">
        <f t="shared" ca="1" si="595"/>
        <v>0</v>
      </c>
      <c r="L531" s="1887">
        <f t="shared" ca="1" si="553"/>
        <v>0</v>
      </c>
      <c r="M531" s="1887">
        <f t="shared" ca="1" si="554"/>
        <v>0</v>
      </c>
      <c r="N531" s="1888">
        <f t="shared" ca="1" si="555"/>
        <v>0</v>
      </c>
      <c r="O531" s="1888">
        <f t="shared" ca="1" si="556"/>
        <v>0</v>
      </c>
      <c r="P531" s="4540"/>
      <c r="Q531" s="2778">
        <f t="shared" si="557"/>
        <v>0</v>
      </c>
      <c r="R531" s="2082">
        <f>++'Compra -HOJA1'!F382</f>
        <v>0</v>
      </c>
      <c r="S531" s="1736" t="str">
        <f t="shared" si="558"/>
        <v>OK</v>
      </c>
    </row>
    <row r="532" spans="1:19" ht="27" hidden="1" customHeight="1" thickBot="1" x14ac:dyDescent="0.55000000000000004">
      <c r="A532" s="3727" t="s">
        <v>227</v>
      </c>
      <c r="B532" s="4273" t="s">
        <v>228</v>
      </c>
      <c r="C532" s="4273"/>
      <c r="D532" s="4273"/>
      <c r="E532" s="1886">
        <f t="shared" ref="E532:E540" si="596">+INT(E691)</f>
        <v>0</v>
      </c>
      <c r="F532" s="1886">
        <f t="shared" ref="F532:K532" ca="1" si="597">+INT(F691)</f>
        <v>0</v>
      </c>
      <c r="G532" s="1886">
        <f t="shared" ca="1" si="597"/>
        <v>0</v>
      </c>
      <c r="H532" s="1886">
        <f t="shared" ca="1" si="597"/>
        <v>0</v>
      </c>
      <c r="I532" s="1886">
        <f t="shared" ca="1" si="597"/>
        <v>0</v>
      </c>
      <c r="J532" s="1886">
        <f t="shared" ca="1" si="597"/>
        <v>0</v>
      </c>
      <c r="K532" s="1886">
        <f t="shared" ca="1" si="597"/>
        <v>0</v>
      </c>
      <c r="L532" s="1887">
        <f t="shared" ref="L532:L540" ca="1" si="598">+F532+I532</f>
        <v>0</v>
      </c>
      <c r="M532" s="1887">
        <f t="shared" ref="M532:M540" ca="1" si="599">+G532+J532</f>
        <v>0</v>
      </c>
      <c r="N532" s="1888">
        <f t="shared" ref="N532:N540" ca="1" si="600">+H532+K532</f>
        <v>0</v>
      </c>
      <c r="O532" s="1888">
        <f t="shared" ref="O532:O540" ca="1" si="601">SUM(L532:N532)</f>
        <v>0</v>
      </c>
      <c r="P532" s="2771"/>
      <c r="Q532" s="2778">
        <f t="shared" ca="1" si="557"/>
        <v>0</v>
      </c>
      <c r="R532" s="2082">
        <f ca="1">++'Compra -HOJA1'!F383</f>
        <v>0</v>
      </c>
      <c r="S532" s="1736" t="str">
        <f t="shared" ca="1" si="558"/>
        <v>OK</v>
      </c>
    </row>
    <row r="533" spans="1:19" ht="27" hidden="1" customHeight="1" thickBot="1" x14ac:dyDescent="0.55000000000000004">
      <c r="A533" s="3728"/>
      <c r="B533" s="4273" t="s">
        <v>229</v>
      </c>
      <c r="C533" s="4273"/>
      <c r="D533" s="4273"/>
      <c r="E533" s="1886">
        <f t="shared" si="596"/>
        <v>0</v>
      </c>
      <c r="F533" s="1886">
        <f t="shared" ref="F533:K533" ca="1" si="602">+INT(F692)</f>
        <v>0</v>
      </c>
      <c r="G533" s="1886">
        <f t="shared" ca="1" si="602"/>
        <v>0</v>
      </c>
      <c r="H533" s="1886">
        <f t="shared" ca="1" si="602"/>
        <v>0</v>
      </c>
      <c r="I533" s="1886">
        <f t="shared" ca="1" si="602"/>
        <v>0</v>
      </c>
      <c r="J533" s="1886">
        <f t="shared" ca="1" si="602"/>
        <v>0</v>
      </c>
      <c r="K533" s="1886">
        <f t="shared" ca="1" si="602"/>
        <v>0</v>
      </c>
      <c r="L533" s="1887">
        <f t="shared" ca="1" si="598"/>
        <v>0</v>
      </c>
      <c r="M533" s="1887">
        <f t="shared" ca="1" si="599"/>
        <v>0</v>
      </c>
      <c r="N533" s="1888">
        <f t="shared" ca="1" si="600"/>
        <v>0</v>
      </c>
      <c r="O533" s="1888">
        <f t="shared" ca="1" si="601"/>
        <v>0</v>
      </c>
      <c r="P533" s="2771"/>
      <c r="Q533" s="2778">
        <f t="shared" ca="1" si="557"/>
        <v>0</v>
      </c>
      <c r="R533" s="2082">
        <f ca="1">++'Compra -HOJA1'!F384</f>
        <v>0</v>
      </c>
      <c r="S533" s="1736" t="str">
        <f t="shared" ca="1" si="558"/>
        <v>OK</v>
      </c>
    </row>
    <row r="534" spans="1:19" ht="27" hidden="1" customHeight="1" thickBot="1" x14ac:dyDescent="0.55000000000000004">
      <c r="A534" s="3728"/>
      <c r="B534" s="4273" t="s">
        <v>230</v>
      </c>
      <c r="C534" s="4273"/>
      <c r="D534" s="4273"/>
      <c r="E534" s="1886">
        <f t="shared" si="596"/>
        <v>0</v>
      </c>
      <c r="F534" s="1886">
        <f t="shared" ref="F534:K534" ca="1" si="603">+INT(F693)</f>
        <v>0</v>
      </c>
      <c r="G534" s="1886">
        <f t="shared" ca="1" si="603"/>
        <v>0</v>
      </c>
      <c r="H534" s="1886">
        <f t="shared" ca="1" si="603"/>
        <v>0</v>
      </c>
      <c r="I534" s="1886">
        <f t="shared" ca="1" si="603"/>
        <v>0</v>
      </c>
      <c r="J534" s="1886">
        <f t="shared" ca="1" si="603"/>
        <v>0</v>
      </c>
      <c r="K534" s="1886">
        <f t="shared" ca="1" si="603"/>
        <v>0</v>
      </c>
      <c r="L534" s="1887">
        <f t="shared" ca="1" si="598"/>
        <v>0</v>
      </c>
      <c r="M534" s="1887">
        <f t="shared" ca="1" si="599"/>
        <v>0</v>
      </c>
      <c r="N534" s="1888">
        <f t="shared" ca="1" si="600"/>
        <v>0</v>
      </c>
      <c r="O534" s="1888">
        <f t="shared" ca="1" si="601"/>
        <v>0</v>
      </c>
      <c r="P534" s="2771"/>
      <c r="Q534" s="2778">
        <f t="shared" ca="1" si="557"/>
        <v>0</v>
      </c>
      <c r="R534" s="2082">
        <f ca="1">++'Compra -HOJA1'!F385</f>
        <v>0</v>
      </c>
      <c r="S534" s="1736" t="str">
        <f t="shared" ca="1" si="558"/>
        <v>OK</v>
      </c>
    </row>
    <row r="535" spans="1:19" ht="27" hidden="1" customHeight="1" thickBot="1" x14ac:dyDescent="0.55000000000000004">
      <c r="A535" s="3728"/>
      <c r="B535" s="4273" t="s">
        <v>231</v>
      </c>
      <c r="C535" s="4273"/>
      <c r="D535" s="4273"/>
      <c r="E535" s="1886">
        <f t="shared" si="596"/>
        <v>0</v>
      </c>
      <c r="F535" s="1886">
        <f t="shared" ref="F535:K535" ca="1" si="604">+INT(F694)</f>
        <v>0</v>
      </c>
      <c r="G535" s="1886">
        <f t="shared" ca="1" si="604"/>
        <v>0</v>
      </c>
      <c r="H535" s="1886">
        <f t="shared" ca="1" si="604"/>
        <v>0</v>
      </c>
      <c r="I535" s="1886">
        <f t="shared" ca="1" si="604"/>
        <v>0</v>
      </c>
      <c r="J535" s="1886">
        <f t="shared" ca="1" si="604"/>
        <v>0</v>
      </c>
      <c r="K535" s="1886">
        <f t="shared" ca="1" si="604"/>
        <v>0</v>
      </c>
      <c r="L535" s="1887">
        <f t="shared" ca="1" si="598"/>
        <v>0</v>
      </c>
      <c r="M535" s="1887">
        <f t="shared" ca="1" si="599"/>
        <v>0</v>
      </c>
      <c r="N535" s="1888">
        <f t="shared" ca="1" si="600"/>
        <v>0</v>
      </c>
      <c r="O535" s="1888">
        <f t="shared" ca="1" si="601"/>
        <v>0</v>
      </c>
      <c r="P535" s="2771"/>
      <c r="Q535" s="2778">
        <f t="shared" ca="1" si="557"/>
        <v>0</v>
      </c>
      <c r="R535" s="2082">
        <f ca="1">++'Compra -HOJA1'!F386</f>
        <v>0</v>
      </c>
      <c r="S535" s="1736" t="str">
        <f t="shared" ca="1" si="558"/>
        <v>OK</v>
      </c>
    </row>
    <row r="536" spans="1:19" ht="27" hidden="1" customHeight="1" thickBot="1" x14ac:dyDescent="0.55000000000000004">
      <c r="A536" s="3729"/>
      <c r="B536" s="4273" t="s">
        <v>232</v>
      </c>
      <c r="C536" s="4273"/>
      <c r="D536" s="4273"/>
      <c r="E536" s="1886">
        <f t="shared" si="596"/>
        <v>0</v>
      </c>
      <c r="F536" s="1886">
        <f t="shared" ref="F536:K536" ca="1" si="605">+INT(F695)</f>
        <v>0</v>
      </c>
      <c r="G536" s="1886">
        <f t="shared" ca="1" si="605"/>
        <v>0</v>
      </c>
      <c r="H536" s="1886">
        <f t="shared" ca="1" si="605"/>
        <v>0</v>
      </c>
      <c r="I536" s="1886">
        <f t="shared" ca="1" si="605"/>
        <v>0</v>
      </c>
      <c r="J536" s="1886">
        <f t="shared" ca="1" si="605"/>
        <v>0</v>
      </c>
      <c r="K536" s="1886">
        <f t="shared" ca="1" si="605"/>
        <v>0</v>
      </c>
      <c r="L536" s="1887">
        <f t="shared" ca="1" si="598"/>
        <v>0</v>
      </c>
      <c r="M536" s="1887">
        <f t="shared" ca="1" si="599"/>
        <v>0</v>
      </c>
      <c r="N536" s="1888">
        <f t="shared" ca="1" si="600"/>
        <v>0</v>
      </c>
      <c r="O536" s="1888">
        <f t="shared" ca="1" si="601"/>
        <v>0</v>
      </c>
      <c r="P536" s="2771"/>
      <c r="Q536" s="2778">
        <f t="shared" ca="1" si="557"/>
        <v>0</v>
      </c>
      <c r="R536" s="2082">
        <f ca="1">++'Compra -HOJA1'!F387</f>
        <v>0</v>
      </c>
      <c r="S536" s="1736" t="str">
        <f t="shared" ca="1" si="558"/>
        <v>OK</v>
      </c>
    </row>
    <row r="537" spans="1:19" ht="27" hidden="1" customHeight="1" thickBot="1" x14ac:dyDescent="0.55000000000000004">
      <c r="A537" s="3727" t="s">
        <v>233</v>
      </c>
      <c r="B537" s="4273" t="s">
        <v>234</v>
      </c>
      <c r="C537" s="4273"/>
      <c r="D537" s="4273"/>
      <c r="E537" s="1886">
        <f t="shared" si="596"/>
        <v>0</v>
      </c>
      <c r="F537" s="1886">
        <f t="shared" ref="F537:K537" ca="1" si="606">+INT(F696)</f>
        <v>0</v>
      </c>
      <c r="G537" s="1886">
        <f t="shared" ca="1" si="606"/>
        <v>0</v>
      </c>
      <c r="H537" s="1886">
        <f t="shared" ca="1" si="606"/>
        <v>0</v>
      </c>
      <c r="I537" s="1886">
        <f t="shared" ca="1" si="606"/>
        <v>0</v>
      </c>
      <c r="J537" s="1886">
        <f t="shared" ca="1" si="606"/>
        <v>0</v>
      </c>
      <c r="K537" s="1886">
        <f t="shared" ca="1" si="606"/>
        <v>0</v>
      </c>
      <c r="L537" s="1887">
        <f t="shared" ca="1" si="598"/>
        <v>0</v>
      </c>
      <c r="M537" s="1887">
        <f t="shared" ca="1" si="599"/>
        <v>0</v>
      </c>
      <c r="N537" s="1888">
        <f t="shared" ca="1" si="600"/>
        <v>0</v>
      </c>
      <c r="O537" s="1888">
        <f t="shared" ca="1" si="601"/>
        <v>0</v>
      </c>
      <c r="P537" s="2771"/>
      <c r="Q537" s="2778">
        <f t="shared" ca="1" si="557"/>
        <v>0</v>
      </c>
      <c r="R537" s="2082">
        <f ca="1">++'Compra -HOJA1'!F388</f>
        <v>0</v>
      </c>
      <c r="S537" s="1736" t="str">
        <f t="shared" ca="1" si="558"/>
        <v>OK</v>
      </c>
    </row>
    <row r="538" spans="1:19" ht="27" hidden="1" customHeight="1" thickBot="1" x14ac:dyDescent="0.55000000000000004">
      <c r="A538" s="3728"/>
      <c r="B538" s="4273" t="s">
        <v>235</v>
      </c>
      <c r="C538" s="4273"/>
      <c r="D538" s="4273"/>
      <c r="E538" s="1886">
        <f t="shared" si="596"/>
        <v>0</v>
      </c>
      <c r="F538" s="1886">
        <f t="shared" ref="F538:K538" ca="1" si="607">+INT(F697)</f>
        <v>0</v>
      </c>
      <c r="G538" s="1886">
        <f t="shared" ca="1" si="607"/>
        <v>0</v>
      </c>
      <c r="H538" s="1886">
        <f t="shared" ca="1" si="607"/>
        <v>0</v>
      </c>
      <c r="I538" s="1886">
        <f t="shared" ca="1" si="607"/>
        <v>0</v>
      </c>
      <c r="J538" s="1886">
        <f t="shared" ca="1" si="607"/>
        <v>0</v>
      </c>
      <c r="K538" s="1886">
        <f t="shared" ca="1" si="607"/>
        <v>0</v>
      </c>
      <c r="L538" s="1887">
        <f t="shared" ca="1" si="598"/>
        <v>0</v>
      </c>
      <c r="M538" s="1887">
        <f t="shared" ca="1" si="599"/>
        <v>0</v>
      </c>
      <c r="N538" s="1888">
        <f t="shared" ca="1" si="600"/>
        <v>0</v>
      </c>
      <c r="O538" s="1888">
        <f t="shared" ca="1" si="601"/>
        <v>0</v>
      </c>
      <c r="P538" s="1623"/>
      <c r="Q538" s="2778">
        <f t="shared" ca="1" si="557"/>
        <v>0</v>
      </c>
      <c r="R538" s="2082">
        <f ca="1">++'Compra -HOJA1'!F389</f>
        <v>0</v>
      </c>
      <c r="S538" s="1736" t="str">
        <f t="shared" ca="1" si="558"/>
        <v>OK</v>
      </c>
    </row>
    <row r="539" spans="1:19" ht="27" hidden="1" customHeight="1" thickBot="1" x14ac:dyDescent="0.55000000000000004">
      <c r="A539" s="3728"/>
      <c r="B539" s="4273" t="s">
        <v>236</v>
      </c>
      <c r="C539" s="4273"/>
      <c r="D539" s="4273"/>
      <c r="E539" s="1886">
        <f t="shared" si="596"/>
        <v>0</v>
      </c>
      <c r="F539" s="1886">
        <f t="shared" ref="F539:K539" ca="1" si="608">+INT(F698)</f>
        <v>0</v>
      </c>
      <c r="G539" s="1886">
        <f t="shared" ca="1" si="608"/>
        <v>0</v>
      </c>
      <c r="H539" s="1886">
        <f t="shared" ca="1" si="608"/>
        <v>0</v>
      </c>
      <c r="I539" s="1886">
        <f t="shared" ca="1" si="608"/>
        <v>0</v>
      </c>
      <c r="J539" s="1886">
        <f t="shared" ca="1" si="608"/>
        <v>0</v>
      </c>
      <c r="K539" s="1886">
        <f t="shared" ca="1" si="608"/>
        <v>0</v>
      </c>
      <c r="L539" s="1887">
        <f t="shared" ca="1" si="598"/>
        <v>0</v>
      </c>
      <c r="M539" s="1887">
        <f t="shared" ca="1" si="599"/>
        <v>0</v>
      </c>
      <c r="N539" s="1888">
        <f t="shared" ca="1" si="600"/>
        <v>0</v>
      </c>
      <c r="O539" s="1888">
        <f t="shared" ca="1" si="601"/>
        <v>0</v>
      </c>
      <c r="P539" s="1623"/>
      <c r="Q539" s="2778">
        <f t="shared" ca="1" si="557"/>
        <v>0</v>
      </c>
      <c r="R539" s="2082">
        <f ca="1">++'Compra -HOJA1'!F390</f>
        <v>0</v>
      </c>
      <c r="S539" s="1736" t="str">
        <f t="shared" ca="1" si="558"/>
        <v>OK</v>
      </c>
    </row>
    <row r="540" spans="1:19" ht="27" hidden="1" customHeight="1" thickBot="1" x14ac:dyDescent="0.55000000000000004">
      <c r="A540" s="3729"/>
      <c r="B540" s="4273" t="s">
        <v>237</v>
      </c>
      <c r="C540" s="4273"/>
      <c r="D540" s="4273"/>
      <c r="E540" s="1886">
        <f t="shared" si="596"/>
        <v>0</v>
      </c>
      <c r="F540" s="1886">
        <f t="shared" ref="F540:K540" ca="1" si="609">+INT(F699)</f>
        <v>0</v>
      </c>
      <c r="G540" s="1886">
        <f t="shared" ca="1" si="609"/>
        <v>0</v>
      </c>
      <c r="H540" s="1886">
        <f t="shared" ca="1" si="609"/>
        <v>0</v>
      </c>
      <c r="I540" s="1886">
        <f t="shared" ca="1" si="609"/>
        <v>0</v>
      </c>
      <c r="J540" s="1886">
        <f t="shared" ca="1" si="609"/>
        <v>0</v>
      </c>
      <c r="K540" s="1886">
        <f t="shared" ca="1" si="609"/>
        <v>0</v>
      </c>
      <c r="L540" s="1887">
        <f t="shared" ca="1" si="598"/>
        <v>0</v>
      </c>
      <c r="M540" s="1887">
        <f t="shared" ca="1" si="599"/>
        <v>0</v>
      </c>
      <c r="N540" s="1888">
        <f t="shared" ca="1" si="600"/>
        <v>0</v>
      </c>
      <c r="O540" s="1888">
        <f t="shared" ca="1" si="601"/>
        <v>0</v>
      </c>
      <c r="P540" s="1623"/>
      <c r="Q540" s="2778">
        <f t="shared" ca="1" si="557"/>
        <v>0</v>
      </c>
      <c r="R540" s="2082">
        <f ca="1">++'Compra -HOJA1'!F391</f>
        <v>0</v>
      </c>
      <c r="S540" s="1736" t="str">
        <f t="shared" ca="1" si="558"/>
        <v>OK</v>
      </c>
    </row>
    <row r="541" spans="1:19" ht="27" hidden="1" customHeight="1" thickBot="1" x14ac:dyDescent="0.5">
      <c r="A541" s="2504"/>
      <c r="B541" s="2709"/>
      <c r="C541" s="2506"/>
      <c r="D541" s="2945"/>
      <c r="E541" s="1886"/>
      <c r="F541" s="1602"/>
      <c r="G541" s="1602"/>
      <c r="H541" s="1602"/>
      <c r="I541" s="1602"/>
      <c r="J541" s="1602"/>
      <c r="K541" s="1602"/>
      <c r="L541" s="1603"/>
      <c r="M541" s="1603"/>
      <c r="N541" s="1604"/>
      <c r="O541" s="1604"/>
      <c r="P541" s="1604"/>
      <c r="Q541" s="1619"/>
      <c r="R541" s="1619"/>
    </row>
    <row r="542" spans="1:19" ht="27" hidden="1" customHeight="1" thickBot="1" x14ac:dyDescent="0.55000000000000004">
      <c r="A542" s="2946"/>
      <c r="B542" s="2947"/>
      <c r="C542" s="2948"/>
      <c r="D542" s="2949"/>
      <c r="E542" s="1886"/>
      <c r="F542" s="1602"/>
      <c r="G542" s="1602"/>
      <c r="H542" s="1602"/>
      <c r="I542" s="1602"/>
      <c r="J542" s="1602"/>
      <c r="K542" s="1602"/>
      <c r="L542" s="1603"/>
      <c r="M542" s="1603"/>
      <c r="N542" s="1604"/>
      <c r="O542" s="1604"/>
      <c r="P542" s="1623"/>
      <c r="Q542" s="1623"/>
      <c r="R542" s="1623"/>
    </row>
    <row r="543" spans="1:19" ht="27" hidden="1" customHeight="1" thickBot="1" x14ac:dyDescent="0.55000000000000004">
      <c r="A543" s="1613"/>
      <c r="B543" s="1624"/>
      <c r="C543" s="2200"/>
      <c r="D543" s="2201"/>
      <c r="E543" s="1602"/>
      <c r="F543" s="1602"/>
      <c r="G543" s="1602"/>
      <c r="H543" s="1602"/>
      <c r="I543" s="1602"/>
      <c r="J543" s="1602"/>
      <c r="K543" s="1602"/>
      <c r="L543" s="1603"/>
      <c r="M543" s="1603"/>
      <c r="N543" s="1604"/>
      <c r="O543" s="1604"/>
      <c r="P543" s="1623"/>
      <c r="Q543" s="1623"/>
      <c r="R543" s="1623"/>
    </row>
    <row r="544" spans="1:19" ht="62.1" hidden="1" customHeight="1" x14ac:dyDescent="0.5">
      <c r="A544" s="4288" t="s">
        <v>417</v>
      </c>
      <c r="B544" s="4289"/>
      <c r="C544" s="4289"/>
      <c r="D544" s="4290"/>
      <c r="E544" s="2539">
        <f t="shared" ref="E544" si="610">+INT(E704)</f>
        <v>0</v>
      </c>
      <c r="F544" s="2539">
        <f t="shared" ref="F544:K544" si="611">+INT(F704)</f>
        <v>0</v>
      </c>
      <c r="G544" s="2539">
        <f t="shared" si="611"/>
        <v>0</v>
      </c>
      <c r="H544" s="2539">
        <f t="shared" si="611"/>
        <v>0</v>
      </c>
      <c r="I544" s="2539">
        <f t="shared" si="611"/>
        <v>0</v>
      </c>
      <c r="J544" s="2539">
        <f t="shared" si="611"/>
        <v>0</v>
      </c>
      <c r="K544" s="2539">
        <f t="shared" si="611"/>
        <v>0</v>
      </c>
      <c r="L544" s="1603">
        <f t="shared" ref="L544" si="612">+F544+I544</f>
        <v>0</v>
      </c>
      <c r="M544" s="1603">
        <f t="shared" ref="M544" si="613">+G544+J544</f>
        <v>0</v>
      </c>
      <c r="N544" s="1604">
        <f t="shared" ref="N544" si="614">+H544+K544</f>
        <v>0</v>
      </c>
      <c r="O544" s="1604">
        <f t="shared" si="451"/>
        <v>0</v>
      </c>
      <c r="P544" s="1623"/>
      <c r="Q544" s="2778">
        <f t="shared" ref="Q544" si="615">+SUM(F544:H544)</f>
        <v>0</v>
      </c>
      <c r="R544" s="2082">
        <f>+'Compra -HOJA1'!F67</f>
        <v>0</v>
      </c>
      <c r="S544" s="1736" t="str">
        <f t="shared" ref="S544" si="616">+IF(Q544=R544,"OK","VERIFICAR")</f>
        <v>OK</v>
      </c>
    </row>
    <row r="545" spans="1:27" ht="62.1" hidden="1" customHeight="1" x14ac:dyDescent="0.45">
      <c r="A545" s="1627"/>
      <c r="B545" s="1628"/>
      <c r="C545" s="2321"/>
      <c r="D545" s="1628"/>
    </row>
    <row r="546" spans="1:27" ht="62.1" hidden="1" customHeight="1" x14ac:dyDescent="0.6">
      <c r="A546" s="4283" t="s">
        <v>419</v>
      </c>
      <c r="B546" s="4283"/>
      <c r="C546" s="4283"/>
      <c r="D546" s="4284"/>
      <c r="E546" s="2781">
        <f>SUM(E439:E545)</f>
        <v>0</v>
      </c>
      <c r="F546" s="2781">
        <f t="shared" ref="F546:O546" ca="1" si="617">SUM(F439:F545)</f>
        <v>0</v>
      </c>
      <c r="G546" s="2781">
        <f t="shared" ca="1" si="617"/>
        <v>0</v>
      </c>
      <c r="H546" s="2781">
        <f t="shared" ca="1" si="617"/>
        <v>0</v>
      </c>
      <c r="I546" s="2781">
        <f t="shared" ca="1" si="617"/>
        <v>0</v>
      </c>
      <c r="J546" s="2781">
        <f t="shared" ca="1" si="617"/>
        <v>0</v>
      </c>
      <c r="K546" s="2781">
        <f t="shared" ca="1" si="617"/>
        <v>0</v>
      </c>
      <c r="L546" s="2951">
        <f t="shared" ca="1" si="617"/>
        <v>0</v>
      </c>
      <c r="M546" s="2951">
        <f t="shared" ca="1" si="617"/>
        <v>0</v>
      </c>
      <c r="N546" s="2951">
        <f t="shared" ca="1" si="617"/>
        <v>0</v>
      </c>
      <c r="O546" s="2781">
        <f t="shared" ca="1" si="617"/>
        <v>0</v>
      </c>
      <c r="P546" s="1489">
        <f>SUM(P439:P545)</f>
        <v>0</v>
      </c>
      <c r="R546" s="1490"/>
      <c r="S546" s="4252"/>
      <c r="T546" s="4252"/>
      <c r="U546" s="4252"/>
      <c r="V546" s="4252"/>
      <c r="W546" s="4252"/>
      <c r="X546" s="4252"/>
      <c r="Y546" s="4252"/>
      <c r="Z546" s="4252"/>
      <c r="AA546" s="4252"/>
    </row>
    <row r="547" spans="1:27" ht="62.1" hidden="1" customHeight="1" x14ac:dyDescent="0.45">
      <c r="A547" s="1628"/>
      <c r="B547" s="1628"/>
      <c r="C547" s="1628"/>
      <c r="D547" s="1628"/>
      <c r="E547" s="2308"/>
      <c r="F547" s="4296" t="s">
        <v>304</v>
      </c>
      <c r="G547" s="4297"/>
      <c r="H547" s="4298"/>
      <c r="I547" s="4296" t="s">
        <v>439</v>
      </c>
      <c r="J547" s="4297"/>
      <c r="K547" s="4298"/>
      <c r="L547" s="4296" t="s">
        <v>377</v>
      </c>
      <c r="M547" s="4297"/>
      <c r="N547" s="4298"/>
      <c r="O547" s="250"/>
      <c r="R547" s="1490"/>
      <c r="S547" s="1638"/>
      <c r="T547" s="1638"/>
      <c r="U547" s="1638"/>
      <c r="V547" s="1638"/>
      <c r="W547" s="1638"/>
      <c r="X547" s="1638"/>
      <c r="Y547" s="1638"/>
      <c r="Z547" s="1638"/>
      <c r="AA547" s="1638"/>
    </row>
    <row r="548" spans="1:27" ht="62.1" hidden="1" customHeight="1" x14ac:dyDescent="0.45">
      <c r="A548" s="1628"/>
      <c r="B548" s="1628"/>
      <c r="C548" s="1628"/>
      <c r="D548" s="1628"/>
      <c r="E548" s="2308" t="s">
        <v>441</v>
      </c>
      <c r="F548" s="1883" t="s">
        <v>287</v>
      </c>
      <c r="G548" s="1883" t="s">
        <v>289</v>
      </c>
      <c r="H548" s="1883" t="s">
        <v>288</v>
      </c>
      <c r="I548" s="1883" t="s">
        <v>287</v>
      </c>
      <c r="J548" s="1883" t="s">
        <v>289</v>
      </c>
      <c r="K548" s="1883" t="s">
        <v>288</v>
      </c>
      <c r="L548" s="1883" t="s">
        <v>287</v>
      </c>
      <c r="M548" s="1883" t="s">
        <v>289</v>
      </c>
      <c r="N548" s="1883" t="s">
        <v>288</v>
      </c>
      <c r="O548" s="1885" t="s">
        <v>290</v>
      </c>
      <c r="R548" s="1490"/>
      <c r="S548" s="1638"/>
      <c r="T548" s="1638"/>
      <c r="U548" s="1638"/>
      <c r="V548" s="1638"/>
      <c r="W548" s="1638"/>
      <c r="X548" s="1638"/>
      <c r="Y548" s="1638"/>
      <c r="Z548" s="1638"/>
      <c r="AA548" s="1638"/>
    </row>
    <row r="549" spans="1:27" ht="62.1" hidden="1" customHeight="1" x14ac:dyDescent="0.6">
      <c r="A549" s="1628"/>
      <c r="B549" s="1628"/>
      <c r="C549" s="1628"/>
      <c r="D549" s="1628"/>
      <c r="E549" s="2779"/>
      <c r="F549" s="2779"/>
      <c r="G549" s="2779"/>
      <c r="H549" s="2779"/>
      <c r="I549" s="2779"/>
      <c r="J549" s="2779"/>
      <c r="K549" s="2782"/>
      <c r="L549" s="2782"/>
      <c r="M549" s="2782"/>
      <c r="N549" s="2782"/>
      <c r="O549" s="2782"/>
      <c r="R549" s="1490"/>
      <c r="S549" s="1638"/>
      <c r="T549" s="1638"/>
      <c r="U549" s="1638"/>
      <c r="V549" s="1638"/>
      <c r="W549" s="1638"/>
      <c r="X549" s="1638"/>
      <c r="Y549" s="1638"/>
      <c r="Z549" s="1638"/>
      <c r="AA549" s="1638"/>
    </row>
    <row r="550" spans="1:27" ht="62.1" hidden="1" customHeight="1" x14ac:dyDescent="0.6">
      <c r="A550" s="4291" t="s">
        <v>444</v>
      </c>
      <c r="B550" s="4291"/>
      <c r="C550" s="4291"/>
      <c r="D550" s="4291"/>
      <c r="E550" s="2779"/>
      <c r="F550" s="2779"/>
      <c r="G550" s="2779"/>
      <c r="H550" s="2779"/>
      <c r="I550" s="2779"/>
      <c r="J550" s="2779"/>
      <c r="K550" s="2782"/>
      <c r="L550" s="2782"/>
      <c r="M550" s="2782"/>
      <c r="N550" s="2782"/>
      <c r="O550" s="2782"/>
      <c r="R550" s="1490"/>
      <c r="S550" s="1638"/>
      <c r="T550" s="1638"/>
      <c r="U550" s="1638"/>
      <c r="V550" s="1638"/>
      <c r="W550" s="1638"/>
      <c r="X550" s="1638"/>
      <c r="Y550" s="1638"/>
      <c r="Z550" s="1638"/>
      <c r="AA550" s="1638"/>
    </row>
    <row r="551" spans="1:27" ht="62.1" hidden="1" customHeight="1" x14ac:dyDescent="0.45">
      <c r="A551" s="2950" t="s">
        <v>445</v>
      </c>
      <c r="B551" s="1641"/>
      <c r="C551" s="1641"/>
      <c r="D551" s="4264" t="s">
        <v>446</v>
      </c>
      <c r="E551" s="1641"/>
      <c r="F551" s="4264" t="s">
        <v>447</v>
      </c>
      <c r="G551" s="4264" t="s">
        <v>304</v>
      </c>
      <c r="H551" s="4264"/>
      <c r="I551" s="4264"/>
      <c r="J551" s="4264" t="s">
        <v>448</v>
      </c>
      <c r="K551" s="4264"/>
      <c r="L551" s="4264"/>
      <c r="M551" s="4510" t="s">
        <v>449</v>
      </c>
      <c r="N551" s="4510"/>
      <c r="O551" s="4510"/>
    </row>
    <row r="552" spans="1:27" ht="62.1" hidden="1" customHeight="1" x14ac:dyDescent="0.45">
      <c r="A552" s="2950"/>
      <c r="B552" s="1641"/>
      <c r="C552" s="1641"/>
      <c r="D552" s="4264"/>
      <c r="E552" s="1641"/>
      <c r="F552" s="4264"/>
      <c r="G552" s="1641" t="s">
        <v>287</v>
      </c>
      <c r="H552" s="1641" t="s">
        <v>450</v>
      </c>
      <c r="I552" s="1641" t="s">
        <v>288</v>
      </c>
      <c r="J552" s="1641" t="s">
        <v>287</v>
      </c>
      <c r="K552" s="1641" t="s">
        <v>450</v>
      </c>
      <c r="L552" s="1641" t="s">
        <v>288</v>
      </c>
      <c r="M552" s="1515" t="s">
        <v>287</v>
      </c>
      <c r="N552" s="1515" t="s">
        <v>289</v>
      </c>
      <c r="O552" s="1515" t="s">
        <v>288</v>
      </c>
    </row>
    <row r="553" spans="1:27" ht="62.1" hidden="1" customHeight="1" thickBot="1" x14ac:dyDescent="0.5">
      <c r="A553" s="1510"/>
      <c r="B553" s="1510"/>
      <c r="C553" s="1510"/>
      <c r="D553" s="1510"/>
      <c r="E553" s="1510"/>
      <c r="F553" s="1510"/>
      <c r="G553" s="1510"/>
      <c r="H553" s="1510"/>
      <c r="I553" s="1510"/>
    </row>
    <row r="554" spans="1:27" ht="62.1" hidden="1" customHeight="1" thickBot="1" x14ac:dyDescent="0.5">
      <c r="A554" s="1643" t="s">
        <v>23</v>
      </c>
      <c r="B554" s="1644"/>
      <c r="C554" s="2323"/>
      <c r="D554" s="1646">
        <f t="shared" ref="D554:K555" si="618">+INT(D717)</f>
        <v>0</v>
      </c>
      <c r="E554" s="1646">
        <f t="shared" si="618"/>
        <v>0</v>
      </c>
      <c r="F554" s="1646">
        <f t="shared" si="618"/>
        <v>0</v>
      </c>
      <c r="G554" s="1646">
        <f t="shared" si="618"/>
        <v>0</v>
      </c>
      <c r="H554" s="1646">
        <f t="shared" si="618"/>
        <v>0</v>
      </c>
      <c r="I554" s="1646">
        <f t="shared" si="618"/>
        <v>0</v>
      </c>
      <c r="J554" s="1646">
        <f t="shared" si="618"/>
        <v>0</v>
      </c>
      <c r="K554" s="1646">
        <f t="shared" si="618"/>
        <v>0</v>
      </c>
      <c r="L554" s="1646">
        <f>+ROUND((L717),0)</f>
        <v>0</v>
      </c>
      <c r="M554" s="1648">
        <f t="shared" ref="M554:O555" si="619">+G554+J554</f>
        <v>0</v>
      </c>
      <c r="N554" s="1648">
        <f t="shared" si="619"/>
        <v>0</v>
      </c>
      <c r="O554" s="1649">
        <f t="shared" si="619"/>
        <v>0</v>
      </c>
      <c r="Q554" s="2778">
        <f>+SUM(G554:I554)</f>
        <v>0</v>
      </c>
      <c r="R554" s="2990">
        <f>+'Compra -HOJA1'!F57</f>
        <v>0</v>
      </c>
      <c r="S554" s="1736" t="str">
        <f t="shared" ref="S554:S555" si="620">+IF(Q554=R554,"OK","VERIFICAR")</f>
        <v>OK</v>
      </c>
    </row>
    <row r="555" spans="1:27" ht="62.1" hidden="1" customHeight="1" x14ac:dyDescent="0.45">
      <c r="A555" s="1643" t="s">
        <v>24</v>
      </c>
      <c r="B555" s="1644"/>
      <c r="C555" s="2323"/>
      <c r="D555" s="1646">
        <f t="shared" si="618"/>
        <v>0</v>
      </c>
      <c r="E555" s="1646">
        <f t="shared" si="618"/>
        <v>0</v>
      </c>
      <c r="F555" s="1646">
        <f t="shared" si="618"/>
        <v>0</v>
      </c>
      <c r="G555" s="1646">
        <f t="shared" si="618"/>
        <v>0</v>
      </c>
      <c r="H555" s="1646">
        <f t="shared" si="618"/>
        <v>0</v>
      </c>
      <c r="I555" s="1646">
        <f t="shared" si="618"/>
        <v>0</v>
      </c>
      <c r="J555" s="1646">
        <f t="shared" si="618"/>
        <v>0</v>
      </c>
      <c r="K555" s="1646">
        <f t="shared" si="618"/>
        <v>0</v>
      </c>
      <c r="L555" s="1646">
        <f>+ROUND((L718),0)</f>
        <v>0</v>
      </c>
      <c r="M555" s="1648">
        <f t="shared" si="619"/>
        <v>0</v>
      </c>
      <c r="N555" s="1648">
        <f t="shared" si="619"/>
        <v>0</v>
      </c>
      <c r="O555" s="1649">
        <f t="shared" si="619"/>
        <v>0</v>
      </c>
      <c r="Q555" s="2778">
        <f>+SUM(G555:I555)</f>
        <v>0</v>
      </c>
      <c r="R555" s="2990">
        <f>+ROUND('Compra -HOJA1'!F58,0)</f>
        <v>0</v>
      </c>
      <c r="S555" s="1736" t="str">
        <f t="shared" si="620"/>
        <v>OK</v>
      </c>
    </row>
    <row r="556" spans="1:27" ht="62.1" hidden="1" customHeight="1" x14ac:dyDescent="0.5">
      <c r="A556" s="4285" t="s">
        <v>451</v>
      </c>
      <c r="B556" s="4286"/>
      <c r="C556" s="4287"/>
      <c r="D556" s="2309">
        <f>SUM(D554:D555)</f>
        <v>0</v>
      </c>
      <c r="E556" s="2309"/>
      <c r="F556" s="2309">
        <f t="shared" ref="F556:O556" si="621">SUM(F554:F555)</f>
        <v>0</v>
      </c>
      <c r="G556" s="2309">
        <f t="shared" si="621"/>
        <v>0</v>
      </c>
      <c r="H556" s="2309">
        <f t="shared" si="621"/>
        <v>0</v>
      </c>
      <c r="I556" s="2309">
        <f t="shared" si="621"/>
        <v>0</v>
      </c>
      <c r="J556" s="2309">
        <f t="shared" si="621"/>
        <v>0</v>
      </c>
      <c r="K556" s="2309">
        <f t="shared" si="621"/>
        <v>0</v>
      </c>
      <c r="L556" s="1630">
        <f t="shared" si="621"/>
        <v>0</v>
      </c>
      <c r="M556" s="1650">
        <f t="shared" si="621"/>
        <v>0</v>
      </c>
      <c r="N556" s="1650">
        <f t="shared" si="621"/>
        <v>0</v>
      </c>
      <c r="O556" s="1650">
        <f t="shared" si="621"/>
        <v>0</v>
      </c>
    </row>
    <row r="557" spans="1:27" ht="62.1" hidden="1" customHeight="1" x14ac:dyDescent="0.45"/>
    <row r="558" spans="1:27" ht="62.1" hidden="1" customHeight="1" x14ac:dyDescent="0.45"/>
    <row r="559" spans="1:27" ht="62.1" hidden="1" customHeight="1" x14ac:dyDescent="0.8">
      <c r="A559" s="4292" t="s">
        <v>258</v>
      </c>
      <c r="B559" s="4292"/>
      <c r="C559" s="4292"/>
      <c r="D559" s="4292"/>
    </row>
    <row r="560" spans="1:27" ht="62.1" hidden="1" customHeight="1" x14ac:dyDescent="0.45">
      <c r="A560" s="1594" t="s">
        <v>452</v>
      </c>
      <c r="B560" s="1594"/>
      <c r="C560" s="1658"/>
      <c r="D560" s="1658"/>
      <c r="E560" s="1658"/>
      <c r="F560" s="1658"/>
      <c r="G560" s="1658"/>
      <c r="H560" s="1658"/>
      <c r="I560" s="1658"/>
    </row>
    <row r="561" spans="1:19" ht="62.1" hidden="1" customHeight="1" x14ac:dyDescent="0.45">
      <c r="A561" s="1639" t="s">
        <v>445</v>
      </c>
      <c r="B561" s="1640"/>
      <c r="C561" s="1640"/>
      <c r="D561" s="1640" t="s">
        <v>446</v>
      </c>
      <c r="E561" s="1640"/>
      <c r="F561" s="1640" t="s">
        <v>447</v>
      </c>
      <c r="G561" s="4274" t="s">
        <v>304</v>
      </c>
      <c r="H561" s="4274"/>
      <c r="I561" s="4274"/>
      <c r="J561" s="4274" t="s">
        <v>453</v>
      </c>
      <c r="K561" s="4274"/>
      <c r="L561" s="4275"/>
      <c r="M561" s="4237" t="s">
        <v>449</v>
      </c>
      <c r="N561" s="4238"/>
      <c r="O561" s="4240"/>
    </row>
    <row r="562" spans="1:19" ht="62.1" hidden="1" customHeight="1" x14ac:dyDescent="0.45">
      <c r="A562" s="1639"/>
      <c r="B562" s="1640"/>
      <c r="C562" s="1640"/>
      <c r="D562" s="1640"/>
      <c r="E562" s="1640"/>
      <c r="F562" s="1640"/>
      <c r="G562" s="1640" t="s">
        <v>287</v>
      </c>
      <c r="H562" s="1640" t="s">
        <v>450</v>
      </c>
      <c r="I562" s="1640" t="s">
        <v>288</v>
      </c>
      <c r="J562" s="1640" t="s">
        <v>287</v>
      </c>
      <c r="K562" s="1640" t="s">
        <v>450</v>
      </c>
      <c r="L562" s="1640" t="s">
        <v>288</v>
      </c>
      <c r="M562" s="1515" t="s">
        <v>287</v>
      </c>
      <c r="N562" s="1515" t="s">
        <v>289</v>
      </c>
      <c r="O562" s="1515" t="s">
        <v>288</v>
      </c>
    </row>
    <row r="563" spans="1:19" ht="62.1" hidden="1" customHeight="1" x14ac:dyDescent="0.45">
      <c r="A563" s="1510"/>
      <c r="B563" s="1510"/>
      <c r="C563" s="1510"/>
      <c r="D563" s="1510"/>
      <c r="E563" s="1510"/>
      <c r="F563" s="1510"/>
      <c r="G563" s="1510"/>
      <c r="H563" s="1510"/>
      <c r="I563" s="1510"/>
    </row>
    <row r="564" spans="1:19" ht="62.1" hidden="1" customHeight="1" x14ac:dyDescent="0.45">
      <c r="A564" s="1652" t="s">
        <v>24</v>
      </c>
      <c r="B564" s="1645" t="s">
        <v>454</v>
      </c>
      <c r="C564" s="2323"/>
      <c r="D564" s="1646">
        <f>+ROUND(D728,0)</f>
        <v>0</v>
      </c>
      <c r="E564" s="1646">
        <f t="shared" ref="E564:K564" si="622">+INT(E728)</f>
        <v>0</v>
      </c>
      <c r="F564" s="1646">
        <f t="shared" si="622"/>
        <v>0</v>
      </c>
      <c r="G564" s="1646">
        <f t="shared" si="622"/>
        <v>0</v>
      </c>
      <c r="H564" s="1646">
        <f t="shared" si="622"/>
        <v>0</v>
      </c>
      <c r="I564" s="1646">
        <f t="shared" si="622"/>
        <v>0</v>
      </c>
      <c r="J564" s="1646">
        <f t="shared" si="622"/>
        <v>0</v>
      </c>
      <c r="K564" s="1646">
        <f t="shared" si="622"/>
        <v>0</v>
      </c>
      <c r="L564" s="1646">
        <f>+ROUND((L728),0)</f>
        <v>0</v>
      </c>
      <c r="M564" s="1653">
        <f>+G564+J564</f>
        <v>0</v>
      </c>
      <c r="N564" s="1653">
        <f>+H564+K564</f>
        <v>0</v>
      </c>
      <c r="O564" s="1573">
        <f>+I564+L564</f>
        <v>0</v>
      </c>
      <c r="Q564" s="2778">
        <f>+SUM(G564:I564)</f>
        <v>0</v>
      </c>
      <c r="R564" s="2990">
        <f>+ROUND('Compra -HOJA1'!F59,0)</f>
        <v>0</v>
      </c>
      <c r="S564" s="1736" t="str">
        <f t="shared" ref="S564" si="623">+IF(Q564=R564,"OK","VERIFICAR")</f>
        <v>OK</v>
      </c>
    </row>
    <row r="565" spans="1:19" ht="62.1" hidden="1" customHeight="1" x14ac:dyDescent="0.45">
      <c r="A565" s="1654"/>
      <c r="B565" s="1654"/>
      <c r="C565" s="2324"/>
      <c r="D565" s="1655"/>
      <c r="E565" s="1655"/>
      <c r="F565" s="1655"/>
      <c r="G565" s="1655"/>
      <c r="H565" s="1655"/>
      <c r="I565" s="1655"/>
    </row>
    <row r="566" spans="1:19" ht="62.1" hidden="1" customHeight="1" x14ac:dyDescent="0.5">
      <c r="A566" s="4285" t="s">
        <v>455</v>
      </c>
      <c r="B566" s="4286"/>
      <c r="C566" s="4287"/>
      <c r="D566" s="2309">
        <f>SUM(D564:D565)</f>
        <v>0</v>
      </c>
      <c r="E566" s="2309"/>
      <c r="F566" s="2309">
        <f>SUM(F564:F565)</f>
        <v>0</v>
      </c>
      <c r="G566" s="2309">
        <f>SUM(G564:G564)</f>
        <v>0</v>
      </c>
      <c r="H566" s="2309">
        <f>SUM(H564:H564)</f>
        <v>0</v>
      </c>
      <c r="I566" s="2309">
        <f>SUM(I564:I564)</f>
        <v>0</v>
      </c>
      <c r="J566" s="2309">
        <f t="shared" ref="J566:O566" si="624">SUM(J564:J564)</f>
        <v>0</v>
      </c>
      <c r="K566" s="2309">
        <f t="shared" si="624"/>
        <v>0</v>
      </c>
      <c r="L566" s="1630">
        <f t="shared" si="624"/>
        <v>0</v>
      </c>
      <c r="M566" s="1656">
        <f t="shared" si="624"/>
        <v>0</v>
      </c>
      <c r="N566" s="1656">
        <f t="shared" si="624"/>
        <v>0</v>
      </c>
      <c r="O566" s="1656">
        <f t="shared" si="624"/>
        <v>0</v>
      </c>
    </row>
    <row r="567" spans="1:19" ht="62.1" hidden="1" customHeight="1" x14ac:dyDescent="0.45"/>
    <row r="568" spans="1:19" ht="62.1" hidden="1" customHeight="1" x14ac:dyDescent="0.45"/>
    <row r="569" spans="1:19" ht="62.1" hidden="1" customHeight="1" x14ac:dyDescent="0.45"/>
    <row r="570" spans="1:19" ht="62.1" hidden="1" customHeight="1" x14ac:dyDescent="0.45">
      <c r="A570" s="1594" t="s">
        <v>456</v>
      </c>
      <c r="B570" s="1594"/>
      <c r="C570" s="1658"/>
      <c r="D570" s="1658"/>
      <c r="E570" s="1658"/>
      <c r="F570" s="1658"/>
      <c r="G570" s="1658"/>
      <c r="H570" s="1658"/>
      <c r="I570" s="1658"/>
      <c r="J570" s="1658"/>
      <c r="K570" s="1658"/>
      <c r="L570" s="1658"/>
      <c r="M570" s="1658"/>
      <c r="N570" s="1658"/>
      <c r="O570" s="1594"/>
    </row>
    <row r="571" spans="1:19" ht="62.1" hidden="1" customHeight="1" x14ac:dyDescent="0.45">
      <c r="A571" s="1594"/>
      <c r="B571" s="1594"/>
      <c r="C571" s="1658"/>
      <c r="D571" s="1658"/>
      <c r="E571" s="1658"/>
      <c r="F571" s="1658"/>
      <c r="G571" s="1658"/>
      <c r="H571" s="1658"/>
      <c r="I571" s="1658"/>
      <c r="J571" s="1658"/>
      <c r="K571" s="1658"/>
      <c r="L571" s="1658"/>
      <c r="M571" s="1658"/>
      <c r="N571" s="1658"/>
      <c r="O571" s="1594"/>
    </row>
    <row r="572" spans="1:19" ht="62.1" hidden="1" customHeight="1" x14ac:dyDescent="0.8">
      <c r="A572" s="4292" t="s">
        <v>103</v>
      </c>
      <c r="B572" s="4292"/>
      <c r="C572" s="4292"/>
      <c r="D572" s="4292"/>
    </row>
    <row r="573" spans="1:19" ht="62.1" hidden="1" customHeight="1" x14ac:dyDescent="0.45">
      <c r="A573" s="1639" t="s">
        <v>457</v>
      </c>
      <c r="B573" s="1640"/>
      <c r="C573" s="1640"/>
      <c r="D573" s="1640" t="s">
        <v>26</v>
      </c>
      <c r="E573" s="1640"/>
      <c r="F573" s="1640" t="s">
        <v>458</v>
      </c>
      <c r="G573" s="4274" t="s">
        <v>304</v>
      </c>
      <c r="H573" s="4274"/>
      <c r="I573" s="4274"/>
      <c r="J573" s="4274" t="s">
        <v>453</v>
      </c>
      <c r="K573" s="4274"/>
      <c r="L573" s="4275"/>
      <c r="M573" s="4237" t="s">
        <v>449</v>
      </c>
      <c r="N573" s="4238"/>
      <c r="O573" s="4240"/>
    </row>
    <row r="574" spans="1:19" ht="62.1" hidden="1" customHeight="1" x14ac:dyDescent="0.45">
      <c r="A574" s="1639"/>
      <c r="B574" s="1640"/>
      <c r="C574" s="1640"/>
      <c r="D574" s="1640"/>
      <c r="E574" s="1640"/>
      <c r="F574" s="1640"/>
      <c r="G574" s="1640" t="s">
        <v>287</v>
      </c>
      <c r="H574" s="1640" t="s">
        <v>450</v>
      </c>
      <c r="I574" s="1640" t="s">
        <v>288</v>
      </c>
      <c r="J574" s="1640" t="s">
        <v>287</v>
      </c>
      <c r="K574" s="1640" t="s">
        <v>450</v>
      </c>
      <c r="L574" s="1640" t="s">
        <v>288</v>
      </c>
      <c r="M574" s="1515" t="s">
        <v>287</v>
      </c>
      <c r="N574" s="1515" t="s">
        <v>289</v>
      </c>
      <c r="O574" s="1515" t="s">
        <v>288</v>
      </c>
    </row>
    <row r="575" spans="1:19" ht="62.1" hidden="1" customHeight="1" x14ac:dyDescent="0.45"/>
    <row r="576" spans="1:19" ht="62.1" hidden="1" customHeight="1" x14ac:dyDescent="0.45">
      <c r="A576" s="1652" t="s">
        <v>23</v>
      </c>
      <c r="B576" s="1645" t="s">
        <v>454</v>
      </c>
      <c r="C576" s="2323"/>
      <c r="D576" s="1646">
        <f>+INT(D740)</f>
        <v>0</v>
      </c>
      <c r="E576" s="1646">
        <f t="shared" ref="E576:L577" si="625">+INT(E740)</f>
        <v>0</v>
      </c>
      <c r="F576" s="1646">
        <f t="shared" ca="1" si="625"/>
        <v>0</v>
      </c>
      <c r="G576" s="1646">
        <f t="shared" ca="1" si="625"/>
        <v>0</v>
      </c>
      <c r="H576" s="1646">
        <f t="shared" ca="1" si="625"/>
        <v>0</v>
      </c>
      <c r="I576" s="1646">
        <f t="shared" ca="1" si="625"/>
        <v>0</v>
      </c>
      <c r="J576" s="1646">
        <f t="shared" ca="1" si="625"/>
        <v>0</v>
      </c>
      <c r="K576" s="1646">
        <f t="shared" ca="1" si="625"/>
        <v>0</v>
      </c>
      <c r="L576" s="1660">
        <f ca="1">+INT(L740)</f>
        <v>0</v>
      </c>
      <c r="M576" s="1661">
        <f t="shared" ref="M576:O577" ca="1" si="626">+J576+G576</f>
        <v>0</v>
      </c>
      <c r="N576" s="1661">
        <f t="shared" ca="1" si="626"/>
        <v>0</v>
      </c>
      <c r="O576" s="1662">
        <f t="shared" ca="1" si="626"/>
        <v>0</v>
      </c>
      <c r="Q576" s="2778">
        <f ca="1">+SUM(G576:I576)</f>
        <v>0</v>
      </c>
      <c r="R576" s="2990">
        <f ca="1">+ROUND('DDJJ EPEC S-II -GUDI'!G36,0)</f>
        <v>0</v>
      </c>
      <c r="S576" s="1736" t="str">
        <f t="shared" ref="S576:S577" ca="1" si="627">+IF(Q576=R576,"OK","VERIFICAR")</f>
        <v>OK</v>
      </c>
    </row>
    <row r="577" spans="1:19" ht="62.1" hidden="1" customHeight="1" x14ac:dyDescent="0.45">
      <c r="A577" s="1652" t="s">
        <v>24</v>
      </c>
      <c r="B577" s="1645" t="s">
        <v>454</v>
      </c>
      <c r="C577" s="2323"/>
      <c r="D577" s="1646">
        <f>+INT(D741)</f>
        <v>0</v>
      </c>
      <c r="E577" s="1646">
        <f t="shared" si="625"/>
        <v>0</v>
      </c>
      <c r="F577" s="1646">
        <f t="shared" ca="1" si="625"/>
        <v>0</v>
      </c>
      <c r="G577" s="1646">
        <f t="shared" ca="1" si="625"/>
        <v>0</v>
      </c>
      <c r="H577" s="1646">
        <f t="shared" ca="1" si="625"/>
        <v>0</v>
      </c>
      <c r="I577" s="1646">
        <f t="shared" ca="1" si="625"/>
        <v>0</v>
      </c>
      <c r="J577" s="1646">
        <f t="shared" ca="1" si="625"/>
        <v>0</v>
      </c>
      <c r="K577" s="1646">
        <f t="shared" ca="1" si="625"/>
        <v>0</v>
      </c>
      <c r="L577" s="1660">
        <f t="shared" ca="1" si="625"/>
        <v>0</v>
      </c>
      <c r="M577" s="1661">
        <f t="shared" ca="1" si="626"/>
        <v>0</v>
      </c>
      <c r="N577" s="1661">
        <f t="shared" ca="1" si="626"/>
        <v>0</v>
      </c>
      <c r="O577" s="1662">
        <f t="shared" ca="1" si="626"/>
        <v>0</v>
      </c>
      <c r="Q577" s="2778">
        <f ca="1">+SUM(G577:I577)</f>
        <v>0</v>
      </c>
      <c r="R577" s="2990">
        <f ca="1">+ROUND('DDJJ EPEC S-II -GUDI'!G38,0)</f>
        <v>0</v>
      </c>
      <c r="S577" s="1736" t="str">
        <f t="shared" ca="1" si="627"/>
        <v>OK</v>
      </c>
    </row>
    <row r="578" spans="1:19" ht="62.1" hidden="1" customHeight="1" x14ac:dyDescent="0.5">
      <c r="A578" s="1630" t="s">
        <v>459</v>
      </c>
      <c r="B578" s="1630"/>
      <c r="C578" s="2309"/>
      <c r="D578" s="2309">
        <f>SUM(D576:D577)</f>
        <v>0</v>
      </c>
      <c r="E578" s="2309"/>
      <c r="F578" s="2309">
        <f t="shared" ref="F578:O578" ca="1" si="628">SUM(F576:F577)</f>
        <v>0</v>
      </c>
      <c r="G578" s="2309">
        <f t="shared" ca="1" si="628"/>
        <v>0</v>
      </c>
      <c r="H578" s="2309">
        <f t="shared" ca="1" si="628"/>
        <v>0</v>
      </c>
      <c r="I578" s="2309">
        <f t="shared" ca="1" si="628"/>
        <v>0</v>
      </c>
      <c r="J578" s="2309">
        <f t="shared" ca="1" si="628"/>
        <v>0</v>
      </c>
      <c r="K578" s="2309">
        <f t="shared" ca="1" si="628"/>
        <v>0</v>
      </c>
      <c r="L578" s="1630">
        <f t="shared" ca="1" si="628"/>
        <v>0</v>
      </c>
      <c r="M578" s="1994">
        <f t="shared" ca="1" si="628"/>
        <v>0</v>
      </c>
      <c r="N578" s="1994">
        <f t="shared" ca="1" si="628"/>
        <v>0</v>
      </c>
      <c r="O578" s="1995">
        <f t="shared" ca="1" si="628"/>
        <v>0</v>
      </c>
    </row>
    <row r="579" spans="1:19" ht="62.1" hidden="1" customHeight="1" x14ac:dyDescent="0.5">
      <c r="B579" s="1665" t="s">
        <v>429</v>
      </c>
      <c r="C579" s="1717"/>
      <c r="G579" s="1666">
        <f t="shared" ref="G579:L580" si="629">+INT(G744)</f>
        <v>0</v>
      </c>
      <c r="H579" s="1666">
        <f t="shared" si="629"/>
        <v>0</v>
      </c>
      <c r="I579" s="1666">
        <f t="shared" si="629"/>
        <v>0</v>
      </c>
      <c r="J579" s="1666">
        <f t="shared" si="629"/>
        <v>0</v>
      </c>
      <c r="K579" s="1666">
        <f t="shared" si="629"/>
        <v>0</v>
      </c>
      <c r="L579" s="1666">
        <f t="shared" si="629"/>
        <v>0</v>
      </c>
      <c r="M579" s="1661">
        <f t="shared" ref="M579:O580" si="630">+J579+G579</f>
        <v>0</v>
      </c>
      <c r="N579" s="1661">
        <f t="shared" si="630"/>
        <v>0</v>
      </c>
      <c r="O579" s="1662">
        <f t="shared" si="630"/>
        <v>0</v>
      </c>
    </row>
    <row r="580" spans="1:19" ht="62.1" hidden="1" customHeight="1" x14ac:dyDescent="0.5">
      <c r="A580" s="1498"/>
      <c r="B580" s="1665" t="s">
        <v>430</v>
      </c>
      <c r="C580" s="2310"/>
      <c r="D580" s="2310"/>
      <c r="E580" s="2310"/>
      <c r="F580" s="2310"/>
      <c r="G580" s="1666">
        <f t="shared" si="629"/>
        <v>0</v>
      </c>
      <c r="H580" s="1666">
        <f t="shared" si="629"/>
        <v>0</v>
      </c>
      <c r="I580" s="1666">
        <f t="shared" si="629"/>
        <v>0</v>
      </c>
      <c r="J580" s="1666">
        <f t="shared" si="629"/>
        <v>0</v>
      </c>
      <c r="K580" s="1666">
        <f t="shared" si="629"/>
        <v>0</v>
      </c>
      <c r="L580" s="1666">
        <f t="shared" si="629"/>
        <v>0</v>
      </c>
      <c r="M580" s="1661">
        <f t="shared" si="630"/>
        <v>0</v>
      </c>
      <c r="N580" s="1661">
        <f t="shared" si="630"/>
        <v>0</v>
      </c>
      <c r="O580" s="1662">
        <f t="shared" si="630"/>
        <v>0</v>
      </c>
    </row>
    <row r="581" spans="1:19" ht="62.1" hidden="1" customHeight="1" x14ac:dyDescent="0.45">
      <c r="A581" s="1668"/>
      <c r="B581" s="4300" t="s">
        <v>460</v>
      </c>
      <c r="C581" s="4301"/>
      <c r="D581" s="4301"/>
      <c r="E581" s="4301"/>
      <c r="F581" s="4302"/>
      <c r="G581" s="1671">
        <f t="shared" ref="G581:O581" si="631">SUM(G579:G580)</f>
        <v>0</v>
      </c>
      <c r="H581" s="1671">
        <f t="shared" si="631"/>
        <v>0</v>
      </c>
      <c r="I581" s="1671">
        <f t="shared" si="631"/>
        <v>0</v>
      </c>
      <c r="J581" s="1671">
        <f t="shared" si="631"/>
        <v>0</v>
      </c>
      <c r="K581" s="1671">
        <f t="shared" si="631"/>
        <v>0</v>
      </c>
      <c r="L581" s="1671">
        <f t="shared" si="631"/>
        <v>0</v>
      </c>
      <c r="M581" s="1671">
        <f t="shared" si="631"/>
        <v>0</v>
      </c>
      <c r="N581" s="1671">
        <f t="shared" si="631"/>
        <v>0</v>
      </c>
      <c r="O581" s="1669">
        <f t="shared" si="631"/>
        <v>0</v>
      </c>
    </row>
    <row r="582" spans="1:19" ht="62.1" hidden="1" customHeight="1" x14ac:dyDescent="0.45">
      <c r="A582" s="1672"/>
      <c r="B582" s="1672"/>
      <c r="G582" s="4278" t="s">
        <v>304</v>
      </c>
      <c r="H582" s="4279"/>
      <c r="I582" s="4280"/>
      <c r="J582" s="4278" t="s">
        <v>453</v>
      </c>
      <c r="K582" s="4279"/>
      <c r="L582" s="4280"/>
      <c r="M582" s="4237" t="s">
        <v>449</v>
      </c>
      <c r="N582" s="4238"/>
      <c r="O582" s="4240"/>
    </row>
    <row r="583" spans="1:19" ht="62.1" hidden="1" customHeight="1" x14ac:dyDescent="0.45">
      <c r="A583" s="1672"/>
      <c r="B583" s="1672"/>
      <c r="G583" s="1641" t="s">
        <v>287</v>
      </c>
      <c r="H583" s="1641" t="s">
        <v>450</v>
      </c>
      <c r="I583" s="1641" t="s">
        <v>288</v>
      </c>
      <c r="J583" s="1641" t="s">
        <v>287</v>
      </c>
      <c r="K583" s="1641" t="s">
        <v>450</v>
      </c>
      <c r="L583" s="1641" t="s">
        <v>288</v>
      </c>
      <c r="M583" s="1515" t="s">
        <v>287</v>
      </c>
      <c r="N583" s="1515" t="s">
        <v>289</v>
      </c>
      <c r="O583" s="1515" t="s">
        <v>288</v>
      </c>
    </row>
    <row r="584" spans="1:19" ht="62.1" hidden="1" customHeight="1" x14ac:dyDescent="0.45">
      <c r="A584" s="4278" t="s">
        <v>431</v>
      </c>
      <c r="B584" s="4279"/>
      <c r="C584" s="4279"/>
      <c r="D584" s="4279"/>
      <c r="E584" s="4279"/>
      <c r="F584" s="4280"/>
      <c r="G584" s="1673">
        <f ca="1">+F546+G556+G566+G578</f>
        <v>0</v>
      </c>
      <c r="H584" s="1673">
        <f t="shared" ref="H584:L584" ca="1" si="632">+G546+H556+H566+H578</f>
        <v>0</v>
      </c>
      <c r="I584" s="1673">
        <f t="shared" ca="1" si="632"/>
        <v>0</v>
      </c>
      <c r="J584" s="1673">
        <f t="shared" ca="1" si="632"/>
        <v>0</v>
      </c>
      <c r="K584" s="1673">
        <f t="shared" ca="1" si="632"/>
        <v>0</v>
      </c>
      <c r="L584" s="1673">
        <f t="shared" ca="1" si="632"/>
        <v>0</v>
      </c>
      <c r="M584" s="1673">
        <f ca="1">+G584+J584</f>
        <v>0</v>
      </c>
      <c r="N584" s="1673">
        <f t="shared" ref="N584:O584" ca="1" si="633">+H584+K584</f>
        <v>0</v>
      </c>
      <c r="O584" s="1673">
        <f t="shared" ca="1" si="633"/>
        <v>0</v>
      </c>
      <c r="Q584" s="2778">
        <f ca="1">+SUM(G584:I584)</f>
        <v>0</v>
      </c>
      <c r="R584" s="2990">
        <f ca="1">+R577+R576+R564+R555+R554+SUM(R439:R544)</f>
        <v>0</v>
      </c>
      <c r="S584" s="1736" t="str">
        <f t="shared" ref="S584" ca="1" si="634">+IF(Q584=R584,"OK","VERIFICAR")</f>
        <v>OK</v>
      </c>
    </row>
    <row r="585" spans="1:19" ht="62.1" hidden="1" customHeight="1" x14ac:dyDescent="0.45">
      <c r="A585" s="1641"/>
      <c r="B585" s="1641"/>
      <c r="C585" s="1641"/>
      <c r="D585" s="1641"/>
      <c r="E585" s="1641"/>
      <c r="F585" s="1641"/>
      <c r="G585" s="4237" t="s">
        <v>449</v>
      </c>
      <c r="H585" s="4238"/>
      <c r="I585" s="4240"/>
    </row>
    <row r="586" spans="1:19" ht="62.1" hidden="1" customHeight="1" x14ac:dyDescent="0.45">
      <c r="A586" s="4278" t="s">
        <v>431</v>
      </c>
      <c r="B586" s="4279"/>
      <c r="C586" s="4279"/>
      <c r="D586" s="4279"/>
      <c r="E586" s="4279"/>
      <c r="F586" s="4280"/>
      <c r="G586" s="1674">
        <f ca="1">+G584+J584</f>
        <v>0</v>
      </c>
      <c r="H586" s="1674">
        <f ca="1">+H584+K584</f>
        <v>0</v>
      </c>
      <c r="I586" s="1674">
        <f ca="1">+I584+L584</f>
        <v>0</v>
      </c>
      <c r="J586" s="1653"/>
      <c r="K586" s="1653"/>
      <c r="L586" s="1653"/>
      <c r="P586" s="1594"/>
      <c r="Q586" s="1594"/>
      <c r="R586" s="1594"/>
      <c r="S586" s="1594"/>
    </row>
    <row r="587" spans="1:19" ht="62.1" hidden="1" customHeight="1" x14ac:dyDescent="0.45">
      <c r="A587" s="4278" t="s">
        <v>433</v>
      </c>
      <c r="B587" s="4279"/>
      <c r="C587" s="4279"/>
      <c r="D587" s="4279"/>
      <c r="E587" s="4279"/>
      <c r="F587" s="4280"/>
      <c r="G587" s="1675">
        <f>+'Compra -HOJA1'!G10</f>
        <v>0</v>
      </c>
      <c r="H587" s="1675">
        <f>+'Compra -HOJA1'!I10</f>
        <v>0</v>
      </c>
      <c r="I587" s="1675">
        <f>+'Compra -HOJA1'!H10</f>
        <v>0</v>
      </c>
      <c r="K587" s="1653"/>
      <c r="P587" s="1594"/>
      <c r="Q587" s="1594"/>
      <c r="R587" s="1594"/>
      <c r="S587" s="1594"/>
    </row>
    <row r="588" spans="1:19" ht="62.1" hidden="1" customHeight="1" x14ac:dyDescent="0.45">
      <c r="A588" s="1676"/>
      <c r="B588" s="1676"/>
      <c r="C588" s="2325"/>
    </row>
    <row r="589" spans="1:19" ht="62.1" hidden="1" customHeight="1" x14ac:dyDescent="0.45">
      <c r="A589" s="1676"/>
      <c r="B589" s="1676"/>
      <c r="C589" s="2325"/>
      <c r="D589" s="1491" t="s">
        <v>435</v>
      </c>
      <c r="G589" s="1653" t="str">
        <f ca="1">IF((G587-G586)=0,"O.K.","VERIFICAR¨")</f>
        <v>O.K.</v>
      </c>
      <c r="H589" s="1653" t="str">
        <f ca="1">IF((H587-H586)=0,"O.K.","VERIFICAR¨")</f>
        <v>O.K.</v>
      </c>
      <c r="I589" s="1653" t="str">
        <f ca="1">IF((I587-I586)=0,"O.K.","VERIFICAR¨")</f>
        <v>O.K.</v>
      </c>
    </row>
    <row r="590" spans="1:19" ht="62.1" hidden="1" customHeight="1" x14ac:dyDescent="0.45">
      <c r="A590" s="1677"/>
      <c r="B590" s="1677"/>
      <c r="C590" s="2326"/>
      <c r="G590" s="2311">
        <f ca="1">+G587-G586</f>
        <v>0</v>
      </c>
      <c r="H590" s="2311">
        <f ca="1">+H587-H586</f>
        <v>0</v>
      </c>
      <c r="I590" s="2311">
        <f ca="1">+I587-I586</f>
        <v>0</v>
      </c>
      <c r="J590" s="1653">
        <f ca="1">SUM(G590:I590)</f>
        <v>0</v>
      </c>
    </row>
    <row r="591" spans="1:19" ht="62.1" hidden="1" customHeight="1" x14ac:dyDescent="0.45"/>
    <row r="592" spans="1:19" ht="62.1" hidden="1" customHeight="1" x14ac:dyDescent="0.45">
      <c r="A592" s="1594" t="s">
        <v>363</v>
      </c>
      <c r="B592" s="1594"/>
      <c r="C592" s="1658"/>
      <c r="D592" s="2312">
        <f>'Compra -HOJA1'!D2:H2</f>
        <v>0</v>
      </c>
      <c r="E592" s="2312"/>
      <c r="F592" s="1501"/>
      <c r="G592" s="1501"/>
      <c r="H592" s="1501"/>
    </row>
    <row r="593" spans="1:51" ht="62.1" hidden="1" customHeight="1" thickBot="1" x14ac:dyDescent="0.5">
      <c r="A593" s="1594" t="s">
        <v>364</v>
      </c>
      <c r="B593" s="1594"/>
      <c r="C593" s="1658"/>
      <c r="D593" s="2282">
        <f>'Compra -HOJA1'!F4</f>
        <v>45536</v>
      </c>
      <c r="E593" s="2282"/>
      <c r="F593" s="1500"/>
      <c r="G593" s="1500"/>
      <c r="H593" s="1500"/>
    </row>
    <row r="594" spans="1:51" ht="62.1" hidden="1" customHeight="1" thickBot="1" x14ac:dyDescent="0.5">
      <c r="A594" s="1506"/>
      <c r="B594" s="1506"/>
      <c r="C594" s="1510"/>
      <c r="D594" s="1510"/>
      <c r="E594" s="1510"/>
      <c r="F594" s="1510"/>
      <c r="G594" s="1510"/>
      <c r="H594" s="1510"/>
      <c r="I594" s="2313"/>
      <c r="S594" s="4394" t="s">
        <v>461</v>
      </c>
      <c r="T594" s="4394"/>
      <c r="U594" s="4394"/>
      <c r="V594" s="4394"/>
      <c r="W594" s="4394"/>
      <c r="X594" s="4394"/>
      <c r="Y594" s="4394"/>
      <c r="Z594" s="4394"/>
      <c r="AA594" s="4394"/>
      <c r="AC594" s="4497" t="s">
        <v>462</v>
      </c>
      <c r="AD594" s="4498"/>
      <c r="AE594" s="4498"/>
      <c r="AF594" s="4498"/>
      <c r="AG594" s="4498"/>
      <c r="AH594" s="4498"/>
      <c r="AI594" s="4498"/>
      <c r="AJ594" s="4498"/>
      <c r="AK594" s="4498"/>
      <c r="AL594" s="4499"/>
    </row>
    <row r="595" spans="1:51" ht="62.1" hidden="1" customHeight="1" thickBot="1" x14ac:dyDescent="0.5">
      <c r="A595" s="1506"/>
      <c r="B595" s="1506"/>
      <c r="C595" s="1510"/>
      <c r="D595" s="1510"/>
      <c r="E595" s="1510"/>
      <c r="F595" s="1510"/>
      <c r="G595" s="1510"/>
      <c r="H595" s="1510"/>
      <c r="AC595" s="1499"/>
      <c r="AL595" s="2793"/>
    </row>
    <row r="596" spans="1:51" ht="62.1" hidden="1" customHeight="1" x14ac:dyDescent="0.5">
      <c r="A596" s="2847" t="s">
        <v>463</v>
      </c>
      <c r="B596" s="2848"/>
      <c r="C596" s="2849"/>
      <c r="D596" s="2849"/>
      <c r="E596" s="2849"/>
      <c r="F596" s="4281" t="s">
        <v>304</v>
      </c>
      <c r="G596" s="4281"/>
      <c r="H596" s="4281"/>
      <c r="I596" s="4281" t="s">
        <v>439</v>
      </c>
      <c r="J596" s="4281"/>
      <c r="K596" s="4281"/>
      <c r="L596" s="4281" t="s">
        <v>377</v>
      </c>
      <c r="M596" s="4281"/>
      <c r="N596" s="4282"/>
      <c r="S596" s="4253" t="s">
        <v>191</v>
      </c>
      <c r="T596" s="4253"/>
      <c r="U596" s="4253"/>
      <c r="V596" s="4253" t="s">
        <v>464</v>
      </c>
      <c r="W596" s="4253"/>
      <c r="X596" s="4253"/>
      <c r="Y596" s="4253" t="s">
        <v>465</v>
      </c>
      <c r="Z596" s="4253"/>
      <c r="AA596" s="4253"/>
      <c r="AC596" s="4507" t="s">
        <v>191</v>
      </c>
      <c r="AD596" s="4508"/>
      <c r="AE596" s="4508"/>
      <c r="AF596" s="4508"/>
      <c r="AG596" s="4509"/>
      <c r="AH596" s="4253" t="s">
        <v>464</v>
      </c>
      <c r="AI596" s="4253"/>
      <c r="AJ596" s="4253"/>
      <c r="AK596" s="4253"/>
      <c r="AL596" s="4495"/>
    </row>
    <row r="597" spans="1:51" ht="62.1" hidden="1" customHeight="1" thickBot="1" x14ac:dyDescent="0.55000000000000004">
      <c r="A597" s="2850" t="s">
        <v>440</v>
      </c>
      <c r="B597" s="2840"/>
      <c r="C597" s="2841"/>
      <c r="D597" s="2839"/>
      <c r="E597" s="2839" t="s">
        <v>441</v>
      </c>
      <c r="F597" s="1515" t="s">
        <v>287</v>
      </c>
      <c r="G597" s="1515" t="s">
        <v>289</v>
      </c>
      <c r="H597" s="1515" t="s">
        <v>288</v>
      </c>
      <c r="I597" s="1515" t="s">
        <v>287</v>
      </c>
      <c r="J597" s="1515" t="s">
        <v>289</v>
      </c>
      <c r="K597" s="1515" t="s">
        <v>288</v>
      </c>
      <c r="L597" s="1515" t="s">
        <v>287</v>
      </c>
      <c r="M597" s="1515" t="s">
        <v>289</v>
      </c>
      <c r="N597" s="1517" t="s">
        <v>288</v>
      </c>
      <c r="S597" s="1515" t="s">
        <v>5</v>
      </c>
      <c r="T597" s="1515" t="s">
        <v>7</v>
      </c>
      <c r="U597" s="1515" t="s">
        <v>6</v>
      </c>
      <c r="V597" s="1515" t="s">
        <v>5</v>
      </c>
      <c r="W597" s="1515" t="s">
        <v>7</v>
      </c>
      <c r="X597" s="1515" t="s">
        <v>6</v>
      </c>
      <c r="Y597" s="1515" t="s">
        <v>5</v>
      </c>
      <c r="Z597" s="1515" t="s">
        <v>7</v>
      </c>
      <c r="AA597" s="1515" t="s">
        <v>6</v>
      </c>
      <c r="AC597" s="2548" t="s">
        <v>5</v>
      </c>
      <c r="AD597" s="1515" t="s">
        <v>7</v>
      </c>
      <c r="AE597" s="1515" t="s">
        <v>6</v>
      </c>
      <c r="AF597" s="1515" t="s">
        <v>466</v>
      </c>
      <c r="AG597" s="1515" t="s">
        <v>467</v>
      </c>
      <c r="AH597" s="1515" t="s">
        <v>5</v>
      </c>
      <c r="AI597" s="1515" t="s">
        <v>7</v>
      </c>
      <c r="AJ597" s="1515" t="s">
        <v>6</v>
      </c>
      <c r="AK597" s="1515" t="s">
        <v>466</v>
      </c>
      <c r="AL597" s="1517" t="s">
        <v>467</v>
      </c>
      <c r="AM597" s="1665" t="s">
        <v>4</v>
      </c>
      <c r="AO597" s="1489" t="s">
        <v>468</v>
      </c>
      <c r="AP597" s="1489" t="s">
        <v>469</v>
      </c>
    </row>
    <row r="598" spans="1:51" ht="62.1" hidden="1" customHeight="1" x14ac:dyDescent="0.6">
      <c r="A598" s="4100" t="s">
        <v>41</v>
      </c>
      <c r="B598" s="3172">
        <v>5030</v>
      </c>
      <c r="C598" s="3758" t="s">
        <v>217</v>
      </c>
      <c r="D598" s="3758"/>
      <c r="E598" s="2539">
        <f>+'Compra -HOJA1'!G290</f>
        <v>0</v>
      </c>
      <c r="F598" s="1680">
        <f>+AC598</f>
        <v>0</v>
      </c>
      <c r="G598" s="1680">
        <f t="shared" ref="G598:H598" si="635">+AD598</f>
        <v>0</v>
      </c>
      <c r="H598" s="1680">
        <f t="shared" si="635"/>
        <v>0</v>
      </c>
      <c r="I598" s="1680">
        <f ca="1">+AH598</f>
        <v>0</v>
      </c>
      <c r="J598" s="1680">
        <f t="shared" ref="J598:K598" ca="1" si="636">+AI598</f>
        <v>0</v>
      </c>
      <c r="K598" s="1680">
        <f t="shared" ca="1" si="636"/>
        <v>0</v>
      </c>
      <c r="L598" s="2021">
        <f ca="1">+F598+I598</f>
        <v>0</v>
      </c>
      <c r="M598" s="2021">
        <f t="shared" ref="M598:N598" ca="1" si="637">+G598+J598</f>
        <v>0</v>
      </c>
      <c r="N598" s="2851">
        <f t="shared" ca="1" si="637"/>
        <v>0</v>
      </c>
      <c r="O598" s="4100" t="s">
        <v>41</v>
      </c>
      <c r="P598" s="3172">
        <v>5030</v>
      </c>
      <c r="Q598" s="3758" t="s">
        <v>217</v>
      </c>
      <c r="R598" s="3758"/>
      <c r="S598" s="2804">
        <f>+ROUND('Compra -HOJA1'!I290,0)</f>
        <v>0</v>
      </c>
      <c r="T598" s="2804">
        <f>+ROUND('Compra -HOJA1'!K290,0)</f>
        <v>0</v>
      </c>
      <c r="U598" s="2804">
        <f>+ROUND('Compra -HOJA1'!J290,0)</f>
        <v>0</v>
      </c>
      <c r="V598" s="2804">
        <f ca="1">+ROUND('Compra -HOJA1'!L290,0)</f>
        <v>0</v>
      </c>
      <c r="W598" s="2804">
        <f ca="1">+ROUND('Compra -HOJA1'!N290,0)</f>
        <v>0</v>
      </c>
      <c r="X598" s="2804">
        <f ca="1">+ROUND('Compra -HOJA1'!M290,0)</f>
        <v>0</v>
      </c>
      <c r="Y598" s="2805">
        <f ca="1">+'Compra -HOJA1'!O290</f>
        <v>0</v>
      </c>
      <c r="Z598" s="2805">
        <f ca="1">+'Compra -HOJA1'!Q290</f>
        <v>0</v>
      </c>
      <c r="AA598" s="2805">
        <f ca="1">+'Compra -HOJA1'!P290</f>
        <v>0</v>
      </c>
      <c r="AB598" s="1490"/>
      <c r="AC598" s="2835">
        <f>+ROUND(S598,0)</f>
        <v>0</v>
      </c>
      <c r="AD598" s="2776">
        <f>+ROUND(T598,0)</f>
        <v>0</v>
      </c>
      <c r="AE598" s="2776">
        <f>+AG598-AC598-AD598</f>
        <v>0</v>
      </c>
      <c r="AF598" s="1490">
        <f>SUM(AC598:AE598)</f>
        <v>0</v>
      </c>
      <c r="AG598" s="1490">
        <f>+'Compra -HOJA1'!F290</f>
        <v>0</v>
      </c>
      <c r="AH598" s="2802">
        <f ca="1">+ROUND(V598,0)</f>
        <v>0</v>
      </c>
      <c r="AI598" s="2802">
        <f ca="1">+ROUND(W598,0)</f>
        <v>0</v>
      </c>
      <c r="AJ598" s="2802">
        <f ca="1">+AL598-AH598-AI598</f>
        <v>0</v>
      </c>
      <c r="AK598" s="1490">
        <f ca="1">SUM(AH598:AJ598)</f>
        <v>0</v>
      </c>
      <c r="AL598" s="2825">
        <f ca="1">+ROUND(SUM(V598:X598),0)</f>
        <v>0</v>
      </c>
      <c r="AM598" s="1490">
        <f ca="1">SUM(V598:X598)</f>
        <v>0</v>
      </c>
      <c r="AO598" s="1573">
        <f>+SUM(S598:U598)</f>
        <v>0</v>
      </c>
      <c r="AP598" s="1490">
        <f>+AO598-AG598</f>
        <v>0</v>
      </c>
      <c r="AS598" s="1490">
        <f>+S598-AC598</f>
        <v>0</v>
      </c>
      <c r="AT598" s="1490">
        <f t="shared" ref="AT598:AU598" si="638">+T598-AD598</f>
        <v>0</v>
      </c>
      <c r="AU598" s="1490">
        <f t="shared" si="638"/>
        <v>0</v>
      </c>
      <c r="AV598" s="1490"/>
      <c r="AW598" s="3012"/>
      <c r="AX598" s="3012"/>
      <c r="AY598" s="3012"/>
    </row>
    <row r="599" spans="1:51" ht="62.1" hidden="1" customHeight="1" x14ac:dyDescent="0.6">
      <c r="A599" s="4101"/>
      <c r="B599" s="1954">
        <v>5040</v>
      </c>
      <c r="C599" s="3743" t="s">
        <v>218</v>
      </c>
      <c r="D599" s="3744"/>
      <c r="E599" s="2539">
        <f>+'Compra -HOJA1'!G291</f>
        <v>0</v>
      </c>
      <c r="F599" s="1680">
        <f t="shared" ref="F599:F698" si="639">+AC599</f>
        <v>0</v>
      </c>
      <c r="G599" s="1680">
        <f t="shared" ref="G599:G698" si="640">+AD599</f>
        <v>0</v>
      </c>
      <c r="H599" s="1680">
        <f t="shared" ref="H599:H698" si="641">+AE599</f>
        <v>0</v>
      </c>
      <c r="I599" s="1680">
        <f t="shared" ref="I599:I698" ca="1" si="642">+AH599</f>
        <v>0</v>
      </c>
      <c r="J599" s="1680">
        <f t="shared" ref="J599:J698" ca="1" si="643">+AI599</f>
        <v>0</v>
      </c>
      <c r="K599" s="1680">
        <f t="shared" ref="K599:K698" ca="1" si="644">+AJ599</f>
        <v>0</v>
      </c>
      <c r="L599" s="2021">
        <f t="shared" ref="L599:L704" ca="1" si="645">+F599+I599</f>
        <v>0</v>
      </c>
      <c r="M599" s="2021">
        <f t="shared" ref="M599:M704" ca="1" si="646">+G599+J599</f>
        <v>0</v>
      </c>
      <c r="N599" s="2851">
        <f t="shared" ref="N599:N704" ca="1" si="647">+H599+K599</f>
        <v>0</v>
      </c>
      <c r="O599" s="4101"/>
      <c r="P599" s="1954">
        <v>5040</v>
      </c>
      <c r="Q599" s="3743" t="s">
        <v>218</v>
      </c>
      <c r="R599" s="3744"/>
      <c r="S599" s="2804">
        <f>+ROUND('Compra -HOJA1'!I291,0)</f>
        <v>0</v>
      </c>
      <c r="T599" s="2804">
        <f>+ROUND('Compra -HOJA1'!K291,0)</f>
        <v>0</v>
      </c>
      <c r="U599" s="2804">
        <f>+ROUND('Compra -HOJA1'!J291,0)</f>
        <v>0</v>
      </c>
      <c r="V599" s="2804">
        <f ca="1">+ROUND('Compra -HOJA1'!L291,0)</f>
        <v>0</v>
      </c>
      <c r="W599" s="2804">
        <f ca="1">+ROUND('Compra -HOJA1'!N291,0)</f>
        <v>0</v>
      </c>
      <c r="X599" s="2804">
        <f ca="1">+ROUND('Compra -HOJA1'!M291,0)</f>
        <v>0</v>
      </c>
      <c r="Y599" s="2805">
        <f ca="1">+'Compra -HOJA1'!O291</f>
        <v>0</v>
      </c>
      <c r="Z599" s="2805">
        <f ca="1">+'Compra -HOJA1'!Q291</f>
        <v>0</v>
      </c>
      <c r="AA599" s="2805">
        <f ca="1">+'Compra -HOJA1'!P291</f>
        <v>0</v>
      </c>
      <c r="AB599" s="1490"/>
      <c r="AC599" s="2835">
        <f t="shared" ref="AC599:AC616" si="648">+ROUND(S599,0)</f>
        <v>0</v>
      </c>
      <c r="AD599" s="2776">
        <f t="shared" ref="AD599:AD616" si="649">+ROUND(T599,0)</f>
        <v>0</v>
      </c>
      <c r="AE599" s="2776">
        <f t="shared" ref="AE599:AE616" si="650">+AG599-AC599-AD599</f>
        <v>0</v>
      </c>
      <c r="AF599" s="1490">
        <f t="shared" ref="AF599:AF698" si="651">SUM(AC599:AE599)</f>
        <v>0</v>
      </c>
      <c r="AG599" s="1490">
        <f>+'Compra -HOJA1'!F291</f>
        <v>0</v>
      </c>
      <c r="AH599" s="2776">
        <f t="shared" ref="AH599:AH616" ca="1" si="652">+ROUND(V599,0)</f>
        <v>0</v>
      </c>
      <c r="AI599" s="2776">
        <f t="shared" ref="AI599:AI616" ca="1" si="653">+ROUND(W599,0)</f>
        <v>0</v>
      </c>
      <c r="AJ599" s="2776">
        <f t="shared" ref="AJ599:AJ616" ca="1" si="654">+AL599-AH599-AI599</f>
        <v>0</v>
      </c>
      <c r="AK599" s="1490">
        <f t="shared" ref="AK599:AK698" ca="1" si="655">SUM(AH599:AJ599)</f>
        <v>0</v>
      </c>
      <c r="AL599" s="2825">
        <f t="shared" ref="AL599:AL699" ca="1" si="656">+ROUND(SUM(V599:X599),0)</f>
        <v>0</v>
      </c>
      <c r="AM599" s="1490">
        <f t="shared" ref="AM599:AM699" ca="1" si="657">SUM(V599:X599)</f>
        <v>0</v>
      </c>
      <c r="AO599" s="1573">
        <f t="shared" ref="AO599:AO698" si="658">+SUM(S599:U599)</f>
        <v>0</v>
      </c>
      <c r="AP599" s="1490">
        <f t="shared" ref="AP599:AP698" si="659">+AO599-AG599</f>
        <v>0</v>
      </c>
      <c r="AS599" s="1490">
        <f t="shared" ref="AS599:AS706" si="660">+S599-AC599</f>
        <v>0</v>
      </c>
      <c r="AT599" s="1490">
        <f t="shared" ref="AT599:AT706" si="661">+T599-AD599</f>
        <v>0</v>
      </c>
      <c r="AU599" s="1490">
        <f t="shared" ref="AU599:AU706" si="662">+U599-AE599</f>
        <v>0</v>
      </c>
    </row>
    <row r="600" spans="1:51" ht="62.1" hidden="1" customHeight="1" x14ac:dyDescent="0.6">
      <c r="A600" s="4101"/>
      <c r="B600" s="1955">
        <v>5050</v>
      </c>
      <c r="C600" s="3742" t="s">
        <v>219</v>
      </c>
      <c r="D600" s="3742"/>
      <c r="E600" s="2539">
        <f>+'Compra -HOJA1'!G292</f>
        <v>0</v>
      </c>
      <c r="F600" s="1680">
        <f t="shared" si="639"/>
        <v>0</v>
      </c>
      <c r="G600" s="1680">
        <f t="shared" si="640"/>
        <v>0</v>
      </c>
      <c r="H600" s="1680">
        <f t="shared" si="641"/>
        <v>0</v>
      </c>
      <c r="I600" s="1680">
        <f t="shared" ca="1" si="642"/>
        <v>0</v>
      </c>
      <c r="J600" s="1680">
        <f t="shared" ca="1" si="643"/>
        <v>0</v>
      </c>
      <c r="K600" s="1680">
        <f t="shared" ca="1" si="644"/>
        <v>0</v>
      </c>
      <c r="L600" s="2021">
        <f t="shared" ca="1" si="645"/>
        <v>0</v>
      </c>
      <c r="M600" s="2021">
        <f t="shared" ca="1" si="646"/>
        <v>0</v>
      </c>
      <c r="N600" s="2851">
        <f t="shared" ca="1" si="647"/>
        <v>0</v>
      </c>
      <c r="O600" s="4101"/>
      <c r="P600" s="1955">
        <v>5050</v>
      </c>
      <c r="Q600" s="3742" t="s">
        <v>219</v>
      </c>
      <c r="R600" s="3742"/>
      <c r="S600" s="2804">
        <f>+ROUND('Compra -HOJA1'!I292,0)</f>
        <v>0</v>
      </c>
      <c r="T600" s="2804">
        <f>+ROUND('Compra -HOJA1'!K292,0)</f>
        <v>0</v>
      </c>
      <c r="U600" s="2804">
        <f>+ROUND('Compra -HOJA1'!J292,0)</f>
        <v>0</v>
      </c>
      <c r="V600" s="2804">
        <f ca="1">+ROUND('Compra -HOJA1'!L292,0)</f>
        <v>0</v>
      </c>
      <c r="W600" s="2804">
        <f ca="1">+ROUND('Compra -HOJA1'!N292,0)</f>
        <v>0</v>
      </c>
      <c r="X600" s="2804">
        <f ca="1">+ROUND('Compra -HOJA1'!M292,0)</f>
        <v>0</v>
      </c>
      <c r="Y600" s="2805">
        <f ca="1">+'Compra -HOJA1'!O292</f>
        <v>0</v>
      </c>
      <c r="Z600" s="2805">
        <f ca="1">+'Compra -HOJA1'!Q292</f>
        <v>0</v>
      </c>
      <c r="AA600" s="2805">
        <f ca="1">+'Compra -HOJA1'!P292</f>
        <v>0</v>
      </c>
      <c r="AB600" s="1490"/>
      <c r="AC600" s="2835">
        <f t="shared" si="648"/>
        <v>0</v>
      </c>
      <c r="AD600" s="2776">
        <f t="shared" si="649"/>
        <v>0</v>
      </c>
      <c r="AE600" s="2776">
        <f t="shared" si="650"/>
        <v>0</v>
      </c>
      <c r="AF600" s="1490">
        <f t="shared" si="651"/>
        <v>0</v>
      </c>
      <c r="AG600" s="1490">
        <f>+'Compra -HOJA1'!F292</f>
        <v>0</v>
      </c>
      <c r="AH600" s="2776">
        <f t="shared" ca="1" si="652"/>
        <v>0</v>
      </c>
      <c r="AI600" s="2776">
        <f t="shared" ca="1" si="653"/>
        <v>0</v>
      </c>
      <c r="AJ600" s="2776">
        <f t="shared" ca="1" si="654"/>
        <v>0</v>
      </c>
      <c r="AK600" s="1490">
        <f t="shared" ca="1" si="655"/>
        <v>0</v>
      </c>
      <c r="AL600" s="2825">
        <f t="shared" ca="1" si="656"/>
        <v>0</v>
      </c>
      <c r="AM600" s="1490">
        <f t="shared" ca="1" si="657"/>
        <v>0</v>
      </c>
      <c r="AO600" s="1573">
        <f t="shared" si="658"/>
        <v>0</v>
      </c>
      <c r="AP600" s="1490">
        <f t="shared" si="659"/>
        <v>0</v>
      </c>
      <c r="AS600" s="1490">
        <f t="shared" si="660"/>
        <v>0</v>
      </c>
      <c r="AT600" s="1490">
        <f t="shared" si="661"/>
        <v>0</v>
      </c>
      <c r="AU600" s="1490">
        <f t="shared" si="662"/>
        <v>0</v>
      </c>
    </row>
    <row r="601" spans="1:51" ht="62.1" hidden="1" customHeight="1" x14ac:dyDescent="0.6">
      <c r="A601" s="4101"/>
      <c r="B601" s="1721">
        <v>5501</v>
      </c>
      <c r="C601" s="3751" t="s">
        <v>1231</v>
      </c>
      <c r="D601" s="1721" t="s">
        <v>46</v>
      </c>
      <c r="E601" s="2539">
        <f>+'Compra -HOJA1'!G293</f>
        <v>0</v>
      </c>
      <c r="F601" s="1680">
        <f t="shared" si="639"/>
        <v>0</v>
      </c>
      <c r="G601" s="1680">
        <f t="shared" si="640"/>
        <v>0</v>
      </c>
      <c r="H601" s="1680">
        <f t="shared" si="641"/>
        <v>0</v>
      </c>
      <c r="I601" s="1680">
        <f t="shared" ca="1" si="642"/>
        <v>0</v>
      </c>
      <c r="J601" s="1680">
        <f t="shared" ca="1" si="643"/>
        <v>0</v>
      </c>
      <c r="K601" s="1680">
        <f t="shared" ca="1" si="644"/>
        <v>0</v>
      </c>
      <c r="L601" s="2021">
        <f t="shared" ca="1" si="645"/>
        <v>0</v>
      </c>
      <c r="M601" s="2021">
        <f t="shared" ca="1" si="646"/>
        <v>0</v>
      </c>
      <c r="N601" s="2851">
        <f t="shared" ca="1" si="647"/>
        <v>0</v>
      </c>
      <c r="O601" s="4101"/>
      <c r="P601" s="1721">
        <v>5501</v>
      </c>
      <c r="Q601" s="3751" t="s">
        <v>1231</v>
      </c>
      <c r="R601" s="1721" t="s">
        <v>46</v>
      </c>
      <c r="S601" s="2804">
        <f>+ROUND('Compra -HOJA1'!I293,0)</f>
        <v>0</v>
      </c>
      <c r="T601" s="2804">
        <f>+ROUND('Compra -HOJA1'!K293,0)</f>
        <v>0</v>
      </c>
      <c r="U601" s="2804">
        <f>+ROUND('Compra -HOJA1'!J293,0)</f>
        <v>0</v>
      </c>
      <c r="V601" s="2804">
        <f ca="1">+ROUND('Compra -HOJA1'!L293,0)</f>
        <v>0</v>
      </c>
      <c r="W601" s="2804">
        <f ca="1">+ROUND('Compra -HOJA1'!N293,0)</f>
        <v>0</v>
      </c>
      <c r="X601" s="2804">
        <f ca="1">+ROUND('Compra -HOJA1'!M293,0)</f>
        <v>0</v>
      </c>
      <c r="Y601" s="2805">
        <f ca="1">+'Compra -HOJA1'!O293</f>
        <v>0</v>
      </c>
      <c r="Z601" s="2805">
        <f ca="1">+'Compra -HOJA1'!Q293</f>
        <v>0</v>
      </c>
      <c r="AA601" s="2805">
        <f ca="1">+'Compra -HOJA1'!P293</f>
        <v>0</v>
      </c>
      <c r="AB601" s="1490"/>
      <c r="AC601" s="2835">
        <f t="shared" si="648"/>
        <v>0</v>
      </c>
      <c r="AD601" s="2776">
        <f t="shared" si="649"/>
        <v>0</v>
      </c>
      <c r="AE601" s="2776">
        <f t="shared" si="650"/>
        <v>0</v>
      </c>
      <c r="AF601" s="1490">
        <f t="shared" si="651"/>
        <v>0</v>
      </c>
      <c r="AG601" s="1490">
        <f>+'Compra -HOJA1'!F293</f>
        <v>0</v>
      </c>
      <c r="AH601" s="2776">
        <f t="shared" ca="1" si="652"/>
        <v>0</v>
      </c>
      <c r="AI601" s="2776">
        <f t="shared" ca="1" si="653"/>
        <v>0</v>
      </c>
      <c r="AJ601" s="2776">
        <f t="shared" ca="1" si="654"/>
        <v>0</v>
      </c>
      <c r="AK601" s="1490">
        <f t="shared" ca="1" si="655"/>
        <v>0</v>
      </c>
      <c r="AL601" s="2825">
        <f t="shared" ca="1" si="656"/>
        <v>0</v>
      </c>
      <c r="AM601" s="1490">
        <f t="shared" ca="1" si="657"/>
        <v>0</v>
      </c>
      <c r="AO601" s="1573">
        <f t="shared" si="658"/>
        <v>0</v>
      </c>
      <c r="AP601" s="1490">
        <f t="shared" si="659"/>
        <v>0</v>
      </c>
      <c r="AS601" s="1490">
        <f t="shared" si="660"/>
        <v>0</v>
      </c>
      <c r="AT601" s="1490">
        <f t="shared" si="661"/>
        <v>0</v>
      </c>
      <c r="AU601" s="1490">
        <f t="shared" si="662"/>
        <v>0</v>
      </c>
    </row>
    <row r="602" spans="1:51" ht="62.1" hidden="1" customHeight="1" x14ac:dyDescent="0.6">
      <c r="A602" s="4101"/>
      <c r="B602" s="1721">
        <v>5502</v>
      </c>
      <c r="C602" s="3746"/>
      <c r="D602" s="1721" t="s">
        <v>47</v>
      </c>
      <c r="E602" s="2539">
        <f>+'Compra -HOJA1'!G294</f>
        <v>0</v>
      </c>
      <c r="F602" s="1680">
        <f t="shared" si="639"/>
        <v>0</v>
      </c>
      <c r="G602" s="1680">
        <f t="shared" si="640"/>
        <v>0</v>
      </c>
      <c r="H602" s="1680">
        <f t="shared" si="641"/>
        <v>0</v>
      </c>
      <c r="I602" s="1680">
        <f t="shared" ca="1" si="642"/>
        <v>0</v>
      </c>
      <c r="J602" s="1680">
        <f t="shared" ca="1" si="643"/>
        <v>0</v>
      </c>
      <c r="K602" s="1680">
        <f t="shared" ca="1" si="644"/>
        <v>0</v>
      </c>
      <c r="L602" s="2021">
        <f t="shared" ca="1" si="645"/>
        <v>0</v>
      </c>
      <c r="M602" s="2021">
        <f t="shared" ca="1" si="646"/>
        <v>0</v>
      </c>
      <c r="N602" s="2851">
        <f t="shared" ca="1" si="647"/>
        <v>0</v>
      </c>
      <c r="O602" s="4101"/>
      <c r="P602" s="1721">
        <v>5502</v>
      </c>
      <c r="Q602" s="3746"/>
      <c r="R602" s="1721" t="s">
        <v>47</v>
      </c>
      <c r="S602" s="2804">
        <f>+ROUND('Compra -HOJA1'!I294,0)</f>
        <v>0</v>
      </c>
      <c r="T602" s="2804">
        <f>+ROUND('Compra -HOJA1'!K294,0)</f>
        <v>0</v>
      </c>
      <c r="U602" s="2804">
        <f>+ROUND('Compra -HOJA1'!J294,0)</f>
        <v>0</v>
      </c>
      <c r="V602" s="2804">
        <f ca="1">+ROUND('Compra -HOJA1'!L294,0)</f>
        <v>0</v>
      </c>
      <c r="W602" s="2804">
        <f ca="1">+ROUND('Compra -HOJA1'!N294,0)</f>
        <v>0</v>
      </c>
      <c r="X602" s="2804">
        <f ca="1">+ROUND('Compra -HOJA1'!M294,0)</f>
        <v>0</v>
      </c>
      <c r="Y602" s="2805">
        <f ca="1">+'Compra -HOJA1'!O294</f>
        <v>0</v>
      </c>
      <c r="Z602" s="2805">
        <f ca="1">+'Compra -HOJA1'!Q294</f>
        <v>0</v>
      </c>
      <c r="AA602" s="2805">
        <f ca="1">+'Compra -HOJA1'!P294</f>
        <v>0</v>
      </c>
      <c r="AB602" s="1490"/>
      <c r="AC602" s="2835">
        <f t="shared" si="648"/>
        <v>0</v>
      </c>
      <c r="AD602" s="2776">
        <f t="shared" si="649"/>
        <v>0</v>
      </c>
      <c r="AE602" s="2776">
        <f t="shared" si="650"/>
        <v>0</v>
      </c>
      <c r="AF602" s="1490">
        <f t="shared" si="651"/>
        <v>0</v>
      </c>
      <c r="AG602" s="1490">
        <f>+'Compra -HOJA1'!F294</f>
        <v>0</v>
      </c>
      <c r="AH602" s="2776">
        <f t="shared" ca="1" si="652"/>
        <v>0</v>
      </c>
      <c r="AI602" s="2776">
        <f t="shared" ca="1" si="653"/>
        <v>0</v>
      </c>
      <c r="AJ602" s="2776">
        <f t="shared" ca="1" si="654"/>
        <v>0</v>
      </c>
      <c r="AK602" s="1490">
        <f t="shared" ca="1" si="655"/>
        <v>0</v>
      </c>
      <c r="AL602" s="2825">
        <f t="shared" ca="1" si="656"/>
        <v>0</v>
      </c>
      <c r="AM602" s="1490">
        <f t="shared" ca="1" si="657"/>
        <v>0</v>
      </c>
      <c r="AO602" s="1573">
        <f t="shared" si="658"/>
        <v>0</v>
      </c>
      <c r="AP602" s="1490">
        <f t="shared" si="659"/>
        <v>0</v>
      </c>
      <c r="AS602" s="1490">
        <f t="shared" si="660"/>
        <v>0</v>
      </c>
      <c r="AT602" s="1490">
        <f t="shared" si="661"/>
        <v>0</v>
      </c>
      <c r="AU602" s="1490">
        <f t="shared" si="662"/>
        <v>0</v>
      </c>
    </row>
    <row r="603" spans="1:51" ht="62.1" hidden="1" customHeight="1" x14ac:dyDescent="0.6">
      <c r="A603" s="4101"/>
      <c r="B603" s="1949">
        <v>5551</v>
      </c>
      <c r="C603" s="3746"/>
      <c r="D603" s="1949" t="s">
        <v>169</v>
      </c>
      <c r="E603" s="2539">
        <f>+'Compra -HOJA1'!G295</f>
        <v>0</v>
      </c>
      <c r="F603" s="1680">
        <f t="shared" si="639"/>
        <v>0</v>
      </c>
      <c r="G603" s="1680">
        <f t="shared" si="640"/>
        <v>0</v>
      </c>
      <c r="H603" s="1680">
        <f t="shared" si="641"/>
        <v>0</v>
      </c>
      <c r="I603" s="1680">
        <f t="shared" ca="1" si="642"/>
        <v>0</v>
      </c>
      <c r="J603" s="1680">
        <f t="shared" ca="1" si="643"/>
        <v>0</v>
      </c>
      <c r="K603" s="1680">
        <f t="shared" ca="1" si="644"/>
        <v>0</v>
      </c>
      <c r="L603" s="2021">
        <f t="shared" ca="1" si="645"/>
        <v>0</v>
      </c>
      <c r="M603" s="2021">
        <f t="shared" ca="1" si="646"/>
        <v>0</v>
      </c>
      <c r="N603" s="2851">
        <f t="shared" ca="1" si="647"/>
        <v>0</v>
      </c>
      <c r="O603" s="4101"/>
      <c r="P603" s="1949">
        <v>5551</v>
      </c>
      <c r="Q603" s="3746"/>
      <c r="R603" s="1949" t="s">
        <v>169</v>
      </c>
      <c r="S603" s="2804">
        <f>+ROUND('Compra -HOJA1'!I295,0)</f>
        <v>0</v>
      </c>
      <c r="T603" s="2804">
        <f>+ROUND('Compra -HOJA1'!K295,0)</f>
        <v>0</v>
      </c>
      <c r="U603" s="2804">
        <f>+ROUND('Compra -HOJA1'!J295,0)</f>
        <v>0</v>
      </c>
      <c r="V603" s="2804">
        <f ca="1">+ROUND('Compra -HOJA1'!L295,0)</f>
        <v>0</v>
      </c>
      <c r="W603" s="2804">
        <f ca="1">+ROUND('Compra -HOJA1'!N295,0)</f>
        <v>0</v>
      </c>
      <c r="X603" s="2804">
        <f ca="1">+ROUND('Compra -HOJA1'!M295,0)</f>
        <v>0</v>
      </c>
      <c r="Y603" s="2805">
        <f ca="1">+'Compra -HOJA1'!O295</f>
        <v>0</v>
      </c>
      <c r="Z603" s="2805">
        <f ca="1">+'Compra -HOJA1'!Q295</f>
        <v>0</v>
      </c>
      <c r="AA603" s="2805">
        <f ca="1">+'Compra -HOJA1'!P295</f>
        <v>0</v>
      </c>
      <c r="AB603" s="1490"/>
      <c r="AC603" s="2835">
        <f t="shared" si="648"/>
        <v>0</v>
      </c>
      <c r="AD603" s="2776">
        <f t="shared" si="649"/>
        <v>0</v>
      </c>
      <c r="AE603" s="2776">
        <f t="shared" si="650"/>
        <v>0</v>
      </c>
      <c r="AF603" s="1490">
        <f t="shared" si="651"/>
        <v>0</v>
      </c>
      <c r="AG603" s="1490">
        <f>+'Compra -HOJA1'!F295</f>
        <v>0</v>
      </c>
      <c r="AH603" s="2776">
        <f t="shared" ca="1" si="652"/>
        <v>0</v>
      </c>
      <c r="AI603" s="2776">
        <f t="shared" ca="1" si="653"/>
        <v>0</v>
      </c>
      <c r="AJ603" s="2776">
        <f t="shared" ca="1" si="654"/>
        <v>0</v>
      </c>
      <c r="AK603" s="1490">
        <f t="shared" ca="1" si="655"/>
        <v>0</v>
      </c>
      <c r="AL603" s="2825">
        <f t="shared" ca="1" si="656"/>
        <v>0</v>
      </c>
      <c r="AM603" s="1490">
        <f t="shared" ca="1" si="657"/>
        <v>0</v>
      </c>
      <c r="AO603" s="1573">
        <f t="shared" si="658"/>
        <v>0</v>
      </c>
      <c r="AP603" s="1490">
        <f t="shared" si="659"/>
        <v>0</v>
      </c>
      <c r="AS603" s="1490">
        <f t="shared" si="660"/>
        <v>0</v>
      </c>
      <c r="AT603" s="1490">
        <f t="shared" si="661"/>
        <v>0</v>
      </c>
      <c r="AU603" s="1490">
        <f t="shared" si="662"/>
        <v>0</v>
      </c>
    </row>
    <row r="604" spans="1:51" ht="62.1" hidden="1" customHeight="1" thickBot="1" x14ac:dyDescent="0.65">
      <c r="A604" s="4101"/>
      <c r="B604" s="3173">
        <v>5552</v>
      </c>
      <c r="C604" s="3747"/>
      <c r="D604" s="3173" t="s">
        <v>49</v>
      </c>
      <c r="E604" s="2539">
        <f>+'Compra -HOJA1'!G296</f>
        <v>0</v>
      </c>
      <c r="F604" s="1680">
        <f t="shared" si="639"/>
        <v>0</v>
      </c>
      <c r="G604" s="1680">
        <f t="shared" si="640"/>
        <v>0</v>
      </c>
      <c r="H604" s="1680">
        <f t="shared" si="641"/>
        <v>0</v>
      </c>
      <c r="I604" s="1680">
        <f t="shared" ca="1" si="642"/>
        <v>0</v>
      </c>
      <c r="J604" s="1680">
        <f t="shared" ca="1" si="643"/>
        <v>0</v>
      </c>
      <c r="K604" s="1680">
        <f t="shared" ca="1" si="644"/>
        <v>0</v>
      </c>
      <c r="L604" s="2021">
        <f t="shared" ca="1" si="645"/>
        <v>0</v>
      </c>
      <c r="M604" s="2021">
        <f t="shared" ca="1" si="646"/>
        <v>0</v>
      </c>
      <c r="N604" s="2851">
        <f t="shared" ca="1" si="647"/>
        <v>0</v>
      </c>
      <c r="O604" s="4101"/>
      <c r="P604" s="3173">
        <v>5552</v>
      </c>
      <c r="Q604" s="3747"/>
      <c r="R604" s="3173" t="s">
        <v>49</v>
      </c>
      <c r="S604" s="2804">
        <f>+ROUND('Compra -HOJA1'!I296,0)</f>
        <v>0</v>
      </c>
      <c r="T604" s="2804">
        <f>+ROUND('Compra -HOJA1'!K296,0)</f>
        <v>0</v>
      </c>
      <c r="U604" s="2804">
        <f>+ROUND('Compra -HOJA1'!J296,0)</f>
        <v>0</v>
      </c>
      <c r="V604" s="2804">
        <f ca="1">+ROUND('Compra -HOJA1'!L296,0)</f>
        <v>0</v>
      </c>
      <c r="W604" s="2804">
        <f ca="1">+ROUND('Compra -HOJA1'!N296,0)</f>
        <v>0</v>
      </c>
      <c r="X604" s="2804">
        <f ca="1">+ROUND('Compra -HOJA1'!M296,0)</f>
        <v>0</v>
      </c>
      <c r="Y604" s="2805">
        <f ca="1">+'Compra -HOJA1'!O296</f>
        <v>0</v>
      </c>
      <c r="Z604" s="2805">
        <f ca="1">+'Compra -HOJA1'!Q296</f>
        <v>0</v>
      </c>
      <c r="AA604" s="2805">
        <f ca="1">+'Compra -HOJA1'!P296</f>
        <v>0</v>
      </c>
      <c r="AB604" s="1490"/>
      <c r="AC604" s="2835">
        <f t="shared" si="648"/>
        <v>0</v>
      </c>
      <c r="AD604" s="2776">
        <f t="shared" si="649"/>
        <v>0</v>
      </c>
      <c r="AE604" s="2776">
        <f t="shared" si="650"/>
        <v>0</v>
      </c>
      <c r="AF604" s="1490">
        <f t="shared" si="651"/>
        <v>0</v>
      </c>
      <c r="AG604" s="1490">
        <f>+'Compra -HOJA1'!F296</f>
        <v>0</v>
      </c>
      <c r="AH604" s="2776">
        <f t="shared" ca="1" si="652"/>
        <v>0</v>
      </c>
      <c r="AI604" s="2776">
        <f t="shared" ca="1" si="653"/>
        <v>0</v>
      </c>
      <c r="AJ604" s="2776">
        <f t="shared" ca="1" si="654"/>
        <v>0</v>
      </c>
      <c r="AK604" s="1490">
        <f t="shared" ca="1" si="655"/>
        <v>0</v>
      </c>
      <c r="AL604" s="2825">
        <f t="shared" ca="1" si="656"/>
        <v>0</v>
      </c>
      <c r="AM604" s="1490">
        <f t="shared" ca="1" si="657"/>
        <v>0</v>
      </c>
      <c r="AO604" s="1573">
        <f t="shared" si="658"/>
        <v>0</v>
      </c>
      <c r="AP604" s="1490">
        <f t="shared" si="659"/>
        <v>0</v>
      </c>
      <c r="AS604" s="1490">
        <f t="shared" si="660"/>
        <v>0</v>
      </c>
      <c r="AT604" s="1490">
        <f t="shared" si="661"/>
        <v>0</v>
      </c>
      <c r="AU604" s="1490">
        <f t="shared" si="662"/>
        <v>0</v>
      </c>
    </row>
    <row r="605" spans="1:51" ht="62.1" hidden="1" customHeight="1" x14ac:dyDescent="0.6">
      <c r="A605" s="4101"/>
      <c r="B605" s="1721">
        <v>5570</v>
      </c>
      <c r="C605" s="3751" t="s">
        <v>1232</v>
      </c>
      <c r="D605" s="1721" t="s">
        <v>46</v>
      </c>
      <c r="E605" s="2539">
        <f>+'Compra -HOJA1'!G297</f>
        <v>0</v>
      </c>
      <c r="F605" s="1680">
        <f t="shared" ref="F605:F612" si="663">+AC605</f>
        <v>0</v>
      </c>
      <c r="G605" s="1680">
        <f t="shared" ref="G605:G612" si="664">+AD605</f>
        <v>0</v>
      </c>
      <c r="H605" s="1680">
        <f t="shared" ref="H605:H612" si="665">+AE605</f>
        <v>0</v>
      </c>
      <c r="I605" s="1680">
        <f t="shared" ref="I605:I612" ca="1" si="666">+AH605</f>
        <v>0</v>
      </c>
      <c r="J605" s="1680">
        <f t="shared" ref="J605:J612" ca="1" si="667">+AI605</f>
        <v>0</v>
      </c>
      <c r="K605" s="1680">
        <f t="shared" ref="K605:K612" ca="1" si="668">+AJ605</f>
        <v>0</v>
      </c>
      <c r="L605" s="2021">
        <f t="shared" ref="L605:L612" ca="1" si="669">+F605+I605</f>
        <v>0</v>
      </c>
      <c r="M605" s="2021">
        <f t="shared" ref="M605:M612" ca="1" si="670">+G605+J605</f>
        <v>0</v>
      </c>
      <c r="N605" s="2851">
        <f t="shared" ref="N605:N612" ca="1" si="671">+H605+K605</f>
        <v>0</v>
      </c>
      <c r="O605" s="4101"/>
      <c r="P605" s="1721">
        <v>5570</v>
      </c>
      <c r="Q605" s="3751" t="s">
        <v>1232</v>
      </c>
      <c r="R605" s="1721" t="s">
        <v>46</v>
      </c>
      <c r="S605" s="2804">
        <f>+ROUND('Compra -HOJA1'!I297,0)</f>
        <v>0</v>
      </c>
      <c r="T605" s="2804">
        <f>+ROUND('Compra -HOJA1'!K297,0)</f>
        <v>0</v>
      </c>
      <c r="U605" s="2804">
        <f>+ROUND('Compra -HOJA1'!J297,0)</f>
        <v>0</v>
      </c>
      <c r="V605" s="2804">
        <f ca="1">+ROUND('Compra -HOJA1'!L297,0)</f>
        <v>0</v>
      </c>
      <c r="W605" s="2804">
        <f ca="1">+ROUND('Compra -HOJA1'!N297,0)</f>
        <v>0</v>
      </c>
      <c r="X605" s="2804">
        <f ca="1">+ROUND('Compra -HOJA1'!M297,0)</f>
        <v>0</v>
      </c>
      <c r="Y605" s="2805">
        <f ca="1">+'Compra -HOJA1'!O297</f>
        <v>0</v>
      </c>
      <c r="Z605" s="2805">
        <f ca="1">+'Compra -HOJA1'!Q297</f>
        <v>0</v>
      </c>
      <c r="AA605" s="2805">
        <f ca="1">+'Compra -HOJA1'!P297</f>
        <v>0</v>
      </c>
      <c r="AB605" s="1490"/>
      <c r="AC605" s="2835">
        <f t="shared" ref="AC605:AC612" si="672">+ROUND(S605,0)</f>
        <v>0</v>
      </c>
      <c r="AD605" s="2776">
        <f t="shared" ref="AD605:AD612" si="673">+ROUND(T605,0)</f>
        <v>0</v>
      </c>
      <c r="AE605" s="2776">
        <f t="shared" ref="AE605:AE612" si="674">+AG605-AC605-AD605</f>
        <v>0</v>
      </c>
      <c r="AF605" s="1490">
        <f t="shared" ref="AF605:AF612" si="675">SUM(AC605:AE605)</f>
        <v>0</v>
      </c>
      <c r="AG605" s="1490">
        <f>+'Compra -HOJA1'!F297</f>
        <v>0</v>
      </c>
      <c r="AH605" s="2776">
        <f t="shared" ref="AH605:AH612" ca="1" si="676">+ROUND(V605,0)</f>
        <v>0</v>
      </c>
      <c r="AI605" s="2776">
        <f t="shared" ref="AI605:AI612" ca="1" si="677">+ROUND(W605,0)</f>
        <v>0</v>
      </c>
      <c r="AJ605" s="2776">
        <f t="shared" ref="AJ605:AJ612" ca="1" si="678">+AL605-AH605-AI605</f>
        <v>0</v>
      </c>
      <c r="AK605" s="1490">
        <f t="shared" ref="AK605:AK612" ca="1" si="679">SUM(AH605:AJ605)</f>
        <v>0</v>
      </c>
      <c r="AL605" s="2825">
        <f t="shared" ref="AL605:AL612" ca="1" si="680">+ROUND(SUM(V605:X605),0)</f>
        <v>0</v>
      </c>
      <c r="AM605" s="1490">
        <f t="shared" ref="AM605:AM612" ca="1" si="681">SUM(V605:X605)</f>
        <v>0</v>
      </c>
      <c r="AO605" s="1573">
        <f t="shared" ref="AO605:AO612" si="682">+SUM(S605:U605)</f>
        <v>0</v>
      </c>
      <c r="AP605" s="1490">
        <f t="shared" ref="AP605:AP612" si="683">+AO605-AG605</f>
        <v>0</v>
      </c>
      <c r="AS605" s="1490">
        <f t="shared" ref="AS605:AS612" si="684">+S605-AC605</f>
        <v>0</v>
      </c>
      <c r="AT605" s="1490">
        <f t="shared" ref="AT605:AT612" si="685">+T605-AD605</f>
        <v>0</v>
      </c>
      <c r="AU605" s="1490">
        <f t="shared" ref="AU605:AU612" si="686">+U605-AE605</f>
        <v>0</v>
      </c>
    </row>
    <row r="606" spans="1:51" ht="62.1" hidden="1" customHeight="1" x14ac:dyDescent="0.6">
      <c r="A606" s="4101"/>
      <c r="B606" s="1721">
        <v>5571</v>
      </c>
      <c r="C606" s="3746"/>
      <c r="D606" s="1721" t="s">
        <v>47</v>
      </c>
      <c r="E606" s="2539">
        <f>+'Compra -HOJA1'!G298</f>
        <v>0</v>
      </c>
      <c r="F606" s="1680">
        <f t="shared" si="663"/>
        <v>0</v>
      </c>
      <c r="G606" s="1680">
        <f t="shared" si="664"/>
        <v>0</v>
      </c>
      <c r="H606" s="1680">
        <f t="shared" si="665"/>
        <v>0</v>
      </c>
      <c r="I606" s="1680">
        <f t="shared" ca="1" si="666"/>
        <v>0</v>
      </c>
      <c r="J606" s="1680">
        <f t="shared" ca="1" si="667"/>
        <v>0</v>
      </c>
      <c r="K606" s="1680">
        <f t="shared" ca="1" si="668"/>
        <v>0</v>
      </c>
      <c r="L606" s="2021">
        <f t="shared" ca="1" si="669"/>
        <v>0</v>
      </c>
      <c r="M606" s="2021">
        <f t="shared" ca="1" si="670"/>
        <v>0</v>
      </c>
      <c r="N606" s="2851">
        <f t="shared" ca="1" si="671"/>
        <v>0</v>
      </c>
      <c r="O606" s="4101"/>
      <c r="P606" s="1721">
        <v>5571</v>
      </c>
      <c r="Q606" s="3746"/>
      <c r="R606" s="1721" t="s">
        <v>47</v>
      </c>
      <c r="S606" s="2804">
        <f>+ROUND('Compra -HOJA1'!I298,0)</f>
        <v>0</v>
      </c>
      <c r="T606" s="2804">
        <f>+ROUND('Compra -HOJA1'!K298,0)</f>
        <v>0</v>
      </c>
      <c r="U606" s="2804">
        <f>+ROUND('Compra -HOJA1'!J298,0)</f>
        <v>0</v>
      </c>
      <c r="V606" s="2804">
        <f ca="1">+ROUND('Compra -HOJA1'!L298,0)</f>
        <v>0</v>
      </c>
      <c r="W606" s="2804">
        <f ca="1">+ROUND('Compra -HOJA1'!N298,0)</f>
        <v>0</v>
      </c>
      <c r="X606" s="2804">
        <f ca="1">+ROUND('Compra -HOJA1'!M298,0)</f>
        <v>0</v>
      </c>
      <c r="Y606" s="2805">
        <f ca="1">+'Compra -HOJA1'!O298</f>
        <v>0</v>
      </c>
      <c r="Z606" s="2805">
        <f ca="1">+'Compra -HOJA1'!Q298</f>
        <v>0</v>
      </c>
      <c r="AA606" s="2805">
        <f ca="1">+'Compra -HOJA1'!P298</f>
        <v>0</v>
      </c>
      <c r="AB606" s="1490"/>
      <c r="AC606" s="2835">
        <f t="shared" si="672"/>
        <v>0</v>
      </c>
      <c r="AD606" s="2776">
        <f t="shared" si="673"/>
        <v>0</v>
      </c>
      <c r="AE606" s="2776">
        <f t="shared" si="674"/>
        <v>0</v>
      </c>
      <c r="AF606" s="1490">
        <f t="shared" si="675"/>
        <v>0</v>
      </c>
      <c r="AG606" s="1490">
        <f>+'Compra -HOJA1'!F298</f>
        <v>0</v>
      </c>
      <c r="AH606" s="2776">
        <f t="shared" ca="1" si="676"/>
        <v>0</v>
      </c>
      <c r="AI606" s="2776">
        <f t="shared" ca="1" si="677"/>
        <v>0</v>
      </c>
      <c r="AJ606" s="2776">
        <f t="shared" ca="1" si="678"/>
        <v>0</v>
      </c>
      <c r="AK606" s="1490">
        <f t="shared" ca="1" si="679"/>
        <v>0</v>
      </c>
      <c r="AL606" s="2825">
        <f t="shared" ca="1" si="680"/>
        <v>0</v>
      </c>
      <c r="AM606" s="1490">
        <f t="shared" ca="1" si="681"/>
        <v>0</v>
      </c>
      <c r="AO606" s="1573">
        <f t="shared" si="682"/>
        <v>0</v>
      </c>
      <c r="AP606" s="1490">
        <f t="shared" si="683"/>
        <v>0</v>
      </c>
      <c r="AS606" s="1490">
        <f t="shared" si="684"/>
        <v>0</v>
      </c>
      <c r="AT606" s="1490">
        <f t="shared" si="685"/>
        <v>0</v>
      </c>
      <c r="AU606" s="1490">
        <f t="shared" si="686"/>
        <v>0</v>
      </c>
    </row>
    <row r="607" spans="1:51" ht="62.1" hidden="1" customHeight="1" x14ac:dyDescent="0.6">
      <c r="A607" s="4101"/>
      <c r="B607" s="1949">
        <v>5580</v>
      </c>
      <c r="C607" s="3746"/>
      <c r="D607" s="1949" t="s">
        <v>169</v>
      </c>
      <c r="E607" s="2539">
        <f>+'Compra -HOJA1'!G299</f>
        <v>0</v>
      </c>
      <c r="F607" s="1680">
        <f t="shared" si="663"/>
        <v>0</v>
      </c>
      <c r="G607" s="1680">
        <f t="shared" si="664"/>
        <v>0</v>
      </c>
      <c r="H607" s="1680">
        <f t="shared" si="665"/>
        <v>0</v>
      </c>
      <c r="I607" s="1680">
        <f t="shared" ca="1" si="666"/>
        <v>0</v>
      </c>
      <c r="J607" s="1680">
        <f t="shared" ca="1" si="667"/>
        <v>0</v>
      </c>
      <c r="K607" s="1680">
        <f t="shared" ca="1" si="668"/>
        <v>0</v>
      </c>
      <c r="L607" s="2021">
        <f t="shared" ca="1" si="669"/>
        <v>0</v>
      </c>
      <c r="M607" s="2021">
        <f t="shared" ca="1" si="670"/>
        <v>0</v>
      </c>
      <c r="N607" s="2851">
        <f t="shared" ca="1" si="671"/>
        <v>0</v>
      </c>
      <c r="O607" s="4101"/>
      <c r="P607" s="1949">
        <v>5580</v>
      </c>
      <c r="Q607" s="3746"/>
      <c r="R607" s="1949" t="s">
        <v>169</v>
      </c>
      <c r="S607" s="2804">
        <f>+ROUND('Compra -HOJA1'!I299,0)</f>
        <v>0</v>
      </c>
      <c r="T607" s="2804">
        <f>+ROUND('Compra -HOJA1'!K299,0)</f>
        <v>0</v>
      </c>
      <c r="U607" s="2804">
        <f>+ROUND('Compra -HOJA1'!J299,0)</f>
        <v>0</v>
      </c>
      <c r="V607" s="2804">
        <f ca="1">+ROUND('Compra -HOJA1'!L299,0)</f>
        <v>0</v>
      </c>
      <c r="W607" s="2804">
        <f ca="1">+ROUND('Compra -HOJA1'!N299,0)</f>
        <v>0</v>
      </c>
      <c r="X607" s="2804">
        <f ca="1">+ROUND('Compra -HOJA1'!M299,0)</f>
        <v>0</v>
      </c>
      <c r="Y607" s="2805">
        <f ca="1">+'Compra -HOJA1'!O299</f>
        <v>0</v>
      </c>
      <c r="Z607" s="2805">
        <f ca="1">+'Compra -HOJA1'!Q299</f>
        <v>0</v>
      </c>
      <c r="AA607" s="2805">
        <f ca="1">+'Compra -HOJA1'!P299</f>
        <v>0</v>
      </c>
      <c r="AB607" s="1490"/>
      <c r="AC607" s="2835">
        <f t="shared" si="672"/>
        <v>0</v>
      </c>
      <c r="AD607" s="2776">
        <f t="shared" si="673"/>
        <v>0</v>
      </c>
      <c r="AE607" s="2776">
        <f t="shared" si="674"/>
        <v>0</v>
      </c>
      <c r="AF607" s="1490">
        <f t="shared" si="675"/>
        <v>0</v>
      </c>
      <c r="AG607" s="1490">
        <f>+'Compra -HOJA1'!F299</f>
        <v>0</v>
      </c>
      <c r="AH607" s="2776">
        <f t="shared" ca="1" si="676"/>
        <v>0</v>
      </c>
      <c r="AI607" s="2776">
        <f t="shared" ca="1" si="677"/>
        <v>0</v>
      </c>
      <c r="AJ607" s="2776">
        <f t="shared" ca="1" si="678"/>
        <v>0</v>
      </c>
      <c r="AK607" s="1490">
        <f t="shared" ca="1" si="679"/>
        <v>0</v>
      </c>
      <c r="AL607" s="2825">
        <f t="shared" ca="1" si="680"/>
        <v>0</v>
      </c>
      <c r="AM607" s="1490">
        <f t="shared" ca="1" si="681"/>
        <v>0</v>
      </c>
      <c r="AO607" s="1573">
        <f t="shared" si="682"/>
        <v>0</v>
      </c>
      <c r="AP607" s="1490">
        <f t="shared" si="683"/>
        <v>0</v>
      </c>
      <c r="AS607" s="1490">
        <f t="shared" si="684"/>
        <v>0</v>
      </c>
      <c r="AT607" s="1490">
        <f t="shared" si="685"/>
        <v>0</v>
      </c>
      <c r="AU607" s="1490">
        <f t="shared" si="686"/>
        <v>0</v>
      </c>
    </row>
    <row r="608" spans="1:51" ht="62.1" hidden="1" customHeight="1" thickBot="1" x14ac:dyDescent="0.65">
      <c r="A608" s="4101"/>
      <c r="B608" s="3173">
        <v>5581</v>
      </c>
      <c r="C608" s="3747"/>
      <c r="D608" s="3173" t="s">
        <v>49</v>
      </c>
      <c r="E608" s="2539">
        <f>+'Compra -HOJA1'!G300</f>
        <v>0</v>
      </c>
      <c r="F608" s="1680">
        <f t="shared" si="663"/>
        <v>0</v>
      </c>
      <c r="G608" s="1680">
        <f t="shared" si="664"/>
        <v>0</v>
      </c>
      <c r="H608" s="1680">
        <f t="shared" si="665"/>
        <v>0</v>
      </c>
      <c r="I608" s="1680">
        <f t="shared" ca="1" si="666"/>
        <v>0</v>
      </c>
      <c r="J608" s="1680">
        <f t="shared" ca="1" si="667"/>
        <v>0</v>
      </c>
      <c r="K608" s="1680">
        <f t="shared" ca="1" si="668"/>
        <v>0</v>
      </c>
      <c r="L608" s="2021">
        <f t="shared" ca="1" si="669"/>
        <v>0</v>
      </c>
      <c r="M608" s="2021">
        <f t="shared" ca="1" si="670"/>
        <v>0</v>
      </c>
      <c r="N608" s="2851">
        <f t="shared" ca="1" si="671"/>
        <v>0</v>
      </c>
      <c r="O608" s="4101"/>
      <c r="P608" s="3173">
        <v>5581</v>
      </c>
      <c r="Q608" s="3747"/>
      <c r="R608" s="3173" t="s">
        <v>49</v>
      </c>
      <c r="S608" s="2804">
        <f>+ROUND('Compra -HOJA1'!I300,0)</f>
        <v>0</v>
      </c>
      <c r="T608" s="2804">
        <f>+ROUND('Compra -HOJA1'!K300,0)</f>
        <v>0</v>
      </c>
      <c r="U608" s="2804">
        <f>+ROUND('Compra -HOJA1'!J300,0)</f>
        <v>0</v>
      </c>
      <c r="V608" s="2804">
        <f ca="1">+ROUND('Compra -HOJA1'!L300,0)</f>
        <v>0</v>
      </c>
      <c r="W608" s="2804">
        <f ca="1">+ROUND('Compra -HOJA1'!N300,0)</f>
        <v>0</v>
      </c>
      <c r="X608" s="2804">
        <f ca="1">+ROUND('Compra -HOJA1'!M300,0)</f>
        <v>0</v>
      </c>
      <c r="Y608" s="2805">
        <f ca="1">+'Compra -HOJA1'!O300</f>
        <v>0</v>
      </c>
      <c r="Z608" s="2805">
        <f ca="1">+'Compra -HOJA1'!Q300</f>
        <v>0</v>
      </c>
      <c r="AA608" s="2805">
        <f ca="1">+'Compra -HOJA1'!P300</f>
        <v>0</v>
      </c>
      <c r="AB608" s="1490"/>
      <c r="AC608" s="2835">
        <f t="shared" si="672"/>
        <v>0</v>
      </c>
      <c r="AD608" s="2776">
        <f t="shared" si="673"/>
        <v>0</v>
      </c>
      <c r="AE608" s="2776">
        <f t="shared" si="674"/>
        <v>0</v>
      </c>
      <c r="AF608" s="1490">
        <f t="shared" si="675"/>
        <v>0</v>
      </c>
      <c r="AG608" s="1490">
        <f>+'Compra -HOJA1'!F300</f>
        <v>0</v>
      </c>
      <c r="AH608" s="2776">
        <f t="shared" ca="1" si="676"/>
        <v>0</v>
      </c>
      <c r="AI608" s="2776">
        <f t="shared" ca="1" si="677"/>
        <v>0</v>
      </c>
      <c r="AJ608" s="2776">
        <f t="shared" ca="1" si="678"/>
        <v>0</v>
      </c>
      <c r="AK608" s="1490">
        <f t="shared" ca="1" si="679"/>
        <v>0</v>
      </c>
      <c r="AL608" s="2825">
        <f t="shared" ca="1" si="680"/>
        <v>0</v>
      </c>
      <c r="AM608" s="1490">
        <f t="shared" ca="1" si="681"/>
        <v>0</v>
      </c>
      <c r="AO608" s="1573">
        <f t="shared" si="682"/>
        <v>0</v>
      </c>
      <c r="AP608" s="1490">
        <f t="shared" si="683"/>
        <v>0</v>
      </c>
      <c r="AS608" s="1490">
        <f t="shared" si="684"/>
        <v>0</v>
      </c>
      <c r="AT608" s="1490">
        <f t="shared" si="685"/>
        <v>0</v>
      </c>
      <c r="AU608" s="1490">
        <f t="shared" si="686"/>
        <v>0</v>
      </c>
    </row>
    <row r="609" spans="1:47" ht="62.1" hidden="1" customHeight="1" x14ac:dyDescent="0.6">
      <c r="A609" s="4101"/>
      <c r="B609" s="1721">
        <v>5590</v>
      </c>
      <c r="C609" s="3751" t="s">
        <v>1233</v>
      </c>
      <c r="D609" s="1721" t="s">
        <v>46</v>
      </c>
      <c r="E609" s="2539">
        <f>+'Compra -HOJA1'!G301</f>
        <v>0</v>
      </c>
      <c r="F609" s="1680">
        <f t="shared" si="663"/>
        <v>0</v>
      </c>
      <c r="G609" s="1680">
        <f t="shared" si="664"/>
        <v>0</v>
      </c>
      <c r="H609" s="1680">
        <f t="shared" si="665"/>
        <v>0</v>
      </c>
      <c r="I609" s="1680">
        <f t="shared" ca="1" si="666"/>
        <v>0</v>
      </c>
      <c r="J609" s="1680">
        <f t="shared" ca="1" si="667"/>
        <v>0</v>
      </c>
      <c r="K609" s="1680">
        <f t="shared" ca="1" si="668"/>
        <v>0</v>
      </c>
      <c r="L609" s="2021">
        <f t="shared" ca="1" si="669"/>
        <v>0</v>
      </c>
      <c r="M609" s="2021">
        <f t="shared" ca="1" si="670"/>
        <v>0</v>
      </c>
      <c r="N609" s="2851">
        <f t="shared" ca="1" si="671"/>
        <v>0</v>
      </c>
      <c r="O609" s="4101"/>
      <c r="P609" s="1721">
        <v>5590</v>
      </c>
      <c r="Q609" s="3751" t="s">
        <v>1233</v>
      </c>
      <c r="R609" s="1721" t="s">
        <v>46</v>
      </c>
      <c r="S609" s="2804">
        <f>+ROUND('Compra -HOJA1'!I301,0)</f>
        <v>0</v>
      </c>
      <c r="T609" s="2804">
        <f>+ROUND('Compra -HOJA1'!K301,0)</f>
        <v>0</v>
      </c>
      <c r="U609" s="2804">
        <f>+ROUND('Compra -HOJA1'!J301,0)</f>
        <v>0</v>
      </c>
      <c r="V609" s="2804">
        <f ca="1">+ROUND('Compra -HOJA1'!L301,0)</f>
        <v>0</v>
      </c>
      <c r="W609" s="2804">
        <f ca="1">+ROUND('Compra -HOJA1'!N301,0)</f>
        <v>0</v>
      </c>
      <c r="X609" s="2804">
        <f ca="1">+ROUND('Compra -HOJA1'!M301,0)</f>
        <v>0</v>
      </c>
      <c r="Y609" s="2805">
        <f ca="1">+'Compra -HOJA1'!O301</f>
        <v>0</v>
      </c>
      <c r="Z609" s="2805">
        <f ca="1">+'Compra -HOJA1'!Q301</f>
        <v>0</v>
      </c>
      <c r="AA609" s="2805">
        <f ca="1">+'Compra -HOJA1'!P301</f>
        <v>0</v>
      </c>
      <c r="AB609" s="1490"/>
      <c r="AC609" s="2835">
        <f t="shared" si="672"/>
        <v>0</v>
      </c>
      <c r="AD609" s="2776">
        <f t="shared" si="673"/>
        <v>0</v>
      </c>
      <c r="AE609" s="2776">
        <f t="shared" si="674"/>
        <v>0</v>
      </c>
      <c r="AF609" s="1490">
        <f t="shared" si="675"/>
        <v>0</v>
      </c>
      <c r="AG609" s="1490">
        <f>+'Compra -HOJA1'!F301</f>
        <v>0</v>
      </c>
      <c r="AH609" s="2776">
        <f t="shared" ca="1" si="676"/>
        <v>0</v>
      </c>
      <c r="AI609" s="2776">
        <f t="shared" ca="1" si="677"/>
        <v>0</v>
      </c>
      <c r="AJ609" s="2776">
        <f t="shared" ca="1" si="678"/>
        <v>0</v>
      </c>
      <c r="AK609" s="1490">
        <f t="shared" ca="1" si="679"/>
        <v>0</v>
      </c>
      <c r="AL609" s="2825">
        <f t="shared" ca="1" si="680"/>
        <v>0</v>
      </c>
      <c r="AM609" s="1490">
        <f t="shared" ca="1" si="681"/>
        <v>0</v>
      </c>
      <c r="AO609" s="1573">
        <f t="shared" si="682"/>
        <v>0</v>
      </c>
      <c r="AP609" s="1490">
        <f t="shared" si="683"/>
        <v>0</v>
      </c>
      <c r="AS609" s="1490">
        <f t="shared" si="684"/>
        <v>0</v>
      </c>
      <c r="AT609" s="1490">
        <f t="shared" si="685"/>
        <v>0</v>
      </c>
      <c r="AU609" s="1490">
        <f t="shared" si="686"/>
        <v>0</v>
      </c>
    </row>
    <row r="610" spans="1:47" ht="62.1" hidden="1" customHeight="1" x14ac:dyDescent="0.6">
      <c r="A610" s="4101"/>
      <c r="B610" s="1721">
        <v>5591</v>
      </c>
      <c r="C610" s="3746"/>
      <c r="D610" s="1721" t="s">
        <v>47</v>
      </c>
      <c r="E610" s="2539">
        <f>+'Compra -HOJA1'!G302</f>
        <v>0</v>
      </c>
      <c r="F610" s="1680">
        <f t="shared" si="663"/>
        <v>0</v>
      </c>
      <c r="G610" s="1680">
        <f t="shared" si="664"/>
        <v>0</v>
      </c>
      <c r="H610" s="1680">
        <f t="shared" si="665"/>
        <v>0</v>
      </c>
      <c r="I610" s="1680">
        <f t="shared" ca="1" si="666"/>
        <v>0</v>
      </c>
      <c r="J610" s="1680">
        <f t="shared" ca="1" si="667"/>
        <v>0</v>
      </c>
      <c r="K610" s="1680">
        <f t="shared" ca="1" si="668"/>
        <v>0</v>
      </c>
      <c r="L610" s="2021">
        <f t="shared" ca="1" si="669"/>
        <v>0</v>
      </c>
      <c r="M610" s="2021">
        <f t="shared" ca="1" si="670"/>
        <v>0</v>
      </c>
      <c r="N610" s="2851">
        <f t="shared" ca="1" si="671"/>
        <v>0</v>
      </c>
      <c r="O610" s="4101"/>
      <c r="P610" s="1721">
        <v>5591</v>
      </c>
      <c r="Q610" s="3746"/>
      <c r="R610" s="1721" t="s">
        <v>47</v>
      </c>
      <c r="S610" s="2804">
        <f>+ROUND('Compra -HOJA1'!I302,0)</f>
        <v>0</v>
      </c>
      <c r="T610" s="2804">
        <f>+ROUND('Compra -HOJA1'!K302,0)</f>
        <v>0</v>
      </c>
      <c r="U610" s="2804">
        <f>+ROUND('Compra -HOJA1'!J302,0)</f>
        <v>0</v>
      </c>
      <c r="V610" s="2804">
        <f ca="1">+ROUND('Compra -HOJA1'!L302,0)</f>
        <v>0</v>
      </c>
      <c r="W610" s="2804">
        <f ca="1">+ROUND('Compra -HOJA1'!N302,0)</f>
        <v>0</v>
      </c>
      <c r="X610" s="2804">
        <f ca="1">+ROUND('Compra -HOJA1'!M302,0)</f>
        <v>0</v>
      </c>
      <c r="Y610" s="2805">
        <f ca="1">+'Compra -HOJA1'!O302</f>
        <v>0</v>
      </c>
      <c r="Z610" s="2805">
        <f ca="1">+'Compra -HOJA1'!Q302</f>
        <v>0</v>
      </c>
      <c r="AA610" s="2805">
        <f ca="1">+'Compra -HOJA1'!P302</f>
        <v>0</v>
      </c>
      <c r="AB610" s="1490"/>
      <c r="AC610" s="2835">
        <f t="shared" si="672"/>
        <v>0</v>
      </c>
      <c r="AD610" s="2776">
        <f t="shared" si="673"/>
        <v>0</v>
      </c>
      <c r="AE610" s="2776">
        <f t="shared" si="674"/>
        <v>0</v>
      </c>
      <c r="AF610" s="1490">
        <f t="shared" si="675"/>
        <v>0</v>
      </c>
      <c r="AG610" s="1490">
        <f>+'Compra -HOJA1'!F302</f>
        <v>0</v>
      </c>
      <c r="AH610" s="2776">
        <f t="shared" ca="1" si="676"/>
        <v>0</v>
      </c>
      <c r="AI610" s="2776">
        <f t="shared" ca="1" si="677"/>
        <v>0</v>
      </c>
      <c r="AJ610" s="2776">
        <f t="shared" ca="1" si="678"/>
        <v>0</v>
      </c>
      <c r="AK610" s="1490">
        <f t="shared" ca="1" si="679"/>
        <v>0</v>
      </c>
      <c r="AL610" s="2825">
        <f t="shared" ca="1" si="680"/>
        <v>0</v>
      </c>
      <c r="AM610" s="1490">
        <f t="shared" ca="1" si="681"/>
        <v>0</v>
      </c>
      <c r="AO610" s="1573">
        <f t="shared" si="682"/>
        <v>0</v>
      </c>
      <c r="AP610" s="1490">
        <f t="shared" si="683"/>
        <v>0</v>
      </c>
      <c r="AS610" s="1490">
        <f t="shared" si="684"/>
        <v>0</v>
      </c>
      <c r="AT610" s="1490">
        <f t="shared" si="685"/>
        <v>0</v>
      </c>
      <c r="AU610" s="1490">
        <f t="shared" si="686"/>
        <v>0</v>
      </c>
    </row>
    <row r="611" spans="1:47" ht="62.1" hidden="1" customHeight="1" x14ac:dyDescent="0.6">
      <c r="A611" s="4101"/>
      <c r="B611" s="1949">
        <v>5600</v>
      </c>
      <c r="C611" s="3746"/>
      <c r="D611" s="1949" t="s">
        <v>169</v>
      </c>
      <c r="E611" s="2539">
        <f>+'Compra -HOJA1'!G303</f>
        <v>0</v>
      </c>
      <c r="F611" s="1680">
        <f t="shared" si="663"/>
        <v>0</v>
      </c>
      <c r="G611" s="1680">
        <f t="shared" si="664"/>
        <v>0</v>
      </c>
      <c r="H611" s="1680">
        <f t="shared" si="665"/>
        <v>0</v>
      </c>
      <c r="I611" s="1680">
        <f t="shared" ca="1" si="666"/>
        <v>0</v>
      </c>
      <c r="J611" s="1680">
        <f t="shared" ca="1" si="667"/>
        <v>0</v>
      </c>
      <c r="K611" s="1680">
        <f t="shared" ca="1" si="668"/>
        <v>0</v>
      </c>
      <c r="L611" s="2021">
        <f t="shared" ca="1" si="669"/>
        <v>0</v>
      </c>
      <c r="M611" s="2021">
        <f t="shared" ca="1" si="670"/>
        <v>0</v>
      </c>
      <c r="N611" s="2851">
        <f t="shared" ca="1" si="671"/>
        <v>0</v>
      </c>
      <c r="O611" s="4101"/>
      <c r="P611" s="1949">
        <v>5600</v>
      </c>
      <c r="Q611" s="3746"/>
      <c r="R611" s="1949" t="s">
        <v>169</v>
      </c>
      <c r="S611" s="2804">
        <f>+ROUND('Compra -HOJA1'!I303,0)</f>
        <v>0</v>
      </c>
      <c r="T611" s="2804">
        <f>+ROUND('Compra -HOJA1'!K303,0)</f>
        <v>0</v>
      </c>
      <c r="U611" s="2804">
        <f>+ROUND('Compra -HOJA1'!J303,0)</f>
        <v>0</v>
      </c>
      <c r="V611" s="2804">
        <f ca="1">+ROUND('Compra -HOJA1'!L303,0)</f>
        <v>0</v>
      </c>
      <c r="W611" s="2804">
        <f ca="1">+ROUND('Compra -HOJA1'!N303,0)</f>
        <v>0</v>
      </c>
      <c r="X611" s="2804">
        <f ca="1">+ROUND('Compra -HOJA1'!M303,0)</f>
        <v>0</v>
      </c>
      <c r="Y611" s="2805">
        <f ca="1">+'Compra -HOJA1'!O303</f>
        <v>0</v>
      </c>
      <c r="Z611" s="2805">
        <f ca="1">+'Compra -HOJA1'!Q303</f>
        <v>0</v>
      </c>
      <c r="AA611" s="2805">
        <f ca="1">+'Compra -HOJA1'!P303</f>
        <v>0</v>
      </c>
      <c r="AB611" s="1490"/>
      <c r="AC611" s="2835">
        <f t="shared" si="672"/>
        <v>0</v>
      </c>
      <c r="AD611" s="2776">
        <f t="shared" si="673"/>
        <v>0</v>
      </c>
      <c r="AE611" s="2776">
        <f t="shared" si="674"/>
        <v>0</v>
      </c>
      <c r="AF611" s="1490">
        <f t="shared" si="675"/>
        <v>0</v>
      </c>
      <c r="AG611" s="1490">
        <f>+'Compra -HOJA1'!F303</f>
        <v>0</v>
      </c>
      <c r="AH611" s="2776">
        <f t="shared" ca="1" si="676"/>
        <v>0</v>
      </c>
      <c r="AI611" s="2776">
        <f t="shared" ca="1" si="677"/>
        <v>0</v>
      </c>
      <c r="AJ611" s="2776">
        <f t="shared" ca="1" si="678"/>
        <v>0</v>
      </c>
      <c r="AK611" s="1490">
        <f t="shared" ca="1" si="679"/>
        <v>0</v>
      </c>
      <c r="AL611" s="2825">
        <f t="shared" ca="1" si="680"/>
        <v>0</v>
      </c>
      <c r="AM611" s="1490">
        <f t="shared" ca="1" si="681"/>
        <v>0</v>
      </c>
      <c r="AO611" s="1573">
        <f t="shared" si="682"/>
        <v>0</v>
      </c>
      <c r="AP611" s="1490">
        <f t="shared" si="683"/>
        <v>0</v>
      </c>
      <c r="AS611" s="1490">
        <f t="shared" si="684"/>
        <v>0</v>
      </c>
      <c r="AT611" s="1490">
        <f t="shared" si="685"/>
        <v>0</v>
      </c>
      <c r="AU611" s="1490">
        <f t="shared" si="686"/>
        <v>0</v>
      </c>
    </row>
    <row r="612" spans="1:47" ht="62.1" hidden="1" customHeight="1" thickBot="1" x14ac:dyDescent="0.65">
      <c r="A612" s="4102"/>
      <c r="B612" s="3173">
        <v>5601</v>
      </c>
      <c r="C612" s="3747"/>
      <c r="D612" s="3173" t="s">
        <v>49</v>
      </c>
      <c r="E612" s="2539">
        <f>+'Compra -HOJA1'!G304</f>
        <v>0</v>
      </c>
      <c r="F612" s="1680">
        <f t="shared" si="663"/>
        <v>0</v>
      </c>
      <c r="G612" s="1680">
        <f t="shared" si="664"/>
        <v>0</v>
      </c>
      <c r="H612" s="1680">
        <f t="shared" si="665"/>
        <v>0</v>
      </c>
      <c r="I612" s="1680">
        <f t="shared" ca="1" si="666"/>
        <v>0</v>
      </c>
      <c r="J612" s="1680">
        <f t="shared" ca="1" si="667"/>
        <v>0</v>
      </c>
      <c r="K612" s="1680">
        <f t="shared" ca="1" si="668"/>
        <v>0</v>
      </c>
      <c r="L612" s="2021">
        <f t="shared" ca="1" si="669"/>
        <v>0</v>
      </c>
      <c r="M612" s="2021">
        <f t="shared" ca="1" si="670"/>
        <v>0</v>
      </c>
      <c r="N612" s="2851">
        <f t="shared" ca="1" si="671"/>
        <v>0</v>
      </c>
      <c r="O612" s="4102"/>
      <c r="P612" s="3173">
        <v>5601</v>
      </c>
      <c r="Q612" s="3747"/>
      <c r="R612" s="3173" t="s">
        <v>49</v>
      </c>
      <c r="S612" s="2804">
        <f>+ROUND('Compra -HOJA1'!I304,0)</f>
        <v>0</v>
      </c>
      <c r="T612" s="2804">
        <f>+ROUND('Compra -HOJA1'!K304,0)</f>
        <v>0</v>
      </c>
      <c r="U612" s="2804">
        <f>+ROUND('Compra -HOJA1'!J304,0)</f>
        <v>0</v>
      </c>
      <c r="V612" s="2804">
        <f ca="1">+ROUND('Compra -HOJA1'!L304,0)</f>
        <v>0</v>
      </c>
      <c r="W612" s="2804">
        <f ca="1">+ROUND('Compra -HOJA1'!N304,0)</f>
        <v>0</v>
      </c>
      <c r="X612" s="2804">
        <f ca="1">+ROUND('Compra -HOJA1'!M304,0)</f>
        <v>0</v>
      </c>
      <c r="Y612" s="2805">
        <f ca="1">+'Compra -HOJA1'!O304</f>
        <v>0</v>
      </c>
      <c r="Z612" s="2805">
        <f ca="1">+'Compra -HOJA1'!Q304</f>
        <v>0</v>
      </c>
      <c r="AA612" s="2805">
        <f ca="1">+'Compra -HOJA1'!P304</f>
        <v>0</v>
      </c>
      <c r="AB612" s="1490"/>
      <c r="AC612" s="2835">
        <f t="shared" si="672"/>
        <v>0</v>
      </c>
      <c r="AD612" s="2776">
        <f t="shared" si="673"/>
        <v>0</v>
      </c>
      <c r="AE612" s="2776">
        <f t="shared" si="674"/>
        <v>0</v>
      </c>
      <c r="AF612" s="1490">
        <f t="shared" si="675"/>
        <v>0</v>
      </c>
      <c r="AG612" s="1490">
        <f>+'Compra -HOJA1'!F304</f>
        <v>0</v>
      </c>
      <c r="AH612" s="2776">
        <f t="shared" ca="1" si="676"/>
        <v>0</v>
      </c>
      <c r="AI612" s="2776">
        <f t="shared" ca="1" si="677"/>
        <v>0</v>
      </c>
      <c r="AJ612" s="2776">
        <f t="shared" ca="1" si="678"/>
        <v>0</v>
      </c>
      <c r="AK612" s="1490">
        <f t="shared" ca="1" si="679"/>
        <v>0</v>
      </c>
      <c r="AL612" s="2825">
        <f t="shared" ca="1" si="680"/>
        <v>0</v>
      </c>
      <c r="AM612" s="1490">
        <f t="shared" ca="1" si="681"/>
        <v>0</v>
      </c>
      <c r="AO612" s="1573">
        <f t="shared" si="682"/>
        <v>0</v>
      </c>
      <c r="AP612" s="1490">
        <f t="shared" si="683"/>
        <v>0</v>
      </c>
      <c r="AS612" s="1490">
        <f t="shared" si="684"/>
        <v>0</v>
      </c>
      <c r="AT612" s="1490">
        <f t="shared" si="685"/>
        <v>0</v>
      </c>
      <c r="AU612" s="1490">
        <f t="shared" si="686"/>
        <v>0</v>
      </c>
    </row>
    <row r="613" spans="1:47" ht="62.1" hidden="1" customHeight="1" x14ac:dyDescent="0.6">
      <c r="A613" s="4062" t="s">
        <v>52</v>
      </c>
      <c r="B613" s="3172">
        <v>5030</v>
      </c>
      <c r="C613" s="3758" t="s">
        <v>217</v>
      </c>
      <c r="D613" s="3758"/>
      <c r="E613" s="2539">
        <f>+'Compra -HOJA1'!G305</f>
        <v>0</v>
      </c>
      <c r="F613" s="1680">
        <f t="shared" si="639"/>
        <v>0</v>
      </c>
      <c r="G613" s="1680">
        <f t="shared" si="640"/>
        <v>0</v>
      </c>
      <c r="H613" s="1680">
        <f t="shared" si="641"/>
        <v>0</v>
      </c>
      <c r="I613" s="1680">
        <f t="shared" ca="1" si="642"/>
        <v>0</v>
      </c>
      <c r="J613" s="1680">
        <f t="shared" ca="1" si="643"/>
        <v>0</v>
      </c>
      <c r="K613" s="1680">
        <f t="shared" ca="1" si="644"/>
        <v>0</v>
      </c>
      <c r="L613" s="2021">
        <f t="shared" ca="1" si="645"/>
        <v>0</v>
      </c>
      <c r="M613" s="2021">
        <f t="shared" ca="1" si="646"/>
        <v>0</v>
      </c>
      <c r="N613" s="2851">
        <f t="shared" ca="1" si="647"/>
        <v>0</v>
      </c>
      <c r="O613" s="4062" t="s">
        <v>52</v>
      </c>
      <c r="P613" s="3172">
        <v>5030</v>
      </c>
      <c r="Q613" s="3758" t="s">
        <v>217</v>
      </c>
      <c r="R613" s="3758"/>
      <c r="S613" s="2804">
        <f>+ROUND('Compra -HOJA1'!I305,0)</f>
        <v>0</v>
      </c>
      <c r="T613" s="2804">
        <f>+ROUND('Compra -HOJA1'!K305,0)</f>
        <v>0</v>
      </c>
      <c r="U613" s="2804">
        <f>+ROUND('Compra -HOJA1'!J305,0)</f>
        <v>0</v>
      </c>
      <c r="V613" s="2804">
        <f ca="1">+ROUND('Compra -HOJA1'!L305,0)</f>
        <v>0</v>
      </c>
      <c r="W613" s="2804">
        <f ca="1">+ROUND('Compra -HOJA1'!N305,0)</f>
        <v>0</v>
      </c>
      <c r="X613" s="2804">
        <f ca="1">+ROUND('Compra -HOJA1'!M305,0)</f>
        <v>0</v>
      </c>
      <c r="Y613" s="2805">
        <f ca="1">+'Compra -HOJA1'!O305</f>
        <v>0</v>
      </c>
      <c r="Z613" s="2805">
        <f ca="1">+'Compra -HOJA1'!Q305</f>
        <v>0</v>
      </c>
      <c r="AA613" s="2805">
        <f ca="1">+'Compra -HOJA1'!P305</f>
        <v>0</v>
      </c>
      <c r="AC613" s="2835">
        <f t="shared" si="648"/>
        <v>0</v>
      </c>
      <c r="AD613" s="2776">
        <f t="shared" si="649"/>
        <v>0</v>
      </c>
      <c r="AE613" s="2776">
        <f t="shared" si="650"/>
        <v>0</v>
      </c>
      <c r="AF613" s="1490">
        <f t="shared" si="651"/>
        <v>0</v>
      </c>
      <c r="AG613" s="1490">
        <f>+'Compra -HOJA1'!F305</f>
        <v>0</v>
      </c>
      <c r="AH613" s="2776">
        <f t="shared" ca="1" si="652"/>
        <v>0</v>
      </c>
      <c r="AI613" s="2776">
        <f t="shared" ca="1" si="653"/>
        <v>0</v>
      </c>
      <c r="AJ613" s="2776">
        <f t="shared" ca="1" si="654"/>
        <v>0</v>
      </c>
      <c r="AK613" s="1490">
        <f t="shared" ca="1" si="655"/>
        <v>0</v>
      </c>
      <c r="AL613" s="2825">
        <f t="shared" ca="1" si="656"/>
        <v>0</v>
      </c>
      <c r="AM613" s="1490">
        <f t="shared" ca="1" si="657"/>
        <v>0</v>
      </c>
      <c r="AO613" s="1573">
        <f t="shared" si="658"/>
        <v>0</v>
      </c>
      <c r="AP613" s="1490">
        <f t="shared" si="659"/>
        <v>0</v>
      </c>
      <c r="AS613" s="1490">
        <f t="shared" si="660"/>
        <v>0</v>
      </c>
      <c r="AT613" s="1490">
        <f t="shared" si="661"/>
        <v>0</v>
      </c>
      <c r="AU613" s="1490">
        <f t="shared" si="662"/>
        <v>0</v>
      </c>
    </row>
    <row r="614" spans="1:47" ht="62.1" hidden="1" customHeight="1" x14ac:dyDescent="0.6">
      <c r="A614" s="4063"/>
      <c r="B614" s="1954">
        <v>5040</v>
      </c>
      <c r="C614" s="3743" t="s">
        <v>218</v>
      </c>
      <c r="D614" s="3744"/>
      <c r="E614" s="2539">
        <f>+'Compra -HOJA1'!G306</f>
        <v>0</v>
      </c>
      <c r="F614" s="1680">
        <f t="shared" si="639"/>
        <v>0</v>
      </c>
      <c r="G614" s="1680">
        <f t="shared" si="640"/>
        <v>0</v>
      </c>
      <c r="H614" s="1680">
        <f t="shared" si="641"/>
        <v>0</v>
      </c>
      <c r="I614" s="1680">
        <f t="shared" ca="1" si="642"/>
        <v>0</v>
      </c>
      <c r="J614" s="1680">
        <f t="shared" ca="1" si="643"/>
        <v>0</v>
      </c>
      <c r="K614" s="1680">
        <f t="shared" ca="1" si="644"/>
        <v>0</v>
      </c>
      <c r="L614" s="2021">
        <f t="shared" ca="1" si="645"/>
        <v>0</v>
      </c>
      <c r="M614" s="2021">
        <f t="shared" ca="1" si="646"/>
        <v>0</v>
      </c>
      <c r="N614" s="2851">
        <f t="shared" ca="1" si="647"/>
        <v>0</v>
      </c>
      <c r="O614" s="4063"/>
      <c r="P614" s="1954">
        <v>5040</v>
      </c>
      <c r="Q614" s="3743" t="s">
        <v>218</v>
      </c>
      <c r="R614" s="3744"/>
      <c r="S614" s="2804">
        <f>+ROUND('Compra -HOJA1'!I306,0)</f>
        <v>0</v>
      </c>
      <c r="T614" s="2804">
        <f>+ROUND('Compra -HOJA1'!K306,0)</f>
        <v>0</v>
      </c>
      <c r="U614" s="2804">
        <f>+ROUND('Compra -HOJA1'!J306,0)</f>
        <v>0</v>
      </c>
      <c r="V614" s="2804">
        <f ca="1">+ROUND('Compra -HOJA1'!L306,0)</f>
        <v>0</v>
      </c>
      <c r="W614" s="2804">
        <f ca="1">+ROUND('Compra -HOJA1'!N306,0)</f>
        <v>0</v>
      </c>
      <c r="X614" s="2804">
        <f ca="1">+ROUND('Compra -HOJA1'!M306,0)</f>
        <v>0</v>
      </c>
      <c r="Y614" s="2805">
        <f ca="1">+'Compra -HOJA1'!O306</f>
        <v>0</v>
      </c>
      <c r="Z614" s="2805">
        <f ca="1">+'Compra -HOJA1'!Q306</f>
        <v>0</v>
      </c>
      <c r="AA614" s="2805">
        <f ca="1">+'Compra -HOJA1'!P306</f>
        <v>0</v>
      </c>
      <c r="AC614" s="2835">
        <f t="shared" si="648"/>
        <v>0</v>
      </c>
      <c r="AD614" s="2776">
        <f t="shared" si="649"/>
        <v>0</v>
      </c>
      <c r="AE614" s="2776">
        <f t="shared" si="650"/>
        <v>0</v>
      </c>
      <c r="AF614" s="1490">
        <f t="shared" si="651"/>
        <v>0</v>
      </c>
      <c r="AG614" s="1490">
        <f>+'Compra -HOJA1'!F306</f>
        <v>0</v>
      </c>
      <c r="AH614" s="2776">
        <f t="shared" ca="1" si="652"/>
        <v>0</v>
      </c>
      <c r="AI614" s="2776">
        <f t="shared" ca="1" si="653"/>
        <v>0</v>
      </c>
      <c r="AJ614" s="2776">
        <f t="shared" ca="1" si="654"/>
        <v>0</v>
      </c>
      <c r="AK614" s="1490">
        <f t="shared" ca="1" si="655"/>
        <v>0</v>
      </c>
      <c r="AL614" s="2825">
        <f t="shared" ca="1" si="656"/>
        <v>0</v>
      </c>
      <c r="AM614" s="1490">
        <f t="shared" ca="1" si="657"/>
        <v>0</v>
      </c>
      <c r="AO614" s="1573">
        <f t="shared" si="658"/>
        <v>0</v>
      </c>
      <c r="AP614" s="1490">
        <f t="shared" si="659"/>
        <v>0</v>
      </c>
      <c r="AS614" s="1490">
        <f t="shared" si="660"/>
        <v>0</v>
      </c>
      <c r="AT614" s="1490">
        <f t="shared" si="661"/>
        <v>0</v>
      </c>
      <c r="AU614" s="1490">
        <f t="shared" si="662"/>
        <v>0</v>
      </c>
    </row>
    <row r="615" spans="1:47" ht="62.1" hidden="1" customHeight="1" x14ac:dyDescent="0.6">
      <c r="A615" s="4063"/>
      <c r="B615" s="1954"/>
      <c r="C615" s="3743" t="s">
        <v>620</v>
      </c>
      <c r="D615" s="3744"/>
      <c r="E615" s="2539">
        <f>+'Compra -HOJA1'!G307</f>
        <v>0</v>
      </c>
      <c r="F615" s="1680">
        <f t="shared" ref="F615:F685" si="687">+AC615</f>
        <v>0</v>
      </c>
      <c r="G615" s="1680">
        <f t="shared" ref="G615:G685" si="688">+AD615</f>
        <v>0</v>
      </c>
      <c r="H615" s="1680">
        <f t="shared" ref="H615:H685" si="689">+AE615</f>
        <v>0</v>
      </c>
      <c r="I615" s="1680">
        <f t="shared" ref="I615:I685" ca="1" si="690">+AH615</f>
        <v>0</v>
      </c>
      <c r="J615" s="1680">
        <f t="shared" ref="J615:J685" ca="1" si="691">+AI615</f>
        <v>0</v>
      </c>
      <c r="K615" s="1680">
        <f t="shared" ref="K615:K685" ca="1" si="692">+AJ615</f>
        <v>0</v>
      </c>
      <c r="L615" s="2021">
        <f t="shared" ref="L615:L685" ca="1" si="693">+F615+I615</f>
        <v>0</v>
      </c>
      <c r="M615" s="2021">
        <f t="shared" ref="M615:M685" ca="1" si="694">+G615+J615</f>
        <v>0</v>
      </c>
      <c r="N615" s="2851">
        <f t="shared" ref="N615:N685" ca="1" si="695">+H615+K615</f>
        <v>0</v>
      </c>
      <c r="O615" s="4063"/>
      <c r="P615" s="1954"/>
      <c r="Q615" s="3743" t="s">
        <v>620</v>
      </c>
      <c r="R615" s="3744"/>
      <c r="S615" s="2804">
        <f>+ROUND('Compra -HOJA1'!I307,0)</f>
        <v>0</v>
      </c>
      <c r="T615" s="2804">
        <f>+ROUND('Compra -HOJA1'!K307,0)</f>
        <v>0</v>
      </c>
      <c r="U615" s="2804">
        <f>+ROUND('Compra -HOJA1'!J307,0)</f>
        <v>0</v>
      </c>
      <c r="V615" s="2804">
        <f ca="1">+ROUND('Compra -HOJA1'!L307,0)</f>
        <v>0</v>
      </c>
      <c r="W615" s="2804">
        <f ca="1">+ROUND('Compra -HOJA1'!N307,0)</f>
        <v>0</v>
      </c>
      <c r="X615" s="2804">
        <f ca="1">+ROUND('Compra -HOJA1'!M307,0)</f>
        <v>0</v>
      </c>
      <c r="Y615" s="2805">
        <f ca="1">+'Compra -HOJA1'!O307</f>
        <v>0</v>
      </c>
      <c r="Z615" s="2805">
        <f ca="1">+'Compra -HOJA1'!Q307</f>
        <v>0</v>
      </c>
      <c r="AA615" s="2805">
        <f ca="1">+'Compra -HOJA1'!P307</f>
        <v>0</v>
      </c>
      <c r="AC615" s="2835">
        <f t="shared" ref="AC615" si="696">+ROUND(S615,0)</f>
        <v>0</v>
      </c>
      <c r="AD615" s="2776">
        <f t="shared" ref="AD615" si="697">+ROUND(T615,0)</f>
        <v>0</v>
      </c>
      <c r="AE615" s="2776">
        <f t="shared" ref="AE615" si="698">+AG615-AC615-AD615</f>
        <v>0</v>
      </c>
      <c r="AF615" s="1490">
        <f t="shared" ref="AF615" si="699">SUM(AC615:AE615)</f>
        <v>0</v>
      </c>
      <c r="AG615" s="1490">
        <f>+'Compra -HOJA1'!F307</f>
        <v>0</v>
      </c>
      <c r="AH615" s="2776">
        <f t="shared" ref="AH615" ca="1" si="700">+ROUND(V615,0)</f>
        <v>0</v>
      </c>
      <c r="AI615" s="2776">
        <f t="shared" ref="AI615" ca="1" si="701">+ROUND(W615,0)</f>
        <v>0</v>
      </c>
      <c r="AJ615" s="2776">
        <f t="shared" ref="AJ615" ca="1" si="702">+AL615-AH615-AI615</f>
        <v>0</v>
      </c>
      <c r="AK615" s="1490">
        <f t="shared" ref="AK615" ca="1" si="703">SUM(AH615:AJ615)</f>
        <v>0</v>
      </c>
      <c r="AL615" s="2825">
        <f t="shared" ref="AL615" ca="1" si="704">+ROUND(SUM(V615:X615),0)</f>
        <v>0</v>
      </c>
      <c r="AM615" s="1490">
        <f t="shared" ref="AM615" ca="1" si="705">SUM(V615:X615)</f>
        <v>0</v>
      </c>
      <c r="AO615" s="1573">
        <f t="shared" ref="AO615" si="706">+SUM(S615:U615)</f>
        <v>0</v>
      </c>
      <c r="AP615" s="1490">
        <f t="shared" ref="AP615" si="707">+AO615-AG615</f>
        <v>0</v>
      </c>
      <c r="AS615" s="1490">
        <f t="shared" ref="AS615" si="708">+S615-AC615</f>
        <v>0</v>
      </c>
      <c r="AT615" s="1490">
        <f t="shared" ref="AT615" si="709">+T615-AD615</f>
        <v>0</v>
      </c>
      <c r="AU615" s="1490">
        <f t="shared" ref="AU615" si="710">+U615-AE615</f>
        <v>0</v>
      </c>
    </row>
    <row r="616" spans="1:47" ht="62.1" hidden="1" customHeight="1" x14ac:dyDescent="0.6">
      <c r="A616" s="4063"/>
      <c r="B616" s="1954">
        <v>5045</v>
      </c>
      <c r="C616" s="3743" t="s">
        <v>221</v>
      </c>
      <c r="D616" s="3744"/>
      <c r="E616" s="2539">
        <f>+'Compra -HOJA1'!G308</f>
        <v>0</v>
      </c>
      <c r="F616" s="1680">
        <f t="shared" si="687"/>
        <v>0</v>
      </c>
      <c r="G616" s="1680">
        <f t="shared" si="688"/>
        <v>0</v>
      </c>
      <c r="H616" s="1680">
        <f t="shared" si="689"/>
        <v>0</v>
      </c>
      <c r="I616" s="1680">
        <f t="shared" ca="1" si="690"/>
        <v>0</v>
      </c>
      <c r="J616" s="1680">
        <f t="shared" ca="1" si="691"/>
        <v>0</v>
      </c>
      <c r="K616" s="1680">
        <f t="shared" ca="1" si="692"/>
        <v>0</v>
      </c>
      <c r="L616" s="2021">
        <f t="shared" ca="1" si="693"/>
        <v>0</v>
      </c>
      <c r="M616" s="2021">
        <f t="shared" ca="1" si="694"/>
        <v>0</v>
      </c>
      <c r="N616" s="2851">
        <f t="shared" ca="1" si="695"/>
        <v>0</v>
      </c>
      <c r="O616" s="4063"/>
      <c r="P616" s="1954">
        <v>5045</v>
      </c>
      <c r="Q616" s="3743" t="s">
        <v>221</v>
      </c>
      <c r="R616" s="3744"/>
      <c r="S616" s="2804">
        <f>+ROUND('Compra -HOJA1'!I308,0)</f>
        <v>0</v>
      </c>
      <c r="T616" s="2804">
        <f>+ROUND('Compra -HOJA1'!K308,0)</f>
        <v>0</v>
      </c>
      <c r="U616" s="2804">
        <f>+ROUND('Compra -HOJA1'!J308,0)</f>
        <v>0</v>
      </c>
      <c r="V616" s="2804">
        <f ca="1">+ROUND('Compra -HOJA1'!L308,0)</f>
        <v>0</v>
      </c>
      <c r="W616" s="2804">
        <f ca="1">+ROUND('Compra -HOJA1'!N308,0)</f>
        <v>0</v>
      </c>
      <c r="X616" s="2804">
        <f ca="1">+ROUND('Compra -HOJA1'!M308,0)</f>
        <v>0</v>
      </c>
      <c r="Y616" s="2805">
        <f ca="1">+'Compra -HOJA1'!O308</f>
        <v>0</v>
      </c>
      <c r="Z616" s="2805">
        <f ca="1">+'Compra -HOJA1'!Q308</f>
        <v>0</v>
      </c>
      <c r="AA616" s="2805">
        <f ca="1">+'Compra -HOJA1'!P308</f>
        <v>0</v>
      </c>
      <c r="AC616" s="2835">
        <f t="shared" si="648"/>
        <v>0</v>
      </c>
      <c r="AD616" s="2776">
        <f t="shared" si="649"/>
        <v>0</v>
      </c>
      <c r="AE616" s="2776">
        <f t="shared" si="650"/>
        <v>0</v>
      </c>
      <c r="AF616" s="1490">
        <f t="shared" si="651"/>
        <v>0</v>
      </c>
      <c r="AG616" s="1490">
        <f>+'Compra -HOJA1'!F308</f>
        <v>0</v>
      </c>
      <c r="AH616" s="2776">
        <f t="shared" ca="1" si="652"/>
        <v>0</v>
      </c>
      <c r="AI616" s="2776">
        <f t="shared" ca="1" si="653"/>
        <v>0</v>
      </c>
      <c r="AJ616" s="2776">
        <f t="shared" ca="1" si="654"/>
        <v>0</v>
      </c>
      <c r="AK616" s="1490">
        <f t="shared" ca="1" si="655"/>
        <v>0</v>
      </c>
      <c r="AL616" s="2825">
        <f t="shared" ca="1" si="656"/>
        <v>0</v>
      </c>
      <c r="AM616" s="1490">
        <f t="shared" ca="1" si="657"/>
        <v>0</v>
      </c>
      <c r="AO616" s="1573">
        <f t="shared" si="658"/>
        <v>0</v>
      </c>
      <c r="AP616" s="1490">
        <f t="shared" si="659"/>
        <v>0</v>
      </c>
      <c r="AS616" s="1490">
        <f t="shared" si="660"/>
        <v>0</v>
      </c>
      <c r="AT616" s="1490">
        <f t="shared" si="661"/>
        <v>0</v>
      </c>
      <c r="AU616" s="1490">
        <f t="shared" si="662"/>
        <v>0</v>
      </c>
    </row>
    <row r="617" spans="1:47" ht="62.1" hidden="1" customHeight="1" x14ac:dyDescent="0.6">
      <c r="A617" s="4063"/>
      <c r="B617" s="1955">
        <v>5050</v>
      </c>
      <c r="C617" s="3742" t="s">
        <v>219</v>
      </c>
      <c r="D617" s="3742"/>
      <c r="E617" s="2539">
        <f>+'Compra -HOJA1'!G309</f>
        <v>0</v>
      </c>
      <c r="F617" s="1680">
        <f t="shared" si="687"/>
        <v>0</v>
      </c>
      <c r="G617" s="1680">
        <f t="shared" si="688"/>
        <v>0</v>
      </c>
      <c r="H617" s="1680">
        <f t="shared" si="689"/>
        <v>0</v>
      </c>
      <c r="I617" s="1680">
        <f t="shared" ca="1" si="690"/>
        <v>0</v>
      </c>
      <c r="J617" s="1680">
        <f t="shared" ca="1" si="691"/>
        <v>0</v>
      </c>
      <c r="K617" s="1680">
        <f t="shared" ca="1" si="692"/>
        <v>0</v>
      </c>
      <c r="L617" s="2021">
        <f t="shared" ca="1" si="693"/>
        <v>0</v>
      </c>
      <c r="M617" s="2021">
        <f t="shared" ca="1" si="694"/>
        <v>0</v>
      </c>
      <c r="N617" s="2851">
        <f t="shared" ca="1" si="695"/>
        <v>0</v>
      </c>
      <c r="O617" s="4063"/>
      <c r="P617" s="1955">
        <v>5050</v>
      </c>
      <c r="Q617" s="3742" t="s">
        <v>219</v>
      </c>
      <c r="R617" s="3742"/>
      <c r="S617" s="2804">
        <f>+ROUND('Compra -HOJA1'!I309,0)</f>
        <v>0</v>
      </c>
      <c r="T617" s="2804">
        <f>+ROUND('Compra -HOJA1'!K309,0)</f>
        <v>0</v>
      </c>
      <c r="U617" s="2804">
        <f>+ROUND('Compra -HOJA1'!J309,0)</f>
        <v>0</v>
      </c>
      <c r="V617" s="2804">
        <f ca="1">+ROUND('Compra -HOJA1'!L309,0)</f>
        <v>0</v>
      </c>
      <c r="W617" s="2804">
        <f ca="1">+ROUND('Compra -HOJA1'!N309,0)</f>
        <v>0</v>
      </c>
      <c r="X617" s="2804">
        <f ca="1">+ROUND('Compra -HOJA1'!M309,0)</f>
        <v>0</v>
      </c>
      <c r="Y617" s="2805">
        <f ca="1">+'Compra -HOJA1'!O309</f>
        <v>0</v>
      </c>
      <c r="Z617" s="2805">
        <f ca="1">+'Compra -HOJA1'!Q309</f>
        <v>0</v>
      </c>
      <c r="AA617" s="2805">
        <f ca="1">+'Compra -HOJA1'!P309</f>
        <v>0</v>
      </c>
      <c r="AC617" s="2835">
        <f t="shared" ref="AC617:AC688" si="711">+ROUND(S617,0)</f>
        <v>0</v>
      </c>
      <c r="AD617" s="2776">
        <f t="shared" ref="AD617:AD688" si="712">+ROUND(T617,0)</f>
        <v>0</v>
      </c>
      <c r="AE617" s="2776">
        <f t="shared" ref="AE617:AE688" si="713">+AG617-AC617-AD617</f>
        <v>0</v>
      </c>
      <c r="AF617" s="1490">
        <f t="shared" ref="AF617:AF688" si="714">SUM(AC617:AE617)</f>
        <v>0</v>
      </c>
      <c r="AG617" s="1490">
        <f>+'Compra -HOJA1'!F309</f>
        <v>0</v>
      </c>
      <c r="AH617" s="2776">
        <f t="shared" ref="AH617:AH688" ca="1" si="715">+ROUND(V617,0)</f>
        <v>0</v>
      </c>
      <c r="AI617" s="2776">
        <f t="shared" ref="AI617:AI688" ca="1" si="716">+ROUND(W617,0)</f>
        <v>0</v>
      </c>
      <c r="AJ617" s="2776">
        <f t="shared" ref="AJ617:AJ688" ca="1" si="717">+AL617-AH617-AI617</f>
        <v>0</v>
      </c>
      <c r="AK617" s="1490">
        <f t="shared" ref="AK617:AK688" ca="1" si="718">SUM(AH617:AJ617)</f>
        <v>0</v>
      </c>
      <c r="AL617" s="2825">
        <f t="shared" ref="AL617:AL688" ca="1" si="719">+ROUND(SUM(V617:X617),0)</f>
        <v>0</v>
      </c>
      <c r="AM617" s="1490">
        <f t="shared" ref="AM617:AM688" ca="1" si="720">SUM(V617:X617)</f>
        <v>0</v>
      </c>
      <c r="AO617" s="1573">
        <f t="shared" ref="AO617:AO688" si="721">+SUM(S617:U617)</f>
        <v>0</v>
      </c>
      <c r="AP617" s="1490">
        <f t="shared" ref="AP617:AP688" si="722">+AO617-AG617</f>
        <v>0</v>
      </c>
      <c r="AS617" s="1490">
        <f t="shared" ref="AS617:AS688" si="723">+S617-AC617</f>
        <v>0</v>
      </c>
      <c r="AT617" s="1490">
        <f t="shared" ref="AT617:AT688" si="724">+T617-AD617</f>
        <v>0</v>
      </c>
      <c r="AU617" s="1490">
        <f t="shared" ref="AU617:AU688" si="725">+U617-AE617</f>
        <v>0</v>
      </c>
    </row>
    <row r="618" spans="1:47" ht="62.1" hidden="1" customHeight="1" x14ac:dyDescent="0.6">
      <c r="A618" s="4063"/>
      <c r="B618" s="1955"/>
      <c r="C618" s="3742" t="s">
        <v>621</v>
      </c>
      <c r="D618" s="3742"/>
      <c r="E618" s="2539">
        <f>+'Compra -HOJA1'!G310</f>
        <v>0</v>
      </c>
      <c r="F618" s="1680">
        <f t="shared" si="687"/>
        <v>0</v>
      </c>
      <c r="G618" s="1680">
        <f t="shared" si="688"/>
        <v>0</v>
      </c>
      <c r="H618" s="1680">
        <f t="shared" si="689"/>
        <v>0</v>
      </c>
      <c r="I618" s="1680">
        <f t="shared" ca="1" si="690"/>
        <v>0</v>
      </c>
      <c r="J618" s="1680">
        <f t="shared" ca="1" si="691"/>
        <v>0</v>
      </c>
      <c r="K618" s="1680">
        <f t="shared" ca="1" si="692"/>
        <v>0</v>
      </c>
      <c r="L618" s="2021">
        <f t="shared" ca="1" si="693"/>
        <v>0</v>
      </c>
      <c r="M618" s="2021">
        <f t="shared" ca="1" si="694"/>
        <v>0</v>
      </c>
      <c r="N618" s="2851">
        <f t="shared" ca="1" si="695"/>
        <v>0</v>
      </c>
      <c r="O618" s="4063"/>
      <c r="P618" s="1955"/>
      <c r="Q618" s="3742" t="s">
        <v>621</v>
      </c>
      <c r="R618" s="3742"/>
      <c r="S618" s="2804">
        <f>+ROUND('Compra -HOJA1'!I310,0)</f>
        <v>0</v>
      </c>
      <c r="T618" s="2804">
        <f>+ROUND('Compra -HOJA1'!K310,0)</f>
        <v>0</v>
      </c>
      <c r="U618" s="2804">
        <f>+ROUND('Compra -HOJA1'!J310,0)</f>
        <v>0</v>
      </c>
      <c r="V618" s="2804">
        <f ca="1">+ROUND('Compra -HOJA1'!L310,0)</f>
        <v>0</v>
      </c>
      <c r="W618" s="2804">
        <f ca="1">+ROUND('Compra -HOJA1'!N310,0)</f>
        <v>0</v>
      </c>
      <c r="X618" s="2804">
        <f ca="1">+ROUND('Compra -HOJA1'!M310,0)</f>
        <v>0</v>
      </c>
      <c r="Y618" s="2805">
        <f ca="1">+'Compra -HOJA1'!O310</f>
        <v>0</v>
      </c>
      <c r="Z618" s="2805">
        <f ca="1">+'Compra -HOJA1'!Q310</f>
        <v>0</v>
      </c>
      <c r="AA618" s="2805">
        <f ca="1">+'Compra -HOJA1'!P310</f>
        <v>0</v>
      </c>
      <c r="AC618" s="2835">
        <f t="shared" si="711"/>
        <v>0</v>
      </c>
      <c r="AD618" s="2776">
        <f t="shared" si="712"/>
        <v>0</v>
      </c>
      <c r="AE618" s="2776">
        <f t="shared" si="713"/>
        <v>0</v>
      </c>
      <c r="AF618" s="1490">
        <f t="shared" si="714"/>
        <v>0</v>
      </c>
      <c r="AG618" s="1490">
        <f>+'Compra -HOJA1'!F310</f>
        <v>0</v>
      </c>
      <c r="AH618" s="2776">
        <f t="shared" ca="1" si="715"/>
        <v>0</v>
      </c>
      <c r="AI618" s="2776">
        <f t="shared" ca="1" si="716"/>
        <v>0</v>
      </c>
      <c r="AJ618" s="2776">
        <f t="shared" ca="1" si="717"/>
        <v>0</v>
      </c>
      <c r="AK618" s="1490">
        <f t="shared" ca="1" si="718"/>
        <v>0</v>
      </c>
      <c r="AL618" s="2825">
        <f t="shared" ca="1" si="719"/>
        <v>0</v>
      </c>
      <c r="AM618" s="1490">
        <f t="shared" ca="1" si="720"/>
        <v>0</v>
      </c>
      <c r="AO618" s="1573">
        <f t="shared" si="721"/>
        <v>0</v>
      </c>
      <c r="AP618" s="1490">
        <f t="shared" si="722"/>
        <v>0</v>
      </c>
      <c r="AS618" s="1490">
        <f t="shared" si="723"/>
        <v>0</v>
      </c>
      <c r="AT618" s="1490">
        <f t="shared" si="724"/>
        <v>0</v>
      </c>
      <c r="AU618" s="1490">
        <f t="shared" si="725"/>
        <v>0</v>
      </c>
    </row>
    <row r="619" spans="1:47" ht="62.1" hidden="1" customHeight="1" x14ac:dyDescent="0.6">
      <c r="A619" s="4063"/>
      <c r="B619" s="1955">
        <v>5055</v>
      </c>
      <c r="C619" s="3742" t="s">
        <v>222</v>
      </c>
      <c r="D619" s="3742"/>
      <c r="E619" s="2539">
        <f>+'Compra -HOJA1'!G311</f>
        <v>0</v>
      </c>
      <c r="F619" s="1680">
        <f t="shared" si="687"/>
        <v>0</v>
      </c>
      <c r="G619" s="1680">
        <f t="shared" si="688"/>
        <v>0</v>
      </c>
      <c r="H619" s="1680">
        <f t="shared" si="689"/>
        <v>0</v>
      </c>
      <c r="I619" s="1680">
        <f t="shared" ca="1" si="690"/>
        <v>0</v>
      </c>
      <c r="J619" s="1680">
        <f t="shared" ca="1" si="691"/>
        <v>0</v>
      </c>
      <c r="K619" s="1680">
        <f t="shared" ca="1" si="692"/>
        <v>0</v>
      </c>
      <c r="L619" s="2021">
        <f t="shared" ca="1" si="693"/>
        <v>0</v>
      </c>
      <c r="M619" s="2021">
        <f t="shared" ca="1" si="694"/>
        <v>0</v>
      </c>
      <c r="N619" s="2851">
        <f t="shared" ca="1" si="695"/>
        <v>0</v>
      </c>
      <c r="O619" s="4063"/>
      <c r="P619" s="1955">
        <v>5055</v>
      </c>
      <c r="Q619" s="3742" t="s">
        <v>222</v>
      </c>
      <c r="R619" s="3742"/>
      <c r="S619" s="2804">
        <f>+ROUND('Compra -HOJA1'!I311,0)</f>
        <v>0</v>
      </c>
      <c r="T619" s="2804">
        <f>+ROUND('Compra -HOJA1'!K311,0)</f>
        <v>0</v>
      </c>
      <c r="U619" s="2804">
        <f>+ROUND('Compra -HOJA1'!J311,0)</f>
        <v>0</v>
      </c>
      <c r="V619" s="2804">
        <f ca="1">+ROUND('Compra -HOJA1'!L311,0)</f>
        <v>0</v>
      </c>
      <c r="W619" s="2804">
        <f ca="1">+ROUND('Compra -HOJA1'!N311,0)</f>
        <v>0</v>
      </c>
      <c r="X619" s="2804">
        <f ca="1">+ROUND('Compra -HOJA1'!M311,0)</f>
        <v>0</v>
      </c>
      <c r="Y619" s="2805">
        <f ca="1">+'Compra -HOJA1'!O311</f>
        <v>0</v>
      </c>
      <c r="Z619" s="2805">
        <f ca="1">+'Compra -HOJA1'!Q311</f>
        <v>0</v>
      </c>
      <c r="AA619" s="2805">
        <f ca="1">+'Compra -HOJA1'!P311</f>
        <v>0</v>
      </c>
      <c r="AC619" s="2835">
        <f t="shared" si="711"/>
        <v>0</v>
      </c>
      <c r="AD619" s="2776">
        <f t="shared" si="712"/>
        <v>0</v>
      </c>
      <c r="AE619" s="2776">
        <f t="shared" si="713"/>
        <v>0</v>
      </c>
      <c r="AF619" s="1490">
        <f t="shared" si="714"/>
        <v>0</v>
      </c>
      <c r="AG619" s="1490">
        <f>+'Compra -HOJA1'!F311</f>
        <v>0</v>
      </c>
      <c r="AH619" s="2776">
        <f t="shared" ca="1" si="715"/>
        <v>0</v>
      </c>
      <c r="AI619" s="2776">
        <f t="shared" ca="1" si="716"/>
        <v>0</v>
      </c>
      <c r="AJ619" s="2776">
        <f t="shared" ca="1" si="717"/>
        <v>0</v>
      </c>
      <c r="AK619" s="1490">
        <f t="shared" ca="1" si="718"/>
        <v>0</v>
      </c>
      <c r="AL619" s="2825">
        <f t="shared" ca="1" si="719"/>
        <v>0</v>
      </c>
      <c r="AM619" s="1490">
        <f t="shared" ca="1" si="720"/>
        <v>0</v>
      </c>
      <c r="AO619" s="1573">
        <f t="shared" si="721"/>
        <v>0</v>
      </c>
      <c r="AP619" s="1490">
        <f t="shared" si="722"/>
        <v>0</v>
      </c>
      <c r="AS619" s="1490">
        <f t="shared" si="723"/>
        <v>0</v>
      </c>
      <c r="AT619" s="1490">
        <f t="shared" si="724"/>
        <v>0</v>
      </c>
      <c r="AU619" s="1490">
        <f t="shared" si="725"/>
        <v>0</v>
      </c>
    </row>
    <row r="620" spans="1:47" ht="62.1" hidden="1" customHeight="1" x14ac:dyDescent="0.6">
      <c r="A620" s="4063"/>
      <c r="B620" s="1948">
        <v>5503</v>
      </c>
      <c r="C620" s="3751" t="s">
        <v>1234</v>
      </c>
      <c r="D620" s="1948" t="s">
        <v>53</v>
      </c>
      <c r="E620" s="2539">
        <f>+'Compra -HOJA1'!G312</f>
        <v>0</v>
      </c>
      <c r="F620" s="1680">
        <f t="shared" si="687"/>
        <v>0</v>
      </c>
      <c r="G620" s="1680">
        <f t="shared" si="688"/>
        <v>0</v>
      </c>
      <c r="H620" s="1680">
        <f t="shared" si="689"/>
        <v>0</v>
      </c>
      <c r="I620" s="1680">
        <f t="shared" ca="1" si="690"/>
        <v>0</v>
      </c>
      <c r="J620" s="1680">
        <f t="shared" ca="1" si="691"/>
        <v>0</v>
      </c>
      <c r="K620" s="1680">
        <f t="shared" ca="1" si="692"/>
        <v>0</v>
      </c>
      <c r="L620" s="2021">
        <f t="shared" ca="1" si="693"/>
        <v>0</v>
      </c>
      <c r="M620" s="2021">
        <f t="shared" ca="1" si="694"/>
        <v>0</v>
      </c>
      <c r="N620" s="2851">
        <f t="shared" ca="1" si="695"/>
        <v>0</v>
      </c>
      <c r="O620" s="4063"/>
      <c r="P620" s="1948">
        <v>5503</v>
      </c>
      <c r="Q620" s="3751" t="s">
        <v>1234</v>
      </c>
      <c r="R620" s="1948" t="s">
        <v>53</v>
      </c>
      <c r="S620" s="2804">
        <f>+ROUND('Compra -HOJA1'!I312,0)</f>
        <v>0</v>
      </c>
      <c r="T620" s="2804">
        <f>+ROUND('Compra -HOJA1'!K312,0)</f>
        <v>0</v>
      </c>
      <c r="U620" s="2804">
        <f>+ROUND('Compra -HOJA1'!J312,0)</f>
        <v>0</v>
      </c>
      <c r="V620" s="2804">
        <f ca="1">+ROUND('Compra -HOJA1'!L312,0)</f>
        <v>0</v>
      </c>
      <c r="W620" s="2804">
        <f ca="1">+ROUND('Compra -HOJA1'!N312,0)</f>
        <v>0</v>
      </c>
      <c r="X620" s="2804">
        <f ca="1">+ROUND('Compra -HOJA1'!M312,0)</f>
        <v>0</v>
      </c>
      <c r="Y620" s="2805">
        <f ca="1">+'Compra -HOJA1'!O312</f>
        <v>0</v>
      </c>
      <c r="Z620" s="2805">
        <f ca="1">+'Compra -HOJA1'!Q312</f>
        <v>0</v>
      </c>
      <c r="AA620" s="2805">
        <f ca="1">+'Compra -HOJA1'!P312</f>
        <v>0</v>
      </c>
      <c r="AC620" s="2835">
        <f t="shared" si="711"/>
        <v>0</v>
      </c>
      <c r="AD620" s="2776">
        <f t="shared" si="712"/>
        <v>0</v>
      </c>
      <c r="AE620" s="2776">
        <f t="shared" si="713"/>
        <v>0</v>
      </c>
      <c r="AF620" s="1490">
        <f t="shared" si="714"/>
        <v>0</v>
      </c>
      <c r="AG620" s="1490">
        <f>+'Compra -HOJA1'!F312</f>
        <v>0</v>
      </c>
      <c r="AH620" s="2776">
        <f t="shared" ca="1" si="715"/>
        <v>0</v>
      </c>
      <c r="AI620" s="2776">
        <f t="shared" ca="1" si="716"/>
        <v>0</v>
      </c>
      <c r="AJ620" s="2776">
        <f t="shared" ca="1" si="717"/>
        <v>0</v>
      </c>
      <c r="AK620" s="1490">
        <f t="shared" ca="1" si="718"/>
        <v>0</v>
      </c>
      <c r="AL620" s="2825">
        <f t="shared" ca="1" si="719"/>
        <v>0</v>
      </c>
      <c r="AM620" s="1490">
        <f t="shared" ca="1" si="720"/>
        <v>0</v>
      </c>
      <c r="AO620" s="1573">
        <f t="shared" si="721"/>
        <v>0</v>
      </c>
      <c r="AP620" s="1490">
        <f t="shared" si="722"/>
        <v>0</v>
      </c>
      <c r="AS620" s="1490">
        <f t="shared" si="723"/>
        <v>0</v>
      </c>
      <c r="AT620" s="1490">
        <f t="shared" si="724"/>
        <v>0</v>
      </c>
      <c r="AU620" s="1490">
        <f t="shared" si="725"/>
        <v>0</v>
      </c>
    </row>
    <row r="621" spans="1:47" ht="62.1" hidden="1" customHeight="1" x14ac:dyDescent="0.6">
      <c r="A621" s="4063"/>
      <c r="B621" s="1948">
        <v>5504</v>
      </c>
      <c r="C621" s="3746"/>
      <c r="D621" s="1948" t="s">
        <v>54</v>
      </c>
      <c r="E621" s="2539">
        <f>+'Compra -HOJA1'!G313</f>
        <v>0</v>
      </c>
      <c r="F621" s="1680">
        <f t="shared" si="687"/>
        <v>0</v>
      </c>
      <c r="G621" s="1680">
        <f t="shared" si="688"/>
        <v>0</v>
      </c>
      <c r="H621" s="1680">
        <f t="shared" si="689"/>
        <v>0</v>
      </c>
      <c r="I621" s="1680">
        <f t="shared" ca="1" si="690"/>
        <v>0</v>
      </c>
      <c r="J621" s="1680">
        <f t="shared" ca="1" si="691"/>
        <v>0</v>
      </c>
      <c r="K621" s="1680">
        <f t="shared" ca="1" si="692"/>
        <v>0</v>
      </c>
      <c r="L621" s="2021">
        <f t="shared" ca="1" si="693"/>
        <v>0</v>
      </c>
      <c r="M621" s="2021">
        <f t="shared" ca="1" si="694"/>
        <v>0</v>
      </c>
      <c r="N621" s="2851">
        <f t="shared" ca="1" si="695"/>
        <v>0</v>
      </c>
      <c r="O621" s="4063"/>
      <c r="P621" s="1948">
        <v>5504</v>
      </c>
      <c r="Q621" s="3746"/>
      <c r="R621" s="1948" t="s">
        <v>54</v>
      </c>
      <c r="S621" s="2804">
        <f>+ROUND('Compra -HOJA1'!I313,0)</f>
        <v>0</v>
      </c>
      <c r="T621" s="2804">
        <f>+ROUND('Compra -HOJA1'!K313,0)</f>
        <v>0</v>
      </c>
      <c r="U621" s="2804">
        <f>+ROUND('Compra -HOJA1'!J313,0)</f>
        <v>0</v>
      </c>
      <c r="V621" s="2804">
        <f ca="1">+ROUND('Compra -HOJA1'!L313,0)</f>
        <v>0</v>
      </c>
      <c r="W621" s="2804">
        <f ca="1">+ROUND('Compra -HOJA1'!N313,0)</f>
        <v>0</v>
      </c>
      <c r="X621" s="2804">
        <f ca="1">+ROUND('Compra -HOJA1'!M313,0)</f>
        <v>0</v>
      </c>
      <c r="Y621" s="2805">
        <f ca="1">+'Compra -HOJA1'!O313</f>
        <v>0</v>
      </c>
      <c r="Z621" s="2805">
        <f ca="1">+'Compra -HOJA1'!Q313</f>
        <v>0</v>
      </c>
      <c r="AA621" s="2805">
        <f ca="1">+'Compra -HOJA1'!P313</f>
        <v>0</v>
      </c>
      <c r="AC621" s="2835">
        <f t="shared" si="711"/>
        <v>0</v>
      </c>
      <c r="AD621" s="2776">
        <f t="shared" si="712"/>
        <v>0</v>
      </c>
      <c r="AE621" s="2776">
        <f t="shared" si="713"/>
        <v>0</v>
      </c>
      <c r="AF621" s="1490">
        <f t="shared" si="714"/>
        <v>0</v>
      </c>
      <c r="AG621" s="1490">
        <f>+'Compra -HOJA1'!F313</f>
        <v>0</v>
      </c>
      <c r="AH621" s="2776">
        <f t="shared" ca="1" si="715"/>
        <v>0</v>
      </c>
      <c r="AI621" s="2776">
        <f t="shared" ca="1" si="716"/>
        <v>0</v>
      </c>
      <c r="AJ621" s="2776">
        <f t="shared" ca="1" si="717"/>
        <v>0</v>
      </c>
      <c r="AK621" s="1490">
        <f t="shared" ca="1" si="718"/>
        <v>0</v>
      </c>
      <c r="AL621" s="2825">
        <f t="shared" ca="1" si="719"/>
        <v>0</v>
      </c>
      <c r="AM621" s="1490">
        <f t="shared" ca="1" si="720"/>
        <v>0</v>
      </c>
      <c r="AO621" s="1573">
        <f t="shared" si="721"/>
        <v>0</v>
      </c>
      <c r="AP621" s="1490">
        <f t="shared" si="722"/>
        <v>0</v>
      </c>
      <c r="AS621" s="1490">
        <f t="shared" si="723"/>
        <v>0</v>
      </c>
      <c r="AT621" s="1490">
        <f t="shared" si="724"/>
        <v>0</v>
      </c>
      <c r="AU621" s="1490">
        <f t="shared" si="725"/>
        <v>0</v>
      </c>
    </row>
    <row r="622" spans="1:47" ht="62.1" hidden="1" customHeight="1" x14ac:dyDescent="0.6">
      <c r="A622" s="4063"/>
      <c r="B622" s="1948"/>
      <c r="C622" s="3746"/>
      <c r="D622" s="1948" t="s">
        <v>622</v>
      </c>
      <c r="E622" s="2539">
        <f>+'Compra -HOJA1'!G314</f>
        <v>0</v>
      </c>
      <c r="F622" s="1680">
        <f t="shared" si="687"/>
        <v>0</v>
      </c>
      <c r="G622" s="1680">
        <f t="shared" si="688"/>
        <v>0</v>
      </c>
      <c r="H622" s="1680">
        <f t="shared" si="689"/>
        <v>0</v>
      </c>
      <c r="I622" s="1680">
        <f t="shared" ca="1" si="690"/>
        <v>0</v>
      </c>
      <c r="J622" s="1680">
        <f t="shared" ca="1" si="691"/>
        <v>0</v>
      </c>
      <c r="K622" s="1680">
        <f t="shared" ca="1" si="692"/>
        <v>0</v>
      </c>
      <c r="L622" s="2021">
        <f t="shared" ca="1" si="693"/>
        <v>0</v>
      </c>
      <c r="M622" s="2021">
        <f t="shared" ca="1" si="694"/>
        <v>0</v>
      </c>
      <c r="N622" s="2851">
        <f t="shared" ca="1" si="695"/>
        <v>0</v>
      </c>
      <c r="O622" s="4063"/>
      <c r="P622" s="1948"/>
      <c r="Q622" s="3746"/>
      <c r="R622" s="1948" t="s">
        <v>622</v>
      </c>
      <c r="S622" s="2804">
        <f>+ROUND('Compra -HOJA1'!I314,0)</f>
        <v>0</v>
      </c>
      <c r="T622" s="2804">
        <f>+ROUND('Compra -HOJA1'!K314,0)</f>
        <v>0</v>
      </c>
      <c r="U622" s="2804">
        <f>+ROUND('Compra -HOJA1'!J314,0)</f>
        <v>0</v>
      </c>
      <c r="V622" s="2804">
        <f ca="1">+ROUND('Compra -HOJA1'!L314,0)</f>
        <v>0</v>
      </c>
      <c r="W622" s="2804">
        <f ca="1">+ROUND('Compra -HOJA1'!N314,0)</f>
        <v>0</v>
      </c>
      <c r="X622" s="2804">
        <f ca="1">+ROUND('Compra -HOJA1'!M314,0)</f>
        <v>0</v>
      </c>
      <c r="Y622" s="2805">
        <f ca="1">+'Compra -HOJA1'!O314</f>
        <v>0</v>
      </c>
      <c r="Z622" s="2805">
        <f ca="1">+'Compra -HOJA1'!Q314</f>
        <v>0</v>
      </c>
      <c r="AA622" s="2805">
        <f ca="1">+'Compra -HOJA1'!P314</f>
        <v>0</v>
      </c>
      <c r="AC622" s="2835">
        <f t="shared" si="711"/>
        <v>0</v>
      </c>
      <c r="AD622" s="2776">
        <f t="shared" si="712"/>
        <v>0</v>
      </c>
      <c r="AE622" s="2776">
        <f t="shared" si="713"/>
        <v>0</v>
      </c>
      <c r="AF622" s="1490">
        <f t="shared" si="714"/>
        <v>0</v>
      </c>
      <c r="AG622" s="1490">
        <f>+'Compra -HOJA1'!F314</f>
        <v>0</v>
      </c>
      <c r="AH622" s="2776">
        <f t="shared" ca="1" si="715"/>
        <v>0</v>
      </c>
      <c r="AI622" s="2776">
        <f t="shared" ca="1" si="716"/>
        <v>0</v>
      </c>
      <c r="AJ622" s="2776">
        <f t="shared" ca="1" si="717"/>
        <v>0</v>
      </c>
      <c r="AK622" s="1490">
        <f t="shared" ca="1" si="718"/>
        <v>0</v>
      </c>
      <c r="AL622" s="2825">
        <f t="shared" ca="1" si="719"/>
        <v>0</v>
      </c>
      <c r="AM622" s="1490">
        <f t="shared" ca="1" si="720"/>
        <v>0</v>
      </c>
      <c r="AO622" s="1573">
        <f t="shared" si="721"/>
        <v>0</v>
      </c>
      <c r="AP622" s="1490">
        <f t="shared" si="722"/>
        <v>0</v>
      </c>
      <c r="AS622" s="1490">
        <f t="shared" si="723"/>
        <v>0</v>
      </c>
      <c r="AT622" s="1490">
        <f t="shared" si="724"/>
        <v>0</v>
      </c>
      <c r="AU622" s="1490">
        <f t="shared" si="725"/>
        <v>0</v>
      </c>
    </row>
    <row r="623" spans="1:47" ht="62.1" hidden="1" customHeight="1" x14ac:dyDescent="0.6">
      <c r="A623" s="4063"/>
      <c r="B623" s="1949">
        <v>5553</v>
      </c>
      <c r="C623" s="3746"/>
      <c r="D623" s="1949" t="s">
        <v>55</v>
      </c>
      <c r="E623" s="2539">
        <f>+'Compra -HOJA1'!G315</f>
        <v>0</v>
      </c>
      <c r="F623" s="1680">
        <f t="shared" si="687"/>
        <v>0</v>
      </c>
      <c r="G623" s="1680">
        <f t="shared" si="688"/>
        <v>0</v>
      </c>
      <c r="H623" s="1680">
        <f t="shared" si="689"/>
        <v>0</v>
      </c>
      <c r="I623" s="1680">
        <f t="shared" ca="1" si="690"/>
        <v>0</v>
      </c>
      <c r="J623" s="1680">
        <f t="shared" ca="1" si="691"/>
        <v>0</v>
      </c>
      <c r="K623" s="1680">
        <f t="shared" ca="1" si="692"/>
        <v>0</v>
      </c>
      <c r="L623" s="2021">
        <f t="shared" ca="1" si="693"/>
        <v>0</v>
      </c>
      <c r="M623" s="2021">
        <f t="shared" ca="1" si="694"/>
        <v>0</v>
      </c>
      <c r="N623" s="2851">
        <f t="shared" ca="1" si="695"/>
        <v>0</v>
      </c>
      <c r="O623" s="4063"/>
      <c r="P623" s="1949">
        <v>5553</v>
      </c>
      <c r="Q623" s="3746"/>
      <c r="R623" s="1949" t="s">
        <v>55</v>
      </c>
      <c r="S623" s="2804">
        <f>+ROUND('Compra -HOJA1'!I315,0)</f>
        <v>0</v>
      </c>
      <c r="T623" s="2804">
        <f>+ROUND('Compra -HOJA1'!K315,0)</f>
        <v>0</v>
      </c>
      <c r="U623" s="2804">
        <f>+ROUND('Compra -HOJA1'!J315,0)</f>
        <v>0</v>
      </c>
      <c r="V623" s="2804">
        <f ca="1">+ROUND('Compra -HOJA1'!L315,0)</f>
        <v>0</v>
      </c>
      <c r="W623" s="2804">
        <f ca="1">+ROUND('Compra -HOJA1'!N315,0)</f>
        <v>0</v>
      </c>
      <c r="X623" s="2804">
        <f ca="1">+ROUND('Compra -HOJA1'!M315,0)</f>
        <v>0</v>
      </c>
      <c r="Y623" s="2805">
        <f ca="1">+'Compra -HOJA1'!O315</f>
        <v>0</v>
      </c>
      <c r="Z623" s="2805">
        <f ca="1">+'Compra -HOJA1'!Q315</f>
        <v>0</v>
      </c>
      <c r="AA623" s="2805">
        <f ca="1">+'Compra -HOJA1'!P315</f>
        <v>0</v>
      </c>
      <c r="AC623" s="2835">
        <f t="shared" si="711"/>
        <v>0</v>
      </c>
      <c r="AD623" s="2776">
        <f t="shared" si="712"/>
        <v>0</v>
      </c>
      <c r="AE623" s="2776">
        <f t="shared" si="713"/>
        <v>0</v>
      </c>
      <c r="AF623" s="1490">
        <f t="shared" si="714"/>
        <v>0</v>
      </c>
      <c r="AG623" s="1490">
        <f>+'Compra -HOJA1'!F315</f>
        <v>0</v>
      </c>
      <c r="AH623" s="2776">
        <f t="shared" ca="1" si="715"/>
        <v>0</v>
      </c>
      <c r="AI623" s="2776">
        <f t="shared" ca="1" si="716"/>
        <v>0</v>
      </c>
      <c r="AJ623" s="2776">
        <f t="shared" ca="1" si="717"/>
        <v>0</v>
      </c>
      <c r="AK623" s="1490">
        <f t="shared" ca="1" si="718"/>
        <v>0</v>
      </c>
      <c r="AL623" s="2825">
        <f t="shared" ca="1" si="719"/>
        <v>0</v>
      </c>
      <c r="AM623" s="1490">
        <f t="shared" ca="1" si="720"/>
        <v>0</v>
      </c>
      <c r="AO623" s="1573">
        <f t="shared" si="721"/>
        <v>0</v>
      </c>
      <c r="AP623" s="1490">
        <f t="shared" si="722"/>
        <v>0</v>
      </c>
      <c r="AS623" s="1490">
        <f t="shared" si="723"/>
        <v>0</v>
      </c>
      <c r="AT623" s="1490">
        <f t="shared" si="724"/>
        <v>0</v>
      </c>
      <c r="AU623" s="1490">
        <f t="shared" si="725"/>
        <v>0</v>
      </c>
    </row>
    <row r="624" spans="1:47" ht="62.1" hidden="1" customHeight="1" thickBot="1" x14ac:dyDescent="0.65">
      <c r="A624" s="4063"/>
      <c r="B624" s="3173">
        <v>5554</v>
      </c>
      <c r="C624" s="3746"/>
      <c r="D624" s="3173" t="s">
        <v>56</v>
      </c>
      <c r="E624" s="2539">
        <f>+'Compra -HOJA1'!G316</f>
        <v>0</v>
      </c>
      <c r="F624" s="1680">
        <f t="shared" si="687"/>
        <v>0</v>
      </c>
      <c r="G624" s="1680">
        <f t="shared" si="688"/>
        <v>0</v>
      </c>
      <c r="H624" s="1680">
        <f t="shared" si="689"/>
        <v>0</v>
      </c>
      <c r="I624" s="1680">
        <f t="shared" ca="1" si="690"/>
        <v>0</v>
      </c>
      <c r="J624" s="1680">
        <f t="shared" ca="1" si="691"/>
        <v>0</v>
      </c>
      <c r="K624" s="1680">
        <f t="shared" ca="1" si="692"/>
        <v>0</v>
      </c>
      <c r="L624" s="2021">
        <f t="shared" ca="1" si="693"/>
        <v>0</v>
      </c>
      <c r="M624" s="2021">
        <f t="shared" ca="1" si="694"/>
        <v>0</v>
      </c>
      <c r="N624" s="2851">
        <f t="shared" ca="1" si="695"/>
        <v>0</v>
      </c>
      <c r="O624" s="4063"/>
      <c r="P624" s="3173">
        <v>5554</v>
      </c>
      <c r="Q624" s="3746"/>
      <c r="R624" s="3173" t="s">
        <v>56</v>
      </c>
      <c r="S624" s="2804">
        <f>+ROUND('Compra -HOJA1'!I316,0)</f>
        <v>0</v>
      </c>
      <c r="T624" s="2804">
        <f>+ROUND('Compra -HOJA1'!K316,0)</f>
        <v>0</v>
      </c>
      <c r="U624" s="2804">
        <f>+ROUND('Compra -HOJA1'!J316,0)</f>
        <v>0</v>
      </c>
      <c r="V624" s="2804">
        <f ca="1">+ROUND('Compra -HOJA1'!L316,0)</f>
        <v>0</v>
      </c>
      <c r="W624" s="2804">
        <f ca="1">+ROUND('Compra -HOJA1'!N316,0)</f>
        <v>0</v>
      </c>
      <c r="X624" s="2804">
        <f ca="1">+ROUND('Compra -HOJA1'!M316,0)</f>
        <v>0</v>
      </c>
      <c r="Y624" s="2805">
        <f ca="1">+'Compra -HOJA1'!O316</f>
        <v>0</v>
      </c>
      <c r="Z624" s="2805">
        <f ca="1">+'Compra -HOJA1'!Q316</f>
        <v>0</v>
      </c>
      <c r="AA624" s="2805">
        <f ca="1">+'Compra -HOJA1'!P316</f>
        <v>0</v>
      </c>
      <c r="AC624" s="2835">
        <f t="shared" si="711"/>
        <v>0</v>
      </c>
      <c r="AD624" s="2776">
        <f t="shared" si="712"/>
        <v>0</v>
      </c>
      <c r="AE624" s="2776">
        <f t="shared" si="713"/>
        <v>0</v>
      </c>
      <c r="AF624" s="1490">
        <f t="shared" si="714"/>
        <v>0</v>
      </c>
      <c r="AG624" s="1490">
        <f>+'Compra -HOJA1'!F316</f>
        <v>0</v>
      </c>
      <c r="AH624" s="2776">
        <f t="shared" ca="1" si="715"/>
        <v>0</v>
      </c>
      <c r="AI624" s="2776">
        <f t="shared" ca="1" si="716"/>
        <v>0</v>
      </c>
      <c r="AJ624" s="2776">
        <f t="shared" ca="1" si="717"/>
        <v>0</v>
      </c>
      <c r="AK624" s="1490">
        <f t="shared" ca="1" si="718"/>
        <v>0</v>
      </c>
      <c r="AL624" s="2825">
        <f t="shared" ca="1" si="719"/>
        <v>0</v>
      </c>
      <c r="AM624" s="1490">
        <f t="shared" ca="1" si="720"/>
        <v>0</v>
      </c>
      <c r="AO624" s="1573">
        <f t="shared" si="721"/>
        <v>0</v>
      </c>
      <c r="AP624" s="1490">
        <f t="shared" si="722"/>
        <v>0</v>
      </c>
      <c r="AS624" s="1490">
        <f t="shared" si="723"/>
        <v>0</v>
      </c>
      <c r="AT624" s="1490">
        <f t="shared" si="724"/>
        <v>0</v>
      </c>
      <c r="AU624" s="1490">
        <f t="shared" si="725"/>
        <v>0</v>
      </c>
    </row>
    <row r="625" spans="1:47" ht="62.1" hidden="1" customHeight="1" x14ac:dyDescent="0.6">
      <c r="A625" s="4063"/>
      <c r="B625" s="3419"/>
      <c r="C625" s="3752"/>
      <c r="D625" s="1949" t="s">
        <v>623</v>
      </c>
      <c r="E625" s="2539">
        <f>+'Compra -HOJA1'!G317</f>
        <v>0</v>
      </c>
      <c r="F625" s="1680">
        <f t="shared" si="687"/>
        <v>0</v>
      </c>
      <c r="G625" s="1680">
        <f t="shared" si="688"/>
        <v>0</v>
      </c>
      <c r="H625" s="1680">
        <f t="shared" si="689"/>
        <v>0</v>
      </c>
      <c r="I625" s="1680">
        <f t="shared" ca="1" si="690"/>
        <v>0</v>
      </c>
      <c r="J625" s="1680">
        <f t="shared" ca="1" si="691"/>
        <v>0</v>
      </c>
      <c r="K625" s="1680">
        <f t="shared" ca="1" si="692"/>
        <v>0</v>
      </c>
      <c r="L625" s="2021">
        <f t="shared" ca="1" si="693"/>
        <v>0</v>
      </c>
      <c r="M625" s="2021">
        <f t="shared" ca="1" si="694"/>
        <v>0</v>
      </c>
      <c r="N625" s="2851">
        <f t="shared" ca="1" si="695"/>
        <v>0</v>
      </c>
      <c r="O625" s="4063"/>
      <c r="P625" s="3419"/>
      <c r="Q625" s="3752"/>
      <c r="R625" s="1949" t="s">
        <v>623</v>
      </c>
      <c r="S625" s="2804">
        <f>+ROUND('Compra -HOJA1'!I317,0)</f>
        <v>0</v>
      </c>
      <c r="T625" s="2804">
        <f>+ROUND('Compra -HOJA1'!K317,0)</f>
        <v>0</v>
      </c>
      <c r="U625" s="2804">
        <f>+ROUND('Compra -HOJA1'!J317,0)</f>
        <v>0</v>
      </c>
      <c r="V625" s="2804">
        <f ca="1">+ROUND('Compra -HOJA1'!L317,0)</f>
        <v>0</v>
      </c>
      <c r="W625" s="2804">
        <f ca="1">+ROUND('Compra -HOJA1'!N317,0)</f>
        <v>0</v>
      </c>
      <c r="X625" s="2804">
        <f ca="1">+ROUND('Compra -HOJA1'!M317,0)</f>
        <v>0</v>
      </c>
      <c r="Y625" s="2805">
        <f ca="1">+'Compra -HOJA1'!O317</f>
        <v>0</v>
      </c>
      <c r="Z625" s="2805">
        <f ca="1">+'Compra -HOJA1'!Q317</f>
        <v>0</v>
      </c>
      <c r="AA625" s="2805">
        <f ca="1">+'Compra -HOJA1'!P317</f>
        <v>0</v>
      </c>
      <c r="AC625" s="2835">
        <f t="shared" si="711"/>
        <v>0</v>
      </c>
      <c r="AD625" s="2776">
        <f t="shared" si="712"/>
        <v>0</v>
      </c>
      <c r="AE625" s="2776">
        <f t="shared" si="713"/>
        <v>0</v>
      </c>
      <c r="AF625" s="1490">
        <f t="shared" si="714"/>
        <v>0</v>
      </c>
      <c r="AG625" s="1490">
        <f>+'Compra -HOJA1'!F317</f>
        <v>0</v>
      </c>
      <c r="AH625" s="2776">
        <f t="shared" ca="1" si="715"/>
        <v>0</v>
      </c>
      <c r="AI625" s="2776">
        <f t="shared" ca="1" si="716"/>
        <v>0</v>
      </c>
      <c r="AJ625" s="2776">
        <f t="shared" ca="1" si="717"/>
        <v>0</v>
      </c>
      <c r="AK625" s="1490">
        <f t="shared" ca="1" si="718"/>
        <v>0</v>
      </c>
      <c r="AL625" s="2825">
        <f t="shared" ca="1" si="719"/>
        <v>0</v>
      </c>
      <c r="AM625" s="1490">
        <f t="shared" ca="1" si="720"/>
        <v>0</v>
      </c>
      <c r="AO625" s="1573">
        <f t="shared" si="721"/>
        <v>0</v>
      </c>
      <c r="AP625" s="1490">
        <f t="shared" si="722"/>
        <v>0</v>
      </c>
      <c r="AS625" s="1490">
        <f t="shared" si="723"/>
        <v>0</v>
      </c>
      <c r="AT625" s="1490">
        <f t="shared" si="724"/>
        <v>0</v>
      </c>
      <c r="AU625" s="1490">
        <f t="shared" si="725"/>
        <v>0</v>
      </c>
    </row>
    <row r="626" spans="1:47" ht="62.1" hidden="1" customHeight="1" x14ac:dyDescent="0.6">
      <c r="A626" s="4063"/>
      <c r="B626" s="1948">
        <v>5572</v>
      </c>
      <c r="C626" s="4074" t="s">
        <v>1235</v>
      </c>
      <c r="D626" s="1948" t="s">
        <v>53</v>
      </c>
      <c r="E626" s="2539">
        <f>+'Compra -HOJA1'!G318</f>
        <v>0</v>
      </c>
      <c r="F626" s="1680">
        <f t="shared" si="687"/>
        <v>0</v>
      </c>
      <c r="G626" s="1680">
        <f t="shared" si="688"/>
        <v>0</v>
      </c>
      <c r="H626" s="1680">
        <f t="shared" si="689"/>
        <v>0</v>
      </c>
      <c r="I626" s="1680">
        <f t="shared" ca="1" si="690"/>
        <v>0</v>
      </c>
      <c r="J626" s="1680">
        <f t="shared" ca="1" si="691"/>
        <v>0</v>
      </c>
      <c r="K626" s="1680">
        <f t="shared" ca="1" si="692"/>
        <v>0</v>
      </c>
      <c r="L626" s="2021">
        <f t="shared" ca="1" si="693"/>
        <v>0</v>
      </c>
      <c r="M626" s="2021">
        <f t="shared" ca="1" si="694"/>
        <v>0</v>
      </c>
      <c r="N626" s="2851">
        <f t="shared" ca="1" si="695"/>
        <v>0</v>
      </c>
      <c r="O626" s="4063"/>
      <c r="P626" s="1948">
        <v>5572</v>
      </c>
      <c r="Q626" s="4074" t="s">
        <v>1235</v>
      </c>
      <c r="R626" s="1948" t="s">
        <v>53</v>
      </c>
      <c r="S626" s="2804">
        <f>+ROUND('Compra -HOJA1'!I318,0)</f>
        <v>0</v>
      </c>
      <c r="T626" s="2804">
        <f>+ROUND('Compra -HOJA1'!K318,0)</f>
        <v>0</v>
      </c>
      <c r="U626" s="2804">
        <f>+ROUND('Compra -HOJA1'!J318,0)</f>
        <v>0</v>
      </c>
      <c r="V626" s="2804">
        <f ca="1">+ROUND('Compra -HOJA1'!L318,0)</f>
        <v>0</v>
      </c>
      <c r="W626" s="2804">
        <f ca="1">+ROUND('Compra -HOJA1'!N318,0)</f>
        <v>0</v>
      </c>
      <c r="X626" s="2804">
        <f ca="1">+ROUND('Compra -HOJA1'!M318,0)</f>
        <v>0</v>
      </c>
      <c r="Y626" s="2805">
        <f ca="1">+'Compra -HOJA1'!O318</f>
        <v>0</v>
      </c>
      <c r="Z626" s="2805">
        <f ca="1">+'Compra -HOJA1'!Q318</f>
        <v>0</v>
      </c>
      <c r="AA626" s="2805">
        <f ca="1">+'Compra -HOJA1'!P318</f>
        <v>0</v>
      </c>
      <c r="AC626" s="2835">
        <f t="shared" si="711"/>
        <v>0</v>
      </c>
      <c r="AD626" s="2776">
        <f t="shared" si="712"/>
        <v>0</v>
      </c>
      <c r="AE626" s="2776">
        <f t="shared" si="713"/>
        <v>0</v>
      </c>
      <c r="AF626" s="1490">
        <f t="shared" si="714"/>
        <v>0</v>
      </c>
      <c r="AG626" s="1490">
        <f>+'Compra -HOJA1'!F318</f>
        <v>0</v>
      </c>
      <c r="AH626" s="2776">
        <f t="shared" ca="1" si="715"/>
        <v>0</v>
      </c>
      <c r="AI626" s="2776">
        <f t="shared" ca="1" si="716"/>
        <v>0</v>
      </c>
      <c r="AJ626" s="2776">
        <f t="shared" ca="1" si="717"/>
        <v>0</v>
      </c>
      <c r="AK626" s="1490">
        <f t="shared" ca="1" si="718"/>
        <v>0</v>
      </c>
      <c r="AL626" s="2825">
        <f t="shared" ca="1" si="719"/>
        <v>0</v>
      </c>
      <c r="AM626" s="1490">
        <f t="shared" ca="1" si="720"/>
        <v>0</v>
      </c>
      <c r="AO626" s="1573">
        <f t="shared" si="721"/>
        <v>0</v>
      </c>
      <c r="AP626" s="1490">
        <f t="shared" si="722"/>
        <v>0</v>
      </c>
      <c r="AS626" s="1490">
        <f t="shared" si="723"/>
        <v>0</v>
      </c>
      <c r="AT626" s="1490">
        <f t="shared" si="724"/>
        <v>0</v>
      </c>
      <c r="AU626" s="1490">
        <f t="shared" si="725"/>
        <v>0</v>
      </c>
    </row>
    <row r="627" spans="1:47" ht="62.1" hidden="1" customHeight="1" x14ac:dyDescent="0.6">
      <c r="A627" s="4063"/>
      <c r="B627" s="1948">
        <v>5573</v>
      </c>
      <c r="C627" s="4074"/>
      <c r="D627" s="1948" t="s">
        <v>54</v>
      </c>
      <c r="E627" s="2539">
        <f>+'Compra -HOJA1'!G319</f>
        <v>0</v>
      </c>
      <c r="F627" s="1680">
        <f t="shared" si="687"/>
        <v>0</v>
      </c>
      <c r="G627" s="1680">
        <f t="shared" si="688"/>
        <v>0</v>
      </c>
      <c r="H627" s="1680">
        <f t="shared" si="689"/>
        <v>0</v>
      </c>
      <c r="I627" s="1680">
        <f t="shared" ca="1" si="690"/>
        <v>0</v>
      </c>
      <c r="J627" s="1680">
        <f t="shared" ca="1" si="691"/>
        <v>0</v>
      </c>
      <c r="K627" s="1680">
        <f t="shared" ca="1" si="692"/>
        <v>0</v>
      </c>
      <c r="L627" s="2021">
        <f t="shared" ca="1" si="693"/>
        <v>0</v>
      </c>
      <c r="M627" s="2021">
        <f t="shared" ca="1" si="694"/>
        <v>0</v>
      </c>
      <c r="N627" s="2851">
        <f t="shared" ca="1" si="695"/>
        <v>0</v>
      </c>
      <c r="O627" s="4063"/>
      <c r="P627" s="1948">
        <v>5573</v>
      </c>
      <c r="Q627" s="4074"/>
      <c r="R627" s="1948" t="s">
        <v>54</v>
      </c>
      <c r="S627" s="2804">
        <f>+ROUND('Compra -HOJA1'!I319,0)</f>
        <v>0</v>
      </c>
      <c r="T627" s="2804">
        <f>+ROUND('Compra -HOJA1'!K319,0)</f>
        <v>0</v>
      </c>
      <c r="U627" s="2804">
        <f>+ROUND('Compra -HOJA1'!J319,0)</f>
        <v>0</v>
      </c>
      <c r="V627" s="2804">
        <f ca="1">+ROUND('Compra -HOJA1'!L319,0)</f>
        <v>0</v>
      </c>
      <c r="W627" s="2804">
        <f ca="1">+ROUND('Compra -HOJA1'!N319,0)</f>
        <v>0</v>
      </c>
      <c r="X627" s="2804">
        <f ca="1">+ROUND('Compra -HOJA1'!M319,0)</f>
        <v>0</v>
      </c>
      <c r="Y627" s="2805">
        <f ca="1">+'Compra -HOJA1'!O319</f>
        <v>0</v>
      </c>
      <c r="Z627" s="2805">
        <f ca="1">+'Compra -HOJA1'!Q319</f>
        <v>0</v>
      </c>
      <c r="AA627" s="2805">
        <f ca="1">+'Compra -HOJA1'!P319</f>
        <v>0</v>
      </c>
      <c r="AC627" s="2835">
        <f t="shared" si="711"/>
        <v>0</v>
      </c>
      <c r="AD627" s="2776">
        <f t="shared" si="712"/>
        <v>0</v>
      </c>
      <c r="AE627" s="2776">
        <f t="shared" si="713"/>
        <v>0</v>
      </c>
      <c r="AF627" s="1490">
        <f t="shared" si="714"/>
        <v>0</v>
      </c>
      <c r="AG627" s="1490">
        <f>+'Compra -HOJA1'!F319</f>
        <v>0</v>
      </c>
      <c r="AH627" s="2776">
        <f t="shared" ca="1" si="715"/>
        <v>0</v>
      </c>
      <c r="AI627" s="2776">
        <f t="shared" ca="1" si="716"/>
        <v>0</v>
      </c>
      <c r="AJ627" s="2776">
        <f t="shared" ca="1" si="717"/>
        <v>0</v>
      </c>
      <c r="AK627" s="1490">
        <f t="shared" ca="1" si="718"/>
        <v>0</v>
      </c>
      <c r="AL627" s="2825">
        <f t="shared" ca="1" si="719"/>
        <v>0</v>
      </c>
      <c r="AM627" s="1490">
        <f t="shared" ca="1" si="720"/>
        <v>0</v>
      </c>
      <c r="AO627" s="1573">
        <f t="shared" si="721"/>
        <v>0</v>
      </c>
      <c r="AP627" s="1490">
        <f t="shared" si="722"/>
        <v>0</v>
      </c>
      <c r="AS627" s="1490">
        <f t="shared" si="723"/>
        <v>0</v>
      </c>
      <c r="AT627" s="1490">
        <f t="shared" si="724"/>
        <v>0</v>
      </c>
      <c r="AU627" s="1490">
        <f t="shared" si="725"/>
        <v>0</v>
      </c>
    </row>
    <row r="628" spans="1:47" ht="62.1" hidden="1" customHeight="1" x14ac:dyDescent="0.6">
      <c r="A628" s="4063"/>
      <c r="B628" s="1949">
        <v>5582</v>
      </c>
      <c r="C628" s="4074"/>
      <c r="D628" s="1949" t="s">
        <v>55</v>
      </c>
      <c r="E628" s="2539">
        <f>+'Compra -HOJA1'!G320</f>
        <v>0</v>
      </c>
      <c r="F628" s="1680">
        <f t="shared" si="687"/>
        <v>0</v>
      </c>
      <c r="G628" s="1680">
        <f t="shared" si="688"/>
        <v>0</v>
      </c>
      <c r="H628" s="1680">
        <f t="shared" si="689"/>
        <v>0</v>
      </c>
      <c r="I628" s="1680">
        <f t="shared" ca="1" si="690"/>
        <v>0</v>
      </c>
      <c r="J628" s="1680">
        <f t="shared" ca="1" si="691"/>
        <v>0</v>
      </c>
      <c r="K628" s="1680">
        <f t="shared" ca="1" si="692"/>
        <v>0</v>
      </c>
      <c r="L628" s="2021">
        <f t="shared" ca="1" si="693"/>
        <v>0</v>
      </c>
      <c r="M628" s="2021">
        <f t="shared" ca="1" si="694"/>
        <v>0</v>
      </c>
      <c r="N628" s="2851">
        <f t="shared" ca="1" si="695"/>
        <v>0</v>
      </c>
      <c r="O628" s="4063"/>
      <c r="P628" s="1949">
        <v>5582</v>
      </c>
      <c r="Q628" s="4074"/>
      <c r="R628" s="1949" t="s">
        <v>55</v>
      </c>
      <c r="S628" s="2804">
        <f>+ROUND('Compra -HOJA1'!I320,0)</f>
        <v>0</v>
      </c>
      <c r="T628" s="2804">
        <f>+ROUND('Compra -HOJA1'!K320,0)</f>
        <v>0</v>
      </c>
      <c r="U628" s="2804">
        <f>+ROUND('Compra -HOJA1'!J320,0)</f>
        <v>0</v>
      </c>
      <c r="V628" s="2804">
        <f ca="1">+ROUND('Compra -HOJA1'!L320,0)</f>
        <v>0</v>
      </c>
      <c r="W628" s="2804">
        <f ca="1">+ROUND('Compra -HOJA1'!N320,0)</f>
        <v>0</v>
      </c>
      <c r="X628" s="2804">
        <f ca="1">+ROUND('Compra -HOJA1'!M320,0)</f>
        <v>0</v>
      </c>
      <c r="Y628" s="2805">
        <f ca="1">+'Compra -HOJA1'!O320</f>
        <v>0</v>
      </c>
      <c r="Z628" s="2805">
        <f ca="1">+'Compra -HOJA1'!Q320</f>
        <v>0</v>
      </c>
      <c r="AA628" s="2805">
        <f ca="1">+'Compra -HOJA1'!P320</f>
        <v>0</v>
      </c>
      <c r="AC628" s="2835">
        <f t="shared" si="711"/>
        <v>0</v>
      </c>
      <c r="AD628" s="2776">
        <f t="shared" si="712"/>
        <v>0</v>
      </c>
      <c r="AE628" s="2776">
        <f t="shared" si="713"/>
        <v>0</v>
      </c>
      <c r="AF628" s="1490">
        <f t="shared" si="714"/>
        <v>0</v>
      </c>
      <c r="AG628" s="1490">
        <f>+'Compra -HOJA1'!F320</f>
        <v>0</v>
      </c>
      <c r="AH628" s="2776">
        <f t="shared" ca="1" si="715"/>
        <v>0</v>
      </c>
      <c r="AI628" s="2776">
        <f t="shared" ca="1" si="716"/>
        <v>0</v>
      </c>
      <c r="AJ628" s="2776">
        <f t="shared" ca="1" si="717"/>
        <v>0</v>
      </c>
      <c r="AK628" s="1490">
        <f t="shared" ca="1" si="718"/>
        <v>0</v>
      </c>
      <c r="AL628" s="2825">
        <f t="shared" ca="1" si="719"/>
        <v>0</v>
      </c>
      <c r="AM628" s="1490">
        <f t="shared" ca="1" si="720"/>
        <v>0</v>
      </c>
      <c r="AO628" s="1573">
        <f t="shared" si="721"/>
        <v>0</v>
      </c>
      <c r="AP628" s="1490">
        <f t="shared" si="722"/>
        <v>0</v>
      </c>
      <c r="AS628" s="1490">
        <f t="shared" si="723"/>
        <v>0</v>
      </c>
      <c r="AT628" s="1490">
        <f t="shared" si="724"/>
        <v>0</v>
      </c>
      <c r="AU628" s="1490">
        <f t="shared" si="725"/>
        <v>0</v>
      </c>
    </row>
    <row r="629" spans="1:47" ht="62.1" hidden="1" customHeight="1" thickBot="1" x14ac:dyDescent="0.65">
      <c r="A629" s="4063"/>
      <c r="B629" s="3173">
        <v>5583</v>
      </c>
      <c r="C629" s="4074"/>
      <c r="D629" s="3173" t="s">
        <v>56</v>
      </c>
      <c r="E629" s="2539">
        <f>+'Compra -HOJA1'!G321</f>
        <v>0</v>
      </c>
      <c r="F629" s="1680">
        <f t="shared" si="687"/>
        <v>0</v>
      </c>
      <c r="G629" s="1680">
        <f t="shared" si="688"/>
        <v>0</v>
      </c>
      <c r="H629" s="1680">
        <f t="shared" si="689"/>
        <v>0</v>
      </c>
      <c r="I629" s="1680">
        <f t="shared" ca="1" si="690"/>
        <v>0</v>
      </c>
      <c r="J629" s="1680">
        <f t="shared" ca="1" si="691"/>
        <v>0</v>
      </c>
      <c r="K629" s="1680">
        <f t="shared" ca="1" si="692"/>
        <v>0</v>
      </c>
      <c r="L629" s="2021">
        <f t="shared" ca="1" si="693"/>
        <v>0</v>
      </c>
      <c r="M629" s="2021">
        <f t="shared" ca="1" si="694"/>
        <v>0</v>
      </c>
      <c r="N629" s="2851">
        <f t="shared" ca="1" si="695"/>
        <v>0</v>
      </c>
      <c r="O629" s="4063"/>
      <c r="P629" s="3173">
        <v>5583</v>
      </c>
      <c r="Q629" s="4074"/>
      <c r="R629" s="3173" t="s">
        <v>56</v>
      </c>
      <c r="S629" s="2804">
        <f>+ROUND('Compra -HOJA1'!I321,0)</f>
        <v>0</v>
      </c>
      <c r="T629" s="2804">
        <f>+ROUND('Compra -HOJA1'!K321,0)</f>
        <v>0</v>
      </c>
      <c r="U629" s="2804">
        <f>+ROUND('Compra -HOJA1'!J321,0)</f>
        <v>0</v>
      </c>
      <c r="V629" s="2804">
        <f ca="1">+ROUND('Compra -HOJA1'!L321,0)</f>
        <v>0</v>
      </c>
      <c r="W629" s="2804">
        <f ca="1">+ROUND('Compra -HOJA1'!N321,0)</f>
        <v>0</v>
      </c>
      <c r="X629" s="2804">
        <f ca="1">+ROUND('Compra -HOJA1'!M321,0)</f>
        <v>0</v>
      </c>
      <c r="Y629" s="2805">
        <f ca="1">+'Compra -HOJA1'!O321</f>
        <v>0</v>
      </c>
      <c r="Z629" s="2805">
        <f ca="1">+'Compra -HOJA1'!Q321</f>
        <v>0</v>
      </c>
      <c r="AA629" s="2805">
        <f ca="1">+'Compra -HOJA1'!P321</f>
        <v>0</v>
      </c>
      <c r="AC629" s="2835">
        <f t="shared" si="711"/>
        <v>0</v>
      </c>
      <c r="AD629" s="2776">
        <f t="shared" si="712"/>
        <v>0</v>
      </c>
      <c r="AE629" s="2776">
        <f t="shared" si="713"/>
        <v>0</v>
      </c>
      <c r="AF629" s="1490">
        <f t="shared" si="714"/>
        <v>0</v>
      </c>
      <c r="AG629" s="1490">
        <f>+'Compra -HOJA1'!F321</f>
        <v>0</v>
      </c>
      <c r="AH629" s="2776">
        <f t="shared" ca="1" si="715"/>
        <v>0</v>
      </c>
      <c r="AI629" s="2776">
        <f t="shared" ca="1" si="716"/>
        <v>0</v>
      </c>
      <c r="AJ629" s="2776">
        <f t="shared" ca="1" si="717"/>
        <v>0</v>
      </c>
      <c r="AK629" s="1490">
        <f t="shared" ca="1" si="718"/>
        <v>0</v>
      </c>
      <c r="AL629" s="2825">
        <f t="shared" ca="1" si="719"/>
        <v>0</v>
      </c>
      <c r="AM629" s="1490">
        <f t="shared" ca="1" si="720"/>
        <v>0</v>
      </c>
      <c r="AO629" s="1573">
        <f t="shared" si="721"/>
        <v>0</v>
      </c>
      <c r="AP629" s="1490">
        <f t="shared" si="722"/>
        <v>0</v>
      </c>
      <c r="AS629" s="1490">
        <f t="shared" si="723"/>
        <v>0</v>
      </c>
      <c r="AT629" s="1490">
        <f t="shared" si="724"/>
        <v>0</v>
      </c>
      <c r="AU629" s="1490">
        <f t="shared" si="725"/>
        <v>0</v>
      </c>
    </row>
    <row r="630" spans="1:47" ht="62.1" hidden="1" customHeight="1" x14ac:dyDescent="0.6">
      <c r="A630" s="4063"/>
      <c r="B630" s="1948">
        <v>5592</v>
      </c>
      <c r="C630" s="3751" t="s">
        <v>1236</v>
      </c>
      <c r="D630" s="1948" t="s">
        <v>53</v>
      </c>
      <c r="E630" s="2539">
        <f>+'Compra -HOJA1'!G322</f>
        <v>0</v>
      </c>
      <c r="F630" s="1680">
        <f t="shared" si="687"/>
        <v>0</v>
      </c>
      <c r="G630" s="1680">
        <f t="shared" si="688"/>
        <v>0</v>
      </c>
      <c r="H630" s="1680">
        <f t="shared" si="689"/>
        <v>0</v>
      </c>
      <c r="I630" s="1680">
        <f t="shared" ca="1" si="690"/>
        <v>0</v>
      </c>
      <c r="J630" s="1680">
        <f t="shared" ca="1" si="691"/>
        <v>0</v>
      </c>
      <c r="K630" s="1680">
        <f t="shared" ca="1" si="692"/>
        <v>0</v>
      </c>
      <c r="L630" s="2021">
        <f t="shared" ca="1" si="693"/>
        <v>0</v>
      </c>
      <c r="M630" s="2021">
        <f t="shared" ca="1" si="694"/>
        <v>0</v>
      </c>
      <c r="N630" s="2851">
        <f t="shared" ca="1" si="695"/>
        <v>0</v>
      </c>
      <c r="O630" s="4063"/>
      <c r="P630" s="1948">
        <v>5592</v>
      </c>
      <c r="Q630" s="3746" t="s">
        <v>1236</v>
      </c>
      <c r="R630" s="1948" t="s">
        <v>53</v>
      </c>
      <c r="S630" s="2804">
        <f>+ROUND('Compra -HOJA1'!I322,0)</f>
        <v>0</v>
      </c>
      <c r="T630" s="2804">
        <f>+ROUND('Compra -HOJA1'!K322,0)</f>
        <v>0</v>
      </c>
      <c r="U630" s="2804">
        <f>+ROUND('Compra -HOJA1'!J322,0)</f>
        <v>0</v>
      </c>
      <c r="V630" s="2804">
        <f ca="1">+ROUND('Compra -HOJA1'!L322,0)</f>
        <v>0</v>
      </c>
      <c r="W630" s="2804">
        <f ca="1">+ROUND('Compra -HOJA1'!N322,0)</f>
        <v>0</v>
      </c>
      <c r="X630" s="2804">
        <f ca="1">+ROUND('Compra -HOJA1'!M322,0)</f>
        <v>0</v>
      </c>
      <c r="Y630" s="2805">
        <f ca="1">+'Compra -HOJA1'!O322</f>
        <v>0</v>
      </c>
      <c r="Z630" s="2805">
        <f ca="1">+'Compra -HOJA1'!Q322</f>
        <v>0</v>
      </c>
      <c r="AA630" s="2805">
        <f ca="1">+'Compra -HOJA1'!P322</f>
        <v>0</v>
      </c>
      <c r="AC630" s="2835">
        <f t="shared" si="711"/>
        <v>0</v>
      </c>
      <c r="AD630" s="2776">
        <f t="shared" si="712"/>
        <v>0</v>
      </c>
      <c r="AE630" s="2776">
        <f t="shared" si="713"/>
        <v>0</v>
      </c>
      <c r="AF630" s="1490">
        <f t="shared" si="714"/>
        <v>0</v>
      </c>
      <c r="AG630" s="1490">
        <f>+'Compra -HOJA1'!F322</f>
        <v>0</v>
      </c>
      <c r="AH630" s="2776">
        <f t="shared" ca="1" si="715"/>
        <v>0</v>
      </c>
      <c r="AI630" s="2776">
        <f t="shared" ca="1" si="716"/>
        <v>0</v>
      </c>
      <c r="AJ630" s="2776">
        <f t="shared" ca="1" si="717"/>
        <v>0</v>
      </c>
      <c r="AK630" s="1490">
        <f t="shared" ca="1" si="718"/>
        <v>0</v>
      </c>
      <c r="AL630" s="2825">
        <f t="shared" ca="1" si="719"/>
        <v>0</v>
      </c>
      <c r="AM630" s="1490">
        <f t="shared" ca="1" si="720"/>
        <v>0</v>
      </c>
      <c r="AO630" s="1573">
        <f t="shared" si="721"/>
        <v>0</v>
      </c>
      <c r="AP630" s="1490">
        <f t="shared" si="722"/>
        <v>0</v>
      </c>
      <c r="AS630" s="1490">
        <f t="shared" si="723"/>
        <v>0</v>
      </c>
      <c r="AT630" s="1490">
        <f t="shared" si="724"/>
        <v>0</v>
      </c>
      <c r="AU630" s="1490">
        <f t="shared" si="725"/>
        <v>0</v>
      </c>
    </row>
    <row r="631" spans="1:47" ht="62.1" hidden="1" customHeight="1" x14ac:dyDescent="0.6">
      <c r="A631" s="4063"/>
      <c r="B631" s="1948">
        <v>5593</v>
      </c>
      <c r="C631" s="3746"/>
      <c r="D631" s="1948" t="s">
        <v>54</v>
      </c>
      <c r="E631" s="2539">
        <f>+'Compra -HOJA1'!G323</f>
        <v>0</v>
      </c>
      <c r="F631" s="1680">
        <f t="shared" si="687"/>
        <v>0</v>
      </c>
      <c r="G631" s="1680">
        <f t="shared" si="688"/>
        <v>0</v>
      </c>
      <c r="H631" s="1680">
        <f t="shared" si="689"/>
        <v>0</v>
      </c>
      <c r="I631" s="1680">
        <f t="shared" ca="1" si="690"/>
        <v>0</v>
      </c>
      <c r="J631" s="1680">
        <f t="shared" ca="1" si="691"/>
        <v>0</v>
      </c>
      <c r="K631" s="1680">
        <f t="shared" ca="1" si="692"/>
        <v>0</v>
      </c>
      <c r="L631" s="2021">
        <f t="shared" ca="1" si="693"/>
        <v>0</v>
      </c>
      <c r="M631" s="2021">
        <f t="shared" ca="1" si="694"/>
        <v>0</v>
      </c>
      <c r="N631" s="2851">
        <f t="shared" ca="1" si="695"/>
        <v>0</v>
      </c>
      <c r="O631" s="4063"/>
      <c r="P631" s="1948">
        <v>5593</v>
      </c>
      <c r="Q631" s="3746"/>
      <c r="R631" s="1948" t="s">
        <v>54</v>
      </c>
      <c r="S631" s="2804">
        <f>+ROUND('Compra -HOJA1'!I323,0)</f>
        <v>0</v>
      </c>
      <c r="T631" s="2804">
        <f>+ROUND('Compra -HOJA1'!K323,0)</f>
        <v>0</v>
      </c>
      <c r="U631" s="2804">
        <f>+ROUND('Compra -HOJA1'!J323,0)</f>
        <v>0</v>
      </c>
      <c r="V631" s="2804">
        <f ca="1">+ROUND('Compra -HOJA1'!L323,0)</f>
        <v>0</v>
      </c>
      <c r="W631" s="2804">
        <f ca="1">+ROUND('Compra -HOJA1'!N323,0)</f>
        <v>0</v>
      </c>
      <c r="X631" s="2804">
        <f ca="1">+ROUND('Compra -HOJA1'!M323,0)</f>
        <v>0</v>
      </c>
      <c r="Y631" s="2805">
        <f ca="1">+'Compra -HOJA1'!O323</f>
        <v>0</v>
      </c>
      <c r="Z631" s="2805">
        <f ca="1">+'Compra -HOJA1'!Q323</f>
        <v>0</v>
      </c>
      <c r="AA631" s="2805">
        <f ca="1">+'Compra -HOJA1'!P323</f>
        <v>0</v>
      </c>
      <c r="AC631" s="2835">
        <f t="shared" si="711"/>
        <v>0</v>
      </c>
      <c r="AD631" s="2776">
        <f t="shared" si="712"/>
        <v>0</v>
      </c>
      <c r="AE631" s="2776">
        <f t="shared" si="713"/>
        <v>0</v>
      </c>
      <c r="AF631" s="1490">
        <f t="shared" si="714"/>
        <v>0</v>
      </c>
      <c r="AG631" s="1490">
        <f>+'Compra -HOJA1'!F323</f>
        <v>0</v>
      </c>
      <c r="AH631" s="2776">
        <f t="shared" ca="1" si="715"/>
        <v>0</v>
      </c>
      <c r="AI631" s="2776">
        <f t="shared" ca="1" si="716"/>
        <v>0</v>
      </c>
      <c r="AJ631" s="2776">
        <f t="shared" ca="1" si="717"/>
        <v>0</v>
      </c>
      <c r="AK631" s="1490">
        <f t="shared" ca="1" si="718"/>
        <v>0</v>
      </c>
      <c r="AL631" s="2825">
        <f t="shared" ca="1" si="719"/>
        <v>0</v>
      </c>
      <c r="AM631" s="1490">
        <f t="shared" ca="1" si="720"/>
        <v>0</v>
      </c>
      <c r="AO631" s="1573">
        <f t="shared" si="721"/>
        <v>0</v>
      </c>
      <c r="AP631" s="1490">
        <f t="shared" si="722"/>
        <v>0</v>
      </c>
      <c r="AS631" s="1490">
        <f t="shared" si="723"/>
        <v>0</v>
      </c>
      <c r="AT631" s="1490">
        <f t="shared" si="724"/>
        <v>0</v>
      </c>
      <c r="AU631" s="1490">
        <f t="shared" si="725"/>
        <v>0</v>
      </c>
    </row>
    <row r="632" spans="1:47" ht="62.1" hidden="1" customHeight="1" x14ac:dyDescent="0.6">
      <c r="A632" s="4063"/>
      <c r="B632" s="1948"/>
      <c r="C632" s="3746"/>
      <c r="D632" s="1948" t="s">
        <v>1339</v>
      </c>
      <c r="E632" s="2539">
        <f>+'Compra -HOJA1'!G324</f>
        <v>0</v>
      </c>
      <c r="F632" s="1680">
        <f t="shared" ref="F632" si="726">+AC632</f>
        <v>0</v>
      </c>
      <c r="G632" s="1680">
        <f t="shared" ref="G632" si="727">+AD632</f>
        <v>0</v>
      </c>
      <c r="H632" s="1680">
        <f t="shared" ref="H632" si="728">+AE632</f>
        <v>0</v>
      </c>
      <c r="I632" s="1680">
        <f t="shared" ref="I632" ca="1" si="729">+AH632</f>
        <v>0</v>
      </c>
      <c r="J632" s="1680">
        <f t="shared" ref="J632" ca="1" si="730">+AI632</f>
        <v>0</v>
      </c>
      <c r="K632" s="1680">
        <f t="shared" ref="K632" ca="1" si="731">+AJ632</f>
        <v>0</v>
      </c>
      <c r="L632" s="2021">
        <f t="shared" ref="L632" ca="1" si="732">+F632+I632</f>
        <v>0</v>
      </c>
      <c r="M632" s="2021">
        <f t="shared" ref="M632" ca="1" si="733">+G632+J632</f>
        <v>0</v>
      </c>
      <c r="N632" s="2851">
        <f t="shared" ref="N632" ca="1" si="734">+H632+K632</f>
        <v>0</v>
      </c>
      <c r="O632" s="4063"/>
      <c r="P632" s="1948"/>
      <c r="Q632" s="3746"/>
      <c r="R632" s="1948" t="s">
        <v>1355</v>
      </c>
      <c r="S632" s="2804">
        <f>+ROUND('Compra -HOJA1'!I324,0)</f>
        <v>0</v>
      </c>
      <c r="T632" s="2804">
        <f>+ROUND('Compra -HOJA1'!K324,0)</f>
        <v>0</v>
      </c>
      <c r="U632" s="2804">
        <f>+ROUND('Compra -HOJA1'!J324,0)</f>
        <v>0</v>
      </c>
      <c r="V632" s="2804">
        <f ca="1">+ROUND('Compra -HOJA1'!L324,0)</f>
        <v>0</v>
      </c>
      <c r="W632" s="2804">
        <f ca="1">+ROUND('Compra -HOJA1'!N324,0)</f>
        <v>0</v>
      </c>
      <c r="X632" s="2804">
        <f ca="1">+ROUND('Compra -HOJA1'!M324,0)</f>
        <v>0</v>
      </c>
      <c r="Y632" s="2805">
        <f ca="1">+'Compra -HOJA1'!O324</f>
        <v>0</v>
      </c>
      <c r="Z632" s="2805">
        <f ca="1">+'Compra -HOJA1'!Q324</f>
        <v>0</v>
      </c>
      <c r="AA632" s="2805">
        <f ca="1">+'Compra -HOJA1'!P324</f>
        <v>0</v>
      </c>
      <c r="AC632" s="2835">
        <f t="shared" ref="AC632" si="735">+ROUND(S632,0)</f>
        <v>0</v>
      </c>
      <c r="AD632" s="2776">
        <f t="shared" ref="AD632" si="736">+ROUND(T632,0)</f>
        <v>0</v>
      </c>
      <c r="AE632" s="2776">
        <f t="shared" ref="AE632" si="737">+AG632-AC632-AD632</f>
        <v>0</v>
      </c>
      <c r="AF632" s="1490">
        <f t="shared" ref="AF632" si="738">SUM(AC632:AE632)</f>
        <v>0</v>
      </c>
      <c r="AG632" s="1490">
        <f>+'Compra -HOJA1'!F324</f>
        <v>0</v>
      </c>
      <c r="AH632" s="2776">
        <f t="shared" ref="AH632" ca="1" si="739">+ROUND(V632,0)</f>
        <v>0</v>
      </c>
      <c r="AI632" s="2776">
        <f t="shared" ref="AI632" ca="1" si="740">+ROUND(W632,0)</f>
        <v>0</v>
      </c>
      <c r="AJ632" s="2776">
        <f t="shared" ref="AJ632" ca="1" si="741">+AL632-AH632-AI632</f>
        <v>0</v>
      </c>
      <c r="AK632" s="1490">
        <f t="shared" ref="AK632" ca="1" si="742">SUM(AH632:AJ632)</f>
        <v>0</v>
      </c>
      <c r="AL632" s="2825">
        <f t="shared" ref="AL632" ca="1" si="743">+ROUND(SUM(V632:X632),0)</f>
        <v>0</v>
      </c>
      <c r="AM632" s="1490">
        <f t="shared" ref="AM632" ca="1" si="744">SUM(V632:X632)</f>
        <v>0</v>
      </c>
      <c r="AO632" s="1573">
        <f t="shared" ref="AO632" si="745">+SUM(S632:U632)</f>
        <v>0</v>
      </c>
      <c r="AP632" s="1490">
        <f t="shared" ref="AP632" si="746">+AO632-AG632</f>
        <v>0</v>
      </c>
      <c r="AS632" s="1490">
        <f t="shared" ref="AS632" si="747">+S632-AC632</f>
        <v>0</v>
      </c>
      <c r="AT632" s="1490">
        <f t="shared" ref="AT632" si="748">+T632-AD632</f>
        <v>0</v>
      </c>
      <c r="AU632" s="1490">
        <f t="shared" ref="AU632" si="749">+U632-AE632</f>
        <v>0</v>
      </c>
    </row>
    <row r="633" spans="1:47" ht="62.1" hidden="1" customHeight="1" x14ac:dyDescent="0.6">
      <c r="A633" s="4063"/>
      <c r="B633" s="1949">
        <v>5602</v>
      </c>
      <c r="C633" s="3746"/>
      <c r="D633" s="1949" t="s">
        <v>55</v>
      </c>
      <c r="E633" s="2539">
        <f>+'Compra -HOJA1'!G325</f>
        <v>0</v>
      </c>
      <c r="F633" s="1680">
        <f t="shared" si="687"/>
        <v>0</v>
      </c>
      <c r="G633" s="1680">
        <f t="shared" si="688"/>
        <v>0</v>
      </c>
      <c r="H633" s="1680">
        <f t="shared" si="689"/>
        <v>0</v>
      </c>
      <c r="I633" s="1680">
        <f t="shared" ca="1" si="690"/>
        <v>0</v>
      </c>
      <c r="J633" s="1680">
        <f t="shared" ca="1" si="691"/>
        <v>0</v>
      </c>
      <c r="K633" s="1680">
        <f t="shared" ca="1" si="692"/>
        <v>0</v>
      </c>
      <c r="L633" s="2021">
        <f t="shared" ca="1" si="693"/>
        <v>0</v>
      </c>
      <c r="M633" s="2021">
        <f t="shared" ca="1" si="694"/>
        <v>0</v>
      </c>
      <c r="N633" s="2851">
        <f t="shared" ca="1" si="695"/>
        <v>0</v>
      </c>
      <c r="O633" s="4063"/>
      <c r="P633" s="1949">
        <v>5602</v>
      </c>
      <c r="Q633" s="3746"/>
      <c r="R633" s="1949" t="s">
        <v>55</v>
      </c>
      <c r="S633" s="2804">
        <f>+ROUND('Compra -HOJA1'!I325,0)</f>
        <v>0</v>
      </c>
      <c r="T633" s="2804">
        <f>+ROUND('Compra -HOJA1'!K325,0)</f>
        <v>0</v>
      </c>
      <c r="U633" s="2804">
        <f>+ROUND('Compra -HOJA1'!J325,0)</f>
        <v>0</v>
      </c>
      <c r="V633" s="2804">
        <f ca="1">+ROUND('Compra -HOJA1'!L325,0)</f>
        <v>0</v>
      </c>
      <c r="W633" s="2804">
        <f ca="1">+ROUND('Compra -HOJA1'!N325,0)</f>
        <v>0</v>
      </c>
      <c r="X633" s="2804">
        <f ca="1">+ROUND('Compra -HOJA1'!M325,0)</f>
        <v>0</v>
      </c>
      <c r="Y633" s="2805">
        <f ca="1">+'Compra -HOJA1'!O325</f>
        <v>0</v>
      </c>
      <c r="Z633" s="2805">
        <f ca="1">+'Compra -HOJA1'!Q325</f>
        <v>0</v>
      </c>
      <c r="AA633" s="2805">
        <f ca="1">+'Compra -HOJA1'!P325</f>
        <v>0</v>
      </c>
      <c r="AC633" s="2835">
        <f t="shared" si="711"/>
        <v>0</v>
      </c>
      <c r="AD633" s="2776">
        <f t="shared" si="712"/>
        <v>0</v>
      </c>
      <c r="AE633" s="2776">
        <f t="shared" si="713"/>
        <v>0</v>
      </c>
      <c r="AF633" s="1490">
        <f t="shared" si="714"/>
        <v>0</v>
      </c>
      <c r="AG633" s="1490">
        <f>+'Compra -HOJA1'!F325</f>
        <v>0</v>
      </c>
      <c r="AH633" s="2776">
        <f t="shared" ca="1" si="715"/>
        <v>0</v>
      </c>
      <c r="AI633" s="2776">
        <f t="shared" ca="1" si="716"/>
        <v>0</v>
      </c>
      <c r="AJ633" s="2776">
        <f t="shared" ca="1" si="717"/>
        <v>0</v>
      </c>
      <c r="AK633" s="1490">
        <f t="shared" ca="1" si="718"/>
        <v>0</v>
      </c>
      <c r="AL633" s="2825">
        <f t="shared" ca="1" si="719"/>
        <v>0</v>
      </c>
      <c r="AM633" s="1490">
        <f t="shared" ca="1" si="720"/>
        <v>0</v>
      </c>
      <c r="AO633" s="1573">
        <f t="shared" si="721"/>
        <v>0</v>
      </c>
      <c r="AP633" s="1490">
        <f t="shared" si="722"/>
        <v>0</v>
      </c>
      <c r="AS633" s="1490">
        <f t="shared" si="723"/>
        <v>0</v>
      </c>
      <c r="AT633" s="1490">
        <f t="shared" si="724"/>
        <v>0</v>
      </c>
      <c r="AU633" s="1490">
        <f t="shared" si="725"/>
        <v>0</v>
      </c>
    </row>
    <row r="634" spans="1:47" ht="62.1" hidden="1" customHeight="1" thickBot="1" x14ac:dyDescent="0.65">
      <c r="A634" s="4064"/>
      <c r="B634" s="3173">
        <v>5603</v>
      </c>
      <c r="C634" s="3746"/>
      <c r="D634" s="3173" t="s">
        <v>56</v>
      </c>
      <c r="E634" s="2539">
        <f>+'Compra -HOJA1'!G326</f>
        <v>0</v>
      </c>
      <c r="F634" s="1680">
        <f t="shared" si="687"/>
        <v>0</v>
      </c>
      <c r="G634" s="1680">
        <f t="shared" si="688"/>
        <v>0</v>
      </c>
      <c r="H634" s="1680">
        <f t="shared" si="689"/>
        <v>0</v>
      </c>
      <c r="I634" s="1680">
        <f t="shared" ca="1" si="690"/>
        <v>0</v>
      </c>
      <c r="J634" s="1680">
        <f t="shared" ca="1" si="691"/>
        <v>0</v>
      </c>
      <c r="K634" s="1680">
        <f t="shared" ca="1" si="692"/>
        <v>0</v>
      </c>
      <c r="L634" s="2021">
        <f t="shared" ca="1" si="693"/>
        <v>0</v>
      </c>
      <c r="M634" s="2021">
        <f t="shared" ca="1" si="694"/>
        <v>0</v>
      </c>
      <c r="N634" s="2851">
        <f t="shared" ca="1" si="695"/>
        <v>0</v>
      </c>
      <c r="O634" s="4064"/>
      <c r="P634" s="3173">
        <v>5603</v>
      </c>
      <c r="Q634" s="3747"/>
      <c r="R634" s="3173" t="s">
        <v>56</v>
      </c>
      <c r="S634" s="2804">
        <f>+ROUND('Compra -HOJA1'!I326,0)</f>
        <v>0</v>
      </c>
      <c r="T634" s="2804">
        <f>+ROUND('Compra -HOJA1'!K326,0)</f>
        <v>0</v>
      </c>
      <c r="U634" s="2804">
        <f>+ROUND('Compra -HOJA1'!J326,0)</f>
        <v>0</v>
      </c>
      <c r="V634" s="2804">
        <f ca="1">+ROUND('Compra -HOJA1'!L326,0)</f>
        <v>0</v>
      </c>
      <c r="W634" s="2804">
        <f ca="1">+ROUND('Compra -HOJA1'!N326,0)</f>
        <v>0</v>
      </c>
      <c r="X634" s="2804">
        <f ca="1">+ROUND('Compra -HOJA1'!M326,0)</f>
        <v>0</v>
      </c>
      <c r="Y634" s="2805">
        <f ca="1">+'Compra -HOJA1'!O326</f>
        <v>0</v>
      </c>
      <c r="Z634" s="2805">
        <f ca="1">+'Compra -HOJA1'!Q326</f>
        <v>0</v>
      </c>
      <c r="AA634" s="2805">
        <f ca="1">+'Compra -HOJA1'!P326</f>
        <v>0</v>
      </c>
      <c r="AC634" s="2835">
        <f t="shared" si="711"/>
        <v>0</v>
      </c>
      <c r="AD634" s="2776">
        <f t="shared" si="712"/>
        <v>0</v>
      </c>
      <c r="AE634" s="2776">
        <f t="shared" si="713"/>
        <v>0</v>
      </c>
      <c r="AF634" s="1490">
        <f t="shared" si="714"/>
        <v>0</v>
      </c>
      <c r="AG634" s="1490">
        <f>+'Compra -HOJA1'!F326</f>
        <v>0</v>
      </c>
      <c r="AH634" s="2776">
        <f t="shared" ca="1" si="715"/>
        <v>0</v>
      </c>
      <c r="AI634" s="2776">
        <f t="shared" ca="1" si="716"/>
        <v>0</v>
      </c>
      <c r="AJ634" s="2776">
        <f t="shared" ca="1" si="717"/>
        <v>0</v>
      </c>
      <c r="AK634" s="1490">
        <f t="shared" ca="1" si="718"/>
        <v>0</v>
      </c>
      <c r="AL634" s="2825">
        <f t="shared" ca="1" si="719"/>
        <v>0</v>
      </c>
      <c r="AM634" s="1490">
        <f t="shared" ca="1" si="720"/>
        <v>0</v>
      </c>
      <c r="AO634" s="1573">
        <f t="shared" si="721"/>
        <v>0</v>
      </c>
      <c r="AP634" s="1490">
        <f t="shared" si="722"/>
        <v>0</v>
      </c>
      <c r="AS634" s="1490">
        <f t="shared" si="723"/>
        <v>0</v>
      </c>
      <c r="AT634" s="1490">
        <f t="shared" si="724"/>
        <v>0</v>
      </c>
      <c r="AU634" s="1490">
        <f t="shared" si="725"/>
        <v>0</v>
      </c>
    </row>
    <row r="635" spans="1:47" ht="62.1" hidden="1" customHeight="1" thickBot="1" x14ac:dyDescent="0.65">
      <c r="A635" s="3489"/>
      <c r="B635" s="3515"/>
      <c r="C635" s="3747"/>
      <c r="D635" s="3173" t="s">
        <v>1340</v>
      </c>
      <c r="E635" s="2539">
        <f>+'Compra -HOJA1'!G327</f>
        <v>0</v>
      </c>
      <c r="F635" s="1680">
        <f t="shared" ref="F635" si="750">+AC635</f>
        <v>0</v>
      </c>
      <c r="G635" s="1680">
        <f t="shared" ref="G635" si="751">+AD635</f>
        <v>0</v>
      </c>
      <c r="H635" s="1680">
        <f t="shared" ref="H635" si="752">+AE635</f>
        <v>0</v>
      </c>
      <c r="I635" s="1680">
        <f t="shared" ref="I635" ca="1" si="753">+AH635</f>
        <v>0</v>
      </c>
      <c r="J635" s="1680">
        <f t="shared" ref="J635" ca="1" si="754">+AI635</f>
        <v>0</v>
      </c>
      <c r="K635" s="1680">
        <f t="shared" ref="K635" ca="1" si="755">+AJ635</f>
        <v>0</v>
      </c>
      <c r="L635" s="2021">
        <f t="shared" ref="L635" ca="1" si="756">+F635+I635</f>
        <v>0</v>
      </c>
      <c r="M635" s="2021">
        <f t="shared" ref="M635" ca="1" si="757">+G635+J635</f>
        <v>0</v>
      </c>
      <c r="N635" s="2851">
        <f t="shared" ref="N635" ca="1" si="758">+H635+K635</f>
        <v>0</v>
      </c>
      <c r="O635" s="3489"/>
      <c r="P635" s="3515"/>
      <c r="Q635" s="3482"/>
      <c r="R635" s="3173" t="s">
        <v>623</v>
      </c>
      <c r="S635" s="2804">
        <f>+ROUND('Compra -HOJA1'!I327,0)</f>
        <v>0</v>
      </c>
      <c r="T635" s="2804">
        <f>+ROUND('Compra -HOJA1'!K327,0)</f>
        <v>0</v>
      </c>
      <c r="U635" s="2804">
        <f>+ROUND('Compra -HOJA1'!J327,0)</f>
        <v>0</v>
      </c>
      <c r="V635" s="2804">
        <f ca="1">+ROUND('Compra -HOJA1'!L327,0)</f>
        <v>0</v>
      </c>
      <c r="W635" s="2804">
        <f ca="1">+ROUND('Compra -HOJA1'!N327,0)</f>
        <v>0</v>
      </c>
      <c r="X635" s="2804">
        <f ca="1">+ROUND('Compra -HOJA1'!M327,0)</f>
        <v>0</v>
      </c>
      <c r="Y635" s="2805">
        <f ca="1">+'Compra -HOJA1'!O327</f>
        <v>0</v>
      </c>
      <c r="Z635" s="2805">
        <f ca="1">+'Compra -HOJA1'!Q327</f>
        <v>0</v>
      </c>
      <c r="AA635" s="2805">
        <f ca="1">+'Compra -HOJA1'!P327</f>
        <v>0</v>
      </c>
      <c r="AC635" s="2835">
        <f t="shared" ref="AC635" si="759">+ROUND(S635,0)</f>
        <v>0</v>
      </c>
      <c r="AD635" s="2776">
        <f t="shared" ref="AD635" si="760">+ROUND(T635,0)</f>
        <v>0</v>
      </c>
      <c r="AE635" s="2776">
        <f t="shared" ref="AE635" si="761">+AG635-AC635-AD635</f>
        <v>0</v>
      </c>
      <c r="AF635" s="1490">
        <f t="shared" ref="AF635" si="762">SUM(AC635:AE635)</f>
        <v>0</v>
      </c>
      <c r="AG635" s="1490">
        <f>+'Compra -HOJA1'!F327</f>
        <v>0</v>
      </c>
      <c r="AH635" s="2776">
        <f t="shared" ref="AH635" ca="1" si="763">+ROUND(V635,0)</f>
        <v>0</v>
      </c>
      <c r="AI635" s="2776">
        <f t="shared" ref="AI635" ca="1" si="764">+ROUND(W635,0)</f>
        <v>0</v>
      </c>
      <c r="AJ635" s="2776">
        <f t="shared" ref="AJ635" ca="1" si="765">+AL635-AH635-AI635</f>
        <v>0</v>
      </c>
      <c r="AK635" s="1490">
        <f t="shared" ref="AK635" ca="1" si="766">SUM(AH635:AJ635)</f>
        <v>0</v>
      </c>
      <c r="AL635" s="2825">
        <f t="shared" ref="AL635" ca="1" si="767">+ROUND(SUM(V635:X635),0)</f>
        <v>0</v>
      </c>
      <c r="AM635" s="1490">
        <f t="shared" ref="AM635" ca="1" si="768">SUM(V635:X635)</f>
        <v>0</v>
      </c>
      <c r="AO635" s="1573">
        <f t="shared" ref="AO635" si="769">+SUM(S635:U635)</f>
        <v>0</v>
      </c>
      <c r="AP635" s="1490">
        <f t="shared" ref="AP635" si="770">+AO635-AG635</f>
        <v>0</v>
      </c>
      <c r="AS635" s="1490">
        <f t="shared" ref="AS635" si="771">+S635-AC635</f>
        <v>0</v>
      </c>
      <c r="AT635" s="1490">
        <f t="shared" ref="AT635" si="772">+T635-AD635</f>
        <v>0</v>
      </c>
      <c r="AU635" s="1490">
        <f t="shared" ref="AU635" si="773">+U635-AE635</f>
        <v>0</v>
      </c>
    </row>
    <row r="636" spans="1:47" ht="62.1" hidden="1" customHeight="1" x14ac:dyDescent="0.6">
      <c r="A636" s="4065" t="s">
        <v>57</v>
      </c>
      <c r="B636" s="3172">
        <v>5030</v>
      </c>
      <c r="C636" s="3758" t="s">
        <v>217</v>
      </c>
      <c r="D636" s="3758"/>
      <c r="E636" s="2539">
        <f>+'Compra -HOJA1'!G328</f>
        <v>0</v>
      </c>
      <c r="F636" s="1680">
        <f t="shared" si="687"/>
        <v>0</v>
      </c>
      <c r="G636" s="1680">
        <f t="shared" si="688"/>
        <v>0</v>
      </c>
      <c r="H636" s="1680">
        <f t="shared" si="689"/>
        <v>0</v>
      </c>
      <c r="I636" s="1680">
        <f t="shared" ca="1" si="690"/>
        <v>0</v>
      </c>
      <c r="J636" s="1680">
        <f t="shared" ca="1" si="691"/>
        <v>0</v>
      </c>
      <c r="K636" s="1680">
        <f t="shared" ca="1" si="692"/>
        <v>0</v>
      </c>
      <c r="L636" s="2021">
        <f t="shared" ca="1" si="693"/>
        <v>0</v>
      </c>
      <c r="M636" s="2021">
        <f t="shared" ca="1" si="694"/>
        <v>0</v>
      </c>
      <c r="N636" s="2851">
        <f t="shared" ca="1" si="695"/>
        <v>0</v>
      </c>
      <c r="O636" s="4065" t="s">
        <v>57</v>
      </c>
      <c r="P636" s="3172">
        <v>5030</v>
      </c>
      <c r="Q636" s="3758" t="s">
        <v>217</v>
      </c>
      <c r="R636" s="3758"/>
      <c r="S636" s="2804">
        <f>+ROUND('Compra -HOJA1'!I328,0)</f>
        <v>0</v>
      </c>
      <c r="T636" s="2804">
        <f>+ROUND('Compra -HOJA1'!K328,0)</f>
        <v>0</v>
      </c>
      <c r="U636" s="2804">
        <f>+ROUND('Compra -HOJA1'!J328,0)</f>
        <v>0</v>
      </c>
      <c r="V636" s="2804">
        <f ca="1">+ROUND('Compra -HOJA1'!L328,0)</f>
        <v>0</v>
      </c>
      <c r="W636" s="2804">
        <f ca="1">+ROUND('Compra -HOJA1'!N328,0)</f>
        <v>0</v>
      </c>
      <c r="X636" s="2804">
        <f ca="1">+ROUND('Compra -HOJA1'!M328,0)</f>
        <v>0</v>
      </c>
      <c r="Y636" s="2805">
        <f ca="1">+'Compra -HOJA1'!O328</f>
        <v>0</v>
      </c>
      <c r="Z636" s="2805">
        <f ca="1">+'Compra -HOJA1'!Q328</f>
        <v>0</v>
      </c>
      <c r="AA636" s="2805">
        <f ca="1">+'Compra -HOJA1'!P328</f>
        <v>0</v>
      </c>
      <c r="AC636" s="2835">
        <f t="shared" si="711"/>
        <v>0</v>
      </c>
      <c r="AD636" s="2776">
        <f t="shared" si="712"/>
        <v>0</v>
      </c>
      <c r="AE636" s="2776">
        <f t="shared" si="713"/>
        <v>0</v>
      </c>
      <c r="AF636" s="1490">
        <f t="shared" si="714"/>
        <v>0</v>
      </c>
      <c r="AG636" s="1490">
        <f>+'Compra -HOJA1'!F328</f>
        <v>0</v>
      </c>
      <c r="AH636" s="2776">
        <f t="shared" ca="1" si="715"/>
        <v>0</v>
      </c>
      <c r="AI636" s="2776">
        <f t="shared" ca="1" si="716"/>
        <v>0</v>
      </c>
      <c r="AJ636" s="2776">
        <f t="shared" ca="1" si="717"/>
        <v>0</v>
      </c>
      <c r="AK636" s="1490">
        <f t="shared" ca="1" si="718"/>
        <v>0</v>
      </c>
      <c r="AL636" s="2825">
        <f t="shared" ca="1" si="719"/>
        <v>0</v>
      </c>
      <c r="AM636" s="1490">
        <f t="shared" ca="1" si="720"/>
        <v>0</v>
      </c>
      <c r="AO636" s="1573">
        <f t="shared" si="721"/>
        <v>0</v>
      </c>
      <c r="AP636" s="1490">
        <f t="shared" si="722"/>
        <v>0</v>
      </c>
      <c r="AS636" s="1490">
        <f t="shared" si="723"/>
        <v>0</v>
      </c>
      <c r="AT636" s="1490">
        <f t="shared" si="724"/>
        <v>0</v>
      </c>
      <c r="AU636" s="1490">
        <f t="shared" si="725"/>
        <v>0</v>
      </c>
    </row>
    <row r="637" spans="1:47" ht="62.1" hidden="1" customHeight="1" x14ac:dyDescent="0.6">
      <c r="A637" s="4066"/>
      <c r="B637" s="1954">
        <v>5040</v>
      </c>
      <c r="C637" s="3743" t="s">
        <v>218</v>
      </c>
      <c r="D637" s="3744"/>
      <c r="E637" s="2539">
        <f>+'Compra -HOJA1'!G329</f>
        <v>0</v>
      </c>
      <c r="F637" s="1680">
        <f t="shared" si="687"/>
        <v>0</v>
      </c>
      <c r="G637" s="1680">
        <f t="shared" si="688"/>
        <v>0</v>
      </c>
      <c r="H637" s="1680">
        <f t="shared" si="689"/>
        <v>0</v>
      </c>
      <c r="I637" s="1680">
        <f t="shared" ca="1" si="690"/>
        <v>0</v>
      </c>
      <c r="J637" s="1680">
        <f t="shared" ca="1" si="691"/>
        <v>0</v>
      </c>
      <c r="K637" s="1680">
        <f t="shared" ca="1" si="692"/>
        <v>0</v>
      </c>
      <c r="L637" s="2021">
        <f t="shared" ca="1" si="693"/>
        <v>0</v>
      </c>
      <c r="M637" s="2021">
        <f t="shared" ca="1" si="694"/>
        <v>0</v>
      </c>
      <c r="N637" s="2851">
        <f t="shared" ca="1" si="695"/>
        <v>0</v>
      </c>
      <c r="O637" s="4066"/>
      <c r="P637" s="1954">
        <v>5040</v>
      </c>
      <c r="Q637" s="3743" t="s">
        <v>218</v>
      </c>
      <c r="R637" s="3744"/>
      <c r="S637" s="2804">
        <f>+ROUND('Compra -HOJA1'!I329,0)</f>
        <v>0</v>
      </c>
      <c r="T637" s="2804">
        <f>+ROUND('Compra -HOJA1'!K329,0)</f>
        <v>0</v>
      </c>
      <c r="U637" s="2804">
        <f>+ROUND('Compra -HOJA1'!J329,0)</f>
        <v>0</v>
      </c>
      <c r="V637" s="2804">
        <f ca="1">+ROUND('Compra -HOJA1'!L329,0)</f>
        <v>0</v>
      </c>
      <c r="W637" s="2804">
        <f ca="1">+ROUND('Compra -HOJA1'!N329,0)</f>
        <v>0</v>
      </c>
      <c r="X637" s="2804">
        <f ca="1">+ROUND('Compra -HOJA1'!M329,0)</f>
        <v>0</v>
      </c>
      <c r="Y637" s="2805">
        <f ca="1">+'Compra -HOJA1'!O329</f>
        <v>0</v>
      </c>
      <c r="Z637" s="2805">
        <f ca="1">+'Compra -HOJA1'!Q329</f>
        <v>0</v>
      </c>
      <c r="AA637" s="2805">
        <f ca="1">+'Compra -HOJA1'!P329</f>
        <v>0</v>
      </c>
      <c r="AC637" s="2835">
        <f t="shared" si="711"/>
        <v>0</v>
      </c>
      <c r="AD637" s="2776">
        <f t="shared" si="712"/>
        <v>0</v>
      </c>
      <c r="AE637" s="2776">
        <f t="shared" si="713"/>
        <v>0</v>
      </c>
      <c r="AF637" s="1490">
        <f t="shared" si="714"/>
        <v>0</v>
      </c>
      <c r="AG637" s="1490">
        <f>+'Compra -HOJA1'!F329</f>
        <v>0</v>
      </c>
      <c r="AH637" s="2776">
        <f t="shared" ca="1" si="715"/>
        <v>0</v>
      </c>
      <c r="AI637" s="2776">
        <f t="shared" ca="1" si="716"/>
        <v>0</v>
      </c>
      <c r="AJ637" s="2776">
        <f t="shared" ca="1" si="717"/>
        <v>0</v>
      </c>
      <c r="AK637" s="1490">
        <f t="shared" ca="1" si="718"/>
        <v>0</v>
      </c>
      <c r="AL637" s="2825">
        <f t="shared" ca="1" si="719"/>
        <v>0</v>
      </c>
      <c r="AM637" s="1490">
        <f t="shared" ca="1" si="720"/>
        <v>0</v>
      </c>
      <c r="AO637" s="1573">
        <f t="shared" si="721"/>
        <v>0</v>
      </c>
      <c r="AP637" s="1490">
        <f t="shared" si="722"/>
        <v>0</v>
      </c>
      <c r="AS637" s="1490">
        <f t="shared" si="723"/>
        <v>0</v>
      </c>
      <c r="AT637" s="1490">
        <f t="shared" si="724"/>
        <v>0</v>
      </c>
      <c r="AU637" s="1490">
        <f t="shared" si="725"/>
        <v>0</v>
      </c>
    </row>
    <row r="638" spans="1:47" ht="62.1" hidden="1" customHeight="1" x14ac:dyDescent="0.6">
      <c r="A638" s="4066"/>
      <c r="B638" s="1954"/>
      <c r="C638" s="3743" t="s">
        <v>620</v>
      </c>
      <c r="D638" s="3744"/>
      <c r="E638" s="2539">
        <f>+'Compra -HOJA1'!G330</f>
        <v>0</v>
      </c>
      <c r="F638" s="1680">
        <f t="shared" si="687"/>
        <v>0</v>
      </c>
      <c r="G638" s="1680">
        <f t="shared" si="688"/>
        <v>0</v>
      </c>
      <c r="H638" s="1680">
        <f t="shared" si="689"/>
        <v>0</v>
      </c>
      <c r="I638" s="1680">
        <f t="shared" ca="1" si="690"/>
        <v>0</v>
      </c>
      <c r="J638" s="1680">
        <f t="shared" ca="1" si="691"/>
        <v>0</v>
      </c>
      <c r="K638" s="1680">
        <f t="shared" ca="1" si="692"/>
        <v>0</v>
      </c>
      <c r="L638" s="2021">
        <f t="shared" ca="1" si="693"/>
        <v>0</v>
      </c>
      <c r="M638" s="2021">
        <f t="shared" ca="1" si="694"/>
        <v>0</v>
      </c>
      <c r="N638" s="2851">
        <f t="shared" ca="1" si="695"/>
        <v>0</v>
      </c>
      <c r="O638" s="4066"/>
      <c r="P638" s="1954"/>
      <c r="Q638" s="3743" t="s">
        <v>620</v>
      </c>
      <c r="R638" s="3744"/>
      <c r="S638" s="2804">
        <f>+ROUND('Compra -HOJA1'!I330,0)</f>
        <v>0</v>
      </c>
      <c r="T638" s="2804">
        <f>+ROUND('Compra -HOJA1'!K330,0)</f>
        <v>0</v>
      </c>
      <c r="U638" s="2804">
        <f>+ROUND('Compra -HOJA1'!J330,0)</f>
        <v>0</v>
      </c>
      <c r="V638" s="2804">
        <f ca="1">+ROUND('Compra -HOJA1'!L330,0)</f>
        <v>0</v>
      </c>
      <c r="W638" s="2804">
        <f ca="1">+ROUND('Compra -HOJA1'!N330,0)</f>
        <v>0</v>
      </c>
      <c r="X638" s="2804">
        <f ca="1">+ROUND('Compra -HOJA1'!M330,0)</f>
        <v>0</v>
      </c>
      <c r="Y638" s="2805">
        <f ca="1">+'Compra -HOJA1'!O330</f>
        <v>0</v>
      </c>
      <c r="Z638" s="2805">
        <f ca="1">+'Compra -HOJA1'!Q330</f>
        <v>0</v>
      </c>
      <c r="AA638" s="2805">
        <f ca="1">+'Compra -HOJA1'!P330</f>
        <v>0</v>
      </c>
      <c r="AC638" s="2835">
        <f t="shared" si="711"/>
        <v>0</v>
      </c>
      <c r="AD638" s="2776">
        <f t="shared" si="712"/>
        <v>0</v>
      </c>
      <c r="AE638" s="2776">
        <f t="shared" si="713"/>
        <v>0</v>
      </c>
      <c r="AF638" s="1490">
        <f t="shared" si="714"/>
        <v>0</v>
      </c>
      <c r="AG638" s="1490">
        <f>+'Compra -HOJA1'!F330</f>
        <v>0</v>
      </c>
      <c r="AH638" s="2776">
        <f t="shared" ca="1" si="715"/>
        <v>0</v>
      </c>
      <c r="AI638" s="2776">
        <f t="shared" ca="1" si="716"/>
        <v>0</v>
      </c>
      <c r="AJ638" s="2776">
        <f t="shared" ca="1" si="717"/>
        <v>0</v>
      </c>
      <c r="AK638" s="1490">
        <f t="shared" ca="1" si="718"/>
        <v>0</v>
      </c>
      <c r="AL638" s="2825">
        <f t="shared" ca="1" si="719"/>
        <v>0</v>
      </c>
      <c r="AM638" s="1490">
        <f t="shared" ca="1" si="720"/>
        <v>0</v>
      </c>
      <c r="AO638" s="1573">
        <f t="shared" si="721"/>
        <v>0</v>
      </c>
      <c r="AP638" s="1490">
        <f t="shared" si="722"/>
        <v>0</v>
      </c>
      <c r="AS638" s="1490">
        <f t="shared" si="723"/>
        <v>0</v>
      </c>
      <c r="AT638" s="1490">
        <f t="shared" si="724"/>
        <v>0</v>
      </c>
      <c r="AU638" s="1490">
        <f t="shared" si="725"/>
        <v>0</v>
      </c>
    </row>
    <row r="639" spans="1:47" ht="62.1" hidden="1" customHeight="1" x14ac:dyDescent="0.6">
      <c r="A639" s="4066"/>
      <c r="B639" s="1954">
        <v>5045</v>
      </c>
      <c r="C639" s="3743" t="s">
        <v>221</v>
      </c>
      <c r="D639" s="3744"/>
      <c r="E639" s="2539">
        <f>+'Compra -HOJA1'!G331</f>
        <v>0</v>
      </c>
      <c r="F639" s="1680">
        <f t="shared" si="687"/>
        <v>0</v>
      </c>
      <c r="G639" s="1680">
        <f t="shared" si="688"/>
        <v>0</v>
      </c>
      <c r="H639" s="1680">
        <f t="shared" si="689"/>
        <v>0</v>
      </c>
      <c r="I639" s="1680">
        <f t="shared" ca="1" si="690"/>
        <v>0</v>
      </c>
      <c r="J639" s="1680">
        <f t="shared" ca="1" si="691"/>
        <v>0</v>
      </c>
      <c r="K639" s="1680">
        <f t="shared" ca="1" si="692"/>
        <v>0</v>
      </c>
      <c r="L639" s="2021">
        <f t="shared" ca="1" si="693"/>
        <v>0</v>
      </c>
      <c r="M639" s="2021">
        <f t="shared" ca="1" si="694"/>
        <v>0</v>
      </c>
      <c r="N639" s="2851">
        <f t="shared" ca="1" si="695"/>
        <v>0</v>
      </c>
      <c r="O639" s="4066"/>
      <c r="P639" s="1954">
        <v>5045</v>
      </c>
      <c r="Q639" s="3743" t="s">
        <v>221</v>
      </c>
      <c r="R639" s="3744"/>
      <c r="S639" s="2804">
        <f>+ROUND('Compra -HOJA1'!I331,0)</f>
        <v>0</v>
      </c>
      <c r="T639" s="2804">
        <f>+ROUND('Compra -HOJA1'!K331,0)</f>
        <v>0</v>
      </c>
      <c r="U639" s="2804">
        <f>+ROUND('Compra -HOJA1'!J331,0)</f>
        <v>0</v>
      </c>
      <c r="V639" s="2804">
        <f ca="1">+ROUND('Compra -HOJA1'!L331,0)</f>
        <v>0</v>
      </c>
      <c r="W639" s="2804">
        <f ca="1">+ROUND('Compra -HOJA1'!N331,0)</f>
        <v>0</v>
      </c>
      <c r="X639" s="2804">
        <f ca="1">+ROUND('Compra -HOJA1'!M331,0)</f>
        <v>0</v>
      </c>
      <c r="Y639" s="2805">
        <f ca="1">+'Compra -HOJA1'!O331</f>
        <v>0</v>
      </c>
      <c r="Z639" s="2805">
        <f ca="1">+'Compra -HOJA1'!Q331</f>
        <v>0</v>
      </c>
      <c r="AA639" s="2805">
        <f ca="1">+'Compra -HOJA1'!P331</f>
        <v>0</v>
      </c>
      <c r="AC639" s="2835">
        <f t="shared" si="711"/>
        <v>0</v>
      </c>
      <c r="AD639" s="2776">
        <f t="shared" si="712"/>
        <v>0</v>
      </c>
      <c r="AE639" s="2776">
        <f t="shared" si="713"/>
        <v>0</v>
      </c>
      <c r="AF639" s="1490">
        <f t="shared" si="714"/>
        <v>0</v>
      </c>
      <c r="AG639" s="1490">
        <f>+'Compra -HOJA1'!F331</f>
        <v>0</v>
      </c>
      <c r="AH639" s="2776">
        <f t="shared" ca="1" si="715"/>
        <v>0</v>
      </c>
      <c r="AI639" s="2776">
        <f t="shared" ca="1" si="716"/>
        <v>0</v>
      </c>
      <c r="AJ639" s="2776">
        <f t="shared" ca="1" si="717"/>
        <v>0</v>
      </c>
      <c r="AK639" s="1490">
        <f t="shared" ca="1" si="718"/>
        <v>0</v>
      </c>
      <c r="AL639" s="2825">
        <f t="shared" ca="1" si="719"/>
        <v>0</v>
      </c>
      <c r="AM639" s="1490">
        <f t="shared" ca="1" si="720"/>
        <v>0</v>
      </c>
      <c r="AO639" s="1573">
        <f t="shared" si="721"/>
        <v>0</v>
      </c>
      <c r="AP639" s="1490">
        <f t="shared" si="722"/>
        <v>0</v>
      </c>
      <c r="AS639" s="1490">
        <f t="shared" si="723"/>
        <v>0</v>
      </c>
      <c r="AT639" s="1490">
        <f t="shared" si="724"/>
        <v>0</v>
      </c>
      <c r="AU639" s="1490">
        <f t="shared" si="725"/>
        <v>0</v>
      </c>
    </row>
    <row r="640" spans="1:47" ht="62.1" hidden="1" customHeight="1" x14ac:dyDescent="0.6">
      <c r="A640" s="4066"/>
      <c r="B640" s="1955">
        <v>5050</v>
      </c>
      <c r="C640" s="3742" t="s">
        <v>219</v>
      </c>
      <c r="D640" s="3742"/>
      <c r="E640" s="2539">
        <f>+'Compra -HOJA1'!G332</f>
        <v>0</v>
      </c>
      <c r="F640" s="1680">
        <f t="shared" si="687"/>
        <v>0</v>
      </c>
      <c r="G640" s="1680">
        <f t="shared" si="688"/>
        <v>0</v>
      </c>
      <c r="H640" s="1680">
        <f t="shared" si="689"/>
        <v>0</v>
      </c>
      <c r="I640" s="1680">
        <f t="shared" ca="1" si="690"/>
        <v>0</v>
      </c>
      <c r="J640" s="1680">
        <f t="shared" ca="1" si="691"/>
        <v>0</v>
      </c>
      <c r="K640" s="1680">
        <f t="shared" ca="1" si="692"/>
        <v>0</v>
      </c>
      <c r="L640" s="2021">
        <f t="shared" ca="1" si="693"/>
        <v>0</v>
      </c>
      <c r="M640" s="2021">
        <f t="shared" ca="1" si="694"/>
        <v>0</v>
      </c>
      <c r="N640" s="2851">
        <f t="shared" ca="1" si="695"/>
        <v>0</v>
      </c>
      <c r="O640" s="4066"/>
      <c r="P640" s="1955">
        <v>5050</v>
      </c>
      <c r="Q640" s="3742" t="s">
        <v>219</v>
      </c>
      <c r="R640" s="3742"/>
      <c r="S640" s="2804">
        <f>+ROUND('Compra -HOJA1'!I332,0)</f>
        <v>0</v>
      </c>
      <c r="T640" s="2804">
        <f>+ROUND('Compra -HOJA1'!K332,0)</f>
        <v>0</v>
      </c>
      <c r="U640" s="2804">
        <f>+ROUND('Compra -HOJA1'!J332,0)</f>
        <v>0</v>
      </c>
      <c r="V640" s="2804">
        <f ca="1">+ROUND('Compra -HOJA1'!L332,0)</f>
        <v>0</v>
      </c>
      <c r="W640" s="2804">
        <f ca="1">+ROUND('Compra -HOJA1'!N332,0)</f>
        <v>0</v>
      </c>
      <c r="X640" s="2804">
        <f ca="1">+ROUND('Compra -HOJA1'!M332,0)</f>
        <v>0</v>
      </c>
      <c r="Y640" s="2805">
        <f ca="1">+'Compra -HOJA1'!O332</f>
        <v>0</v>
      </c>
      <c r="Z640" s="2805">
        <f ca="1">+'Compra -HOJA1'!Q332</f>
        <v>0</v>
      </c>
      <c r="AA640" s="2805">
        <f ca="1">+'Compra -HOJA1'!P332</f>
        <v>0</v>
      </c>
      <c r="AC640" s="2835">
        <f t="shared" si="711"/>
        <v>0</v>
      </c>
      <c r="AD640" s="2776">
        <f t="shared" si="712"/>
        <v>0</v>
      </c>
      <c r="AE640" s="2776">
        <f t="shared" si="713"/>
        <v>0</v>
      </c>
      <c r="AF640" s="1490">
        <f t="shared" si="714"/>
        <v>0</v>
      </c>
      <c r="AG640" s="1490">
        <f>+'Compra -HOJA1'!F332</f>
        <v>0</v>
      </c>
      <c r="AH640" s="2776">
        <f t="shared" ca="1" si="715"/>
        <v>0</v>
      </c>
      <c r="AI640" s="2776">
        <f t="shared" ca="1" si="716"/>
        <v>0</v>
      </c>
      <c r="AJ640" s="2776">
        <f t="shared" ca="1" si="717"/>
        <v>0</v>
      </c>
      <c r="AK640" s="1490">
        <f t="shared" ca="1" si="718"/>
        <v>0</v>
      </c>
      <c r="AL640" s="2825">
        <f t="shared" ca="1" si="719"/>
        <v>0</v>
      </c>
      <c r="AM640" s="1490">
        <f t="shared" ca="1" si="720"/>
        <v>0</v>
      </c>
      <c r="AO640" s="1573">
        <f t="shared" si="721"/>
        <v>0</v>
      </c>
      <c r="AP640" s="1490">
        <f t="shared" si="722"/>
        <v>0</v>
      </c>
      <c r="AS640" s="1490">
        <f t="shared" si="723"/>
        <v>0</v>
      </c>
      <c r="AT640" s="1490">
        <f t="shared" si="724"/>
        <v>0</v>
      </c>
      <c r="AU640" s="1490">
        <f t="shared" si="725"/>
        <v>0</v>
      </c>
    </row>
    <row r="641" spans="1:47" ht="62.1" hidden="1" customHeight="1" x14ac:dyDescent="0.6">
      <c r="A641" s="4066"/>
      <c r="B641" s="1955"/>
      <c r="C641" s="3742" t="s">
        <v>621</v>
      </c>
      <c r="D641" s="3742"/>
      <c r="E641" s="2539">
        <f>+'Compra -HOJA1'!G333</f>
        <v>0</v>
      </c>
      <c r="F641" s="1680">
        <f t="shared" si="687"/>
        <v>0</v>
      </c>
      <c r="G641" s="1680">
        <f t="shared" si="688"/>
        <v>0</v>
      </c>
      <c r="H641" s="1680">
        <f t="shared" si="689"/>
        <v>0</v>
      </c>
      <c r="I641" s="1680">
        <f t="shared" ca="1" si="690"/>
        <v>0</v>
      </c>
      <c r="J641" s="1680">
        <f t="shared" ca="1" si="691"/>
        <v>0</v>
      </c>
      <c r="K641" s="1680">
        <f t="shared" ca="1" si="692"/>
        <v>0</v>
      </c>
      <c r="L641" s="2021">
        <f t="shared" ca="1" si="693"/>
        <v>0</v>
      </c>
      <c r="M641" s="2021">
        <f t="shared" ca="1" si="694"/>
        <v>0</v>
      </c>
      <c r="N641" s="2851">
        <f t="shared" ca="1" si="695"/>
        <v>0</v>
      </c>
      <c r="O641" s="4066"/>
      <c r="P641" s="1955"/>
      <c r="Q641" s="3742" t="s">
        <v>621</v>
      </c>
      <c r="R641" s="3742"/>
      <c r="S641" s="2804">
        <f>+ROUND('Compra -HOJA1'!I333,0)</f>
        <v>0</v>
      </c>
      <c r="T641" s="2804">
        <f>+ROUND('Compra -HOJA1'!K333,0)</f>
        <v>0</v>
      </c>
      <c r="U641" s="2804">
        <f>+ROUND('Compra -HOJA1'!J333,0)</f>
        <v>0</v>
      </c>
      <c r="V641" s="2804">
        <f ca="1">+ROUND('Compra -HOJA1'!L333,0)</f>
        <v>0</v>
      </c>
      <c r="W641" s="2804">
        <f ca="1">+ROUND('Compra -HOJA1'!N333,0)</f>
        <v>0</v>
      </c>
      <c r="X641" s="2804">
        <f ca="1">+ROUND('Compra -HOJA1'!M333,0)</f>
        <v>0</v>
      </c>
      <c r="Y641" s="2805">
        <f ca="1">+'Compra -HOJA1'!O333</f>
        <v>0</v>
      </c>
      <c r="Z641" s="2805">
        <f ca="1">+'Compra -HOJA1'!Q333</f>
        <v>0</v>
      </c>
      <c r="AA641" s="2805">
        <f ca="1">+'Compra -HOJA1'!P333</f>
        <v>0</v>
      </c>
      <c r="AC641" s="2835">
        <f t="shared" si="711"/>
        <v>0</v>
      </c>
      <c r="AD641" s="2776">
        <f t="shared" si="712"/>
        <v>0</v>
      </c>
      <c r="AE641" s="2776">
        <f t="shared" si="713"/>
        <v>0</v>
      </c>
      <c r="AF641" s="1490">
        <f t="shared" si="714"/>
        <v>0</v>
      </c>
      <c r="AG641" s="1490">
        <f>+'Compra -HOJA1'!F333</f>
        <v>0</v>
      </c>
      <c r="AH641" s="2776">
        <f t="shared" ca="1" si="715"/>
        <v>0</v>
      </c>
      <c r="AI641" s="2776">
        <f t="shared" ca="1" si="716"/>
        <v>0</v>
      </c>
      <c r="AJ641" s="2776">
        <f t="shared" ca="1" si="717"/>
        <v>0</v>
      </c>
      <c r="AK641" s="1490">
        <f t="shared" ca="1" si="718"/>
        <v>0</v>
      </c>
      <c r="AL641" s="2825">
        <f t="shared" ca="1" si="719"/>
        <v>0</v>
      </c>
      <c r="AM641" s="1490">
        <f t="shared" ca="1" si="720"/>
        <v>0</v>
      </c>
      <c r="AO641" s="1573">
        <f t="shared" si="721"/>
        <v>0</v>
      </c>
      <c r="AP641" s="1490">
        <f t="shared" si="722"/>
        <v>0</v>
      </c>
      <c r="AS641" s="1490">
        <f t="shared" si="723"/>
        <v>0</v>
      </c>
      <c r="AT641" s="1490">
        <f t="shared" si="724"/>
        <v>0</v>
      </c>
      <c r="AU641" s="1490">
        <f t="shared" si="725"/>
        <v>0</v>
      </c>
    </row>
    <row r="642" spans="1:47" ht="62.1" hidden="1" customHeight="1" x14ac:dyDescent="0.6">
      <c r="A642" s="4066"/>
      <c r="B642" s="1955">
        <v>5055</v>
      </c>
      <c r="C642" s="3742" t="s">
        <v>222</v>
      </c>
      <c r="D642" s="3742"/>
      <c r="E642" s="2539">
        <f>+'Compra -HOJA1'!G334</f>
        <v>0</v>
      </c>
      <c r="F642" s="1680">
        <f t="shared" si="687"/>
        <v>0</v>
      </c>
      <c r="G642" s="1680">
        <f t="shared" si="688"/>
        <v>0</v>
      </c>
      <c r="H642" s="1680">
        <f t="shared" si="689"/>
        <v>0</v>
      </c>
      <c r="I642" s="1680">
        <f t="shared" ca="1" si="690"/>
        <v>0</v>
      </c>
      <c r="J642" s="1680">
        <f t="shared" ca="1" si="691"/>
        <v>0</v>
      </c>
      <c r="K642" s="1680">
        <f t="shared" ca="1" si="692"/>
        <v>0</v>
      </c>
      <c r="L642" s="2021">
        <f t="shared" ca="1" si="693"/>
        <v>0</v>
      </c>
      <c r="M642" s="2021">
        <f t="shared" ca="1" si="694"/>
        <v>0</v>
      </c>
      <c r="N642" s="2851">
        <f t="shared" ca="1" si="695"/>
        <v>0</v>
      </c>
      <c r="O642" s="4066"/>
      <c r="P642" s="1955">
        <v>5055</v>
      </c>
      <c r="Q642" s="3742" t="s">
        <v>222</v>
      </c>
      <c r="R642" s="3742"/>
      <c r="S642" s="2804">
        <f>+ROUND('Compra -HOJA1'!I334,0)</f>
        <v>0</v>
      </c>
      <c r="T642" s="2804">
        <f>+ROUND('Compra -HOJA1'!K334,0)</f>
        <v>0</v>
      </c>
      <c r="U642" s="2804">
        <f>+ROUND('Compra -HOJA1'!J334,0)</f>
        <v>0</v>
      </c>
      <c r="V642" s="2804">
        <f ca="1">+ROUND('Compra -HOJA1'!L334,0)</f>
        <v>0</v>
      </c>
      <c r="W642" s="2804">
        <f ca="1">+ROUND('Compra -HOJA1'!N334,0)</f>
        <v>0</v>
      </c>
      <c r="X642" s="2804">
        <f ca="1">+ROUND('Compra -HOJA1'!M334,0)</f>
        <v>0</v>
      </c>
      <c r="Y642" s="2805">
        <f ca="1">+'Compra -HOJA1'!O334</f>
        <v>0</v>
      </c>
      <c r="Z642" s="2805">
        <f ca="1">+'Compra -HOJA1'!Q334</f>
        <v>0</v>
      </c>
      <c r="AA642" s="2805">
        <f ca="1">+'Compra -HOJA1'!P334</f>
        <v>0</v>
      </c>
      <c r="AC642" s="2835">
        <f t="shared" si="711"/>
        <v>0</v>
      </c>
      <c r="AD642" s="2776">
        <f t="shared" si="712"/>
        <v>0</v>
      </c>
      <c r="AE642" s="2776">
        <f t="shared" si="713"/>
        <v>0</v>
      </c>
      <c r="AF642" s="1490">
        <f t="shared" si="714"/>
        <v>0</v>
      </c>
      <c r="AG642" s="1490">
        <f>+'Compra -HOJA1'!F334</f>
        <v>0</v>
      </c>
      <c r="AH642" s="2776">
        <f t="shared" ca="1" si="715"/>
        <v>0</v>
      </c>
      <c r="AI642" s="2776">
        <f t="shared" ca="1" si="716"/>
        <v>0</v>
      </c>
      <c r="AJ642" s="2776">
        <f t="shared" ca="1" si="717"/>
        <v>0</v>
      </c>
      <c r="AK642" s="1490">
        <f t="shared" ca="1" si="718"/>
        <v>0</v>
      </c>
      <c r="AL642" s="2825">
        <f t="shared" ca="1" si="719"/>
        <v>0</v>
      </c>
      <c r="AM642" s="1490">
        <f t="shared" ca="1" si="720"/>
        <v>0</v>
      </c>
      <c r="AO642" s="1573">
        <f t="shared" si="721"/>
        <v>0</v>
      </c>
      <c r="AP642" s="1490">
        <f t="shared" si="722"/>
        <v>0</v>
      </c>
      <c r="AS642" s="1490">
        <f t="shared" si="723"/>
        <v>0</v>
      </c>
      <c r="AT642" s="1490">
        <f t="shared" si="724"/>
        <v>0</v>
      </c>
      <c r="AU642" s="1490">
        <f t="shared" si="725"/>
        <v>0</v>
      </c>
    </row>
    <row r="643" spans="1:47" ht="62.1" hidden="1" customHeight="1" x14ac:dyDescent="0.6">
      <c r="A643" s="4066"/>
      <c r="B643" s="1948">
        <v>5506</v>
      </c>
      <c r="C643" s="3751" t="s">
        <v>1234</v>
      </c>
      <c r="D643" s="1948" t="s">
        <v>59</v>
      </c>
      <c r="E643" s="2539">
        <f>+'Compra -HOJA1'!G335</f>
        <v>0</v>
      </c>
      <c r="F643" s="1680">
        <f t="shared" si="687"/>
        <v>0</v>
      </c>
      <c r="G643" s="1680">
        <f t="shared" si="688"/>
        <v>0</v>
      </c>
      <c r="H643" s="1680">
        <f t="shared" si="689"/>
        <v>0</v>
      </c>
      <c r="I643" s="1680">
        <f t="shared" ca="1" si="690"/>
        <v>0</v>
      </c>
      <c r="J643" s="1680">
        <f t="shared" ca="1" si="691"/>
        <v>0</v>
      </c>
      <c r="K643" s="1680">
        <f t="shared" ca="1" si="692"/>
        <v>0</v>
      </c>
      <c r="L643" s="2021">
        <f t="shared" ca="1" si="693"/>
        <v>0</v>
      </c>
      <c r="M643" s="2021">
        <f t="shared" ca="1" si="694"/>
        <v>0</v>
      </c>
      <c r="N643" s="2851">
        <f t="shared" ca="1" si="695"/>
        <v>0</v>
      </c>
      <c r="O643" s="4066"/>
      <c r="P643" s="1948">
        <v>5506</v>
      </c>
      <c r="Q643" s="3751" t="s">
        <v>1234</v>
      </c>
      <c r="R643" s="1948" t="s">
        <v>59</v>
      </c>
      <c r="S643" s="2804">
        <f>+ROUND('Compra -HOJA1'!I335,0)</f>
        <v>0</v>
      </c>
      <c r="T643" s="2804">
        <f>+ROUND('Compra -HOJA1'!K335,0)</f>
        <v>0</v>
      </c>
      <c r="U643" s="2804">
        <f>+ROUND('Compra -HOJA1'!J335,0)</f>
        <v>0</v>
      </c>
      <c r="V643" s="2804">
        <f ca="1">+ROUND('Compra -HOJA1'!L335,0)</f>
        <v>0</v>
      </c>
      <c r="W643" s="2804">
        <f ca="1">+ROUND('Compra -HOJA1'!N335,0)</f>
        <v>0</v>
      </c>
      <c r="X643" s="2804">
        <f ca="1">+ROUND('Compra -HOJA1'!M335,0)</f>
        <v>0</v>
      </c>
      <c r="Y643" s="2805">
        <f ca="1">+'Compra -HOJA1'!O335</f>
        <v>0</v>
      </c>
      <c r="Z643" s="2805">
        <f ca="1">+'Compra -HOJA1'!Q335</f>
        <v>0</v>
      </c>
      <c r="AA643" s="2805">
        <f ca="1">+'Compra -HOJA1'!P335</f>
        <v>0</v>
      </c>
      <c r="AC643" s="2835">
        <f t="shared" si="711"/>
        <v>0</v>
      </c>
      <c r="AD643" s="2776">
        <f t="shared" si="712"/>
        <v>0</v>
      </c>
      <c r="AE643" s="2776">
        <f t="shared" si="713"/>
        <v>0</v>
      </c>
      <c r="AF643" s="1490">
        <f t="shared" si="714"/>
        <v>0</v>
      </c>
      <c r="AG643" s="1490">
        <f>+'Compra -HOJA1'!F335</f>
        <v>0</v>
      </c>
      <c r="AH643" s="2776">
        <f t="shared" ca="1" si="715"/>
        <v>0</v>
      </c>
      <c r="AI643" s="2776">
        <f t="shared" ca="1" si="716"/>
        <v>0</v>
      </c>
      <c r="AJ643" s="2776">
        <f t="shared" ca="1" si="717"/>
        <v>0</v>
      </c>
      <c r="AK643" s="1490">
        <f t="shared" ca="1" si="718"/>
        <v>0</v>
      </c>
      <c r="AL643" s="2825">
        <f t="shared" ca="1" si="719"/>
        <v>0</v>
      </c>
      <c r="AM643" s="1490">
        <f t="shared" ca="1" si="720"/>
        <v>0</v>
      </c>
      <c r="AO643" s="1573">
        <f t="shared" si="721"/>
        <v>0</v>
      </c>
      <c r="AP643" s="1490">
        <f t="shared" si="722"/>
        <v>0</v>
      </c>
      <c r="AS643" s="1490">
        <f t="shared" si="723"/>
        <v>0</v>
      </c>
      <c r="AT643" s="1490">
        <f t="shared" si="724"/>
        <v>0</v>
      </c>
      <c r="AU643" s="1490">
        <f t="shared" si="725"/>
        <v>0</v>
      </c>
    </row>
    <row r="644" spans="1:47" ht="62.1" hidden="1" customHeight="1" x14ac:dyDescent="0.6">
      <c r="A644" s="4066"/>
      <c r="B644" s="1948"/>
      <c r="C644" s="3746"/>
      <c r="D644" s="1948" t="s">
        <v>590</v>
      </c>
      <c r="E644" s="2539">
        <f>+'Compra -HOJA1'!G336</f>
        <v>0</v>
      </c>
      <c r="F644" s="1680">
        <f t="shared" si="687"/>
        <v>0</v>
      </c>
      <c r="G644" s="1680">
        <f t="shared" si="688"/>
        <v>0</v>
      </c>
      <c r="H644" s="1680">
        <f t="shared" si="689"/>
        <v>0</v>
      </c>
      <c r="I644" s="1680">
        <f t="shared" ca="1" si="690"/>
        <v>0</v>
      </c>
      <c r="J644" s="1680">
        <f t="shared" ca="1" si="691"/>
        <v>0</v>
      </c>
      <c r="K644" s="1680">
        <f t="shared" ca="1" si="692"/>
        <v>0</v>
      </c>
      <c r="L644" s="2021">
        <f t="shared" ca="1" si="693"/>
        <v>0</v>
      </c>
      <c r="M644" s="2021">
        <f t="shared" ca="1" si="694"/>
        <v>0</v>
      </c>
      <c r="N644" s="2851">
        <f t="shared" ca="1" si="695"/>
        <v>0</v>
      </c>
      <c r="O644" s="4066"/>
      <c r="P644" s="1948"/>
      <c r="Q644" s="3746"/>
      <c r="R644" s="1948" t="s">
        <v>590</v>
      </c>
      <c r="S644" s="2804">
        <f>+ROUND('Compra -HOJA1'!I336,0)</f>
        <v>0</v>
      </c>
      <c r="T644" s="2804">
        <f>+ROUND('Compra -HOJA1'!K336,0)</f>
        <v>0</v>
      </c>
      <c r="U644" s="2804">
        <f>+ROUND('Compra -HOJA1'!J336,0)</f>
        <v>0</v>
      </c>
      <c r="V644" s="2804">
        <f ca="1">+ROUND('Compra -HOJA1'!L336,0)</f>
        <v>0</v>
      </c>
      <c r="W644" s="2804">
        <f ca="1">+ROUND('Compra -HOJA1'!N336,0)</f>
        <v>0</v>
      </c>
      <c r="X644" s="2804">
        <f ca="1">+ROUND('Compra -HOJA1'!M336,0)</f>
        <v>0</v>
      </c>
      <c r="Y644" s="2805">
        <f ca="1">+'Compra -HOJA1'!O336</f>
        <v>0</v>
      </c>
      <c r="Z644" s="2805">
        <f ca="1">+'Compra -HOJA1'!Q336</f>
        <v>0</v>
      </c>
      <c r="AA644" s="2805">
        <f ca="1">+'Compra -HOJA1'!P336</f>
        <v>0</v>
      </c>
      <c r="AC644" s="2835">
        <f t="shared" si="711"/>
        <v>0</v>
      </c>
      <c r="AD644" s="2776">
        <f t="shared" si="712"/>
        <v>0</v>
      </c>
      <c r="AE644" s="2776">
        <f t="shared" si="713"/>
        <v>0</v>
      </c>
      <c r="AF644" s="1490">
        <f t="shared" si="714"/>
        <v>0</v>
      </c>
      <c r="AG644" s="1490">
        <f>+'Compra -HOJA1'!F336</f>
        <v>0</v>
      </c>
      <c r="AH644" s="2776">
        <f t="shared" ca="1" si="715"/>
        <v>0</v>
      </c>
      <c r="AI644" s="2776">
        <f t="shared" ca="1" si="716"/>
        <v>0</v>
      </c>
      <c r="AJ644" s="2776">
        <f t="shared" ca="1" si="717"/>
        <v>0</v>
      </c>
      <c r="AK644" s="1490">
        <f t="shared" ca="1" si="718"/>
        <v>0</v>
      </c>
      <c r="AL644" s="2825">
        <f t="shared" ca="1" si="719"/>
        <v>0</v>
      </c>
      <c r="AM644" s="1490">
        <f t="shared" ca="1" si="720"/>
        <v>0</v>
      </c>
      <c r="AO644" s="1573">
        <f t="shared" si="721"/>
        <v>0</v>
      </c>
      <c r="AP644" s="1490">
        <f t="shared" si="722"/>
        <v>0</v>
      </c>
      <c r="AS644" s="1490">
        <f t="shared" si="723"/>
        <v>0</v>
      </c>
      <c r="AT644" s="1490">
        <f t="shared" si="724"/>
        <v>0</v>
      </c>
      <c r="AU644" s="1490">
        <f t="shared" si="725"/>
        <v>0</v>
      </c>
    </row>
    <row r="645" spans="1:47" ht="62.1" hidden="1" customHeight="1" thickBot="1" x14ac:dyDescent="0.65">
      <c r="A645" s="4066"/>
      <c r="B645" s="1949">
        <v>5556</v>
      </c>
      <c r="C645" s="3747"/>
      <c r="D645" s="3173" t="s">
        <v>60</v>
      </c>
      <c r="E645" s="2539">
        <f>+'Compra -HOJA1'!G337</f>
        <v>0</v>
      </c>
      <c r="F645" s="1680">
        <f t="shared" si="687"/>
        <v>0</v>
      </c>
      <c r="G645" s="1680">
        <f t="shared" si="688"/>
        <v>0</v>
      </c>
      <c r="H645" s="1680">
        <f t="shared" si="689"/>
        <v>0</v>
      </c>
      <c r="I645" s="1680">
        <f t="shared" ca="1" si="690"/>
        <v>0</v>
      </c>
      <c r="J645" s="1680">
        <f t="shared" ca="1" si="691"/>
        <v>0</v>
      </c>
      <c r="K645" s="1680">
        <f t="shared" ca="1" si="692"/>
        <v>0</v>
      </c>
      <c r="L645" s="2021">
        <f t="shared" ca="1" si="693"/>
        <v>0</v>
      </c>
      <c r="M645" s="2021">
        <f t="shared" ca="1" si="694"/>
        <v>0</v>
      </c>
      <c r="N645" s="2851">
        <f t="shared" ca="1" si="695"/>
        <v>0</v>
      </c>
      <c r="O645" s="4066"/>
      <c r="P645" s="1949">
        <v>5556</v>
      </c>
      <c r="Q645" s="3747"/>
      <c r="R645" s="3173" t="s">
        <v>60</v>
      </c>
      <c r="S645" s="2804">
        <f>+ROUND('Compra -HOJA1'!I337,0)</f>
        <v>0</v>
      </c>
      <c r="T645" s="2804">
        <f>+ROUND('Compra -HOJA1'!K337,0)</f>
        <v>0</v>
      </c>
      <c r="U645" s="2804">
        <f>+ROUND('Compra -HOJA1'!J337,0)</f>
        <v>0</v>
      </c>
      <c r="V645" s="2804">
        <f ca="1">+ROUND('Compra -HOJA1'!L337,0)</f>
        <v>0</v>
      </c>
      <c r="W645" s="2804">
        <f ca="1">+ROUND('Compra -HOJA1'!N337,0)</f>
        <v>0</v>
      </c>
      <c r="X645" s="2804">
        <f ca="1">+ROUND('Compra -HOJA1'!M337,0)</f>
        <v>0</v>
      </c>
      <c r="Y645" s="2805">
        <f ca="1">+'Compra -HOJA1'!O337</f>
        <v>0</v>
      </c>
      <c r="Z645" s="2805">
        <f ca="1">+'Compra -HOJA1'!Q337</f>
        <v>0</v>
      </c>
      <c r="AA645" s="2805">
        <f ca="1">+'Compra -HOJA1'!P337</f>
        <v>0</v>
      </c>
      <c r="AC645" s="2835">
        <f t="shared" si="711"/>
        <v>0</v>
      </c>
      <c r="AD645" s="2776">
        <f t="shared" si="712"/>
        <v>0</v>
      </c>
      <c r="AE645" s="2776">
        <f t="shared" si="713"/>
        <v>0</v>
      </c>
      <c r="AF645" s="1490">
        <f t="shared" si="714"/>
        <v>0</v>
      </c>
      <c r="AG645" s="1490">
        <f>+'Compra -HOJA1'!F337</f>
        <v>0</v>
      </c>
      <c r="AH645" s="2776">
        <f t="shared" ca="1" si="715"/>
        <v>0</v>
      </c>
      <c r="AI645" s="2776">
        <f t="shared" ca="1" si="716"/>
        <v>0</v>
      </c>
      <c r="AJ645" s="2776">
        <f t="shared" ca="1" si="717"/>
        <v>0</v>
      </c>
      <c r="AK645" s="1490">
        <f t="shared" ca="1" si="718"/>
        <v>0</v>
      </c>
      <c r="AL645" s="2825">
        <f t="shared" ca="1" si="719"/>
        <v>0</v>
      </c>
      <c r="AM645" s="1490">
        <f t="shared" ca="1" si="720"/>
        <v>0</v>
      </c>
      <c r="AO645" s="1573">
        <f t="shared" si="721"/>
        <v>0</v>
      </c>
      <c r="AP645" s="1490">
        <f t="shared" si="722"/>
        <v>0</v>
      </c>
      <c r="AS645" s="1490">
        <f t="shared" si="723"/>
        <v>0</v>
      </c>
      <c r="AT645" s="1490">
        <f t="shared" si="724"/>
        <v>0</v>
      </c>
      <c r="AU645" s="1490">
        <f t="shared" si="725"/>
        <v>0</v>
      </c>
    </row>
    <row r="646" spans="1:47" ht="62.1" hidden="1" customHeight="1" x14ac:dyDescent="0.6">
      <c r="A646" s="4066"/>
      <c r="B646" s="1949"/>
      <c r="C646" s="3482"/>
      <c r="D646" s="1949" t="s">
        <v>591</v>
      </c>
      <c r="E646" s="2539">
        <f>+'Compra -HOJA1'!G338</f>
        <v>0</v>
      </c>
      <c r="F646" s="1680">
        <f t="shared" si="687"/>
        <v>0</v>
      </c>
      <c r="G646" s="1680">
        <f t="shared" si="688"/>
        <v>0</v>
      </c>
      <c r="H646" s="1680">
        <f t="shared" si="689"/>
        <v>0</v>
      </c>
      <c r="I646" s="1680">
        <f t="shared" ca="1" si="690"/>
        <v>0</v>
      </c>
      <c r="J646" s="1680">
        <f t="shared" ca="1" si="691"/>
        <v>0</v>
      </c>
      <c r="K646" s="1680">
        <f t="shared" ca="1" si="692"/>
        <v>0</v>
      </c>
      <c r="L646" s="2021">
        <f t="shared" ca="1" si="693"/>
        <v>0</v>
      </c>
      <c r="M646" s="2021">
        <f t="shared" ca="1" si="694"/>
        <v>0</v>
      </c>
      <c r="N646" s="2851">
        <f t="shared" ca="1" si="695"/>
        <v>0</v>
      </c>
      <c r="O646" s="4066"/>
      <c r="P646" s="1949"/>
      <c r="Q646" s="3482"/>
      <c r="R646" s="1949" t="s">
        <v>591</v>
      </c>
      <c r="S646" s="2804">
        <f>+ROUND('Compra -HOJA1'!I338,0)</f>
        <v>0</v>
      </c>
      <c r="T646" s="2804">
        <f>+ROUND('Compra -HOJA1'!K338,0)</f>
        <v>0</v>
      </c>
      <c r="U646" s="2804">
        <f>+ROUND('Compra -HOJA1'!J338,0)</f>
        <v>0</v>
      </c>
      <c r="V646" s="2804">
        <f ca="1">+ROUND('Compra -HOJA1'!L338,0)</f>
        <v>0</v>
      </c>
      <c r="W646" s="2804">
        <f ca="1">+ROUND('Compra -HOJA1'!N338,0)</f>
        <v>0</v>
      </c>
      <c r="X646" s="2804">
        <f ca="1">+ROUND('Compra -HOJA1'!M338,0)</f>
        <v>0</v>
      </c>
      <c r="Y646" s="2805">
        <f ca="1">+'Compra -HOJA1'!O338</f>
        <v>0</v>
      </c>
      <c r="Z646" s="2805">
        <f ca="1">+'Compra -HOJA1'!Q338</f>
        <v>0</v>
      </c>
      <c r="AA646" s="2805">
        <f ca="1">+'Compra -HOJA1'!P338</f>
        <v>0</v>
      </c>
      <c r="AC646" s="2835">
        <f t="shared" si="711"/>
        <v>0</v>
      </c>
      <c r="AD646" s="2776">
        <f t="shared" si="712"/>
        <v>0</v>
      </c>
      <c r="AE646" s="2776">
        <f t="shared" si="713"/>
        <v>0</v>
      </c>
      <c r="AF646" s="1490">
        <f t="shared" si="714"/>
        <v>0</v>
      </c>
      <c r="AG646" s="1490">
        <f>+'Compra -HOJA1'!F338</f>
        <v>0</v>
      </c>
      <c r="AH646" s="2776">
        <f t="shared" ca="1" si="715"/>
        <v>0</v>
      </c>
      <c r="AI646" s="2776">
        <f t="shared" ca="1" si="716"/>
        <v>0</v>
      </c>
      <c r="AJ646" s="2776">
        <f t="shared" ca="1" si="717"/>
        <v>0</v>
      </c>
      <c r="AK646" s="1490">
        <f t="shared" ca="1" si="718"/>
        <v>0</v>
      </c>
      <c r="AL646" s="2825">
        <f t="shared" ca="1" si="719"/>
        <v>0</v>
      </c>
      <c r="AM646" s="1490">
        <f t="shared" ca="1" si="720"/>
        <v>0</v>
      </c>
      <c r="AO646" s="1573">
        <f t="shared" si="721"/>
        <v>0</v>
      </c>
      <c r="AP646" s="1490">
        <f t="shared" si="722"/>
        <v>0</v>
      </c>
      <c r="AS646" s="1490">
        <f t="shared" si="723"/>
        <v>0</v>
      </c>
      <c r="AT646" s="1490">
        <f t="shared" si="724"/>
        <v>0</v>
      </c>
      <c r="AU646" s="1490">
        <f t="shared" si="725"/>
        <v>0</v>
      </c>
    </row>
    <row r="647" spans="1:47" ht="62.1" hidden="1" customHeight="1" x14ac:dyDescent="0.6">
      <c r="A647" s="4066"/>
      <c r="B647" s="1948">
        <v>5574</v>
      </c>
      <c r="C647" s="3751" t="s">
        <v>1232</v>
      </c>
      <c r="D647" s="1948" t="s">
        <v>59</v>
      </c>
      <c r="E647" s="2539">
        <f>+'Compra -HOJA1'!G339</f>
        <v>0</v>
      </c>
      <c r="F647" s="1680">
        <f t="shared" si="687"/>
        <v>0</v>
      </c>
      <c r="G647" s="1680">
        <f t="shared" si="688"/>
        <v>0</v>
      </c>
      <c r="H647" s="1680">
        <f t="shared" si="689"/>
        <v>0</v>
      </c>
      <c r="I647" s="1680">
        <f t="shared" ca="1" si="690"/>
        <v>0</v>
      </c>
      <c r="J647" s="1680">
        <f t="shared" ca="1" si="691"/>
        <v>0</v>
      </c>
      <c r="K647" s="1680">
        <f t="shared" ca="1" si="692"/>
        <v>0</v>
      </c>
      <c r="L647" s="2021">
        <f t="shared" ca="1" si="693"/>
        <v>0</v>
      </c>
      <c r="M647" s="2021">
        <f t="shared" ca="1" si="694"/>
        <v>0</v>
      </c>
      <c r="N647" s="2851">
        <f t="shared" ca="1" si="695"/>
        <v>0</v>
      </c>
      <c r="O647" s="4066"/>
      <c r="P647" s="1948">
        <v>5574</v>
      </c>
      <c r="Q647" s="3751" t="s">
        <v>1232</v>
      </c>
      <c r="R647" s="1948" t="s">
        <v>59</v>
      </c>
      <c r="S647" s="2804">
        <f>+ROUND('Compra -HOJA1'!I339,0)</f>
        <v>0</v>
      </c>
      <c r="T647" s="2804">
        <f>+ROUND('Compra -HOJA1'!K339,0)</f>
        <v>0</v>
      </c>
      <c r="U647" s="2804">
        <f>+ROUND('Compra -HOJA1'!J339,0)</f>
        <v>0</v>
      </c>
      <c r="V647" s="2804">
        <f ca="1">+ROUND('Compra -HOJA1'!L339,0)</f>
        <v>0</v>
      </c>
      <c r="W647" s="2804">
        <f ca="1">+ROUND('Compra -HOJA1'!N339,0)</f>
        <v>0</v>
      </c>
      <c r="X647" s="2804">
        <f ca="1">+ROUND('Compra -HOJA1'!M339,0)</f>
        <v>0</v>
      </c>
      <c r="Y647" s="2805">
        <f ca="1">+'Compra -HOJA1'!O339</f>
        <v>0</v>
      </c>
      <c r="Z647" s="2805">
        <f ca="1">+'Compra -HOJA1'!Q339</f>
        <v>0</v>
      </c>
      <c r="AA647" s="2805">
        <f ca="1">+'Compra -HOJA1'!P339</f>
        <v>0</v>
      </c>
      <c r="AC647" s="2835">
        <f t="shared" si="711"/>
        <v>0</v>
      </c>
      <c r="AD647" s="2776">
        <f t="shared" si="712"/>
        <v>0</v>
      </c>
      <c r="AE647" s="2776">
        <f t="shared" si="713"/>
        <v>0</v>
      </c>
      <c r="AF647" s="1490">
        <f t="shared" si="714"/>
        <v>0</v>
      </c>
      <c r="AG647" s="1490">
        <f>+'Compra -HOJA1'!F339</f>
        <v>0</v>
      </c>
      <c r="AH647" s="2776">
        <f t="shared" ca="1" si="715"/>
        <v>0</v>
      </c>
      <c r="AI647" s="2776">
        <f t="shared" ca="1" si="716"/>
        <v>0</v>
      </c>
      <c r="AJ647" s="2776">
        <f t="shared" ca="1" si="717"/>
        <v>0</v>
      </c>
      <c r="AK647" s="1490">
        <f t="shared" ca="1" si="718"/>
        <v>0</v>
      </c>
      <c r="AL647" s="2825">
        <f t="shared" ca="1" si="719"/>
        <v>0</v>
      </c>
      <c r="AM647" s="1490">
        <f t="shared" ca="1" si="720"/>
        <v>0</v>
      </c>
      <c r="AO647" s="1573">
        <f t="shared" si="721"/>
        <v>0</v>
      </c>
      <c r="AP647" s="1490">
        <f t="shared" si="722"/>
        <v>0</v>
      </c>
      <c r="AS647" s="1490">
        <f t="shared" si="723"/>
        <v>0</v>
      </c>
      <c r="AT647" s="1490">
        <f t="shared" si="724"/>
        <v>0</v>
      </c>
      <c r="AU647" s="1490">
        <f t="shared" si="725"/>
        <v>0</v>
      </c>
    </row>
    <row r="648" spans="1:47" ht="62.1" hidden="1" customHeight="1" thickBot="1" x14ac:dyDescent="0.65">
      <c r="A648" s="4066"/>
      <c r="B648" s="1949">
        <v>5584</v>
      </c>
      <c r="C648" s="3747"/>
      <c r="D648" s="3173" t="s">
        <v>60</v>
      </c>
      <c r="E648" s="2539">
        <f>+'Compra -HOJA1'!G340</f>
        <v>0</v>
      </c>
      <c r="F648" s="1680">
        <f t="shared" si="687"/>
        <v>0</v>
      </c>
      <c r="G648" s="1680">
        <f t="shared" si="688"/>
        <v>0</v>
      </c>
      <c r="H648" s="1680">
        <f t="shared" si="689"/>
        <v>0</v>
      </c>
      <c r="I648" s="1680">
        <f t="shared" ca="1" si="690"/>
        <v>0</v>
      </c>
      <c r="J648" s="1680">
        <f t="shared" ca="1" si="691"/>
        <v>0</v>
      </c>
      <c r="K648" s="1680">
        <f t="shared" ca="1" si="692"/>
        <v>0</v>
      </c>
      <c r="L648" s="2021">
        <f t="shared" ca="1" si="693"/>
        <v>0</v>
      </c>
      <c r="M648" s="2021">
        <f t="shared" ca="1" si="694"/>
        <v>0</v>
      </c>
      <c r="N648" s="2851">
        <f t="shared" ca="1" si="695"/>
        <v>0</v>
      </c>
      <c r="O648" s="4066"/>
      <c r="P648" s="1949">
        <v>5584</v>
      </c>
      <c r="Q648" s="3747"/>
      <c r="R648" s="3173" t="s">
        <v>60</v>
      </c>
      <c r="S648" s="2804">
        <f>+ROUND('Compra -HOJA1'!I340,0)</f>
        <v>0</v>
      </c>
      <c r="T648" s="2804">
        <f>+ROUND('Compra -HOJA1'!K340,0)</f>
        <v>0</v>
      </c>
      <c r="U648" s="2804">
        <f>+ROUND('Compra -HOJA1'!J340,0)</f>
        <v>0</v>
      </c>
      <c r="V648" s="2804">
        <f ca="1">+ROUND('Compra -HOJA1'!L340,0)</f>
        <v>0</v>
      </c>
      <c r="W648" s="2804">
        <f ca="1">+ROUND('Compra -HOJA1'!N340,0)</f>
        <v>0</v>
      </c>
      <c r="X648" s="2804">
        <f ca="1">+ROUND('Compra -HOJA1'!M340,0)</f>
        <v>0</v>
      </c>
      <c r="Y648" s="2805">
        <f ca="1">+'Compra -HOJA1'!O340</f>
        <v>0</v>
      </c>
      <c r="Z648" s="2805">
        <f ca="1">+'Compra -HOJA1'!Q340</f>
        <v>0</v>
      </c>
      <c r="AA648" s="2805">
        <f ca="1">+'Compra -HOJA1'!P340</f>
        <v>0</v>
      </c>
      <c r="AC648" s="2835">
        <f t="shared" si="711"/>
        <v>0</v>
      </c>
      <c r="AD648" s="2776">
        <f t="shared" si="712"/>
        <v>0</v>
      </c>
      <c r="AE648" s="2776">
        <f t="shared" si="713"/>
        <v>0</v>
      </c>
      <c r="AF648" s="1490">
        <f t="shared" si="714"/>
        <v>0</v>
      </c>
      <c r="AG648" s="1490">
        <f>+'Compra -HOJA1'!F340</f>
        <v>0</v>
      </c>
      <c r="AH648" s="2776">
        <f t="shared" ca="1" si="715"/>
        <v>0</v>
      </c>
      <c r="AI648" s="2776">
        <f t="shared" ca="1" si="716"/>
        <v>0</v>
      </c>
      <c r="AJ648" s="2776">
        <f t="shared" ca="1" si="717"/>
        <v>0</v>
      </c>
      <c r="AK648" s="1490">
        <f t="shared" ca="1" si="718"/>
        <v>0</v>
      </c>
      <c r="AL648" s="2825">
        <f t="shared" ca="1" si="719"/>
        <v>0</v>
      </c>
      <c r="AM648" s="1490">
        <f t="shared" ca="1" si="720"/>
        <v>0</v>
      </c>
      <c r="AO648" s="1573">
        <f t="shared" si="721"/>
        <v>0</v>
      </c>
      <c r="AP648" s="1490">
        <f t="shared" si="722"/>
        <v>0</v>
      </c>
      <c r="AS648" s="1490">
        <f t="shared" si="723"/>
        <v>0</v>
      </c>
      <c r="AT648" s="1490">
        <f t="shared" si="724"/>
        <v>0</v>
      </c>
      <c r="AU648" s="1490">
        <f t="shared" si="725"/>
        <v>0</v>
      </c>
    </row>
    <row r="649" spans="1:47" ht="62.1" hidden="1" customHeight="1" x14ac:dyDescent="0.6">
      <c r="A649" s="4066"/>
      <c r="B649" s="1948">
        <v>5594</v>
      </c>
      <c r="C649" s="3751" t="s">
        <v>1233</v>
      </c>
      <c r="D649" s="1948" t="s">
        <v>59</v>
      </c>
      <c r="E649" s="2539">
        <f>+'Compra -HOJA1'!G341</f>
        <v>0</v>
      </c>
      <c r="F649" s="1680">
        <f t="shared" si="687"/>
        <v>0</v>
      </c>
      <c r="G649" s="1680">
        <f t="shared" si="688"/>
        <v>0</v>
      </c>
      <c r="H649" s="1680">
        <f t="shared" si="689"/>
        <v>0</v>
      </c>
      <c r="I649" s="1680">
        <f t="shared" ca="1" si="690"/>
        <v>0</v>
      </c>
      <c r="J649" s="1680">
        <f t="shared" ca="1" si="691"/>
        <v>0</v>
      </c>
      <c r="K649" s="1680">
        <f t="shared" ca="1" si="692"/>
        <v>0</v>
      </c>
      <c r="L649" s="2021">
        <f t="shared" ca="1" si="693"/>
        <v>0</v>
      </c>
      <c r="M649" s="2021">
        <f t="shared" ca="1" si="694"/>
        <v>0</v>
      </c>
      <c r="N649" s="2851">
        <f t="shared" ca="1" si="695"/>
        <v>0</v>
      </c>
      <c r="O649" s="4066"/>
      <c r="P649" s="1948">
        <v>5594</v>
      </c>
      <c r="Q649" s="3745" t="s">
        <v>1233</v>
      </c>
      <c r="R649" s="1948" t="s">
        <v>59</v>
      </c>
      <c r="S649" s="2804">
        <f>+ROUND('Compra -HOJA1'!I341,0)</f>
        <v>0</v>
      </c>
      <c r="T649" s="2804">
        <f>+ROUND('Compra -HOJA1'!K341,0)</f>
        <v>0</v>
      </c>
      <c r="U649" s="2804">
        <f>+ROUND('Compra -HOJA1'!J341,0)</f>
        <v>0</v>
      </c>
      <c r="V649" s="2804">
        <f ca="1">+ROUND('Compra -HOJA1'!L341,0)</f>
        <v>0</v>
      </c>
      <c r="W649" s="2804">
        <f ca="1">+ROUND('Compra -HOJA1'!N341,0)</f>
        <v>0</v>
      </c>
      <c r="X649" s="2804">
        <f ca="1">+ROUND('Compra -HOJA1'!M341,0)</f>
        <v>0</v>
      </c>
      <c r="Y649" s="2805">
        <f ca="1">+'Compra -HOJA1'!O341</f>
        <v>0</v>
      </c>
      <c r="Z649" s="2805">
        <f ca="1">+'Compra -HOJA1'!Q341</f>
        <v>0</v>
      </c>
      <c r="AA649" s="2805">
        <f ca="1">+'Compra -HOJA1'!P341</f>
        <v>0</v>
      </c>
      <c r="AC649" s="2835">
        <f t="shared" si="711"/>
        <v>0</v>
      </c>
      <c r="AD649" s="2776">
        <f t="shared" si="712"/>
        <v>0</v>
      </c>
      <c r="AE649" s="2776">
        <f t="shared" si="713"/>
        <v>0</v>
      </c>
      <c r="AF649" s="1490">
        <f t="shared" si="714"/>
        <v>0</v>
      </c>
      <c r="AG649" s="1490">
        <f>+'Compra -HOJA1'!F341</f>
        <v>0</v>
      </c>
      <c r="AH649" s="2776">
        <f t="shared" ca="1" si="715"/>
        <v>0</v>
      </c>
      <c r="AI649" s="2776">
        <f t="shared" ca="1" si="716"/>
        <v>0</v>
      </c>
      <c r="AJ649" s="2776">
        <f t="shared" ca="1" si="717"/>
        <v>0</v>
      </c>
      <c r="AK649" s="1490">
        <f t="shared" ca="1" si="718"/>
        <v>0</v>
      </c>
      <c r="AL649" s="2825">
        <f t="shared" ca="1" si="719"/>
        <v>0</v>
      </c>
      <c r="AM649" s="1490">
        <f t="shared" ca="1" si="720"/>
        <v>0</v>
      </c>
      <c r="AO649" s="1573">
        <f t="shared" si="721"/>
        <v>0</v>
      </c>
      <c r="AP649" s="1490">
        <f t="shared" si="722"/>
        <v>0</v>
      </c>
      <c r="AS649" s="1490">
        <f t="shared" si="723"/>
        <v>0</v>
      </c>
      <c r="AT649" s="1490">
        <f t="shared" si="724"/>
        <v>0</v>
      </c>
      <c r="AU649" s="1490">
        <f t="shared" si="725"/>
        <v>0</v>
      </c>
    </row>
    <row r="650" spans="1:47" ht="62.1" hidden="1" customHeight="1" x14ac:dyDescent="0.6">
      <c r="A650" s="4066"/>
      <c r="B650" s="3484"/>
      <c r="C650" s="3746"/>
      <c r="D650" s="1948" t="s">
        <v>1320</v>
      </c>
      <c r="E650" s="2539">
        <f>+'Compra -HOJA1'!G342</f>
        <v>0</v>
      </c>
      <c r="F650" s="1680">
        <f t="shared" ref="F650" si="774">+AC650</f>
        <v>0</v>
      </c>
      <c r="G650" s="1680">
        <f t="shared" ref="G650" si="775">+AD650</f>
        <v>0</v>
      </c>
      <c r="H650" s="1680">
        <f t="shared" ref="H650" si="776">+AE650</f>
        <v>0</v>
      </c>
      <c r="I650" s="1680">
        <f t="shared" ref="I650" ca="1" si="777">+AH650</f>
        <v>0</v>
      </c>
      <c r="J650" s="1680">
        <f t="shared" ref="J650" ca="1" si="778">+AI650</f>
        <v>0</v>
      </c>
      <c r="K650" s="1680">
        <f t="shared" ref="K650" ca="1" si="779">+AJ650</f>
        <v>0</v>
      </c>
      <c r="L650" s="2021">
        <f t="shared" ref="L650" ca="1" si="780">+F650+I650</f>
        <v>0</v>
      </c>
      <c r="M650" s="2021">
        <f t="shared" ref="M650" ca="1" si="781">+G650+J650</f>
        <v>0</v>
      </c>
      <c r="N650" s="2851">
        <f t="shared" ref="N650" ca="1" si="782">+H650+K650</f>
        <v>0</v>
      </c>
      <c r="O650" s="4066"/>
      <c r="P650" s="3484"/>
      <c r="Q650" s="3746"/>
      <c r="R650" s="1948" t="s">
        <v>1320</v>
      </c>
      <c r="S650" s="2804">
        <f>+ROUND('Compra -HOJA1'!I342,0)</f>
        <v>0</v>
      </c>
      <c r="T650" s="2804">
        <f>+ROUND('Compra -HOJA1'!K342,0)</f>
        <v>0</v>
      </c>
      <c r="U650" s="2804">
        <f>+ROUND('Compra -HOJA1'!J342,0)</f>
        <v>0</v>
      </c>
      <c r="V650" s="2804">
        <f ca="1">+ROUND('Compra -HOJA1'!L342,0)</f>
        <v>0</v>
      </c>
      <c r="W650" s="2804">
        <f ca="1">+ROUND('Compra -HOJA1'!N342,0)</f>
        <v>0</v>
      </c>
      <c r="X650" s="2804">
        <f ca="1">+ROUND('Compra -HOJA1'!M342,0)</f>
        <v>0</v>
      </c>
      <c r="Y650" s="2805">
        <f ca="1">+'Compra -HOJA1'!O342</f>
        <v>0</v>
      </c>
      <c r="Z650" s="2805">
        <f ca="1">+'Compra -HOJA1'!Q342</f>
        <v>0</v>
      </c>
      <c r="AA650" s="2805">
        <f ca="1">+'Compra -HOJA1'!P342</f>
        <v>0</v>
      </c>
      <c r="AC650" s="2835">
        <f t="shared" ref="AC650" si="783">+ROUND(S650,0)</f>
        <v>0</v>
      </c>
      <c r="AD650" s="2776">
        <f t="shared" ref="AD650" si="784">+ROUND(T650,0)</f>
        <v>0</v>
      </c>
      <c r="AE650" s="2776">
        <f t="shared" ref="AE650" si="785">+AG650-AC650-AD650</f>
        <v>0</v>
      </c>
      <c r="AF650" s="1490">
        <f t="shared" ref="AF650" si="786">SUM(AC650:AE650)</f>
        <v>0</v>
      </c>
      <c r="AG650" s="1490">
        <f>+'Compra -HOJA1'!F342</f>
        <v>0</v>
      </c>
      <c r="AH650" s="2776">
        <f t="shared" ref="AH650" ca="1" si="787">+ROUND(V650,0)</f>
        <v>0</v>
      </c>
      <c r="AI650" s="2776">
        <f t="shared" ref="AI650" ca="1" si="788">+ROUND(W650,0)</f>
        <v>0</v>
      </c>
      <c r="AJ650" s="2776">
        <f t="shared" ref="AJ650" ca="1" si="789">+AL650-AH650-AI650</f>
        <v>0</v>
      </c>
      <c r="AK650" s="1490">
        <f t="shared" ref="AK650" ca="1" si="790">SUM(AH650:AJ650)</f>
        <v>0</v>
      </c>
      <c r="AL650" s="2825">
        <f t="shared" ref="AL650" ca="1" si="791">+ROUND(SUM(V650:X650),0)</f>
        <v>0</v>
      </c>
      <c r="AM650" s="1490">
        <f t="shared" ref="AM650" ca="1" si="792">SUM(V650:X650)</f>
        <v>0</v>
      </c>
      <c r="AO650" s="1573">
        <f t="shared" ref="AO650" si="793">+SUM(S650:U650)</f>
        <v>0</v>
      </c>
      <c r="AP650" s="1490">
        <f t="shared" ref="AP650" si="794">+AO650-AG650</f>
        <v>0</v>
      </c>
      <c r="AS650" s="1490">
        <f t="shared" ref="AS650" si="795">+S650-AC650</f>
        <v>0</v>
      </c>
      <c r="AT650" s="1490">
        <f t="shared" ref="AT650" si="796">+T650-AD650</f>
        <v>0</v>
      </c>
      <c r="AU650" s="1490">
        <f t="shared" ref="AU650" si="797">+U650-AE650</f>
        <v>0</v>
      </c>
    </row>
    <row r="651" spans="1:47" ht="62.1" hidden="1" customHeight="1" thickBot="1" x14ac:dyDescent="0.65">
      <c r="A651" s="4067"/>
      <c r="B651" s="3419">
        <v>5604</v>
      </c>
      <c r="C651" s="3747"/>
      <c r="D651" s="3173" t="s">
        <v>60</v>
      </c>
      <c r="E651" s="2539">
        <f>+'Compra -HOJA1'!G343</f>
        <v>0</v>
      </c>
      <c r="F651" s="1680">
        <f t="shared" si="687"/>
        <v>0</v>
      </c>
      <c r="G651" s="1680">
        <f t="shared" si="688"/>
        <v>0</v>
      </c>
      <c r="H651" s="1680">
        <f t="shared" si="689"/>
        <v>0</v>
      </c>
      <c r="I651" s="1680">
        <f t="shared" ca="1" si="690"/>
        <v>0</v>
      </c>
      <c r="J651" s="1680">
        <f t="shared" ca="1" si="691"/>
        <v>0</v>
      </c>
      <c r="K651" s="1680">
        <f t="shared" ca="1" si="692"/>
        <v>0</v>
      </c>
      <c r="L651" s="2021">
        <f t="shared" ca="1" si="693"/>
        <v>0</v>
      </c>
      <c r="M651" s="2021">
        <f t="shared" ca="1" si="694"/>
        <v>0</v>
      </c>
      <c r="N651" s="2851">
        <f t="shared" ca="1" si="695"/>
        <v>0</v>
      </c>
      <c r="O651" s="4067"/>
      <c r="P651" s="3419">
        <v>5604</v>
      </c>
      <c r="Q651" s="3746"/>
      <c r="R651" s="3173" t="s">
        <v>60</v>
      </c>
      <c r="S651" s="2804">
        <f>+ROUND('Compra -HOJA1'!I343,0)</f>
        <v>0</v>
      </c>
      <c r="T651" s="2804">
        <f>+ROUND('Compra -HOJA1'!K343,0)</f>
        <v>0</v>
      </c>
      <c r="U651" s="2804">
        <f>+ROUND('Compra -HOJA1'!J343,0)</f>
        <v>0</v>
      </c>
      <c r="V651" s="2804">
        <f ca="1">+ROUND('Compra -HOJA1'!L343,0)</f>
        <v>0</v>
      </c>
      <c r="W651" s="2804">
        <f ca="1">+ROUND('Compra -HOJA1'!N343,0)</f>
        <v>0</v>
      </c>
      <c r="X651" s="2804">
        <f ca="1">+ROUND('Compra -HOJA1'!M343,0)</f>
        <v>0</v>
      </c>
      <c r="Y651" s="2805">
        <f ca="1">+'Compra -HOJA1'!O343</f>
        <v>0</v>
      </c>
      <c r="Z651" s="2805">
        <f ca="1">+'Compra -HOJA1'!Q343</f>
        <v>0</v>
      </c>
      <c r="AA651" s="2805">
        <f ca="1">+'Compra -HOJA1'!P343</f>
        <v>0</v>
      </c>
      <c r="AC651" s="2835">
        <f t="shared" si="711"/>
        <v>0</v>
      </c>
      <c r="AD651" s="2776">
        <f t="shared" si="712"/>
        <v>0</v>
      </c>
      <c r="AE651" s="2776">
        <f t="shared" si="713"/>
        <v>0</v>
      </c>
      <c r="AF651" s="1490">
        <f t="shared" si="714"/>
        <v>0</v>
      </c>
      <c r="AG651" s="1490">
        <f>+'Compra -HOJA1'!F343</f>
        <v>0</v>
      </c>
      <c r="AH651" s="2776">
        <f t="shared" ca="1" si="715"/>
        <v>0</v>
      </c>
      <c r="AI651" s="2776">
        <f t="shared" ca="1" si="716"/>
        <v>0</v>
      </c>
      <c r="AJ651" s="2776">
        <f t="shared" ca="1" si="717"/>
        <v>0</v>
      </c>
      <c r="AK651" s="1490">
        <f t="shared" ca="1" si="718"/>
        <v>0</v>
      </c>
      <c r="AL651" s="2825">
        <f t="shared" ca="1" si="719"/>
        <v>0</v>
      </c>
      <c r="AM651" s="1490">
        <f t="shared" ca="1" si="720"/>
        <v>0</v>
      </c>
      <c r="AO651" s="1573">
        <f t="shared" si="721"/>
        <v>0</v>
      </c>
      <c r="AP651" s="1490">
        <f t="shared" si="722"/>
        <v>0</v>
      </c>
      <c r="AS651" s="1490">
        <f t="shared" si="723"/>
        <v>0</v>
      </c>
      <c r="AT651" s="1490">
        <f t="shared" si="724"/>
        <v>0</v>
      </c>
      <c r="AU651" s="1490">
        <f t="shared" si="725"/>
        <v>0</v>
      </c>
    </row>
    <row r="652" spans="1:47" ht="62.1" hidden="1" customHeight="1" thickBot="1" x14ac:dyDescent="0.65">
      <c r="A652" s="3490"/>
      <c r="B652" s="3515"/>
      <c r="C652" s="3482"/>
      <c r="D652" s="3173" t="s">
        <v>1321</v>
      </c>
      <c r="E652" s="2539">
        <f>+'Compra -HOJA1'!G344</f>
        <v>0</v>
      </c>
      <c r="F652" s="1680">
        <f t="shared" ref="F652" si="798">+AC652</f>
        <v>0</v>
      </c>
      <c r="G652" s="1680">
        <f t="shared" ref="G652" si="799">+AD652</f>
        <v>0</v>
      </c>
      <c r="H652" s="1680">
        <f t="shared" ref="H652" si="800">+AE652</f>
        <v>0</v>
      </c>
      <c r="I652" s="1680">
        <f t="shared" ref="I652" ca="1" si="801">+AH652</f>
        <v>0</v>
      </c>
      <c r="J652" s="1680">
        <f t="shared" ref="J652" ca="1" si="802">+AI652</f>
        <v>0</v>
      </c>
      <c r="K652" s="1680">
        <f t="shared" ref="K652" ca="1" si="803">+AJ652</f>
        <v>0</v>
      </c>
      <c r="L652" s="2021">
        <f t="shared" ref="L652" ca="1" si="804">+F652+I652</f>
        <v>0</v>
      </c>
      <c r="M652" s="2021">
        <f t="shared" ref="M652" ca="1" si="805">+G652+J652</f>
        <v>0</v>
      </c>
      <c r="N652" s="2851">
        <f t="shared" ref="N652" ca="1" si="806">+H652+K652</f>
        <v>0</v>
      </c>
      <c r="O652" s="3490"/>
      <c r="P652" s="3515"/>
      <c r="Q652" s="3747"/>
      <c r="R652" s="3173" t="s">
        <v>1321</v>
      </c>
      <c r="S652" s="2804">
        <f>+ROUND('Compra -HOJA1'!I344,0)</f>
        <v>0</v>
      </c>
      <c r="T652" s="2804">
        <f>+ROUND('Compra -HOJA1'!K344,0)</f>
        <v>0</v>
      </c>
      <c r="U652" s="2804">
        <f>+ROUND('Compra -HOJA1'!J344,0)</f>
        <v>0</v>
      </c>
      <c r="V652" s="2804">
        <f ca="1">+ROUND('Compra -HOJA1'!L344,0)</f>
        <v>0</v>
      </c>
      <c r="W652" s="2804">
        <f ca="1">+ROUND('Compra -HOJA1'!N344,0)</f>
        <v>0</v>
      </c>
      <c r="X652" s="2804">
        <f ca="1">+ROUND('Compra -HOJA1'!M344,0)</f>
        <v>0</v>
      </c>
      <c r="Y652" s="2805">
        <f ca="1">+'Compra -HOJA1'!O344</f>
        <v>0</v>
      </c>
      <c r="Z652" s="2805">
        <f ca="1">+'Compra -HOJA1'!Q344</f>
        <v>0</v>
      </c>
      <c r="AA652" s="2805">
        <f ca="1">+'Compra -HOJA1'!P344</f>
        <v>0</v>
      </c>
      <c r="AC652" s="2835">
        <f t="shared" ref="AC652" si="807">+ROUND(S652,0)</f>
        <v>0</v>
      </c>
      <c r="AD652" s="2776">
        <f t="shared" ref="AD652" si="808">+ROUND(T652,0)</f>
        <v>0</v>
      </c>
      <c r="AE652" s="2776">
        <f t="shared" ref="AE652" si="809">+AG652-AC652-AD652</f>
        <v>0</v>
      </c>
      <c r="AF652" s="1490">
        <f t="shared" ref="AF652" si="810">SUM(AC652:AE652)</f>
        <v>0</v>
      </c>
      <c r="AG652" s="1490">
        <f>+'Compra -HOJA1'!F344</f>
        <v>0</v>
      </c>
      <c r="AH652" s="2776">
        <f t="shared" ref="AH652" ca="1" si="811">+ROUND(V652,0)</f>
        <v>0</v>
      </c>
      <c r="AI652" s="2776">
        <f t="shared" ref="AI652" ca="1" si="812">+ROUND(W652,0)</f>
        <v>0</v>
      </c>
      <c r="AJ652" s="2776">
        <f t="shared" ref="AJ652" ca="1" si="813">+AL652-AH652-AI652</f>
        <v>0</v>
      </c>
      <c r="AK652" s="1490">
        <f t="shared" ref="AK652" ca="1" si="814">SUM(AH652:AJ652)</f>
        <v>0</v>
      </c>
      <c r="AL652" s="2825">
        <f t="shared" ref="AL652" ca="1" si="815">+ROUND(SUM(V652:X652),0)</f>
        <v>0</v>
      </c>
      <c r="AM652" s="1490">
        <f t="shared" ref="AM652" ca="1" si="816">SUM(V652:X652)</f>
        <v>0</v>
      </c>
      <c r="AO652" s="1573">
        <f t="shared" ref="AO652" si="817">+SUM(S652:U652)</f>
        <v>0</v>
      </c>
      <c r="AP652" s="1490">
        <f t="shared" ref="AP652" si="818">+AO652-AG652</f>
        <v>0</v>
      </c>
      <c r="AS652" s="1490">
        <f t="shared" ref="AS652" si="819">+S652-AC652</f>
        <v>0</v>
      </c>
      <c r="AT652" s="1490">
        <f t="shared" ref="AT652" si="820">+T652-AD652</f>
        <v>0</v>
      </c>
      <c r="AU652" s="1490">
        <f t="shared" ref="AU652" si="821">+U652-AE652</f>
        <v>0</v>
      </c>
    </row>
    <row r="653" spans="1:47" ht="62.1" hidden="1" customHeight="1" x14ac:dyDescent="0.6">
      <c r="A653" s="4068" t="s">
        <v>62</v>
      </c>
      <c r="B653" s="3172">
        <v>5030</v>
      </c>
      <c r="C653" s="3758" t="s">
        <v>217</v>
      </c>
      <c r="D653" s="3758"/>
      <c r="E653" s="2539">
        <f>+'Compra -HOJA1'!G345</f>
        <v>0</v>
      </c>
      <c r="F653" s="1680">
        <f t="shared" si="687"/>
        <v>0</v>
      </c>
      <c r="G653" s="1680">
        <f t="shared" si="688"/>
        <v>0</v>
      </c>
      <c r="H653" s="1680">
        <f t="shared" si="689"/>
        <v>0</v>
      </c>
      <c r="I653" s="1680">
        <f t="shared" ca="1" si="690"/>
        <v>0</v>
      </c>
      <c r="J653" s="1680">
        <f t="shared" ca="1" si="691"/>
        <v>0</v>
      </c>
      <c r="K653" s="1680">
        <f t="shared" ca="1" si="692"/>
        <v>0</v>
      </c>
      <c r="L653" s="2021">
        <f t="shared" ca="1" si="693"/>
        <v>0</v>
      </c>
      <c r="M653" s="2021">
        <f t="shared" ca="1" si="694"/>
        <v>0</v>
      </c>
      <c r="N653" s="2851">
        <f t="shared" ca="1" si="695"/>
        <v>0</v>
      </c>
      <c r="O653" s="4068" t="s">
        <v>62</v>
      </c>
      <c r="P653" s="3172">
        <v>5030</v>
      </c>
      <c r="Q653" s="3758" t="s">
        <v>217</v>
      </c>
      <c r="R653" s="3758"/>
      <c r="S653" s="2804">
        <f>+ROUND('Compra -HOJA1'!I345,0)</f>
        <v>0</v>
      </c>
      <c r="T653" s="2804">
        <f>+ROUND('Compra -HOJA1'!K345,0)</f>
        <v>0</v>
      </c>
      <c r="U653" s="2804">
        <f>+ROUND('Compra -HOJA1'!J345,0)</f>
        <v>0</v>
      </c>
      <c r="V653" s="2804">
        <f ca="1">+ROUND('Compra -HOJA1'!L345,0)</f>
        <v>0</v>
      </c>
      <c r="W653" s="2804">
        <f ca="1">+ROUND('Compra -HOJA1'!N345,0)</f>
        <v>0</v>
      </c>
      <c r="X653" s="2804">
        <f ca="1">+ROUND('Compra -HOJA1'!M345,0)</f>
        <v>0</v>
      </c>
      <c r="Y653" s="2805">
        <f ca="1">+'Compra -HOJA1'!O345</f>
        <v>0</v>
      </c>
      <c r="Z653" s="2805">
        <f ca="1">+'Compra -HOJA1'!Q345</f>
        <v>0</v>
      </c>
      <c r="AA653" s="2805">
        <f ca="1">+'Compra -HOJA1'!P345</f>
        <v>0</v>
      </c>
      <c r="AC653" s="2835">
        <f t="shared" si="711"/>
        <v>0</v>
      </c>
      <c r="AD653" s="2776">
        <f t="shared" si="712"/>
        <v>0</v>
      </c>
      <c r="AE653" s="2776">
        <f t="shared" si="713"/>
        <v>0</v>
      </c>
      <c r="AF653" s="1490">
        <f t="shared" si="714"/>
        <v>0</v>
      </c>
      <c r="AG653" s="1490">
        <f>+'Compra -HOJA1'!F345</f>
        <v>0</v>
      </c>
      <c r="AH653" s="2776">
        <f t="shared" ca="1" si="715"/>
        <v>0</v>
      </c>
      <c r="AI653" s="2776">
        <f t="shared" ca="1" si="716"/>
        <v>0</v>
      </c>
      <c r="AJ653" s="2776">
        <f t="shared" ca="1" si="717"/>
        <v>0</v>
      </c>
      <c r="AK653" s="1490">
        <f t="shared" ca="1" si="718"/>
        <v>0</v>
      </c>
      <c r="AL653" s="2825">
        <f t="shared" ca="1" si="719"/>
        <v>0</v>
      </c>
      <c r="AM653" s="1490">
        <f t="shared" ca="1" si="720"/>
        <v>0</v>
      </c>
      <c r="AO653" s="1573">
        <f t="shared" si="721"/>
        <v>0</v>
      </c>
      <c r="AP653" s="1490">
        <f t="shared" si="722"/>
        <v>0</v>
      </c>
      <c r="AS653" s="1490">
        <f t="shared" si="723"/>
        <v>0</v>
      </c>
      <c r="AT653" s="1490">
        <f t="shared" si="724"/>
        <v>0</v>
      </c>
      <c r="AU653" s="1490">
        <f t="shared" si="725"/>
        <v>0</v>
      </c>
    </row>
    <row r="654" spans="1:47" ht="62.1" hidden="1" customHeight="1" x14ac:dyDescent="0.6">
      <c r="A654" s="4069"/>
      <c r="B654" s="1954">
        <v>5040</v>
      </c>
      <c r="C654" s="3743" t="s">
        <v>218</v>
      </c>
      <c r="D654" s="3744"/>
      <c r="E654" s="2539">
        <f>+'Compra -HOJA1'!G346</f>
        <v>0</v>
      </c>
      <c r="F654" s="1680">
        <f t="shared" si="687"/>
        <v>0</v>
      </c>
      <c r="G654" s="1680">
        <f t="shared" si="688"/>
        <v>0</v>
      </c>
      <c r="H654" s="1680">
        <f t="shared" si="689"/>
        <v>0</v>
      </c>
      <c r="I654" s="1680">
        <f t="shared" ca="1" si="690"/>
        <v>0</v>
      </c>
      <c r="J654" s="1680">
        <f t="shared" ca="1" si="691"/>
        <v>0</v>
      </c>
      <c r="K654" s="1680">
        <f t="shared" ca="1" si="692"/>
        <v>0</v>
      </c>
      <c r="L654" s="2021">
        <f t="shared" ca="1" si="693"/>
        <v>0</v>
      </c>
      <c r="M654" s="2021">
        <f t="shared" ca="1" si="694"/>
        <v>0</v>
      </c>
      <c r="N654" s="2851">
        <f t="shared" ca="1" si="695"/>
        <v>0</v>
      </c>
      <c r="O654" s="4069"/>
      <c r="P654" s="1954">
        <v>5040</v>
      </c>
      <c r="Q654" s="3743" t="s">
        <v>218</v>
      </c>
      <c r="R654" s="3744"/>
      <c r="S654" s="2804">
        <f>+ROUND('Compra -HOJA1'!I346,0)</f>
        <v>0</v>
      </c>
      <c r="T654" s="2804">
        <f>+ROUND('Compra -HOJA1'!K346,0)</f>
        <v>0</v>
      </c>
      <c r="U654" s="2804">
        <f>+ROUND('Compra -HOJA1'!J346,0)</f>
        <v>0</v>
      </c>
      <c r="V654" s="2804">
        <f ca="1">+ROUND('Compra -HOJA1'!L346,0)</f>
        <v>0</v>
      </c>
      <c r="W654" s="2804">
        <f ca="1">+ROUND('Compra -HOJA1'!N346,0)</f>
        <v>0</v>
      </c>
      <c r="X654" s="2804">
        <f ca="1">+ROUND('Compra -HOJA1'!M346,0)</f>
        <v>0</v>
      </c>
      <c r="Y654" s="2805">
        <f ca="1">+'Compra -HOJA1'!O346</f>
        <v>0</v>
      </c>
      <c r="Z654" s="2805">
        <f ca="1">+'Compra -HOJA1'!Q346</f>
        <v>0</v>
      </c>
      <c r="AA654" s="2805">
        <f ca="1">+'Compra -HOJA1'!P346</f>
        <v>0</v>
      </c>
      <c r="AC654" s="2835">
        <f t="shared" si="711"/>
        <v>0</v>
      </c>
      <c r="AD654" s="2776">
        <f t="shared" si="712"/>
        <v>0</v>
      </c>
      <c r="AE654" s="2776">
        <f t="shared" si="713"/>
        <v>0</v>
      </c>
      <c r="AF654" s="1490">
        <f t="shared" si="714"/>
        <v>0</v>
      </c>
      <c r="AG654" s="1490">
        <f>+'Compra -HOJA1'!F346</f>
        <v>0</v>
      </c>
      <c r="AH654" s="2776">
        <f t="shared" ca="1" si="715"/>
        <v>0</v>
      </c>
      <c r="AI654" s="2776">
        <f t="shared" ca="1" si="716"/>
        <v>0</v>
      </c>
      <c r="AJ654" s="2776">
        <f t="shared" ca="1" si="717"/>
        <v>0</v>
      </c>
      <c r="AK654" s="1490">
        <f t="shared" ca="1" si="718"/>
        <v>0</v>
      </c>
      <c r="AL654" s="2825">
        <f t="shared" ca="1" si="719"/>
        <v>0</v>
      </c>
      <c r="AM654" s="1490">
        <f t="shared" ca="1" si="720"/>
        <v>0</v>
      </c>
      <c r="AO654" s="1573">
        <f t="shared" si="721"/>
        <v>0</v>
      </c>
      <c r="AP654" s="1490">
        <f t="shared" si="722"/>
        <v>0</v>
      </c>
      <c r="AS654" s="1490">
        <f t="shared" si="723"/>
        <v>0</v>
      </c>
      <c r="AT654" s="1490">
        <f t="shared" si="724"/>
        <v>0</v>
      </c>
      <c r="AU654" s="1490">
        <f t="shared" si="725"/>
        <v>0</v>
      </c>
    </row>
    <row r="655" spans="1:47" ht="62.1" hidden="1" customHeight="1" x14ac:dyDescent="0.6">
      <c r="A655" s="4069"/>
      <c r="B655" s="1954"/>
      <c r="C655" s="3743" t="s">
        <v>620</v>
      </c>
      <c r="D655" s="3744"/>
      <c r="E655" s="2539">
        <f>+'Compra -HOJA1'!G347</f>
        <v>0</v>
      </c>
      <c r="F655" s="1680">
        <f t="shared" si="687"/>
        <v>0</v>
      </c>
      <c r="G655" s="1680">
        <f t="shared" si="688"/>
        <v>0</v>
      </c>
      <c r="H655" s="1680">
        <f t="shared" si="689"/>
        <v>0</v>
      </c>
      <c r="I655" s="1680">
        <f t="shared" ca="1" si="690"/>
        <v>0</v>
      </c>
      <c r="J655" s="1680">
        <f t="shared" ca="1" si="691"/>
        <v>0</v>
      </c>
      <c r="K655" s="1680">
        <f t="shared" ca="1" si="692"/>
        <v>0</v>
      </c>
      <c r="L655" s="2021">
        <f t="shared" ca="1" si="693"/>
        <v>0</v>
      </c>
      <c r="M655" s="2021">
        <f t="shared" ca="1" si="694"/>
        <v>0</v>
      </c>
      <c r="N655" s="2851">
        <f t="shared" ca="1" si="695"/>
        <v>0</v>
      </c>
      <c r="O655" s="4069"/>
      <c r="P655" s="1954"/>
      <c r="Q655" s="3743" t="s">
        <v>620</v>
      </c>
      <c r="R655" s="3744"/>
      <c r="S655" s="2804">
        <f>+ROUND('Compra -HOJA1'!I347,0)</f>
        <v>0</v>
      </c>
      <c r="T655" s="2804">
        <f>+ROUND('Compra -HOJA1'!K347,0)</f>
        <v>0</v>
      </c>
      <c r="U655" s="2804">
        <f>+ROUND('Compra -HOJA1'!J347,0)</f>
        <v>0</v>
      </c>
      <c r="V655" s="2804">
        <f ca="1">+ROUND('Compra -HOJA1'!L347,0)</f>
        <v>0</v>
      </c>
      <c r="W655" s="2804">
        <f ca="1">+ROUND('Compra -HOJA1'!N347,0)</f>
        <v>0</v>
      </c>
      <c r="X655" s="2804">
        <f ca="1">+ROUND('Compra -HOJA1'!M347,0)</f>
        <v>0</v>
      </c>
      <c r="Y655" s="2805">
        <f ca="1">+'Compra -HOJA1'!O347</f>
        <v>0</v>
      </c>
      <c r="Z655" s="2805">
        <f ca="1">+'Compra -HOJA1'!Q347</f>
        <v>0</v>
      </c>
      <c r="AA655" s="2805">
        <f ca="1">+'Compra -HOJA1'!P347</f>
        <v>0</v>
      </c>
      <c r="AC655" s="2835">
        <f t="shared" si="711"/>
        <v>0</v>
      </c>
      <c r="AD655" s="2776">
        <f t="shared" si="712"/>
        <v>0</v>
      </c>
      <c r="AE655" s="2776">
        <f t="shared" si="713"/>
        <v>0</v>
      </c>
      <c r="AF655" s="1490">
        <f t="shared" si="714"/>
        <v>0</v>
      </c>
      <c r="AG655" s="1490">
        <f>+'Compra -HOJA1'!F347</f>
        <v>0</v>
      </c>
      <c r="AH655" s="2776">
        <f t="shared" ca="1" si="715"/>
        <v>0</v>
      </c>
      <c r="AI655" s="2776">
        <f t="shared" ca="1" si="716"/>
        <v>0</v>
      </c>
      <c r="AJ655" s="2776">
        <f t="shared" ca="1" si="717"/>
        <v>0</v>
      </c>
      <c r="AK655" s="1490">
        <f t="shared" ca="1" si="718"/>
        <v>0</v>
      </c>
      <c r="AL655" s="2825">
        <f t="shared" ca="1" si="719"/>
        <v>0</v>
      </c>
      <c r="AM655" s="1490">
        <f t="shared" ca="1" si="720"/>
        <v>0</v>
      </c>
      <c r="AO655" s="1573">
        <f t="shared" si="721"/>
        <v>0</v>
      </c>
      <c r="AP655" s="1490">
        <f t="shared" si="722"/>
        <v>0</v>
      </c>
      <c r="AS655" s="1490">
        <f t="shared" si="723"/>
        <v>0</v>
      </c>
      <c r="AT655" s="1490">
        <f t="shared" si="724"/>
        <v>0</v>
      </c>
      <c r="AU655" s="1490">
        <f t="shared" si="725"/>
        <v>0</v>
      </c>
    </row>
    <row r="656" spans="1:47" ht="62.1" hidden="1" customHeight="1" x14ac:dyDescent="0.6">
      <c r="A656" s="4069"/>
      <c r="B656" s="1954">
        <v>5045</v>
      </c>
      <c r="C656" s="3743" t="s">
        <v>221</v>
      </c>
      <c r="D656" s="3744"/>
      <c r="E656" s="2539">
        <f>+'Compra -HOJA1'!G348</f>
        <v>0</v>
      </c>
      <c r="F656" s="1680">
        <f t="shared" si="687"/>
        <v>0</v>
      </c>
      <c r="G656" s="1680">
        <f t="shared" si="688"/>
        <v>0</v>
      </c>
      <c r="H656" s="1680">
        <f t="shared" si="689"/>
        <v>0</v>
      </c>
      <c r="I656" s="1680">
        <f t="shared" ca="1" si="690"/>
        <v>0</v>
      </c>
      <c r="J656" s="1680">
        <f t="shared" ca="1" si="691"/>
        <v>0</v>
      </c>
      <c r="K656" s="1680">
        <f t="shared" ca="1" si="692"/>
        <v>0</v>
      </c>
      <c r="L656" s="2021">
        <f t="shared" ca="1" si="693"/>
        <v>0</v>
      </c>
      <c r="M656" s="2021">
        <f t="shared" ca="1" si="694"/>
        <v>0</v>
      </c>
      <c r="N656" s="2851">
        <f t="shared" ca="1" si="695"/>
        <v>0</v>
      </c>
      <c r="O656" s="4069"/>
      <c r="P656" s="1954">
        <v>5045</v>
      </c>
      <c r="Q656" s="3743" t="s">
        <v>221</v>
      </c>
      <c r="R656" s="3744"/>
      <c r="S656" s="2804">
        <f>+ROUND('Compra -HOJA1'!I348,0)</f>
        <v>0</v>
      </c>
      <c r="T656" s="2804">
        <f>+ROUND('Compra -HOJA1'!K348,0)</f>
        <v>0</v>
      </c>
      <c r="U656" s="2804">
        <f>+ROUND('Compra -HOJA1'!J348,0)</f>
        <v>0</v>
      </c>
      <c r="V656" s="2804">
        <f ca="1">+ROUND('Compra -HOJA1'!L348,0)</f>
        <v>0</v>
      </c>
      <c r="W656" s="2804">
        <f ca="1">+ROUND('Compra -HOJA1'!N348,0)</f>
        <v>0</v>
      </c>
      <c r="X656" s="2804">
        <f ca="1">+ROUND('Compra -HOJA1'!M348,0)</f>
        <v>0</v>
      </c>
      <c r="Y656" s="2805">
        <f ca="1">+'Compra -HOJA1'!O348</f>
        <v>0</v>
      </c>
      <c r="Z656" s="2805">
        <f ca="1">+'Compra -HOJA1'!Q348</f>
        <v>0</v>
      </c>
      <c r="AA656" s="2805">
        <f ca="1">+'Compra -HOJA1'!P348</f>
        <v>0</v>
      </c>
      <c r="AC656" s="2835">
        <f t="shared" si="711"/>
        <v>0</v>
      </c>
      <c r="AD656" s="2776">
        <f t="shared" si="712"/>
        <v>0</v>
      </c>
      <c r="AE656" s="2776">
        <f t="shared" si="713"/>
        <v>0</v>
      </c>
      <c r="AF656" s="1490">
        <f t="shared" si="714"/>
        <v>0</v>
      </c>
      <c r="AG656" s="1490">
        <f>+'Compra -HOJA1'!F348</f>
        <v>0</v>
      </c>
      <c r="AH656" s="2776">
        <f t="shared" ca="1" si="715"/>
        <v>0</v>
      </c>
      <c r="AI656" s="2776">
        <f t="shared" ca="1" si="716"/>
        <v>0</v>
      </c>
      <c r="AJ656" s="2776">
        <f t="shared" ca="1" si="717"/>
        <v>0</v>
      </c>
      <c r="AK656" s="1490">
        <f t="shared" ca="1" si="718"/>
        <v>0</v>
      </c>
      <c r="AL656" s="2825">
        <f t="shared" ca="1" si="719"/>
        <v>0</v>
      </c>
      <c r="AM656" s="1490">
        <f t="shared" ca="1" si="720"/>
        <v>0</v>
      </c>
      <c r="AO656" s="1573">
        <f t="shared" si="721"/>
        <v>0</v>
      </c>
      <c r="AP656" s="1490">
        <f t="shared" si="722"/>
        <v>0</v>
      </c>
      <c r="AS656" s="1490">
        <f t="shared" si="723"/>
        <v>0</v>
      </c>
      <c r="AT656" s="1490">
        <f t="shared" si="724"/>
        <v>0</v>
      </c>
      <c r="AU656" s="1490">
        <f t="shared" si="725"/>
        <v>0</v>
      </c>
    </row>
    <row r="657" spans="1:47" ht="62.1" hidden="1" customHeight="1" x14ac:dyDescent="0.6">
      <c r="A657" s="4069"/>
      <c r="B657" s="1955">
        <v>5050</v>
      </c>
      <c r="C657" s="3742" t="s">
        <v>219</v>
      </c>
      <c r="D657" s="3742"/>
      <c r="E657" s="2539">
        <f>+'Compra -HOJA1'!G349</f>
        <v>0</v>
      </c>
      <c r="F657" s="1680">
        <f t="shared" si="687"/>
        <v>0</v>
      </c>
      <c r="G657" s="1680">
        <f t="shared" si="688"/>
        <v>0</v>
      </c>
      <c r="H657" s="1680">
        <f t="shared" si="689"/>
        <v>0</v>
      </c>
      <c r="I657" s="1680">
        <f t="shared" ca="1" si="690"/>
        <v>0</v>
      </c>
      <c r="J657" s="1680">
        <f t="shared" ca="1" si="691"/>
        <v>0</v>
      </c>
      <c r="K657" s="1680">
        <f t="shared" ca="1" si="692"/>
        <v>0</v>
      </c>
      <c r="L657" s="2021">
        <f t="shared" ca="1" si="693"/>
        <v>0</v>
      </c>
      <c r="M657" s="2021">
        <f t="shared" ca="1" si="694"/>
        <v>0</v>
      </c>
      <c r="N657" s="2851">
        <f t="shared" ca="1" si="695"/>
        <v>0</v>
      </c>
      <c r="O657" s="4069"/>
      <c r="P657" s="1955">
        <v>5050</v>
      </c>
      <c r="Q657" s="3742" t="s">
        <v>219</v>
      </c>
      <c r="R657" s="3742"/>
      <c r="S657" s="2804">
        <f>+ROUND('Compra -HOJA1'!I349,0)</f>
        <v>0</v>
      </c>
      <c r="T657" s="2804">
        <f>+ROUND('Compra -HOJA1'!K349,0)</f>
        <v>0</v>
      </c>
      <c r="U657" s="2804">
        <f>+ROUND('Compra -HOJA1'!J349,0)</f>
        <v>0</v>
      </c>
      <c r="V657" s="2804">
        <f ca="1">+ROUND('Compra -HOJA1'!L349,0)</f>
        <v>0</v>
      </c>
      <c r="W657" s="2804">
        <f ca="1">+ROUND('Compra -HOJA1'!N349,0)</f>
        <v>0</v>
      </c>
      <c r="X657" s="2804">
        <f ca="1">+ROUND('Compra -HOJA1'!M349,0)</f>
        <v>0</v>
      </c>
      <c r="Y657" s="2805">
        <f ca="1">+'Compra -HOJA1'!O349</f>
        <v>0</v>
      </c>
      <c r="Z657" s="2805">
        <f ca="1">+'Compra -HOJA1'!Q349</f>
        <v>0</v>
      </c>
      <c r="AA657" s="2805">
        <f ca="1">+'Compra -HOJA1'!P349</f>
        <v>0</v>
      </c>
      <c r="AC657" s="2835">
        <f t="shared" si="711"/>
        <v>0</v>
      </c>
      <c r="AD657" s="2776">
        <f t="shared" si="712"/>
        <v>0</v>
      </c>
      <c r="AE657" s="2776">
        <f t="shared" si="713"/>
        <v>0</v>
      </c>
      <c r="AF657" s="1490">
        <f t="shared" si="714"/>
        <v>0</v>
      </c>
      <c r="AG657" s="1490">
        <f>+'Compra -HOJA1'!F349</f>
        <v>0</v>
      </c>
      <c r="AH657" s="2776">
        <f t="shared" ca="1" si="715"/>
        <v>0</v>
      </c>
      <c r="AI657" s="2776">
        <f t="shared" ca="1" si="716"/>
        <v>0</v>
      </c>
      <c r="AJ657" s="2776">
        <f t="shared" ca="1" si="717"/>
        <v>0</v>
      </c>
      <c r="AK657" s="1490">
        <f t="shared" ca="1" si="718"/>
        <v>0</v>
      </c>
      <c r="AL657" s="2825">
        <f t="shared" ca="1" si="719"/>
        <v>0</v>
      </c>
      <c r="AM657" s="1490">
        <f t="shared" ca="1" si="720"/>
        <v>0</v>
      </c>
      <c r="AO657" s="1573">
        <f t="shared" si="721"/>
        <v>0</v>
      </c>
      <c r="AP657" s="1490">
        <f t="shared" si="722"/>
        <v>0</v>
      </c>
      <c r="AS657" s="1490">
        <f t="shared" si="723"/>
        <v>0</v>
      </c>
      <c r="AT657" s="1490">
        <f t="shared" si="724"/>
        <v>0</v>
      </c>
      <c r="AU657" s="1490">
        <f t="shared" si="725"/>
        <v>0</v>
      </c>
    </row>
    <row r="658" spans="1:47" ht="62.1" hidden="1" customHeight="1" x14ac:dyDescent="0.6">
      <c r="A658" s="4069"/>
      <c r="B658" s="1955"/>
      <c r="C658" s="3742" t="s">
        <v>621</v>
      </c>
      <c r="D658" s="3742"/>
      <c r="E658" s="2539">
        <f>+'Compra -HOJA1'!G350</f>
        <v>0</v>
      </c>
      <c r="F658" s="1680">
        <f t="shared" si="687"/>
        <v>0</v>
      </c>
      <c r="G658" s="1680">
        <f t="shared" si="688"/>
        <v>0</v>
      </c>
      <c r="H658" s="1680">
        <f t="shared" si="689"/>
        <v>0</v>
      </c>
      <c r="I658" s="1680">
        <f t="shared" ca="1" si="690"/>
        <v>0</v>
      </c>
      <c r="J658" s="1680">
        <f t="shared" ca="1" si="691"/>
        <v>0</v>
      </c>
      <c r="K658" s="1680">
        <f t="shared" ca="1" si="692"/>
        <v>0</v>
      </c>
      <c r="L658" s="2021">
        <f t="shared" ca="1" si="693"/>
        <v>0</v>
      </c>
      <c r="M658" s="2021">
        <f t="shared" ca="1" si="694"/>
        <v>0</v>
      </c>
      <c r="N658" s="2851">
        <f t="shared" ca="1" si="695"/>
        <v>0</v>
      </c>
      <c r="O658" s="4069"/>
      <c r="P658" s="1955"/>
      <c r="Q658" s="3742" t="s">
        <v>621</v>
      </c>
      <c r="R658" s="3742"/>
      <c r="S658" s="2804">
        <f>+ROUND('Compra -HOJA1'!I350,0)</f>
        <v>0</v>
      </c>
      <c r="T658" s="2804">
        <f>+ROUND('Compra -HOJA1'!K350,0)</f>
        <v>0</v>
      </c>
      <c r="U658" s="2804">
        <f>+ROUND('Compra -HOJA1'!J350,0)</f>
        <v>0</v>
      </c>
      <c r="V658" s="2804">
        <f ca="1">+ROUND('Compra -HOJA1'!L350,0)</f>
        <v>0</v>
      </c>
      <c r="W658" s="2804">
        <f ca="1">+ROUND('Compra -HOJA1'!N350,0)</f>
        <v>0</v>
      </c>
      <c r="X658" s="2804">
        <f ca="1">+ROUND('Compra -HOJA1'!M350,0)</f>
        <v>0</v>
      </c>
      <c r="Y658" s="2805">
        <f ca="1">+'Compra -HOJA1'!O350</f>
        <v>0</v>
      </c>
      <c r="Z658" s="2805">
        <f ca="1">+'Compra -HOJA1'!Q350</f>
        <v>0</v>
      </c>
      <c r="AA658" s="2805">
        <f ca="1">+'Compra -HOJA1'!P350</f>
        <v>0</v>
      </c>
      <c r="AC658" s="2835">
        <f t="shared" si="711"/>
        <v>0</v>
      </c>
      <c r="AD658" s="2776">
        <f t="shared" si="712"/>
        <v>0</v>
      </c>
      <c r="AE658" s="2776">
        <f t="shared" si="713"/>
        <v>0</v>
      </c>
      <c r="AF658" s="1490">
        <f t="shared" si="714"/>
        <v>0</v>
      </c>
      <c r="AG658" s="1490">
        <f>+'Compra -HOJA1'!F350</f>
        <v>0</v>
      </c>
      <c r="AH658" s="2776">
        <f t="shared" ca="1" si="715"/>
        <v>0</v>
      </c>
      <c r="AI658" s="2776">
        <f t="shared" ca="1" si="716"/>
        <v>0</v>
      </c>
      <c r="AJ658" s="2776">
        <f t="shared" ca="1" si="717"/>
        <v>0</v>
      </c>
      <c r="AK658" s="1490">
        <f t="shared" ca="1" si="718"/>
        <v>0</v>
      </c>
      <c r="AL658" s="2825">
        <f t="shared" ca="1" si="719"/>
        <v>0</v>
      </c>
      <c r="AM658" s="1490">
        <f t="shared" ca="1" si="720"/>
        <v>0</v>
      </c>
      <c r="AO658" s="1573">
        <f t="shared" si="721"/>
        <v>0</v>
      </c>
      <c r="AP658" s="1490">
        <f t="shared" si="722"/>
        <v>0</v>
      </c>
      <c r="AS658" s="1490">
        <f t="shared" si="723"/>
        <v>0</v>
      </c>
      <c r="AT658" s="1490">
        <f t="shared" si="724"/>
        <v>0</v>
      </c>
      <c r="AU658" s="1490">
        <f t="shared" si="725"/>
        <v>0</v>
      </c>
    </row>
    <row r="659" spans="1:47" ht="62.1" hidden="1" customHeight="1" x14ac:dyDescent="0.6">
      <c r="A659" s="4069"/>
      <c r="B659" s="1955">
        <v>5055</v>
      </c>
      <c r="C659" s="3742" t="s">
        <v>222</v>
      </c>
      <c r="D659" s="3742"/>
      <c r="E659" s="2539">
        <f>+'Compra -HOJA1'!G351</f>
        <v>0</v>
      </c>
      <c r="F659" s="1680">
        <f t="shared" si="687"/>
        <v>0</v>
      </c>
      <c r="G659" s="1680">
        <f t="shared" si="688"/>
        <v>0</v>
      </c>
      <c r="H659" s="1680">
        <f t="shared" si="689"/>
        <v>0</v>
      </c>
      <c r="I659" s="1680">
        <f t="shared" ca="1" si="690"/>
        <v>0</v>
      </c>
      <c r="J659" s="1680">
        <f t="shared" ca="1" si="691"/>
        <v>0</v>
      </c>
      <c r="K659" s="1680">
        <f t="shared" ca="1" si="692"/>
        <v>0</v>
      </c>
      <c r="L659" s="2021">
        <f t="shared" ca="1" si="693"/>
        <v>0</v>
      </c>
      <c r="M659" s="2021">
        <f t="shared" ca="1" si="694"/>
        <v>0</v>
      </c>
      <c r="N659" s="2851">
        <f t="shared" ca="1" si="695"/>
        <v>0</v>
      </c>
      <c r="O659" s="4069"/>
      <c r="P659" s="1955">
        <v>5055</v>
      </c>
      <c r="Q659" s="3742" t="s">
        <v>222</v>
      </c>
      <c r="R659" s="3742"/>
      <c r="S659" s="2804">
        <f>+ROUND('Compra -HOJA1'!I351,0)</f>
        <v>0</v>
      </c>
      <c r="T659" s="2804">
        <f>+ROUND('Compra -HOJA1'!K351,0)</f>
        <v>0</v>
      </c>
      <c r="U659" s="2804">
        <f>+ROUND('Compra -HOJA1'!J351,0)</f>
        <v>0</v>
      </c>
      <c r="V659" s="2804">
        <f ca="1">+ROUND('Compra -HOJA1'!L351,0)</f>
        <v>0</v>
      </c>
      <c r="W659" s="2804">
        <f ca="1">+ROUND('Compra -HOJA1'!N351,0)</f>
        <v>0</v>
      </c>
      <c r="X659" s="2804">
        <f ca="1">+ROUND('Compra -HOJA1'!M351,0)</f>
        <v>0</v>
      </c>
      <c r="Y659" s="2805">
        <f ca="1">+'Compra -HOJA1'!O351</f>
        <v>0</v>
      </c>
      <c r="Z659" s="2805">
        <f ca="1">+'Compra -HOJA1'!Q351</f>
        <v>0</v>
      </c>
      <c r="AA659" s="2805">
        <f ca="1">+'Compra -HOJA1'!P351</f>
        <v>0</v>
      </c>
      <c r="AC659" s="2835">
        <f t="shared" si="711"/>
        <v>0</v>
      </c>
      <c r="AD659" s="2776">
        <f t="shared" si="712"/>
        <v>0</v>
      </c>
      <c r="AE659" s="2776">
        <f t="shared" si="713"/>
        <v>0</v>
      </c>
      <c r="AF659" s="1490">
        <f t="shared" si="714"/>
        <v>0</v>
      </c>
      <c r="AG659" s="1490">
        <f>+'Compra -HOJA1'!F351</f>
        <v>0</v>
      </c>
      <c r="AH659" s="2776">
        <f t="shared" ca="1" si="715"/>
        <v>0</v>
      </c>
      <c r="AI659" s="2776">
        <f t="shared" ca="1" si="716"/>
        <v>0</v>
      </c>
      <c r="AJ659" s="2776">
        <f t="shared" ca="1" si="717"/>
        <v>0</v>
      </c>
      <c r="AK659" s="1490">
        <f t="shared" ca="1" si="718"/>
        <v>0</v>
      </c>
      <c r="AL659" s="2825">
        <f t="shared" ca="1" si="719"/>
        <v>0</v>
      </c>
      <c r="AM659" s="1490">
        <f t="shared" ca="1" si="720"/>
        <v>0</v>
      </c>
      <c r="AO659" s="1573">
        <f t="shared" si="721"/>
        <v>0</v>
      </c>
      <c r="AP659" s="1490">
        <f t="shared" si="722"/>
        <v>0</v>
      </c>
      <c r="AS659" s="1490">
        <f t="shared" si="723"/>
        <v>0</v>
      </c>
      <c r="AT659" s="1490">
        <f t="shared" si="724"/>
        <v>0</v>
      </c>
      <c r="AU659" s="1490">
        <f t="shared" si="725"/>
        <v>0</v>
      </c>
    </row>
    <row r="660" spans="1:47" ht="62.1" hidden="1" customHeight="1" x14ac:dyDescent="0.6">
      <c r="A660" s="4069"/>
      <c r="B660" s="1948">
        <v>5508</v>
      </c>
      <c r="C660" s="3751" t="s">
        <v>1234</v>
      </c>
      <c r="D660" s="1948" t="s">
        <v>64</v>
      </c>
      <c r="E660" s="2539">
        <f>+'Compra -HOJA1'!G352</f>
        <v>0</v>
      </c>
      <c r="F660" s="1680">
        <f t="shared" si="687"/>
        <v>0</v>
      </c>
      <c r="G660" s="1680">
        <f t="shared" si="688"/>
        <v>0</v>
      </c>
      <c r="H660" s="1680">
        <f t="shared" si="689"/>
        <v>0</v>
      </c>
      <c r="I660" s="1680">
        <f t="shared" ca="1" si="690"/>
        <v>0</v>
      </c>
      <c r="J660" s="1680">
        <f t="shared" ca="1" si="691"/>
        <v>0</v>
      </c>
      <c r="K660" s="1680">
        <f t="shared" ca="1" si="692"/>
        <v>0</v>
      </c>
      <c r="L660" s="2021">
        <f t="shared" ca="1" si="693"/>
        <v>0</v>
      </c>
      <c r="M660" s="2021">
        <f t="shared" ca="1" si="694"/>
        <v>0</v>
      </c>
      <c r="N660" s="2851">
        <f t="shared" ca="1" si="695"/>
        <v>0</v>
      </c>
      <c r="O660" s="4069"/>
      <c r="P660" s="1948">
        <v>5508</v>
      </c>
      <c r="Q660" s="3751" t="s">
        <v>1234</v>
      </c>
      <c r="R660" s="1948" t="s">
        <v>64</v>
      </c>
      <c r="S660" s="2804">
        <f>+ROUND('Compra -HOJA1'!I352,0)</f>
        <v>0</v>
      </c>
      <c r="T660" s="2804">
        <f>+ROUND('Compra -HOJA1'!K352,0)</f>
        <v>0</v>
      </c>
      <c r="U660" s="2804">
        <f>+ROUND('Compra -HOJA1'!J352,0)</f>
        <v>0</v>
      </c>
      <c r="V660" s="2804">
        <f ca="1">+ROUND('Compra -HOJA1'!L352,0)</f>
        <v>0</v>
      </c>
      <c r="W660" s="2804">
        <f ca="1">+ROUND('Compra -HOJA1'!N352,0)</f>
        <v>0</v>
      </c>
      <c r="X660" s="2804">
        <f ca="1">+ROUND('Compra -HOJA1'!M352,0)</f>
        <v>0</v>
      </c>
      <c r="Y660" s="2805">
        <f ca="1">+'Compra -HOJA1'!O352</f>
        <v>0</v>
      </c>
      <c r="Z660" s="2805">
        <f ca="1">+'Compra -HOJA1'!Q352</f>
        <v>0</v>
      </c>
      <c r="AA660" s="2805">
        <f ca="1">+'Compra -HOJA1'!P352</f>
        <v>0</v>
      </c>
      <c r="AC660" s="2835">
        <f t="shared" si="711"/>
        <v>0</v>
      </c>
      <c r="AD660" s="2776">
        <f t="shared" si="712"/>
        <v>0</v>
      </c>
      <c r="AE660" s="2776">
        <f t="shared" si="713"/>
        <v>0</v>
      </c>
      <c r="AF660" s="1490">
        <f t="shared" si="714"/>
        <v>0</v>
      </c>
      <c r="AG660" s="1490">
        <f>+'Compra -HOJA1'!F352</f>
        <v>0</v>
      </c>
      <c r="AH660" s="2776">
        <f t="shared" ca="1" si="715"/>
        <v>0</v>
      </c>
      <c r="AI660" s="2776">
        <f t="shared" ca="1" si="716"/>
        <v>0</v>
      </c>
      <c r="AJ660" s="2776">
        <f t="shared" ca="1" si="717"/>
        <v>0</v>
      </c>
      <c r="AK660" s="1490">
        <f t="shared" ca="1" si="718"/>
        <v>0</v>
      </c>
      <c r="AL660" s="2825">
        <f t="shared" ca="1" si="719"/>
        <v>0</v>
      </c>
      <c r="AM660" s="1490">
        <f t="shared" ca="1" si="720"/>
        <v>0</v>
      </c>
      <c r="AO660" s="1573">
        <f t="shared" si="721"/>
        <v>0</v>
      </c>
      <c r="AP660" s="1490">
        <f t="shared" si="722"/>
        <v>0</v>
      </c>
      <c r="AS660" s="1490">
        <f t="shared" si="723"/>
        <v>0</v>
      </c>
      <c r="AT660" s="1490">
        <f t="shared" si="724"/>
        <v>0</v>
      </c>
      <c r="AU660" s="1490">
        <f t="shared" si="725"/>
        <v>0</v>
      </c>
    </row>
    <row r="661" spans="1:47" ht="62.1" hidden="1" customHeight="1" x14ac:dyDescent="0.6">
      <c r="A661" s="4069"/>
      <c r="B661" s="3484"/>
      <c r="C661" s="3746"/>
      <c r="D661" s="1948" t="s">
        <v>624</v>
      </c>
      <c r="E661" s="2539">
        <f>+'Compra -HOJA1'!G353</f>
        <v>0</v>
      </c>
      <c r="F661" s="1680">
        <f t="shared" si="687"/>
        <v>0</v>
      </c>
      <c r="G661" s="1680">
        <f t="shared" si="688"/>
        <v>0</v>
      </c>
      <c r="H661" s="1680">
        <f t="shared" si="689"/>
        <v>0</v>
      </c>
      <c r="I661" s="1680">
        <f t="shared" ca="1" si="690"/>
        <v>0</v>
      </c>
      <c r="J661" s="1680">
        <f t="shared" ca="1" si="691"/>
        <v>0</v>
      </c>
      <c r="K661" s="1680">
        <f t="shared" ca="1" si="692"/>
        <v>0</v>
      </c>
      <c r="L661" s="2021">
        <f t="shared" ca="1" si="693"/>
        <v>0</v>
      </c>
      <c r="M661" s="2021">
        <f t="shared" ca="1" si="694"/>
        <v>0</v>
      </c>
      <c r="N661" s="2851">
        <f t="shared" ca="1" si="695"/>
        <v>0</v>
      </c>
      <c r="O661" s="4069"/>
      <c r="P661" s="3484"/>
      <c r="Q661" s="3746"/>
      <c r="R661" s="1948" t="s">
        <v>624</v>
      </c>
      <c r="S661" s="2804">
        <f>+ROUND('Compra -HOJA1'!I353,0)</f>
        <v>0</v>
      </c>
      <c r="T661" s="2804">
        <f>+ROUND('Compra -HOJA1'!K353,0)</f>
        <v>0</v>
      </c>
      <c r="U661" s="2804">
        <f>+ROUND('Compra -HOJA1'!J353,0)</f>
        <v>0</v>
      </c>
      <c r="V661" s="2804">
        <f ca="1">+ROUND('Compra -HOJA1'!L353,0)</f>
        <v>0</v>
      </c>
      <c r="W661" s="2804">
        <f ca="1">+ROUND('Compra -HOJA1'!N353,0)</f>
        <v>0</v>
      </c>
      <c r="X661" s="2804">
        <f ca="1">+ROUND('Compra -HOJA1'!M353,0)</f>
        <v>0</v>
      </c>
      <c r="Y661" s="2805">
        <f ca="1">+'Compra -HOJA1'!O353</f>
        <v>0</v>
      </c>
      <c r="Z661" s="2805">
        <f ca="1">+'Compra -HOJA1'!Q353</f>
        <v>0</v>
      </c>
      <c r="AA661" s="2805">
        <f ca="1">+'Compra -HOJA1'!P353</f>
        <v>0</v>
      </c>
      <c r="AC661" s="2835">
        <f t="shared" si="711"/>
        <v>0</v>
      </c>
      <c r="AD661" s="2776">
        <f t="shared" si="712"/>
        <v>0</v>
      </c>
      <c r="AE661" s="2776">
        <f t="shared" si="713"/>
        <v>0</v>
      </c>
      <c r="AF661" s="1490">
        <f t="shared" si="714"/>
        <v>0</v>
      </c>
      <c r="AG661" s="1490">
        <f>+'Compra -HOJA1'!F353</f>
        <v>0</v>
      </c>
      <c r="AH661" s="2776">
        <f t="shared" ca="1" si="715"/>
        <v>0</v>
      </c>
      <c r="AI661" s="2776">
        <f t="shared" ca="1" si="716"/>
        <v>0</v>
      </c>
      <c r="AJ661" s="2776">
        <f t="shared" ca="1" si="717"/>
        <v>0</v>
      </c>
      <c r="AK661" s="1490">
        <f t="shared" ca="1" si="718"/>
        <v>0</v>
      </c>
      <c r="AL661" s="2825">
        <f t="shared" ca="1" si="719"/>
        <v>0</v>
      </c>
      <c r="AM661" s="1490">
        <f t="shared" ca="1" si="720"/>
        <v>0</v>
      </c>
      <c r="AO661" s="1573">
        <f t="shared" si="721"/>
        <v>0</v>
      </c>
      <c r="AP661" s="1490">
        <f t="shared" si="722"/>
        <v>0</v>
      </c>
      <c r="AS661" s="1490">
        <f t="shared" si="723"/>
        <v>0</v>
      </c>
      <c r="AT661" s="1490">
        <f t="shared" si="724"/>
        <v>0</v>
      </c>
      <c r="AU661" s="1490">
        <f t="shared" si="725"/>
        <v>0</v>
      </c>
    </row>
    <row r="662" spans="1:47" ht="62.1" hidden="1" customHeight="1" thickBot="1" x14ac:dyDescent="0.65">
      <c r="A662" s="4069"/>
      <c r="B662" s="3173">
        <v>5558</v>
      </c>
      <c r="C662" s="3746"/>
      <c r="D662" s="3173" t="s">
        <v>65</v>
      </c>
      <c r="E662" s="2539">
        <f>+'Compra -HOJA1'!G354</f>
        <v>0</v>
      </c>
      <c r="F662" s="1680">
        <f t="shared" si="687"/>
        <v>0</v>
      </c>
      <c r="G662" s="1680">
        <f t="shared" si="688"/>
        <v>0</v>
      </c>
      <c r="H662" s="1680">
        <f t="shared" si="689"/>
        <v>0</v>
      </c>
      <c r="I662" s="1680">
        <f t="shared" ca="1" si="690"/>
        <v>0</v>
      </c>
      <c r="J662" s="1680">
        <f t="shared" ca="1" si="691"/>
        <v>0</v>
      </c>
      <c r="K662" s="1680">
        <f t="shared" ca="1" si="692"/>
        <v>0</v>
      </c>
      <c r="L662" s="2021">
        <f t="shared" ca="1" si="693"/>
        <v>0</v>
      </c>
      <c r="M662" s="2021">
        <f t="shared" ca="1" si="694"/>
        <v>0</v>
      </c>
      <c r="N662" s="2851">
        <f t="shared" ca="1" si="695"/>
        <v>0</v>
      </c>
      <c r="O662" s="4069"/>
      <c r="P662" s="3173">
        <v>5558</v>
      </c>
      <c r="Q662" s="3746"/>
      <c r="R662" s="3173" t="s">
        <v>65</v>
      </c>
      <c r="S662" s="2804">
        <f>+ROUND('Compra -HOJA1'!I354,0)</f>
        <v>0</v>
      </c>
      <c r="T662" s="2804">
        <f>+ROUND('Compra -HOJA1'!K354,0)</f>
        <v>0</v>
      </c>
      <c r="U662" s="2804">
        <f>+ROUND('Compra -HOJA1'!J354,0)</f>
        <v>0</v>
      </c>
      <c r="V662" s="2804">
        <f ca="1">+ROUND('Compra -HOJA1'!L354,0)</f>
        <v>0</v>
      </c>
      <c r="W662" s="2804">
        <f ca="1">+ROUND('Compra -HOJA1'!N354,0)</f>
        <v>0</v>
      </c>
      <c r="X662" s="2804">
        <f ca="1">+ROUND('Compra -HOJA1'!M354,0)</f>
        <v>0</v>
      </c>
      <c r="Y662" s="2805">
        <f ca="1">+'Compra -HOJA1'!O354</f>
        <v>0</v>
      </c>
      <c r="Z662" s="2805">
        <f ca="1">+'Compra -HOJA1'!Q354</f>
        <v>0</v>
      </c>
      <c r="AA662" s="2805">
        <f ca="1">+'Compra -HOJA1'!P354</f>
        <v>0</v>
      </c>
      <c r="AC662" s="2835">
        <f t="shared" si="711"/>
        <v>0</v>
      </c>
      <c r="AD662" s="2776">
        <f t="shared" si="712"/>
        <v>0</v>
      </c>
      <c r="AE662" s="2776">
        <f t="shared" si="713"/>
        <v>0</v>
      </c>
      <c r="AF662" s="1490">
        <f t="shared" si="714"/>
        <v>0</v>
      </c>
      <c r="AG662" s="1490">
        <f>+'Compra -HOJA1'!F354</f>
        <v>0</v>
      </c>
      <c r="AH662" s="2776">
        <f t="shared" ca="1" si="715"/>
        <v>0</v>
      </c>
      <c r="AI662" s="2776">
        <f t="shared" ca="1" si="716"/>
        <v>0</v>
      </c>
      <c r="AJ662" s="2776">
        <f t="shared" ca="1" si="717"/>
        <v>0</v>
      </c>
      <c r="AK662" s="1490">
        <f t="shared" ca="1" si="718"/>
        <v>0</v>
      </c>
      <c r="AL662" s="2825">
        <f t="shared" ca="1" si="719"/>
        <v>0</v>
      </c>
      <c r="AM662" s="1490">
        <f t="shared" ca="1" si="720"/>
        <v>0</v>
      </c>
      <c r="AO662" s="1573">
        <f t="shared" si="721"/>
        <v>0</v>
      </c>
      <c r="AP662" s="1490">
        <f t="shared" si="722"/>
        <v>0</v>
      </c>
      <c r="AS662" s="1490">
        <f t="shared" si="723"/>
        <v>0</v>
      </c>
      <c r="AT662" s="1490">
        <f t="shared" si="724"/>
        <v>0</v>
      </c>
      <c r="AU662" s="1490">
        <f t="shared" si="725"/>
        <v>0</v>
      </c>
    </row>
    <row r="663" spans="1:47" ht="62.1" hidden="1" customHeight="1" x14ac:dyDescent="0.6">
      <c r="A663" s="4069"/>
      <c r="B663" s="3419"/>
      <c r="C663" s="3752"/>
      <c r="D663" s="1949" t="s">
        <v>625</v>
      </c>
      <c r="E663" s="2539">
        <f>+'Compra -HOJA1'!G355</f>
        <v>0</v>
      </c>
      <c r="F663" s="1680">
        <f t="shared" si="687"/>
        <v>0</v>
      </c>
      <c r="G663" s="1680">
        <f t="shared" si="688"/>
        <v>0</v>
      </c>
      <c r="H663" s="1680">
        <f t="shared" si="689"/>
        <v>0</v>
      </c>
      <c r="I663" s="1680">
        <f t="shared" ca="1" si="690"/>
        <v>0</v>
      </c>
      <c r="J663" s="1680">
        <f t="shared" ca="1" si="691"/>
        <v>0</v>
      </c>
      <c r="K663" s="1680">
        <f t="shared" ca="1" si="692"/>
        <v>0</v>
      </c>
      <c r="L663" s="2021">
        <f t="shared" ca="1" si="693"/>
        <v>0</v>
      </c>
      <c r="M663" s="2021">
        <f t="shared" ca="1" si="694"/>
        <v>0</v>
      </c>
      <c r="N663" s="2851">
        <f t="shared" ca="1" si="695"/>
        <v>0</v>
      </c>
      <c r="O663" s="4069"/>
      <c r="P663" s="3419"/>
      <c r="Q663" s="3752"/>
      <c r="R663" s="1949" t="s">
        <v>625</v>
      </c>
      <c r="S663" s="2804">
        <f>+ROUND('Compra -HOJA1'!I355,0)</f>
        <v>0</v>
      </c>
      <c r="T663" s="2804">
        <f>+ROUND('Compra -HOJA1'!K355,0)</f>
        <v>0</v>
      </c>
      <c r="U663" s="2804">
        <f>+ROUND('Compra -HOJA1'!J355,0)</f>
        <v>0</v>
      </c>
      <c r="V663" s="2804">
        <f ca="1">+ROUND('Compra -HOJA1'!L355,0)</f>
        <v>0</v>
      </c>
      <c r="W663" s="2804">
        <f ca="1">+ROUND('Compra -HOJA1'!N355,0)</f>
        <v>0</v>
      </c>
      <c r="X663" s="2804">
        <f ca="1">+ROUND('Compra -HOJA1'!M355,0)</f>
        <v>0</v>
      </c>
      <c r="Y663" s="2805">
        <f ca="1">+'Compra -HOJA1'!O355</f>
        <v>0</v>
      </c>
      <c r="Z663" s="2805">
        <f ca="1">+'Compra -HOJA1'!Q355</f>
        <v>0</v>
      </c>
      <c r="AA663" s="2805">
        <f ca="1">+'Compra -HOJA1'!P355</f>
        <v>0</v>
      </c>
      <c r="AC663" s="2835">
        <f t="shared" si="711"/>
        <v>0</v>
      </c>
      <c r="AD663" s="2776">
        <f t="shared" si="712"/>
        <v>0</v>
      </c>
      <c r="AE663" s="2776">
        <f t="shared" si="713"/>
        <v>0</v>
      </c>
      <c r="AF663" s="1490">
        <f t="shared" si="714"/>
        <v>0</v>
      </c>
      <c r="AG663" s="1490">
        <f>+'Compra -HOJA1'!F355</f>
        <v>0</v>
      </c>
      <c r="AH663" s="2776">
        <f t="shared" ca="1" si="715"/>
        <v>0</v>
      </c>
      <c r="AI663" s="2776">
        <f t="shared" ca="1" si="716"/>
        <v>0</v>
      </c>
      <c r="AJ663" s="2776">
        <f t="shared" ca="1" si="717"/>
        <v>0</v>
      </c>
      <c r="AK663" s="1490">
        <f t="shared" ca="1" si="718"/>
        <v>0</v>
      </c>
      <c r="AL663" s="2825">
        <f t="shared" ca="1" si="719"/>
        <v>0</v>
      </c>
      <c r="AM663" s="1490">
        <f t="shared" ca="1" si="720"/>
        <v>0</v>
      </c>
      <c r="AO663" s="1573">
        <f t="shared" si="721"/>
        <v>0</v>
      </c>
      <c r="AP663" s="1490">
        <f t="shared" si="722"/>
        <v>0</v>
      </c>
      <c r="AS663" s="1490">
        <f t="shared" si="723"/>
        <v>0</v>
      </c>
      <c r="AT663" s="1490">
        <f t="shared" si="724"/>
        <v>0</v>
      </c>
      <c r="AU663" s="1490">
        <f t="shared" si="725"/>
        <v>0</v>
      </c>
    </row>
    <row r="664" spans="1:47" ht="62.1" hidden="1" customHeight="1" x14ac:dyDescent="0.6">
      <c r="A664" s="4069"/>
      <c r="B664" s="1948">
        <v>5575</v>
      </c>
      <c r="C664" s="3751" t="s">
        <v>1232</v>
      </c>
      <c r="D664" s="1948" t="s">
        <v>64</v>
      </c>
      <c r="E664" s="2539">
        <f>+'Compra -HOJA1'!G356</f>
        <v>0</v>
      </c>
      <c r="F664" s="1680">
        <f t="shared" si="687"/>
        <v>0</v>
      </c>
      <c r="G664" s="1680">
        <f t="shared" si="688"/>
        <v>0</v>
      </c>
      <c r="H664" s="1680">
        <f t="shared" si="689"/>
        <v>0</v>
      </c>
      <c r="I664" s="1680">
        <f t="shared" ca="1" si="690"/>
        <v>0</v>
      </c>
      <c r="J664" s="1680">
        <f t="shared" ca="1" si="691"/>
        <v>0</v>
      </c>
      <c r="K664" s="1680">
        <f t="shared" ca="1" si="692"/>
        <v>0</v>
      </c>
      <c r="L664" s="2021">
        <f t="shared" ca="1" si="693"/>
        <v>0</v>
      </c>
      <c r="M664" s="2021">
        <f t="shared" ca="1" si="694"/>
        <v>0</v>
      </c>
      <c r="N664" s="2851">
        <f t="shared" ca="1" si="695"/>
        <v>0</v>
      </c>
      <c r="O664" s="4069"/>
      <c r="P664" s="1948">
        <v>5575</v>
      </c>
      <c r="Q664" s="3751" t="s">
        <v>1232</v>
      </c>
      <c r="R664" s="1948" t="s">
        <v>64</v>
      </c>
      <c r="S664" s="2804">
        <f>+ROUND('Compra -HOJA1'!I356,0)</f>
        <v>0</v>
      </c>
      <c r="T664" s="2804">
        <f>+ROUND('Compra -HOJA1'!K356,0)</f>
        <v>0</v>
      </c>
      <c r="U664" s="2804">
        <f>+ROUND('Compra -HOJA1'!J356,0)</f>
        <v>0</v>
      </c>
      <c r="V664" s="2804">
        <f ca="1">+ROUND('Compra -HOJA1'!L356,0)</f>
        <v>0</v>
      </c>
      <c r="W664" s="2804">
        <f ca="1">+ROUND('Compra -HOJA1'!N356,0)</f>
        <v>0</v>
      </c>
      <c r="X664" s="2804">
        <f ca="1">+ROUND('Compra -HOJA1'!M356,0)</f>
        <v>0</v>
      </c>
      <c r="Y664" s="2805">
        <f ca="1">+'Compra -HOJA1'!O356</f>
        <v>0</v>
      </c>
      <c r="Z664" s="2805">
        <f ca="1">+'Compra -HOJA1'!Q356</f>
        <v>0</v>
      </c>
      <c r="AA664" s="2805">
        <f ca="1">+'Compra -HOJA1'!P356</f>
        <v>0</v>
      </c>
      <c r="AC664" s="2835">
        <f t="shared" si="711"/>
        <v>0</v>
      </c>
      <c r="AD664" s="2776">
        <f t="shared" si="712"/>
        <v>0</v>
      </c>
      <c r="AE664" s="2776">
        <f t="shared" si="713"/>
        <v>0</v>
      </c>
      <c r="AF664" s="1490">
        <f t="shared" si="714"/>
        <v>0</v>
      </c>
      <c r="AG664" s="1490">
        <f>+'Compra -HOJA1'!F356</f>
        <v>0</v>
      </c>
      <c r="AH664" s="2776">
        <f t="shared" ca="1" si="715"/>
        <v>0</v>
      </c>
      <c r="AI664" s="2776">
        <f t="shared" ca="1" si="716"/>
        <v>0</v>
      </c>
      <c r="AJ664" s="2776">
        <f t="shared" ca="1" si="717"/>
        <v>0</v>
      </c>
      <c r="AK664" s="1490">
        <f t="shared" ca="1" si="718"/>
        <v>0</v>
      </c>
      <c r="AL664" s="2825">
        <f t="shared" ca="1" si="719"/>
        <v>0</v>
      </c>
      <c r="AM664" s="1490">
        <f t="shared" ca="1" si="720"/>
        <v>0</v>
      </c>
      <c r="AO664" s="1573">
        <f t="shared" si="721"/>
        <v>0</v>
      </c>
      <c r="AP664" s="1490">
        <f t="shared" si="722"/>
        <v>0</v>
      </c>
      <c r="AS664" s="1490">
        <f t="shared" si="723"/>
        <v>0</v>
      </c>
      <c r="AT664" s="1490">
        <f t="shared" si="724"/>
        <v>0</v>
      </c>
      <c r="AU664" s="1490">
        <f t="shared" si="725"/>
        <v>0</v>
      </c>
    </row>
    <row r="665" spans="1:47" ht="62.1" hidden="1" customHeight="1" thickBot="1" x14ac:dyDescent="0.65">
      <c r="A665" s="4069"/>
      <c r="B665" s="3173">
        <v>5585</v>
      </c>
      <c r="C665" s="3747"/>
      <c r="D665" s="3173" t="s">
        <v>65</v>
      </c>
      <c r="E665" s="2539">
        <f>+'Compra -HOJA1'!G357</f>
        <v>0</v>
      </c>
      <c r="F665" s="1680">
        <f t="shared" si="687"/>
        <v>0</v>
      </c>
      <c r="G665" s="1680">
        <f t="shared" si="688"/>
        <v>0</v>
      </c>
      <c r="H665" s="1680">
        <f t="shared" si="689"/>
        <v>0</v>
      </c>
      <c r="I665" s="1680">
        <f t="shared" ca="1" si="690"/>
        <v>0</v>
      </c>
      <c r="J665" s="1680">
        <f t="shared" ca="1" si="691"/>
        <v>0</v>
      </c>
      <c r="K665" s="1680">
        <f t="shared" ca="1" si="692"/>
        <v>0</v>
      </c>
      <c r="L665" s="2021">
        <f t="shared" ca="1" si="693"/>
        <v>0</v>
      </c>
      <c r="M665" s="2021">
        <f t="shared" ca="1" si="694"/>
        <v>0</v>
      </c>
      <c r="N665" s="2851">
        <f t="shared" ca="1" si="695"/>
        <v>0</v>
      </c>
      <c r="O665" s="4069"/>
      <c r="P665" s="3173">
        <v>5585</v>
      </c>
      <c r="Q665" s="3747"/>
      <c r="R665" s="3173" t="s">
        <v>65</v>
      </c>
      <c r="S665" s="2804">
        <f>+ROUND('Compra -HOJA1'!I357,0)</f>
        <v>0</v>
      </c>
      <c r="T665" s="2804">
        <f>+ROUND('Compra -HOJA1'!K357,0)</f>
        <v>0</v>
      </c>
      <c r="U665" s="2804">
        <f>+ROUND('Compra -HOJA1'!J357,0)</f>
        <v>0</v>
      </c>
      <c r="V665" s="2804">
        <f ca="1">+ROUND('Compra -HOJA1'!L357,0)</f>
        <v>0</v>
      </c>
      <c r="W665" s="2804">
        <f ca="1">+ROUND('Compra -HOJA1'!N357,0)</f>
        <v>0</v>
      </c>
      <c r="X665" s="2804">
        <f ca="1">+ROUND('Compra -HOJA1'!M357,0)</f>
        <v>0</v>
      </c>
      <c r="Y665" s="2805">
        <f ca="1">+'Compra -HOJA1'!O357</f>
        <v>0</v>
      </c>
      <c r="Z665" s="2805">
        <f ca="1">+'Compra -HOJA1'!Q357</f>
        <v>0</v>
      </c>
      <c r="AA665" s="2805">
        <f ca="1">+'Compra -HOJA1'!P357</f>
        <v>0</v>
      </c>
      <c r="AC665" s="2835">
        <f t="shared" si="711"/>
        <v>0</v>
      </c>
      <c r="AD665" s="2776">
        <f t="shared" si="712"/>
        <v>0</v>
      </c>
      <c r="AE665" s="2776">
        <f t="shared" si="713"/>
        <v>0</v>
      </c>
      <c r="AF665" s="1490">
        <f t="shared" si="714"/>
        <v>0</v>
      </c>
      <c r="AG665" s="1490">
        <f>+'Compra -HOJA1'!F357</f>
        <v>0</v>
      </c>
      <c r="AH665" s="2776">
        <f t="shared" ca="1" si="715"/>
        <v>0</v>
      </c>
      <c r="AI665" s="2776">
        <f t="shared" ca="1" si="716"/>
        <v>0</v>
      </c>
      <c r="AJ665" s="2776">
        <f t="shared" ca="1" si="717"/>
        <v>0</v>
      </c>
      <c r="AK665" s="1490">
        <f t="shared" ca="1" si="718"/>
        <v>0</v>
      </c>
      <c r="AL665" s="2825">
        <f t="shared" ca="1" si="719"/>
        <v>0</v>
      </c>
      <c r="AM665" s="1490">
        <f t="shared" ca="1" si="720"/>
        <v>0</v>
      </c>
      <c r="AO665" s="1573">
        <f t="shared" si="721"/>
        <v>0</v>
      </c>
      <c r="AP665" s="1490">
        <f t="shared" si="722"/>
        <v>0</v>
      </c>
      <c r="AS665" s="1490">
        <f t="shared" si="723"/>
        <v>0</v>
      </c>
      <c r="AT665" s="1490">
        <f t="shared" si="724"/>
        <v>0</v>
      </c>
      <c r="AU665" s="1490">
        <f t="shared" si="725"/>
        <v>0</v>
      </c>
    </row>
    <row r="666" spans="1:47" ht="62.1" hidden="1" customHeight="1" x14ac:dyDescent="0.6">
      <c r="A666" s="4069"/>
      <c r="B666" s="1948">
        <v>5595</v>
      </c>
      <c r="C666" s="3745" t="s">
        <v>1233</v>
      </c>
      <c r="D666" s="1948" t="s">
        <v>64</v>
      </c>
      <c r="E666" s="2539">
        <f>+'Compra -HOJA1'!G358</f>
        <v>0</v>
      </c>
      <c r="F666" s="1680">
        <f t="shared" si="687"/>
        <v>0</v>
      </c>
      <c r="G666" s="1680">
        <f t="shared" si="688"/>
        <v>0</v>
      </c>
      <c r="H666" s="1680">
        <f t="shared" si="689"/>
        <v>0</v>
      </c>
      <c r="I666" s="1680">
        <f t="shared" ca="1" si="690"/>
        <v>0</v>
      </c>
      <c r="J666" s="1680">
        <f t="shared" ca="1" si="691"/>
        <v>0</v>
      </c>
      <c r="K666" s="1680">
        <f t="shared" ca="1" si="692"/>
        <v>0</v>
      </c>
      <c r="L666" s="2021">
        <f t="shared" ca="1" si="693"/>
        <v>0</v>
      </c>
      <c r="M666" s="2021">
        <f t="shared" ca="1" si="694"/>
        <v>0</v>
      </c>
      <c r="N666" s="2851">
        <f t="shared" ca="1" si="695"/>
        <v>0</v>
      </c>
      <c r="O666" s="4069"/>
      <c r="P666" s="1948">
        <v>5595</v>
      </c>
      <c r="Q666" s="3751" t="s">
        <v>1233</v>
      </c>
      <c r="R666" s="1948" t="s">
        <v>64</v>
      </c>
      <c r="S666" s="2804">
        <f>+ROUND('Compra -HOJA1'!I358,0)</f>
        <v>0</v>
      </c>
      <c r="T666" s="2804">
        <f>+ROUND('Compra -HOJA1'!K358,0)</f>
        <v>0</v>
      </c>
      <c r="U666" s="2804">
        <f>+ROUND('Compra -HOJA1'!J358,0)</f>
        <v>0</v>
      </c>
      <c r="V666" s="2804">
        <f ca="1">+ROUND('Compra -HOJA1'!L358,0)</f>
        <v>0</v>
      </c>
      <c r="W666" s="2804">
        <f ca="1">+ROUND('Compra -HOJA1'!N358,0)</f>
        <v>0</v>
      </c>
      <c r="X666" s="2804">
        <f ca="1">+ROUND('Compra -HOJA1'!M358,0)</f>
        <v>0</v>
      </c>
      <c r="Y666" s="2805">
        <f ca="1">+'Compra -HOJA1'!O358</f>
        <v>0</v>
      </c>
      <c r="Z666" s="2805">
        <f ca="1">+'Compra -HOJA1'!Q358</f>
        <v>0</v>
      </c>
      <c r="AA666" s="2805">
        <f ca="1">+'Compra -HOJA1'!P358</f>
        <v>0</v>
      </c>
      <c r="AC666" s="2835">
        <f t="shared" si="711"/>
        <v>0</v>
      </c>
      <c r="AD666" s="2776">
        <f t="shared" si="712"/>
        <v>0</v>
      </c>
      <c r="AE666" s="2776">
        <f t="shared" si="713"/>
        <v>0</v>
      </c>
      <c r="AF666" s="1490">
        <f t="shared" si="714"/>
        <v>0</v>
      </c>
      <c r="AG666" s="1490">
        <f>+'Compra -HOJA1'!F358</f>
        <v>0</v>
      </c>
      <c r="AH666" s="2776">
        <f t="shared" ca="1" si="715"/>
        <v>0</v>
      </c>
      <c r="AI666" s="2776">
        <f t="shared" ca="1" si="716"/>
        <v>0</v>
      </c>
      <c r="AJ666" s="2776">
        <f t="shared" ca="1" si="717"/>
        <v>0</v>
      </c>
      <c r="AK666" s="1490">
        <f t="shared" ca="1" si="718"/>
        <v>0</v>
      </c>
      <c r="AL666" s="2825">
        <f t="shared" ca="1" si="719"/>
        <v>0</v>
      </c>
      <c r="AM666" s="1490">
        <f t="shared" ca="1" si="720"/>
        <v>0</v>
      </c>
      <c r="AO666" s="1573">
        <f t="shared" si="721"/>
        <v>0</v>
      </c>
      <c r="AP666" s="1490">
        <f t="shared" si="722"/>
        <v>0</v>
      </c>
      <c r="AS666" s="1490">
        <f t="shared" si="723"/>
        <v>0</v>
      </c>
      <c r="AT666" s="1490">
        <f t="shared" si="724"/>
        <v>0</v>
      </c>
      <c r="AU666" s="1490">
        <f t="shared" si="725"/>
        <v>0</v>
      </c>
    </row>
    <row r="667" spans="1:47" ht="62.1" hidden="1" customHeight="1" x14ac:dyDescent="0.6">
      <c r="A667" s="4069"/>
      <c r="B667" s="3484"/>
      <c r="C667" s="3746"/>
      <c r="D667" s="1948" t="s">
        <v>1324</v>
      </c>
      <c r="E667" s="2539">
        <f>+'Compra -HOJA1'!G359</f>
        <v>0</v>
      </c>
      <c r="F667" s="1680">
        <f t="shared" ref="F667" si="822">+AC667</f>
        <v>0</v>
      </c>
      <c r="G667" s="1680">
        <f t="shared" ref="G667" si="823">+AD667</f>
        <v>0</v>
      </c>
      <c r="H667" s="1680">
        <f t="shared" ref="H667" si="824">+AE667</f>
        <v>0</v>
      </c>
      <c r="I667" s="1680">
        <f t="shared" ref="I667" ca="1" si="825">+AH667</f>
        <v>0</v>
      </c>
      <c r="J667" s="1680">
        <f t="shared" ref="J667" ca="1" si="826">+AI667</f>
        <v>0</v>
      </c>
      <c r="K667" s="1680">
        <f t="shared" ref="K667" ca="1" si="827">+AJ667</f>
        <v>0</v>
      </c>
      <c r="L667" s="2021">
        <f t="shared" ref="L667" ca="1" si="828">+F667+I667</f>
        <v>0</v>
      </c>
      <c r="M667" s="2021">
        <f t="shared" ref="M667" ca="1" si="829">+G667+J667</f>
        <v>0</v>
      </c>
      <c r="N667" s="2851">
        <f t="shared" ref="N667" ca="1" si="830">+H667+K667</f>
        <v>0</v>
      </c>
      <c r="O667" s="4069"/>
      <c r="P667" s="3484"/>
      <c r="Q667" s="3746"/>
      <c r="R667" s="1948" t="s">
        <v>1324</v>
      </c>
      <c r="S667" s="2804">
        <f>+ROUND('Compra -HOJA1'!I359,0)</f>
        <v>0</v>
      </c>
      <c r="T667" s="2804">
        <f>+ROUND('Compra -HOJA1'!K359,0)</f>
        <v>0</v>
      </c>
      <c r="U667" s="2804">
        <f>+ROUND('Compra -HOJA1'!J359,0)</f>
        <v>0</v>
      </c>
      <c r="V667" s="2804">
        <f ca="1">+ROUND('Compra -HOJA1'!L359,0)</f>
        <v>0</v>
      </c>
      <c r="W667" s="2804">
        <f ca="1">+ROUND('Compra -HOJA1'!N359,0)</f>
        <v>0</v>
      </c>
      <c r="X667" s="2804">
        <f ca="1">+ROUND('Compra -HOJA1'!M359,0)</f>
        <v>0</v>
      </c>
      <c r="Y667" s="2805">
        <f ca="1">+'Compra -HOJA1'!O359</f>
        <v>0</v>
      </c>
      <c r="Z667" s="2805">
        <f ca="1">+'Compra -HOJA1'!Q359</f>
        <v>0</v>
      </c>
      <c r="AA667" s="2805">
        <f ca="1">+'Compra -HOJA1'!P359</f>
        <v>0</v>
      </c>
      <c r="AC667" s="2835">
        <f t="shared" ref="AC667" si="831">+ROUND(S667,0)</f>
        <v>0</v>
      </c>
      <c r="AD667" s="2776">
        <f t="shared" ref="AD667" si="832">+ROUND(T667,0)</f>
        <v>0</v>
      </c>
      <c r="AE667" s="2776">
        <f t="shared" ref="AE667" si="833">+AG667-AC667-AD667</f>
        <v>0</v>
      </c>
      <c r="AF667" s="1490">
        <f t="shared" ref="AF667" si="834">SUM(AC667:AE667)</f>
        <v>0</v>
      </c>
      <c r="AG667" s="1490">
        <f>+'Compra -HOJA1'!F359</f>
        <v>0</v>
      </c>
      <c r="AH667" s="2776">
        <f t="shared" ref="AH667" ca="1" si="835">+ROUND(V667,0)</f>
        <v>0</v>
      </c>
      <c r="AI667" s="2776">
        <f t="shared" ref="AI667" ca="1" si="836">+ROUND(W667,0)</f>
        <v>0</v>
      </c>
      <c r="AJ667" s="2776">
        <f t="shared" ref="AJ667" ca="1" si="837">+AL667-AH667-AI667</f>
        <v>0</v>
      </c>
      <c r="AK667" s="1490">
        <f t="shared" ref="AK667" ca="1" si="838">SUM(AH667:AJ667)</f>
        <v>0</v>
      </c>
      <c r="AL667" s="2825">
        <f t="shared" ref="AL667" ca="1" si="839">+ROUND(SUM(V667:X667),0)</f>
        <v>0</v>
      </c>
      <c r="AM667" s="1490">
        <f t="shared" ref="AM667" ca="1" si="840">SUM(V667:X667)</f>
        <v>0</v>
      </c>
      <c r="AO667" s="1573">
        <f t="shared" ref="AO667" si="841">+SUM(S667:U667)</f>
        <v>0</v>
      </c>
      <c r="AP667" s="1490">
        <f t="shared" ref="AP667" si="842">+AO667-AG667</f>
        <v>0</v>
      </c>
      <c r="AS667" s="1490">
        <f t="shared" ref="AS667" si="843">+S667-AC667</f>
        <v>0</v>
      </c>
      <c r="AT667" s="1490">
        <f t="shared" ref="AT667" si="844">+T667-AD667</f>
        <v>0</v>
      </c>
      <c r="AU667" s="1490">
        <f t="shared" ref="AU667" si="845">+U667-AE667</f>
        <v>0</v>
      </c>
    </row>
    <row r="668" spans="1:47" ht="62.1" hidden="1" customHeight="1" thickBot="1" x14ac:dyDescent="0.65">
      <c r="A668" s="4070"/>
      <c r="B668" s="3173">
        <v>5605</v>
      </c>
      <c r="C668" s="3746"/>
      <c r="D668" s="3173" t="s">
        <v>65</v>
      </c>
      <c r="E668" s="2539">
        <f>+'Compra -HOJA1'!G360</f>
        <v>0</v>
      </c>
      <c r="F668" s="1680">
        <f t="shared" si="687"/>
        <v>0</v>
      </c>
      <c r="G668" s="1680">
        <f t="shared" si="688"/>
        <v>0</v>
      </c>
      <c r="H668" s="1680">
        <f t="shared" si="689"/>
        <v>0</v>
      </c>
      <c r="I668" s="1680">
        <f t="shared" ca="1" si="690"/>
        <v>0</v>
      </c>
      <c r="J668" s="1680">
        <f t="shared" ca="1" si="691"/>
        <v>0</v>
      </c>
      <c r="K668" s="1680">
        <f t="shared" ca="1" si="692"/>
        <v>0</v>
      </c>
      <c r="L668" s="2021">
        <f t="shared" ca="1" si="693"/>
        <v>0</v>
      </c>
      <c r="M668" s="2021">
        <f t="shared" ca="1" si="694"/>
        <v>0</v>
      </c>
      <c r="N668" s="2851">
        <f t="shared" ca="1" si="695"/>
        <v>0</v>
      </c>
      <c r="O668" s="4070"/>
      <c r="P668" s="3173">
        <v>5605</v>
      </c>
      <c r="Q668" s="3747"/>
      <c r="R668" s="3173" t="s">
        <v>65</v>
      </c>
      <c r="S668" s="2804">
        <f>+ROUND('Compra -HOJA1'!I360,0)</f>
        <v>0</v>
      </c>
      <c r="T668" s="2804">
        <f>+ROUND('Compra -HOJA1'!K360,0)</f>
        <v>0</v>
      </c>
      <c r="U668" s="2804">
        <f>+ROUND('Compra -HOJA1'!J360,0)</f>
        <v>0</v>
      </c>
      <c r="V668" s="2804">
        <f ca="1">+ROUND('Compra -HOJA1'!L360,0)</f>
        <v>0</v>
      </c>
      <c r="W668" s="2804">
        <f ca="1">+ROUND('Compra -HOJA1'!N360,0)</f>
        <v>0</v>
      </c>
      <c r="X668" s="2804">
        <f ca="1">+ROUND('Compra -HOJA1'!M360,0)</f>
        <v>0</v>
      </c>
      <c r="Y668" s="2805">
        <f ca="1">+'Compra -HOJA1'!O360</f>
        <v>0</v>
      </c>
      <c r="Z668" s="2805">
        <f ca="1">+'Compra -HOJA1'!Q360</f>
        <v>0</v>
      </c>
      <c r="AA668" s="2805">
        <f ca="1">+'Compra -HOJA1'!P360</f>
        <v>0</v>
      </c>
      <c r="AC668" s="2835">
        <f t="shared" si="711"/>
        <v>0</v>
      </c>
      <c r="AD668" s="2776">
        <f t="shared" si="712"/>
        <v>0</v>
      </c>
      <c r="AE668" s="2776">
        <f t="shared" si="713"/>
        <v>0</v>
      </c>
      <c r="AF668" s="1490">
        <f t="shared" si="714"/>
        <v>0</v>
      </c>
      <c r="AG668" s="1490">
        <f>+'Compra -HOJA1'!F360</f>
        <v>0</v>
      </c>
      <c r="AH668" s="2776">
        <f t="shared" ca="1" si="715"/>
        <v>0</v>
      </c>
      <c r="AI668" s="2776">
        <f t="shared" ca="1" si="716"/>
        <v>0</v>
      </c>
      <c r="AJ668" s="2776">
        <f t="shared" ca="1" si="717"/>
        <v>0</v>
      </c>
      <c r="AK668" s="1490">
        <f t="shared" ca="1" si="718"/>
        <v>0</v>
      </c>
      <c r="AL668" s="2825">
        <f t="shared" ca="1" si="719"/>
        <v>0</v>
      </c>
      <c r="AM668" s="1490">
        <f t="shared" ca="1" si="720"/>
        <v>0</v>
      </c>
      <c r="AO668" s="1573">
        <f t="shared" si="721"/>
        <v>0</v>
      </c>
      <c r="AP668" s="1490">
        <f t="shared" si="722"/>
        <v>0</v>
      </c>
      <c r="AS668" s="1490">
        <f t="shared" si="723"/>
        <v>0</v>
      </c>
      <c r="AT668" s="1490">
        <f t="shared" si="724"/>
        <v>0</v>
      </c>
      <c r="AU668" s="1490">
        <f t="shared" si="725"/>
        <v>0</v>
      </c>
    </row>
    <row r="669" spans="1:47" ht="62.1" hidden="1" customHeight="1" thickBot="1" x14ac:dyDescent="0.65">
      <c r="A669" s="3491"/>
      <c r="B669" s="3515"/>
      <c r="C669" s="3747"/>
      <c r="D669" s="3173" t="s">
        <v>1325</v>
      </c>
      <c r="E669" s="2539">
        <f>+'Compra -HOJA1'!G361</f>
        <v>0</v>
      </c>
      <c r="F669" s="1680">
        <f t="shared" ref="F669" si="846">+AC669</f>
        <v>0</v>
      </c>
      <c r="G669" s="1680">
        <f t="shared" ref="G669" si="847">+AD669</f>
        <v>0</v>
      </c>
      <c r="H669" s="1680">
        <f t="shared" ref="H669" si="848">+AE669</f>
        <v>0</v>
      </c>
      <c r="I669" s="1680">
        <f t="shared" ref="I669" ca="1" si="849">+AH669</f>
        <v>0</v>
      </c>
      <c r="J669" s="1680">
        <f t="shared" ref="J669" ca="1" si="850">+AI669</f>
        <v>0</v>
      </c>
      <c r="K669" s="1680">
        <f t="shared" ref="K669" ca="1" si="851">+AJ669</f>
        <v>0</v>
      </c>
      <c r="L669" s="2021">
        <f t="shared" ref="L669" ca="1" si="852">+F669+I669</f>
        <v>0</v>
      </c>
      <c r="M669" s="2021">
        <f t="shared" ref="M669" ca="1" si="853">+G669+J669</f>
        <v>0</v>
      </c>
      <c r="N669" s="2851">
        <f t="shared" ref="N669" ca="1" si="854">+H669+K669</f>
        <v>0</v>
      </c>
      <c r="O669" s="3491"/>
      <c r="P669" s="3515"/>
      <c r="Q669" s="3482"/>
      <c r="R669" s="3173" t="s">
        <v>1325</v>
      </c>
      <c r="S669" s="2804">
        <f>+ROUND('Compra -HOJA1'!I361,0)</f>
        <v>0</v>
      </c>
      <c r="T669" s="2804">
        <f>+ROUND('Compra -HOJA1'!K361,0)</f>
        <v>0</v>
      </c>
      <c r="U669" s="2804">
        <f>+ROUND('Compra -HOJA1'!J361,0)</f>
        <v>0</v>
      </c>
      <c r="V669" s="2804">
        <f ca="1">+ROUND('Compra -HOJA1'!L361,0)</f>
        <v>0</v>
      </c>
      <c r="W669" s="2804">
        <f ca="1">+ROUND('Compra -HOJA1'!N361,0)</f>
        <v>0</v>
      </c>
      <c r="X669" s="2804">
        <f ca="1">+ROUND('Compra -HOJA1'!M361,0)</f>
        <v>0</v>
      </c>
      <c r="Y669" s="2805">
        <f ca="1">+'Compra -HOJA1'!O361</f>
        <v>0</v>
      </c>
      <c r="Z669" s="2805">
        <f ca="1">+'Compra -HOJA1'!Q361</f>
        <v>0</v>
      </c>
      <c r="AA669" s="2805">
        <f ca="1">+'Compra -HOJA1'!P361</f>
        <v>0</v>
      </c>
      <c r="AC669" s="2835">
        <f t="shared" ref="AC669" si="855">+ROUND(S669,0)</f>
        <v>0</v>
      </c>
      <c r="AD669" s="2776">
        <f t="shared" ref="AD669" si="856">+ROUND(T669,0)</f>
        <v>0</v>
      </c>
      <c r="AE669" s="2776">
        <f t="shared" ref="AE669" si="857">+AG669-AC669-AD669</f>
        <v>0</v>
      </c>
      <c r="AF669" s="1490">
        <f t="shared" ref="AF669" si="858">SUM(AC669:AE669)</f>
        <v>0</v>
      </c>
      <c r="AG669" s="1490">
        <f>+'Compra -HOJA1'!F361</f>
        <v>0</v>
      </c>
      <c r="AH669" s="2776">
        <f t="shared" ref="AH669" ca="1" si="859">+ROUND(V669,0)</f>
        <v>0</v>
      </c>
      <c r="AI669" s="2776">
        <f t="shared" ref="AI669" ca="1" si="860">+ROUND(W669,0)</f>
        <v>0</v>
      </c>
      <c r="AJ669" s="2776">
        <f t="shared" ref="AJ669" ca="1" si="861">+AL669-AH669-AI669</f>
        <v>0</v>
      </c>
      <c r="AK669" s="1490">
        <f t="shared" ref="AK669" ca="1" si="862">SUM(AH669:AJ669)</f>
        <v>0</v>
      </c>
      <c r="AL669" s="2825">
        <f t="shared" ref="AL669" ca="1" si="863">+ROUND(SUM(V669:X669),0)</f>
        <v>0</v>
      </c>
      <c r="AM669" s="1490">
        <f t="shared" ref="AM669" ca="1" si="864">SUM(V669:X669)</f>
        <v>0</v>
      </c>
      <c r="AO669" s="1573">
        <f t="shared" ref="AO669" si="865">+SUM(S669:U669)</f>
        <v>0</v>
      </c>
      <c r="AP669" s="1490">
        <f t="shared" ref="AP669" si="866">+AO669-AG669</f>
        <v>0</v>
      </c>
      <c r="AS669" s="1490">
        <f t="shared" ref="AS669" si="867">+S669-AC669</f>
        <v>0</v>
      </c>
      <c r="AT669" s="1490">
        <f t="shared" ref="AT669" si="868">+T669-AD669</f>
        <v>0</v>
      </c>
      <c r="AU669" s="1490">
        <f t="shared" ref="AU669" si="869">+U669-AE669</f>
        <v>0</v>
      </c>
    </row>
    <row r="670" spans="1:47" ht="62.1" hidden="1" customHeight="1" x14ac:dyDescent="0.6">
      <c r="A670" s="4071" t="s">
        <v>67</v>
      </c>
      <c r="B670" s="3172">
        <v>5030</v>
      </c>
      <c r="C670" s="3758" t="s">
        <v>217</v>
      </c>
      <c r="D670" s="3758"/>
      <c r="E670" s="2539">
        <f>+'Compra -HOJA1'!G362</f>
        <v>0</v>
      </c>
      <c r="F670" s="1680">
        <f t="shared" si="687"/>
        <v>0</v>
      </c>
      <c r="G670" s="1680">
        <f t="shared" si="688"/>
        <v>0</v>
      </c>
      <c r="H670" s="1680">
        <f t="shared" si="689"/>
        <v>0</v>
      </c>
      <c r="I670" s="1680">
        <f t="shared" ca="1" si="690"/>
        <v>0</v>
      </c>
      <c r="J670" s="1680">
        <f t="shared" ca="1" si="691"/>
        <v>0</v>
      </c>
      <c r="K670" s="1680">
        <f t="shared" ca="1" si="692"/>
        <v>0</v>
      </c>
      <c r="L670" s="2021">
        <f t="shared" ca="1" si="693"/>
        <v>0</v>
      </c>
      <c r="M670" s="2021">
        <f t="shared" ca="1" si="694"/>
        <v>0</v>
      </c>
      <c r="N670" s="2851">
        <f t="shared" ca="1" si="695"/>
        <v>0</v>
      </c>
      <c r="O670" s="4071" t="s">
        <v>67</v>
      </c>
      <c r="P670" s="3172">
        <v>5030</v>
      </c>
      <c r="Q670" s="3758" t="s">
        <v>217</v>
      </c>
      <c r="R670" s="3758"/>
      <c r="S670" s="2804">
        <f>+ROUND('Compra -HOJA1'!I362,0)</f>
        <v>0</v>
      </c>
      <c r="T670" s="2804">
        <f>+ROUND('Compra -HOJA1'!K362,0)</f>
        <v>0</v>
      </c>
      <c r="U670" s="2804">
        <f>+ROUND('Compra -HOJA1'!J362,0)</f>
        <v>0</v>
      </c>
      <c r="V670" s="2804">
        <f ca="1">+ROUND('Compra -HOJA1'!L362,0)</f>
        <v>0</v>
      </c>
      <c r="W670" s="2804">
        <f ca="1">+ROUND('Compra -HOJA1'!N362,0)</f>
        <v>0</v>
      </c>
      <c r="X670" s="2804">
        <f ca="1">+ROUND('Compra -HOJA1'!M362,0)</f>
        <v>0</v>
      </c>
      <c r="Y670" s="2805">
        <f ca="1">+'Compra -HOJA1'!O362</f>
        <v>0</v>
      </c>
      <c r="Z670" s="2805">
        <f ca="1">+'Compra -HOJA1'!Q362</f>
        <v>0</v>
      </c>
      <c r="AA670" s="2805">
        <f ca="1">+'Compra -HOJA1'!P362</f>
        <v>0</v>
      </c>
      <c r="AC670" s="2835">
        <f t="shared" si="711"/>
        <v>0</v>
      </c>
      <c r="AD670" s="2776">
        <f t="shared" si="712"/>
        <v>0</v>
      </c>
      <c r="AE670" s="2776">
        <f t="shared" si="713"/>
        <v>0</v>
      </c>
      <c r="AF670" s="1490">
        <f t="shared" si="714"/>
        <v>0</v>
      </c>
      <c r="AG670" s="1490">
        <f>+'Compra -HOJA1'!F362</f>
        <v>0</v>
      </c>
      <c r="AH670" s="2776">
        <f t="shared" ca="1" si="715"/>
        <v>0</v>
      </c>
      <c r="AI670" s="2776">
        <f t="shared" ca="1" si="716"/>
        <v>0</v>
      </c>
      <c r="AJ670" s="2776">
        <f t="shared" ca="1" si="717"/>
        <v>0</v>
      </c>
      <c r="AK670" s="1490">
        <f t="shared" ca="1" si="718"/>
        <v>0</v>
      </c>
      <c r="AL670" s="2825">
        <f t="shared" ca="1" si="719"/>
        <v>0</v>
      </c>
      <c r="AM670" s="1490">
        <f t="shared" ca="1" si="720"/>
        <v>0</v>
      </c>
      <c r="AO670" s="1573">
        <f t="shared" si="721"/>
        <v>0</v>
      </c>
      <c r="AP670" s="1490">
        <f t="shared" si="722"/>
        <v>0</v>
      </c>
      <c r="AS670" s="1490">
        <f t="shared" si="723"/>
        <v>0</v>
      </c>
      <c r="AT670" s="1490">
        <f t="shared" si="724"/>
        <v>0</v>
      </c>
      <c r="AU670" s="1490">
        <f t="shared" si="725"/>
        <v>0</v>
      </c>
    </row>
    <row r="671" spans="1:47" ht="62.1" hidden="1" customHeight="1" x14ac:dyDescent="0.6">
      <c r="A671" s="4072"/>
      <c r="B671" s="1954">
        <v>5040</v>
      </c>
      <c r="C671" s="3743" t="s">
        <v>218</v>
      </c>
      <c r="D671" s="3744"/>
      <c r="E671" s="2539">
        <f>+'Compra -HOJA1'!G363</f>
        <v>0</v>
      </c>
      <c r="F671" s="1680">
        <f t="shared" si="687"/>
        <v>0</v>
      </c>
      <c r="G671" s="1680">
        <f t="shared" si="688"/>
        <v>0</v>
      </c>
      <c r="H671" s="1680">
        <f t="shared" si="689"/>
        <v>0</v>
      </c>
      <c r="I671" s="1680">
        <f t="shared" ca="1" si="690"/>
        <v>0</v>
      </c>
      <c r="J671" s="1680">
        <f t="shared" ca="1" si="691"/>
        <v>0</v>
      </c>
      <c r="K671" s="1680">
        <f t="shared" ca="1" si="692"/>
        <v>0</v>
      </c>
      <c r="L671" s="2021">
        <f t="shared" ca="1" si="693"/>
        <v>0</v>
      </c>
      <c r="M671" s="2021">
        <f t="shared" ca="1" si="694"/>
        <v>0</v>
      </c>
      <c r="N671" s="2851">
        <f t="shared" ca="1" si="695"/>
        <v>0</v>
      </c>
      <c r="O671" s="4072"/>
      <c r="P671" s="1954">
        <v>5040</v>
      </c>
      <c r="Q671" s="3743" t="s">
        <v>218</v>
      </c>
      <c r="R671" s="3744"/>
      <c r="S671" s="2804">
        <f>+ROUND('Compra -HOJA1'!I363,0)</f>
        <v>0</v>
      </c>
      <c r="T671" s="2804">
        <f>+ROUND('Compra -HOJA1'!K363,0)</f>
        <v>0</v>
      </c>
      <c r="U671" s="2804">
        <f>+ROUND('Compra -HOJA1'!J363,0)</f>
        <v>0</v>
      </c>
      <c r="V671" s="2804">
        <f ca="1">+ROUND('Compra -HOJA1'!L363,0)</f>
        <v>0</v>
      </c>
      <c r="W671" s="2804">
        <f ca="1">+ROUND('Compra -HOJA1'!N363,0)</f>
        <v>0</v>
      </c>
      <c r="X671" s="2804">
        <f ca="1">+ROUND('Compra -HOJA1'!M363,0)</f>
        <v>0</v>
      </c>
      <c r="Y671" s="2805">
        <f ca="1">+'Compra -HOJA1'!O363</f>
        <v>0</v>
      </c>
      <c r="Z671" s="2805">
        <f ca="1">+'Compra -HOJA1'!Q363</f>
        <v>0</v>
      </c>
      <c r="AA671" s="2805">
        <f ca="1">+'Compra -HOJA1'!P363</f>
        <v>0</v>
      </c>
      <c r="AC671" s="2835">
        <f t="shared" si="711"/>
        <v>0</v>
      </c>
      <c r="AD671" s="2776">
        <f t="shared" si="712"/>
        <v>0</v>
      </c>
      <c r="AE671" s="2776">
        <f t="shared" si="713"/>
        <v>0</v>
      </c>
      <c r="AF671" s="1490">
        <f t="shared" si="714"/>
        <v>0</v>
      </c>
      <c r="AG671" s="1490">
        <f>+'Compra -HOJA1'!F363</f>
        <v>0</v>
      </c>
      <c r="AH671" s="2776">
        <f t="shared" ca="1" si="715"/>
        <v>0</v>
      </c>
      <c r="AI671" s="2776">
        <f t="shared" ca="1" si="716"/>
        <v>0</v>
      </c>
      <c r="AJ671" s="2776">
        <f t="shared" ca="1" si="717"/>
        <v>0</v>
      </c>
      <c r="AK671" s="1490">
        <f t="shared" ca="1" si="718"/>
        <v>0</v>
      </c>
      <c r="AL671" s="2825">
        <f t="shared" ca="1" si="719"/>
        <v>0</v>
      </c>
      <c r="AM671" s="1490">
        <f t="shared" ca="1" si="720"/>
        <v>0</v>
      </c>
      <c r="AO671" s="1573">
        <f t="shared" si="721"/>
        <v>0</v>
      </c>
      <c r="AP671" s="1490">
        <f t="shared" si="722"/>
        <v>0</v>
      </c>
      <c r="AS671" s="1490">
        <f t="shared" si="723"/>
        <v>0</v>
      </c>
      <c r="AT671" s="1490">
        <f t="shared" si="724"/>
        <v>0</v>
      </c>
      <c r="AU671" s="1490">
        <f t="shared" si="725"/>
        <v>0</v>
      </c>
    </row>
    <row r="672" spans="1:47" ht="62.1" hidden="1" customHeight="1" x14ac:dyDescent="0.6">
      <c r="A672" s="4072"/>
      <c r="B672" s="1954"/>
      <c r="C672" s="3743" t="s">
        <v>620</v>
      </c>
      <c r="D672" s="3744"/>
      <c r="E672" s="2539">
        <f>+'Compra -HOJA1'!G364</f>
        <v>0</v>
      </c>
      <c r="F672" s="1680">
        <f t="shared" si="687"/>
        <v>0</v>
      </c>
      <c r="G672" s="1680">
        <f t="shared" si="688"/>
        <v>0</v>
      </c>
      <c r="H672" s="1680">
        <f t="shared" si="689"/>
        <v>0</v>
      </c>
      <c r="I672" s="1680">
        <f t="shared" ca="1" si="690"/>
        <v>0</v>
      </c>
      <c r="J672" s="1680">
        <f t="shared" ca="1" si="691"/>
        <v>0</v>
      </c>
      <c r="K672" s="1680">
        <f t="shared" ca="1" si="692"/>
        <v>0</v>
      </c>
      <c r="L672" s="2021">
        <f t="shared" ca="1" si="693"/>
        <v>0</v>
      </c>
      <c r="M672" s="2021">
        <f t="shared" ca="1" si="694"/>
        <v>0</v>
      </c>
      <c r="N672" s="2851">
        <f t="shared" ca="1" si="695"/>
        <v>0</v>
      </c>
      <c r="O672" s="4072"/>
      <c r="P672" s="1954"/>
      <c r="Q672" s="3743" t="s">
        <v>620</v>
      </c>
      <c r="R672" s="3744"/>
      <c r="S672" s="2804">
        <f>+ROUND('Compra -HOJA1'!I364,0)</f>
        <v>0</v>
      </c>
      <c r="T672" s="2804">
        <f>+ROUND('Compra -HOJA1'!K364,0)</f>
        <v>0</v>
      </c>
      <c r="U672" s="2804">
        <f>+ROUND('Compra -HOJA1'!J364,0)</f>
        <v>0</v>
      </c>
      <c r="V672" s="2804">
        <f ca="1">+ROUND('Compra -HOJA1'!L364,0)</f>
        <v>0</v>
      </c>
      <c r="W672" s="2804">
        <f ca="1">+ROUND('Compra -HOJA1'!N364,0)</f>
        <v>0</v>
      </c>
      <c r="X672" s="2804">
        <f ca="1">+ROUND('Compra -HOJA1'!M364,0)</f>
        <v>0</v>
      </c>
      <c r="Y672" s="2805">
        <f ca="1">+'Compra -HOJA1'!O364</f>
        <v>0</v>
      </c>
      <c r="Z672" s="2805">
        <f ca="1">+'Compra -HOJA1'!Q364</f>
        <v>0</v>
      </c>
      <c r="AA672" s="2805">
        <f ca="1">+'Compra -HOJA1'!P364</f>
        <v>0</v>
      </c>
      <c r="AC672" s="2835">
        <f t="shared" si="711"/>
        <v>0</v>
      </c>
      <c r="AD672" s="2776">
        <f t="shared" si="712"/>
        <v>0</v>
      </c>
      <c r="AE672" s="2776">
        <f t="shared" si="713"/>
        <v>0</v>
      </c>
      <c r="AF672" s="1490">
        <f t="shared" si="714"/>
        <v>0</v>
      </c>
      <c r="AG672" s="1490">
        <f>+'Compra -HOJA1'!F364</f>
        <v>0</v>
      </c>
      <c r="AH672" s="2776">
        <f t="shared" ca="1" si="715"/>
        <v>0</v>
      </c>
      <c r="AI672" s="2776">
        <f t="shared" ca="1" si="716"/>
        <v>0</v>
      </c>
      <c r="AJ672" s="2776">
        <f t="shared" ca="1" si="717"/>
        <v>0</v>
      </c>
      <c r="AK672" s="1490">
        <f t="shared" ca="1" si="718"/>
        <v>0</v>
      </c>
      <c r="AL672" s="2825">
        <f t="shared" ca="1" si="719"/>
        <v>0</v>
      </c>
      <c r="AM672" s="1490">
        <f t="shared" ca="1" si="720"/>
        <v>0</v>
      </c>
      <c r="AO672" s="1573">
        <f t="shared" si="721"/>
        <v>0</v>
      </c>
      <c r="AP672" s="1490">
        <f t="shared" si="722"/>
        <v>0</v>
      </c>
      <c r="AS672" s="1490">
        <f t="shared" si="723"/>
        <v>0</v>
      </c>
      <c r="AT672" s="1490">
        <f t="shared" si="724"/>
        <v>0</v>
      </c>
      <c r="AU672" s="1490">
        <f t="shared" si="725"/>
        <v>0</v>
      </c>
    </row>
    <row r="673" spans="1:47" ht="62.1" hidden="1" customHeight="1" x14ac:dyDescent="0.6">
      <c r="A673" s="4072"/>
      <c r="B673" s="1954">
        <v>5045</v>
      </c>
      <c r="C673" s="3743" t="s">
        <v>221</v>
      </c>
      <c r="D673" s="3744"/>
      <c r="E673" s="2539">
        <f>+'Compra -HOJA1'!G365</f>
        <v>0</v>
      </c>
      <c r="F673" s="1680">
        <f t="shared" si="687"/>
        <v>0</v>
      </c>
      <c r="G673" s="1680">
        <f t="shared" si="688"/>
        <v>0</v>
      </c>
      <c r="H673" s="1680">
        <f t="shared" si="689"/>
        <v>0</v>
      </c>
      <c r="I673" s="1680">
        <f t="shared" ca="1" si="690"/>
        <v>0</v>
      </c>
      <c r="J673" s="1680">
        <f t="shared" ca="1" si="691"/>
        <v>0</v>
      </c>
      <c r="K673" s="1680">
        <f t="shared" ca="1" si="692"/>
        <v>0</v>
      </c>
      <c r="L673" s="2021">
        <f t="shared" ca="1" si="693"/>
        <v>0</v>
      </c>
      <c r="M673" s="2021">
        <f t="shared" ca="1" si="694"/>
        <v>0</v>
      </c>
      <c r="N673" s="2851">
        <f t="shared" ca="1" si="695"/>
        <v>0</v>
      </c>
      <c r="O673" s="4072"/>
      <c r="P673" s="1954">
        <v>5045</v>
      </c>
      <c r="Q673" s="3743" t="s">
        <v>221</v>
      </c>
      <c r="R673" s="3744"/>
      <c r="S673" s="2804">
        <f>+ROUND('Compra -HOJA1'!I365,0)</f>
        <v>0</v>
      </c>
      <c r="T673" s="2804">
        <f>+ROUND('Compra -HOJA1'!K365,0)</f>
        <v>0</v>
      </c>
      <c r="U673" s="2804">
        <f>+ROUND('Compra -HOJA1'!J365,0)</f>
        <v>0</v>
      </c>
      <c r="V673" s="2804">
        <f ca="1">+ROUND('Compra -HOJA1'!L365,0)</f>
        <v>0</v>
      </c>
      <c r="W673" s="2804">
        <f ca="1">+ROUND('Compra -HOJA1'!N365,0)</f>
        <v>0</v>
      </c>
      <c r="X673" s="2804">
        <f ca="1">+ROUND('Compra -HOJA1'!M365,0)</f>
        <v>0</v>
      </c>
      <c r="Y673" s="2805">
        <f ca="1">+'Compra -HOJA1'!O365</f>
        <v>0</v>
      </c>
      <c r="Z673" s="2805">
        <f ca="1">+'Compra -HOJA1'!Q365</f>
        <v>0</v>
      </c>
      <c r="AA673" s="2805">
        <f ca="1">+'Compra -HOJA1'!P365</f>
        <v>0</v>
      </c>
      <c r="AC673" s="2835">
        <f t="shared" si="711"/>
        <v>0</v>
      </c>
      <c r="AD673" s="2776">
        <f t="shared" si="712"/>
        <v>0</v>
      </c>
      <c r="AE673" s="2776">
        <f t="shared" si="713"/>
        <v>0</v>
      </c>
      <c r="AF673" s="1490">
        <f t="shared" si="714"/>
        <v>0</v>
      </c>
      <c r="AG673" s="1490">
        <f>+'Compra -HOJA1'!F365</f>
        <v>0</v>
      </c>
      <c r="AH673" s="2776">
        <f t="shared" ca="1" si="715"/>
        <v>0</v>
      </c>
      <c r="AI673" s="2776">
        <f t="shared" ca="1" si="716"/>
        <v>0</v>
      </c>
      <c r="AJ673" s="2776">
        <f t="shared" ca="1" si="717"/>
        <v>0</v>
      </c>
      <c r="AK673" s="1490">
        <f t="shared" ca="1" si="718"/>
        <v>0</v>
      </c>
      <c r="AL673" s="2825">
        <f t="shared" ca="1" si="719"/>
        <v>0</v>
      </c>
      <c r="AM673" s="1490">
        <f t="shared" ca="1" si="720"/>
        <v>0</v>
      </c>
      <c r="AO673" s="1573">
        <f t="shared" si="721"/>
        <v>0</v>
      </c>
      <c r="AP673" s="1490">
        <f t="shared" si="722"/>
        <v>0</v>
      </c>
      <c r="AS673" s="1490">
        <f t="shared" si="723"/>
        <v>0</v>
      </c>
      <c r="AT673" s="1490">
        <f t="shared" si="724"/>
        <v>0</v>
      </c>
      <c r="AU673" s="1490">
        <f t="shared" si="725"/>
        <v>0</v>
      </c>
    </row>
    <row r="674" spans="1:47" ht="62.1" hidden="1" customHeight="1" x14ac:dyDescent="0.6">
      <c r="A674" s="4072"/>
      <c r="B674" s="1955">
        <v>5050</v>
      </c>
      <c r="C674" s="3742" t="s">
        <v>219</v>
      </c>
      <c r="D674" s="3742"/>
      <c r="E674" s="2539">
        <f>+'Compra -HOJA1'!G366</f>
        <v>0</v>
      </c>
      <c r="F674" s="1680">
        <f t="shared" si="687"/>
        <v>0</v>
      </c>
      <c r="G674" s="1680">
        <f t="shared" si="688"/>
        <v>0</v>
      </c>
      <c r="H674" s="1680">
        <f t="shared" si="689"/>
        <v>0</v>
      </c>
      <c r="I674" s="1680">
        <f t="shared" ca="1" si="690"/>
        <v>0</v>
      </c>
      <c r="J674" s="1680">
        <f t="shared" ca="1" si="691"/>
        <v>0</v>
      </c>
      <c r="K674" s="1680">
        <f t="shared" ca="1" si="692"/>
        <v>0</v>
      </c>
      <c r="L674" s="2021">
        <f t="shared" ca="1" si="693"/>
        <v>0</v>
      </c>
      <c r="M674" s="2021">
        <f t="shared" ca="1" si="694"/>
        <v>0</v>
      </c>
      <c r="N674" s="2851">
        <f t="shared" ca="1" si="695"/>
        <v>0</v>
      </c>
      <c r="O674" s="4072"/>
      <c r="P674" s="1955">
        <v>5050</v>
      </c>
      <c r="Q674" s="3742" t="s">
        <v>219</v>
      </c>
      <c r="R674" s="3742"/>
      <c r="S674" s="2804">
        <f>+ROUND('Compra -HOJA1'!I366,0)</f>
        <v>0</v>
      </c>
      <c r="T674" s="2804">
        <f>+ROUND('Compra -HOJA1'!K366,0)</f>
        <v>0</v>
      </c>
      <c r="U674" s="2804">
        <f>+ROUND('Compra -HOJA1'!J366,0)</f>
        <v>0</v>
      </c>
      <c r="V674" s="2804">
        <f ca="1">+ROUND('Compra -HOJA1'!L366,0)</f>
        <v>0</v>
      </c>
      <c r="W674" s="2804">
        <f ca="1">+ROUND('Compra -HOJA1'!N366,0)</f>
        <v>0</v>
      </c>
      <c r="X674" s="2804">
        <f ca="1">+ROUND('Compra -HOJA1'!M366,0)</f>
        <v>0</v>
      </c>
      <c r="Y674" s="2805">
        <f ca="1">+'Compra -HOJA1'!O366</f>
        <v>0</v>
      </c>
      <c r="Z674" s="2805">
        <f ca="1">+'Compra -HOJA1'!Q366</f>
        <v>0</v>
      </c>
      <c r="AA674" s="2805">
        <f ca="1">+'Compra -HOJA1'!P366</f>
        <v>0</v>
      </c>
      <c r="AC674" s="2835">
        <f t="shared" si="711"/>
        <v>0</v>
      </c>
      <c r="AD674" s="2776">
        <f t="shared" si="712"/>
        <v>0</v>
      </c>
      <c r="AE674" s="2776">
        <f t="shared" si="713"/>
        <v>0</v>
      </c>
      <c r="AF674" s="1490">
        <f t="shared" si="714"/>
        <v>0</v>
      </c>
      <c r="AG674" s="1490">
        <f>+'Compra -HOJA1'!F366</f>
        <v>0</v>
      </c>
      <c r="AH674" s="2776">
        <f t="shared" ca="1" si="715"/>
        <v>0</v>
      </c>
      <c r="AI674" s="2776">
        <f t="shared" ca="1" si="716"/>
        <v>0</v>
      </c>
      <c r="AJ674" s="2776">
        <f t="shared" ca="1" si="717"/>
        <v>0</v>
      </c>
      <c r="AK674" s="1490">
        <f t="shared" ca="1" si="718"/>
        <v>0</v>
      </c>
      <c r="AL674" s="2825">
        <f t="shared" ca="1" si="719"/>
        <v>0</v>
      </c>
      <c r="AM674" s="1490">
        <f t="shared" ca="1" si="720"/>
        <v>0</v>
      </c>
      <c r="AO674" s="1573">
        <f t="shared" si="721"/>
        <v>0</v>
      </c>
      <c r="AP674" s="1490">
        <f t="shared" si="722"/>
        <v>0</v>
      </c>
      <c r="AS674" s="1490">
        <f t="shared" si="723"/>
        <v>0</v>
      </c>
      <c r="AT674" s="1490">
        <f t="shared" si="724"/>
        <v>0</v>
      </c>
      <c r="AU674" s="1490">
        <f t="shared" si="725"/>
        <v>0</v>
      </c>
    </row>
    <row r="675" spans="1:47" ht="62.1" hidden="1" customHeight="1" x14ac:dyDescent="0.6">
      <c r="A675" s="4072"/>
      <c r="B675" s="1955"/>
      <c r="C675" s="3742" t="s">
        <v>621</v>
      </c>
      <c r="D675" s="3742"/>
      <c r="E675" s="2539">
        <f>+'Compra -HOJA1'!G367</f>
        <v>0</v>
      </c>
      <c r="F675" s="1680">
        <f t="shared" si="687"/>
        <v>0</v>
      </c>
      <c r="G675" s="1680">
        <f t="shared" si="688"/>
        <v>0</v>
      </c>
      <c r="H675" s="1680">
        <f t="shared" si="689"/>
        <v>0</v>
      </c>
      <c r="I675" s="1680">
        <f t="shared" ca="1" si="690"/>
        <v>0</v>
      </c>
      <c r="J675" s="1680">
        <f t="shared" ca="1" si="691"/>
        <v>0</v>
      </c>
      <c r="K675" s="1680">
        <f t="shared" ca="1" si="692"/>
        <v>0</v>
      </c>
      <c r="L675" s="2021">
        <f t="shared" ca="1" si="693"/>
        <v>0</v>
      </c>
      <c r="M675" s="2021">
        <f t="shared" ca="1" si="694"/>
        <v>0</v>
      </c>
      <c r="N675" s="2851">
        <f t="shared" ca="1" si="695"/>
        <v>0</v>
      </c>
      <c r="O675" s="4072"/>
      <c r="P675" s="1955"/>
      <c r="Q675" s="3742" t="s">
        <v>621</v>
      </c>
      <c r="R675" s="3742"/>
      <c r="S675" s="2804">
        <f>+ROUND('Compra -HOJA1'!I367,0)</f>
        <v>0</v>
      </c>
      <c r="T675" s="2804">
        <f>+ROUND('Compra -HOJA1'!K367,0)</f>
        <v>0</v>
      </c>
      <c r="U675" s="2804">
        <f>+ROUND('Compra -HOJA1'!J367,0)</f>
        <v>0</v>
      </c>
      <c r="V675" s="2804">
        <f ca="1">+ROUND('Compra -HOJA1'!L367,0)</f>
        <v>0</v>
      </c>
      <c r="W675" s="2804">
        <f ca="1">+ROUND('Compra -HOJA1'!N367,0)</f>
        <v>0</v>
      </c>
      <c r="X675" s="2804">
        <f ca="1">+ROUND('Compra -HOJA1'!M367,0)</f>
        <v>0</v>
      </c>
      <c r="Y675" s="2805">
        <f ca="1">+'Compra -HOJA1'!O367</f>
        <v>0</v>
      </c>
      <c r="Z675" s="2805">
        <f ca="1">+'Compra -HOJA1'!Q367</f>
        <v>0</v>
      </c>
      <c r="AA675" s="2805">
        <f ca="1">+'Compra -HOJA1'!P367</f>
        <v>0</v>
      </c>
      <c r="AC675" s="2835">
        <f t="shared" si="711"/>
        <v>0</v>
      </c>
      <c r="AD675" s="2776">
        <f t="shared" si="712"/>
        <v>0</v>
      </c>
      <c r="AE675" s="2776">
        <f t="shared" si="713"/>
        <v>0</v>
      </c>
      <c r="AF675" s="1490">
        <f t="shared" si="714"/>
        <v>0</v>
      </c>
      <c r="AG675" s="1490">
        <f>+'Compra -HOJA1'!F367</f>
        <v>0</v>
      </c>
      <c r="AH675" s="2776">
        <f t="shared" ca="1" si="715"/>
        <v>0</v>
      </c>
      <c r="AI675" s="2776">
        <f t="shared" ca="1" si="716"/>
        <v>0</v>
      </c>
      <c r="AJ675" s="2776">
        <f t="shared" ca="1" si="717"/>
        <v>0</v>
      </c>
      <c r="AK675" s="1490">
        <f t="shared" ca="1" si="718"/>
        <v>0</v>
      </c>
      <c r="AL675" s="2825">
        <f t="shared" ca="1" si="719"/>
        <v>0</v>
      </c>
      <c r="AM675" s="1490">
        <f t="shared" ca="1" si="720"/>
        <v>0</v>
      </c>
      <c r="AO675" s="1573">
        <f t="shared" si="721"/>
        <v>0</v>
      </c>
      <c r="AP675" s="1490">
        <f t="shared" si="722"/>
        <v>0</v>
      </c>
      <c r="AS675" s="1490">
        <f t="shared" si="723"/>
        <v>0</v>
      </c>
      <c r="AT675" s="1490">
        <f t="shared" si="724"/>
        <v>0</v>
      </c>
      <c r="AU675" s="1490">
        <f t="shared" si="725"/>
        <v>0</v>
      </c>
    </row>
    <row r="676" spans="1:47" ht="62.1" hidden="1" customHeight="1" x14ac:dyDescent="0.6">
      <c r="A676" s="4072"/>
      <c r="B676" s="1955">
        <v>5055</v>
      </c>
      <c r="C676" s="3742" t="s">
        <v>222</v>
      </c>
      <c r="D676" s="3742"/>
      <c r="E676" s="2539">
        <f>+'Compra -HOJA1'!G368</f>
        <v>0</v>
      </c>
      <c r="F676" s="1680">
        <f t="shared" si="687"/>
        <v>0</v>
      </c>
      <c r="G676" s="1680">
        <f t="shared" si="688"/>
        <v>0</v>
      </c>
      <c r="H676" s="1680">
        <f t="shared" si="689"/>
        <v>0</v>
      </c>
      <c r="I676" s="1680">
        <f t="shared" ca="1" si="690"/>
        <v>0</v>
      </c>
      <c r="J676" s="1680">
        <f t="shared" ca="1" si="691"/>
        <v>0</v>
      </c>
      <c r="K676" s="1680">
        <f t="shared" ca="1" si="692"/>
        <v>0</v>
      </c>
      <c r="L676" s="2021">
        <f t="shared" ca="1" si="693"/>
        <v>0</v>
      </c>
      <c r="M676" s="2021">
        <f t="shared" ca="1" si="694"/>
        <v>0</v>
      </c>
      <c r="N676" s="2851">
        <f t="shared" ca="1" si="695"/>
        <v>0</v>
      </c>
      <c r="O676" s="4072"/>
      <c r="P676" s="1955">
        <v>5055</v>
      </c>
      <c r="Q676" s="3742" t="s">
        <v>222</v>
      </c>
      <c r="R676" s="3742"/>
      <c r="S676" s="2804">
        <f>+ROUND('Compra -HOJA1'!I368,0)</f>
        <v>0</v>
      </c>
      <c r="T676" s="2804">
        <f>+ROUND('Compra -HOJA1'!K368,0)</f>
        <v>0</v>
      </c>
      <c r="U676" s="2804">
        <f>+ROUND('Compra -HOJA1'!J368,0)</f>
        <v>0</v>
      </c>
      <c r="V676" s="2804">
        <f ca="1">+ROUND('Compra -HOJA1'!L368,0)</f>
        <v>0</v>
      </c>
      <c r="W676" s="2804">
        <f ca="1">+ROUND('Compra -HOJA1'!N368,0)</f>
        <v>0</v>
      </c>
      <c r="X676" s="2804">
        <f ca="1">+ROUND('Compra -HOJA1'!M368,0)</f>
        <v>0</v>
      </c>
      <c r="Y676" s="2805">
        <f ca="1">+'Compra -HOJA1'!O368</f>
        <v>0</v>
      </c>
      <c r="Z676" s="2805">
        <f ca="1">+'Compra -HOJA1'!Q368</f>
        <v>0</v>
      </c>
      <c r="AA676" s="2805">
        <f ca="1">+'Compra -HOJA1'!P368</f>
        <v>0</v>
      </c>
      <c r="AC676" s="2835">
        <f t="shared" si="711"/>
        <v>0</v>
      </c>
      <c r="AD676" s="2776">
        <f t="shared" si="712"/>
        <v>0</v>
      </c>
      <c r="AE676" s="2776">
        <f t="shared" si="713"/>
        <v>0</v>
      </c>
      <c r="AF676" s="1490">
        <f t="shared" si="714"/>
        <v>0</v>
      </c>
      <c r="AG676" s="1490">
        <f>+'Compra -HOJA1'!F368</f>
        <v>0</v>
      </c>
      <c r="AH676" s="2776">
        <f t="shared" ca="1" si="715"/>
        <v>0</v>
      </c>
      <c r="AI676" s="2776">
        <f t="shared" ca="1" si="716"/>
        <v>0</v>
      </c>
      <c r="AJ676" s="2776">
        <f t="shared" ca="1" si="717"/>
        <v>0</v>
      </c>
      <c r="AK676" s="1490">
        <f t="shared" ca="1" si="718"/>
        <v>0</v>
      </c>
      <c r="AL676" s="2825">
        <f t="shared" ca="1" si="719"/>
        <v>0</v>
      </c>
      <c r="AM676" s="1490">
        <f t="shared" ca="1" si="720"/>
        <v>0</v>
      </c>
      <c r="AO676" s="1573">
        <f t="shared" si="721"/>
        <v>0</v>
      </c>
      <c r="AP676" s="1490">
        <f t="shared" si="722"/>
        <v>0</v>
      </c>
      <c r="AS676" s="1490">
        <f t="shared" si="723"/>
        <v>0</v>
      </c>
      <c r="AT676" s="1490">
        <f t="shared" si="724"/>
        <v>0</v>
      </c>
      <c r="AU676" s="1490">
        <f t="shared" si="725"/>
        <v>0</v>
      </c>
    </row>
    <row r="677" spans="1:47" ht="62.1" hidden="1" customHeight="1" x14ac:dyDescent="0.6">
      <c r="A677" s="4072"/>
      <c r="B677" s="1948">
        <v>5510</v>
      </c>
      <c r="C677" s="3751" t="s">
        <v>1234</v>
      </c>
      <c r="D677" s="1948" t="s">
        <v>68</v>
      </c>
      <c r="E677" s="2539">
        <f>+'Compra -HOJA1'!G369</f>
        <v>0</v>
      </c>
      <c r="F677" s="1680">
        <f t="shared" si="687"/>
        <v>0</v>
      </c>
      <c r="G677" s="1680">
        <f t="shared" si="688"/>
        <v>0</v>
      </c>
      <c r="H677" s="1680">
        <f t="shared" si="689"/>
        <v>0</v>
      </c>
      <c r="I677" s="1680">
        <f t="shared" ca="1" si="690"/>
        <v>0</v>
      </c>
      <c r="J677" s="1680">
        <f t="shared" ca="1" si="691"/>
        <v>0</v>
      </c>
      <c r="K677" s="1680">
        <f t="shared" ca="1" si="692"/>
        <v>0</v>
      </c>
      <c r="L677" s="2021">
        <f t="shared" ca="1" si="693"/>
        <v>0</v>
      </c>
      <c r="M677" s="2021">
        <f t="shared" ca="1" si="694"/>
        <v>0</v>
      </c>
      <c r="N677" s="2851">
        <f t="shared" ca="1" si="695"/>
        <v>0</v>
      </c>
      <c r="O677" s="4072"/>
      <c r="P677" s="1948">
        <v>5510</v>
      </c>
      <c r="Q677" s="3751" t="s">
        <v>1234</v>
      </c>
      <c r="R677" s="1948" t="s">
        <v>68</v>
      </c>
      <c r="S677" s="2804">
        <f>+ROUND('Compra -HOJA1'!I369,0)</f>
        <v>0</v>
      </c>
      <c r="T677" s="2804">
        <f>+ROUND('Compra -HOJA1'!K369,0)</f>
        <v>0</v>
      </c>
      <c r="U677" s="2804">
        <f>+ROUND('Compra -HOJA1'!J369,0)</f>
        <v>0</v>
      </c>
      <c r="V677" s="2804">
        <f ca="1">+ROUND('Compra -HOJA1'!L369,0)</f>
        <v>0</v>
      </c>
      <c r="W677" s="2804">
        <f ca="1">+ROUND('Compra -HOJA1'!N369,0)</f>
        <v>0</v>
      </c>
      <c r="X677" s="2804">
        <f ca="1">+ROUND('Compra -HOJA1'!M369,0)</f>
        <v>0</v>
      </c>
      <c r="Y677" s="2805">
        <f ca="1">+'Compra -HOJA1'!O369</f>
        <v>0</v>
      </c>
      <c r="Z677" s="2805">
        <f ca="1">+'Compra -HOJA1'!Q369</f>
        <v>0</v>
      </c>
      <c r="AA677" s="2805">
        <f ca="1">+'Compra -HOJA1'!P369</f>
        <v>0</v>
      </c>
      <c r="AC677" s="2835">
        <f t="shared" si="711"/>
        <v>0</v>
      </c>
      <c r="AD677" s="2776">
        <f t="shared" si="712"/>
        <v>0</v>
      </c>
      <c r="AE677" s="2776">
        <f t="shared" si="713"/>
        <v>0</v>
      </c>
      <c r="AF677" s="1490">
        <f t="shared" si="714"/>
        <v>0</v>
      </c>
      <c r="AG677" s="1490">
        <f>+'Compra -HOJA1'!F369</f>
        <v>0</v>
      </c>
      <c r="AH677" s="2776">
        <f t="shared" ca="1" si="715"/>
        <v>0</v>
      </c>
      <c r="AI677" s="2776">
        <f t="shared" ca="1" si="716"/>
        <v>0</v>
      </c>
      <c r="AJ677" s="2776">
        <f t="shared" ca="1" si="717"/>
        <v>0</v>
      </c>
      <c r="AK677" s="1490">
        <f t="shared" ca="1" si="718"/>
        <v>0</v>
      </c>
      <c r="AL677" s="2825">
        <f t="shared" ca="1" si="719"/>
        <v>0</v>
      </c>
      <c r="AM677" s="1490">
        <f t="shared" ca="1" si="720"/>
        <v>0</v>
      </c>
      <c r="AO677" s="1573">
        <f t="shared" si="721"/>
        <v>0</v>
      </c>
      <c r="AP677" s="1490">
        <f t="shared" si="722"/>
        <v>0</v>
      </c>
      <c r="AS677" s="1490">
        <f t="shared" si="723"/>
        <v>0</v>
      </c>
      <c r="AT677" s="1490">
        <f t="shared" si="724"/>
        <v>0</v>
      </c>
      <c r="AU677" s="1490">
        <f t="shared" si="725"/>
        <v>0</v>
      </c>
    </row>
    <row r="678" spans="1:47" ht="62.1" hidden="1" customHeight="1" x14ac:dyDescent="0.6">
      <c r="A678" s="4072"/>
      <c r="B678" s="1948"/>
      <c r="C678" s="3746"/>
      <c r="D678" s="1948" t="s">
        <v>624</v>
      </c>
      <c r="E678" s="2539">
        <f>+'Compra -HOJA1'!G370</f>
        <v>0</v>
      </c>
      <c r="F678" s="1680">
        <f t="shared" si="687"/>
        <v>0</v>
      </c>
      <c r="G678" s="1680">
        <f t="shared" si="688"/>
        <v>0</v>
      </c>
      <c r="H678" s="1680">
        <f t="shared" si="689"/>
        <v>0</v>
      </c>
      <c r="I678" s="1680">
        <f t="shared" ca="1" si="690"/>
        <v>0</v>
      </c>
      <c r="J678" s="1680">
        <f t="shared" ca="1" si="691"/>
        <v>0</v>
      </c>
      <c r="K678" s="1680">
        <f t="shared" ca="1" si="692"/>
        <v>0</v>
      </c>
      <c r="L678" s="2021">
        <f t="shared" ca="1" si="693"/>
        <v>0</v>
      </c>
      <c r="M678" s="2021">
        <f t="shared" ca="1" si="694"/>
        <v>0</v>
      </c>
      <c r="N678" s="2851">
        <f t="shared" ca="1" si="695"/>
        <v>0</v>
      </c>
      <c r="O678" s="4072"/>
      <c r="P678" s="1948"/>
      <c r="Q678" s="3746"/>
      <c r="R678" s="1948" t="s">
        <v>624</v>
      </c>
      <c r="S678" s="2804">
        <f>+ROUND('Compra -HOJA1'!I370,0)</f>
        <v>0</v>
      </c>
      <c r="T678" s="2804">
        <f>+ROUND('Compra -HOJA1'!K370,0)</f>
        <v>0</v>
      </c>
      <c r="U678" s="2804">
        <f>+ROUND('Compra -HOJA1'!J370,0)</f>
        <v>0</v>
      </c>
      <c r="V678" s="2804">
        <f ca="1">+ROUND('Compra -HOJA1'!L370,0)</f>
        <v>0</v>
      </c>
      <c r="W678" s="2804">
        <f ca="1">+ROUND('Compra -HOJA1'!N370,0)</f>
        <v>0</v>
      </c>
      <c r="X678" s="2804">
        <f ca="1">+ROUND('Compra -HOJA1'!M370,0)</f>
        <v>0</v>
      </c>
      <c r="Y678" s="2805">
        <f ca="1">+'Compra -HOJA1'!O370</f>
        <v>0</v>
      </c>
      <c r="Z678" s="2805">
        <f ca="1">+'Compra -HOJA1'!Q370</f>
        <v>0</v>
      </c>
      <c r="AA678" s="2805">
        <f ca="1">+'Compra -HOJA1'!P370</f>
        <v>0</v>
      </c>
      <c r="AC678" s="2835">
        <f t="shared" si="711"/>
        <v>0</v>
      </c>
      <c r="AD678" s="2776">
        <f t="shared" si="712"/>
        <v>0</v>
      </c>
      <c r="AE678" s="2776">
        <f t="shared" si="713"/>
        <v>0</v>
      </c>
      <c r="AF678" s="1490">
        <f t="shared" si="714"/>
        <v>0</v>
      </c>
      <c r="AG678" s="1490">
        <f>+'Compra -HOJA1'!F370</f>
        <v>0</v>
      </c>
      <c r="AH678" s="2776">
        <f t="shared" ca="1" si="715"/>
        <v>0</v>
      </c>
      <c r="AI678" s="2776">
        <f t="shared" ca="1" si="716"/>
        <v>0</v>
      </c>
      <c r="AJ678" s="2776">
        <f t="shared" ca="1" si="717"/>
        <v>0</v>
      </c>
      <c r="AK678" s="1490">
        <f t="shared" ca="1" si="718"/>
        <v>0</v>
      </c>
      <c r="AL678" s="2825">
        <f t="shared" ca="1" si="719"/>
        <v>0</v>
      </c>
      <c r="AM678" s="1490">
        <f t="shared" ca="1" si="720"/>
        <v>0</v>
      </c>
      <c r="AO678" s="1573">
        <f t="shared" si="721"/>
        <v>0</v>
      </c>
      <c r="AP678" s="1490">
        <f t="shared" si="722"/>
        <v>0</v>
      </c>
      <c r="AS678" s="1490">
        <f t="shared" si="723"/>
        <v>0</v>
      </c>
      <c r="AT678" s="1490">
        <f t="shared" si="724"/>
        <v>0</v>
      </c>
      <c r="AU678" s="1490">
        <f t="shared" si="725"/>
        <v>0</v>
      </c>
    </row>
    <row r="679" spans="1:47" ht="62.1" hidden="1" customHeight="1" x14ac:dyDescent="0.6">
      <c r="A679" s="4072"/>
      <c r="B679" s="1949">
        <v>5560</v>
      </c>
      <c r="C679" s="3746"/>
      <c r="D679" s="1949" t="s">
        <v>69</v>
      </c>
      <c r="E679" s="2539">
        <f>+'Compra -HOJA1'!G371</f>
        <v>0</v>
      </c>
      <c r="F679" s="1680">
        <f t="shared" si="687"/>
        <v>0</v>
      </c>
      <c r="G679" s="1680">
        <f t="shared" si="688"/>
        <v>0</v>
      </c>
      <c r="H679" s="1680">
        <f t="shared" si="689"/>
        <v>0</v>
      </c>
      <c r="I679" s="1680">
        <f t="shared" ca="1" si="690"/>
        <v>0</v>
      </c>
      <c r="J679" s="1680">
        <f t="shared" ca="1" si="691"/>
        <v>0</v>
      </c>
      <c r="K679" s="1680">
        <f t="shared" ca="1" si="692"/>
        <v>0</v>
      </c>
      <c r="L679" s="2021">
        <f t="shared" ca="1" si="693"/>
        <v>0</v>
      </c>
      <c r="M679" s="2021">
        <f t="shared" ca="1" si="694"/>
        <v>0</v>
      </c>
      <c r="N679" s="2851">
        <f t="shared" ca="1" si="695"/>
        <v>0</v>
      </c>
      <c r="O679" s="4072"/>
      <c r="P679" s="1949">
        <v>5560</v>
      </c>
      <c r="Q679" s="3746"/>
      <c r="R679" s="1949" t="s">
        <v>69</v>
      </c>
      <c r="S679" s="2804">
        <f>+ROUND('Compra -HOJA1'!I371,0)</f>
        <v>0</v>
      </c>
      <c r="T679" s="2804">
        <f>+ROUND('Compra -HOJA1'!K371,0)</f>
        <v>0</v>
      </c>
      <c r="U679" s="2804">
        <f>+ROUND('Compra -HOJA1'!J371,0)</f>
        <v>0</v>
      </c>
      <c r="V679" s="2804">
        <f ca="1">+ROUND('Compra -HOJA1'!L371,0)</f>
        <v>0</v>
      </c>
      <c r="W679" s="2804">
        <f ca="1">+ROUND('Compra -HOJA1'!N371,0)</f>
        <v>0</v>
      </c>
      <c r="X679" s="2804">
        <f ca="1">+ROUND('Compra -HOJA1'!M371,0)</f>
        <v>0</v>
      </c>
      <c r="Y679" s="2805">
        <f ca="1">+'Compra -HOJA1'!O371</f>
        <v>0</v>
      </c>
      <c r="Z679" s="2805">
        <f ca="1">+'Compra -HOJA1'!Q371</f>
        <v>0</v>
      </c>
      <c r="AA679" s="2805">
        <f ca="1">+'Compra -HOJA1'!P371</f>
        <v>0</v>
      </c>
      <c r="AC679" s="2835">
        <f t="shared" si="711"/>
        <v>0</v>
      </c>
      <c r="AD679" s="2776">
        <f t="shared" si="712"/>
        <v>0</v>
      </c>
      <c r="AE679" s="2776">
        <f t="shared" si="713"/>
        <v>0</v>
      </c>
      <c r="AF679" s="1490">
        <f t="shared" si="714"/>
        <v>0</v>
      </c>
      <c r="AG679" s="1490">
        <f>+'Compra -HOJA1'!F371</f>
        <v>0</v>
      </c>
      <c r="AH679" s="2776">
        <f t="shared" ca="1" si="715"/>
        <v>0</v>
      </c>
      <c r="AI679" s="2776">
        <f t="shared" ca="1" si="716"/>
        <v>0</v>
      </c>
      <c r="AJ679" s="2776">
        <f t="shared" ca="1" si="717"/>
        <v>0</v>
      </c>
      <c r="AK679" s="1490">
        <f t="shared" ca="1" si="718"/>
        <v>0</v>
      </c>
      <c r="AL679" s="2825">
        <f t="shared" ca="1" si="719"/>
        <v>0</v>
      </c>
      <c r="AM679" s="1490">
        <f t="shared" ca="1" si="720"/>
        <v>0</v>
      </c>
      <c r="AO679" s="1573">
        <f t="shared" si="721"/>
        <v>0</v>
      </c>
      <c r="AP679" s="1490">
        <f t="shared" si="722"/>
        <v>0</v>
      </c>
      <c r="AS679" s="1490">
        <f t="shared" si="723"/>
        <v>0</v>
      </c>
      <c r="AT679" s="1490">
        <f t="shared" si="724"/>
        <v>0</v>
      </c>
      <c r="AU679" s="1490">
        <f t="shared" si="725"/>
        <v>0</v>
      </c>
    </row>
    <row r="680" spans="1:47" ht="62.1" hidden="1" customHeight="1" x14ac:dyDescent="0.6">
      <c r="A680" s="4072"/>
      <c r="B680" s="1949"/>
      <c r="C680" s="3752"/>
      <c r="D680" s="1949" t="s">
        <v>625</v>
      </c>
      <c r="E680" s="2539">
        <f>+'Compra -HOJA1'!G372</f>
        <v>0</v>
      </c>
      <c r="F680" s="1680">
        <f t="shared" si="687"/>
        <v>0</v>
      </c>
      <c r="G680" s="1680">
        <f t="shared" si="688"/>
        <v>0</v>
      </c>
      <c r="H680" s="1680">
        <f t="shared" si="689"/>
        <v>0</v>
      </c>
      <c r="I680" s="1680">
        <f t="shared" ca="1" si="690"/>
        <v>0</v>
      </c>
      <c r="J680" s="1680">
        <f t="shared" ca="1" si="691"/>
        <v>0</v>
      </c>
      <c r="K680" s="1680">
        <f t="shared" ca="1" si="692"/>
        <v>0</v>
      </c>
      <c r="L680" s="2021">
        <f t="shared" ca="1" si="693"/>
        <v>0</v>
      </c>
      <c r="M680" s="2021">
        <f t="shared" ca="1" si="694"/>
        <v>0</v>
      </c>
      <c r="N680" s="2851">
        <f t="shared" ca="1" si="695"/>
        <v>0</v>
      </c>
      <c r="O680" s="4072"/>
      <c r="P680" s="1949"/>
      <c r="Q680" s="3752"/>
      <c r="R680" s="1949" t="s">
        <v>625</v>
      </c>
      <c r="S680" s="2804">
        <f>+ROUND('Compra -HOJA1'!I372,0)</f>
        <v>0</v>
      </c>
      <c r="T680" s="2804">
        <f>+ROUND('Compra -HOJA1'!K372,0)</f>
        <v>0</v>
      </c>
      <c r="U680" s="2804">
        <f>+ROUND('Compra -HOJA1'!J372,0)</f>
        <v>0</v>
      </c>
      <c r="V680" s="2804">
        <f ca="1">+ROUND('Compra -HOJA1'!L372,0)</f>
        <v>0</v>
      </c>
      <c r="W680" s="2804">
        <f ca="1">+ROUND('Compra -HOJA1'!N372,0)</f>
        <v>0</v>
      </c>
      <c r="X680" s="2804">
        <f ca="1">+ROUND('Compra -HOJA1'!M372,0)</f>
        <v>0</v>
      </c>
      <c r="Y680" s="2805">
        <f ca="1">+'Compra -HOJA1'!O372</f>
        <v>0</v>
      </c>
      <c r="Z680" s="2805">
        <f ca="1">+'Compra -HOJA1'!Q372</f>
        <v>0</v>
      </c>
      <c r="AA680" s="2805">
        <f ca="1">+'Compra -HOJA1'!P372</f>
        <v>0</v>
      </c>
      <c r="AC680" s="2835">
        <f t="shared" si="711"/>
        <v>0</v>
      </c>
      <c r="AD680" s="2776">
        <f t="shared" si="712"/>
        <v>0</v>
      </c>
      <c r="AE680" s="2776">
        <f t="shared" si="713"/>
        <v>0</v>
      </c>
      <c r="AF680" s="1490">
        <f t="shared" si="714"/>
        <v>0</v>
      </c>
      <c r="AG680" s="1490">
        <f>+'Compra -HOJA1'!F372</f>
        <v>0</v>
      </c>
      <c r="AH680" s="2776">
        <f t="shared" ca="1" si="715"/>
        <v>0</v>
      </c>
      <c r="AI680" s="2776">
        <f t="shared" ca="1" si="716"/>
        <v>0</v>
      </c>
      <c r="AJ680" s="2776">
        <f t="shared" ca="1" si="717"/>
        <v>0</v>
      </c>
      <c r="AK680" s="1490">
        <f t="shared" ca="1" si="718"/>
        <v>0</v>
      </c>
      <c r="AL680" s="2825">
        <f t="shared" ca="1" si="719"/>
        <v>0</v>
      </c>
      <c r="AM680" s="1490">
        <f t="shared" ca="1" si="720"/>
        <v>0</v>
      </c>
      <c r="AO680" s="1573">
        <f t="shared" si="721"/>
        <v>0</v>
      </c>
      <c r="AP680" s="1490">
        <f t="shared" si="722"/>
        <v>0</v>
      </c>
      <c r="AS680" s="1490">
        <f t="shared" si="723"/>
        <v>0</v>
      </c>
      <c r="AT680" s="1490">
        <f t="shared" si="724"/>
        <v>0</v>
      </c>
      <c r="AU680" s="1490">
        <f t="shared" si="725"/>
        <v>0</v>
      </c>
    </row>
    <row r="681" spans="1:47" ht="62.1" hidden="1" customHeight="1" x14ac:dyDescent="0.6">
      <c r="A681" s="4072"/>
      <c r="B681" s="1948">
        <v>5576</v>
      </c>
      <c r="C681" s="3751" t="s">
        <v>1232</v>
      </c>
      <c r="D681" s="1948" t="s">
        <v>68</v>
      </c>
      <c r="E681" s="2539">
        <f>+'Compra -HOJA1'!G373</f>
        <v>0</v>
      </c>
      <c r="F681" s="1680">
        <f t="shared" si="687"/>
        <v>0</v>
      </c>
      <c r="G681" s="1680">
        <f t="shared" si="688"/>
        <v>0</v>
      </c>
      <c r="H681" s="1680">
        <f t="shared" si="689"/>
        <v>0</v>
      </c>
      <c r="I681" s="1680">
        <f t="shared" ca="1" si="690"/>
        <v>0</v>
      </c>
      <c r="J681" s="1680">
        <f t="shared" ca="1" si="691"/>
        <v>0</v>
      </c>
      <c r="K681" s="1680">
        <f t="shared" ca="1" si="692"/>
        <v>0</v>
      </c>
      <c r="L681" s="2021">
        <f t="shared" ca="1" si="693"/>
        <v>0</v>
      </c>
      <c r="M681" s="2021">
        <f t="shared" ca="1" si="694"/>
        <v>0</v>
      </c>
      <c r="N681" s="2851">
        <f t="shared" ca="1" si="695"/>
        <v>0</v>
      </c>
      <c r="O681" s="4072"/>
      <c r="P681" s="1948">
        <v>5576</v>
      </c>
      <c r="Q681" s="3751" t="s">
        <v>1232</v>
      </c>
      <c r="R681" s="1948" t="s">
        <v>68</v>
      </c>
      <c r="S681" s="2804">
        <f>+ROUND('Compra -HOJA1'!I373,0)</f>
        <v>0</v>
      </c>
      <c r="T681" s="2804">
        <f>+ROUND('Compra -HOJA1'!K373,0)</f>
        <v>0</v>
      </c>
      <c r="U681" s="2804">
        <f>+ROUND('Compra -HOJA1'!J373,0)</f>
        <v>0</v>
      </c>
      <c r="V681" s="2804">
        <f ca="1">+ROUND('Compra -HOJA1'!L373,0)</f>
        <v>0</v>
      </c>
      <c r="W681" s="2804">
        <f ca="1">+ROUND('Compra -HOJA1'!N373,0)</f>
        <v>0</v>
      </c>
      <c r="X681" s="2804">
        <f ca="1">+ROUND('Compra -HOJA1'!M373,0)</f>
        <v>0</v>
      </c>
      <c r="Y681" s="2805">
        <f ca="1">+'Compra -HOJA1'!O373</f>
        <v>0</v>
      </c>
      <c r="Z681" s="2805">
        <f ca="1">+'Compra -HOJA1'!Q373</f>
        <v>0</v>
      </c>
      <c r="AA681" s="2805">
        <f ca="1">+'Compra -HOJA1'!P373</f>
        <v>0</v>
      </c>
      <c r="AC681" s="2835">
        <f t="shared" si="711"/>
        <v>0</v>
      </c>
      <c r="AD681" s="2776">
        <f t="shared" si="712"/>
        <v>0</v>
      </c>
      <c r="AE681" s="2776">
        <f t="shared" si="713"/>
        <v>0</v>
      </c>
      <c r="AF681" s="1490">
        <f t="shared" si="714"/>
        <v>0</v>
      </c>
      <c r="AG681" s="1490">
        <f>+'Compra -HOJA1'!F373</f>
        <v>0</v>
      </c>
      <c r="AH681" s="2776">
        <f t="shared" ca="1" si="715"/>
        <v>0</v>
      </c>
      <c r="AI681" s="2776">
        <f t="shared" ca="1" si="716"/>
        <v>0</v>
      </c>
      <c r="AJ681" s="2776">
        <f t="shared" ca="1" si="717"/>
        <v>0</v>
      </c>
      <c r="AK681" s="1490">
        <f t="shared" ca="1" si="718"/>
        <v>0</v>
      </c>
      <c r="AL681" s="2825">
        <f t="shared" ca="1" si="719"/>
        <v>0</v>
      </c>
      <c r="AM681" s="1490">
        <f t="shared" ca="1" si="720"/>
        <v>0</v>
      </c>
      <c r="AO681" s="1573">
        <f t="shared" si="721"/>
        <v>0</v>
      </c>
      <c r="AP681" s="1490">
        <f t="shared" si="722"/>
        <v>0</v>
      </c>
      <c r="AS681" s="1490">
        <f t="shared" si="723"/>
        <v>0</v>
      </c>
      <c r="AT681" s="1490">
        <f t="shared" si="724"/>
        <v>0</v>
      </c>
      <c r="AU681" s="1490">
        <f t="shared" si="725"/>
        <v>0</v>
      </c>
    </row>
    <row r="682" spans="1:47" ht="62.1" hidden="1" customHeight="1" thickBot="1" x14ac:dyDescent="0.65">
      <c r="A682" s="4072"/>
      <c r="B682" s="1949">
        <v>5586</v>
      </c>
      <c r="C682" s="3747"/>
      <c r="D682" s="1949" t="s">
        <v>69</v>
      </c>
      <c r="E682" s="2539">
        <f>+'Compra -HOJA1'!G374</f>
        <v>0</v>
      </c>
      <c r="F682" s="1680">
        <f t="shared" si="687"/>
        <v>0</v>
      </c>
      <c r="G682" s="1680">
        <f t="shared" si="688"/>
        <v>0</v>
      </c>
      <c r="H682" s="1680">
        <f t="shared" si="689"/>
        <v>0</v>
      </c>
      <c r="I682" s="1680">
        <f t="shared" ca="1" si="690"/>
        <v>0</v>
      </c>
      <c r="J682" s="1680">
        <f t="shared" ca="1" si="691"/>
        <v>0</v>
      </c>
      <c r="K682" s="1680">
        <f t="shared" ca="1" si="692"/>
        <v>0</v>
      </c>
      <c r="L682" s="2021">
        <f t="shared" ca="1" si="693"/>
        <v>0</v>
      </c>
      <c r="M682" s="2021">
        <f t="shared" ca="1" si="694"/>
        <v>0</v>
      </c>
      <c r="N682" s="2851">
        <f t="shared" ca="1" si="695"/>
        <v>0</v>
      </c>
      <c r="O682" s="4072"/>
      <c r="P682" s="1949">
        <v>5586</v>
      </c>
      <c r="Q682" s="3747"/>
      <c r="R682" s="1949" t="s">
        <v>69</v>
      </c>
      <c r="S682" s="2804">
        <f>+ROUND('Compra -HOJA1'!I374,0)</f>
        <v>0</v>
      </c>
      <c r="T682" s="2804">
        <f>+ROUND('Compra -HOJA1'!K374,0)</f>
        <v>0</v>
      </c>
      <c r="U682" s="2804">
        <f>+ROUND('Compra -HOJA1'!J374,0)</f>
        <v>0</v>
      </c>
      <c r="V682" s="2804">
        <f ca="1">+ROUND('Compra -HOJA1'!L374,0)</f>
        <v>0</v>
      </c>
      <c r="W682" s="2804">
        <f ca="1">+ROUND('Compra -HOJA1'!N374,0)</f>
        <v>0</v>
      </c>
      <c r="X682" s="2804">
        <f ca="1">+ROUND('Compra -HOJA1'!M374,0)</f>
        <v>0</v>
      </c>
      <c r="Y682" s="2805">
        <f ca="1">+'Compra -HOJA1'!O374</f>
        <v>0</v>
      </c>
      <c r="Z682" s="2805">
        <f ca="1">+'Compra -HOJA1'!Q374</f>
        <v>0</v>
      </c>
      <c r="AA682" s="2805">
        <f ca="1">+'Compra -HOJA1'!P374</f>
        <v>0</v>
      </c>
      <c r="AC682" s="2835">
        <f t="shared" si="711"/>
        <v>0</v>
      </c>
      <c r="AD682" s="2776">
        <f t="shared" si="712"/>
        <v>0</v>
      </c>
      <c r="AE682" s="2776">
        <f t="shared" si="713"/>
        <v>0</v>
      </c>
      <c r="AF682" s="1490">
        <f t="shared" si="714"/>
        <v>0</v>
      </c>
      <c r="AG682" s="1490">
        <f>+'Compra -HOJA1'!F374</f>
        <v>0</v>
      </c>
      <c r="AH682" s="2776">
        <f t="shared" ca="1" si="715"/>
        <v>0</v>
      </c>
      <c r="AI682" s="2776">
        <f t="shared" ca="1" si="716"/>
        <v>0</v>
      </c>
      <c r="AJ682" s="2776">
        <f t="shared" ca="1" si="717"/>
        <v>0</v>
      </c>
      <c r="AK682" s="1490">
        <f t="shared" ca="1" si="718"/>
        <v>0</v>
      </c>
      <c r="AL682" s="2825">
        <f t="shared" ca="1" si="719"/>
        <v>0</v>
      </c>
      <c r="AM682" s="1490">
        <f t="shared" ca="1" si="720"/>
        <v>0</v>
      </c>
      <c r="AO682" s="1573">
        <f t="shared" si="721"/>
        <v>0</v>
      </c>
      <c r="AP682" s="1490">
        <f t="shared" si="722"/>
        <v>0</v>
      </c>
      <c r="AS682" s="1490">
        <f t="shared" si="723"/>
        <v>0</v>
      </c>
      <c r="AT682" s="1490">
        <f t="shared" si="724"/>
        <v>0</v>
      </c>
      <c r="AU682" s="1490">
        <f t="shared" si="725"/>
        <v>0</v>
      </c>
    </row>
    <row r="683" spans="1:47" ht="62.1" hidden="1" customHeight="1" x14ac:dyDescent="0.6">
      <c r="A683" s="4072"/>
      <c r="B683" s="1948">
        <v>5596</v>
      </c>
      <c r="C683" s="3751" t="s">
        <v>1233</v>
      </c>
      <c r="D683" s="1948" t="s">
        <v>68</v>
      </c>
      <c r="E683" s="2539">
        <f>+'Compra -HOJA1'!G375</f>
        <v>0</v>
      </c>
      <c r="F683" s="1680">
        <f t="shared" si="687"/>
        <v>0</v>
      </c>
      <c r="G683" s="1680">
        <f t="shared" si="688"/>
        <v>0</v>
      </c>
      <c r="H683" s="1680">
        <f t="shared" si="689"/>
        <v>0</v>
      </c>
      <c r="I683" s="1680">
        <f t="shared" ca="1" si="690"/>
        <v>0</v>
      </c>
      <c r="J683" s="1680">
        <f t="shared" ca="1" si="691"/>
        <v>0</v>
      </c>
      <c r="K683" s="1680">
        <f t="shared" ca="1" si="692"/>
        <v>0</v>
      </c>
      <c r="L683" s="2021">
        <f t="shared" ca="1" si="693"/>
        <v>0</v>
      </c>
      <c r="M683" s="2021">
        <f t="shared" ca="1" si="694"/>
        <v>0</v>
      </c>
      <c r="N683" s="2851">
        <f t="shared" ca="1" si="695"/>
        <v>0</v>
      </c>
      <c r="O683" s="4072"/>
      <c r="P683" s="1948">
        <v>5596</v>
      </c>
      <c r="Q683" s="3751" t="s">
        <v>1233</v>
      </c>
      <c r="R683" s="1948" t="s">
        <v>68</v>
      </c>
      <c r="S683" s="2804">
        <f>+ROUND('Compra -HOJA1'!I375,0)</f>
        <v>0</v>
      </c>
      <c r="T683" s="2804">
        <f>+ROUND('Compra -HOJA1'!K375,0)</f>
        <v>0</v>
      </c>
      <c r="U683" s="2804">
        <f>+ROUND('Compra -HOJA1'!J375,0)</f>
        <v>0</v>
      </c>
      <c r="V683" s="2804">
        <f ca="1">+ROUND('Compra -HOJA1'!L375,0)</f>
        <v>0</v>
      </c>
      <c r="W683" s="2804">
        <f ca="1">+ROUND('Compra -HOJA1'!N375,0)</f>
        <v>0</v>
      </c>
      <c r="X683" s="2804">
        <f ca="1">+ROUND('Compra -HOJA1'!M375,0)</f>
        <v>0</v>
      </c>
      <c r="Y683" s="2805">
        <f ca="1">+'Compra -HOJA1'!O375</f>
        <v>0</v>
      </c>
      <c r="Z683" s="2805">
        <f ca="1">+'Compra -HOJA1'!Q375</f>
        <v>0</v>
      </c>
      <c r="AA683" s="2805">
        <f ca="1">+'Compra -HOJA1'!P375</f>
        <v>0</v>
      </c>
      <c r="AC683" s="2835">
        <f t="shared" si="711"/>
        <v>0</v>
      </c>
      <c r="AD683" s="2776">
        <f t="shared" si="712"/>
        <v>0</v>
      </c>
      <c r="AE683" s="2776">
        <f t="shared" si="713"/>
        <v>0</v>
      </c>
      <c r="AF683" s="1490">
        <f t="shared" si="714"/>
        <v>0</v>
      </c>
      <c r="AG683" s="1490">
        <f>+'Compra -HOJA1'!F375</f>
        <v>0</v>
      </c>
      <c r="AH683" s="2776">
        <f t="shared" ca="1" si="715"/>
        <v>0</v>
      </c>
      <c r="AI683" s="2776">
        <f t="shared" ca="1" si="716"/>
        <v>0</v>
      </c>
      <c r="AJ683" s="2776">
        <f t="shared" ca="1" si="717"/>
        <v>0</v>
      </c>
      <c r="AK683" s="1490">
        <f t="shared" ca="1" si="718"/>
        <v>0</v>
      </c>
      <c r="AL683" s="2825">
        <f t="shared" ca="1" si="719"/>
        <v>0</v>
      </c>
      <c r="AM683" s="1490">
        <f t="shared" ca="1" si="720"/>
        <v>0</v>
      </c>
      <c r="AO683" s="1573">
        <f t="shared" si="721"/>
        <v>0</v>
      </c>
      <c r="AP683" s="1490">
        <f t="shared" si="722"/>
        <v>0</v>
      </c>
      <c r="AS683" s="1490">
        <f t="shared" si="723"/>
        <v>0</v>
      </c>
      <c r="AT683" s="1490">
        <f t="shared" si="724"/>
        <v>0</v>
      </c>
      <c r="AU683" s="1490">
        <f t="shared" si="725"/>
        <v>0</v>
      </c>
    </row>
    <row r="684" spans="1:47" ht="62.1" hidden="1" customHeight="1" x14ac:dyDescent="0.6">
      <c r="A684" s="4072"/>
      <c r="B684" s="1948"/>
      <c r="C684" s="3746"/>
      <c r="D684" s="1948" t="s">
        <v>1357</v>
      </c>
      <c r="E684" s="2539">
        <f>+'Compra -HOJA1'!G376</f>
        <v>0</v>
      </c>
      <c r="F684" s="1680">
        <f t="shared" ref="F684" si="870">+AC684</f>
        <v>0</v>
      </c>
      <c r="G684" s="1680">
        <f t="shared" ref="G684" si="871">+AD684</f>
        <v>0</v>
      </c>
      <c r="H684" s="1680">
        <f t="shared" ref="H684" si="872">+AE684</f>
        <v>0</v>
      </c>
      <c r="I684" s="1680">
        <f t="shared" ref="I684" ca="1" si="873">+AH684</f>
        <v>0</v>
      </c>
      <c r="J684" s="1680">
        <f t="shared" ref="J684" ca="1" si="874">+AI684</f>
        <v>0</v>
      </c>
      <c r="K684" s="1680">
        <f t="shared" ref="K684" ca="1" si="875">+AJ684</f>
        <v>0</v>
      </c>
      <c r="L684" s="2021">
        <f t="shared" ref="L684" ca="1" si="876">+F684+I684</f>
        <v>0</v>
      </c>
      <c r="M684" s="2021">
        <f t="shared" ref="M684" ca="1" si="877">+G684+J684</f>
        <v>0</v>
      </c>
      <c r="N684" s="2851">
        <f t="shared" ref="N684" ca="1" si="878">+H684+K684</f>
        <v>0</v>
      </c>
      <c r="O684" s="4072"/>
      <c r="P684" s="1948"/>
      <c r="Q684" s="3746"/>
      <c r="R684" s="1948" t="s">
        <v>1334</v>
      </c>
      <c r="S684" s="2804">
        <f>+ROUND('Compra -HOJA1'!I376,0)</f>
        <v>0</v>
      </c>
      <c r="T684" s="2804">
        <f>+ROUND('Compra -HOJA1'!K376,0)</f>
        <v>0</v>
      </c>
      <c r="U684" s="2804">
        <f>+ROUND('Compra -HOJA1'!J376,0)</f>
        <v>0</v>
      </c>
      <c r="V684" s="2804">
        <f ca="1">+ROUND('Compra -HOJA1'!L376,0)</f>
        <v>0</v>
      </c>
      <c r="W684" s="2804">
        <f ca="1">+ROUND('Compra -HOJA1'!N376,0)</f>
        <v>0</v>
      </c>
      <c r="X684" s="2804">
        <f ca="1">+ROUND('Compra -HOJA1'!M376,0)</f>
        <v>0</v>
      </c>
      <c r="Y684" s="2805">
        <f ca="1">+'Compra -HOJA1'!O376</f>
        <v>0</v>
      </c>
      <c r="Z684" s="2805">
        <f ca="1">+'Compra -HOJA1'!Q376</f>
        <v>0</v>
      </c>
      <c r="AA684" s="2805">
        <f ca="1">+'Compra -HOJA1'!P376</f>
        <v>0</v>
      </c>
      <c r="AC684" s="2835">
        <f t="shared" ref="AC684" si="879">+ROUND(S684,0)</f>
        <v>0</v>
      </c>
      <c r="AD684" s="2776">
        <f t="shared" ref="AD684" si="880">+ROUND(T684,0)</f>
        <v>0</v>
      </c>
      <c r="AE684" s="2776">
        <f t="shared" ref="AE684" si="881">+AG684-AC684-AD684</f>
        <v>0</v>
      </c>
      <c r="AF684" s="1490">
        <f t="shared" ref="AF684" si="882">SUM(AC684:AE684)</f>
        <v>0</v>
      </c>
      <c r="AG684" s="1490">
        <f>+'Compra -HOJA1'!F376</f>
        <v>0</v>
      </c>
      <c r="AH684" s="2776">
        <f t="shared" ref="AH684" ca="1" si="883">+ROUND(V684,0)</f>
        <v>0</v>
      </c>
      <c r="AI684" s="2776">
        <f t="shared" ref="AI684" ca="1" si="884">+ROUND(W684,0)</f>
        <v>0</v>
      </c>
      <c r="AJ684" s="2776">
        <f t="shared" ref="AJ684" ca="1" si="885">+AL684-AH684-AI684</f>
        <v>0</v>
      </c>
      <c r="AK684" s="1490">
        <f t="shared" ref="AK684" ca="1" si="886">SUM(AH684:AJ684)</f>
        <v>0</v>
      </c>
      <c r="AL684" s="2825">
        <f t="shared" ref="AL684" ca="1" si="887">+ROUND(SUM(V684:X684),0)</f>
        <v>0</v>
      </c>
      <c r="AM684" s="1490">
        <f t="shared" ref="AM684" ca="1" si="888">SUM(V684:X684)</f>
        <v>0</v>
      </c>
      <c r="AO684" s="1573">
        <f t="shared" ref="AO684" si="889">+SUM(S684:U684)</f>
        <v>0</v>
      </c>
      <c r="AP684" s="1490">
        <f t="shared" ref="AP684" si="890">+AO684-AG684</f>
        <v>0</v>
      </c>
      <c r="AS684" s="1490">
        <f t="shared" ref="AS684" si="891">+S684-AC684</f>
        <v>0</v>
      </c>
      <c r="AT684" s="1490">
        <f t="shared" ref="AT684" si="892">+T684-AD684</f>
        <v>0</v>
      </c>
      <c r="AU684" s="1490">
        <f t="shared" ref="AU684" si="893">+U684-AE684</f>
        <v>0</v>
      </c>
    </row>
    <row r="685" spans="1:47" ht="62.1" hidden="1" customHeight="1" thickBot="1" x14ac:dyDescent="0.65">
      <c r="A685" s="4073"/>
      <c r="B685" s="1949">
        <v>5606</v>
      </c>
      <c r="C685" s="3747"/>
      <c r="D685" s="1949" t="s">
        <v>69</v>
      </c>
      <c r="E685" s="2539">
        <f>+'Compra -HOJA1'!G377</f>
        <v>0</v>
      </c>
      <c r="F685" s="1680">
        <f t="shared" si="687"/>
        <v>0</v>
      </c>
      <c r="G685" s="1680">
        <f t="shared" si="688"/>
        <v>0</v>
      </c>
      <c r="H685" s="1680">
        <f t="shared" si="689"/>
        <v>0</v>
      </c>
      <c r="I685" s="1680">
        <f t="shared" ca="1" si="690"/>
        <v>0</v>
      </c>
      <c r="J685" s="1680">
        <f t="shared" ca="1" si="691"/>
        <v>0</v>
      </c>
      <c r="K685" s="1680">
        <f t="shared" ca="1" si="692"/>
        <v>0</v>
      </c>
      <c r="L685" s="2021">
        <f t="shared" ca="1" si="693"/>
        <v>0</v>
      </c>
      <c r="M685" s="2021">
        <f t="shared" ca="1" si="694"/>
        <v>0</v>
      </c>
      <c r="N685" s="2851">
        <f t="shared" ca="1" si="695"/>
        <v>0</v>
      </c>
      <c r="O685" s="4073"/>
      <c r="P685" s="1949">
        <v>5606</v>
      </c>
      <c r="Q685" s="3747"/>
      <c r="R685" s="1949" t="s">
        <v>69</v>
      </c>
      <c r="S685" s="2804">
        <f>+ROUND('Compra -HOJA1'!I377,0)</f>
        <v>0</v>
      </c>
      <c r="T685" s="2804">
        <f>+ROUND('Compra -HOJA1'!K377,0)</f>
        <v>0</v>
      </c>
      <c r="U685" s="2804">
        <f>+ROUND('Compra -HOJA1'!J377,0)</f>
        <v>0</v>
      </c>
      <c r="V685" s="2804">
        <f ca="1">+ROUND('Compra -HOJA1'!L377,0)</f>
        <v>0</v>
      </c>
      <c r="W685" s="2804">
        <f ca="1">+ROUND('Compra -HOJA1'!N377,0)</f>
        <v>0</v>
      </c>
      <c r="X685" s="2804">
        <f ca="1">+ROUND('Compra -HOJA1'!M377,0)</f>
        <v>0</v>
      </c>
      <c r="Y685" s="2805">
        <f ca="1">+'Compra -HOJA1'!O377</f>
        <v>0</v>
      </c>
      <c r="Z685" s="2805">
        <f ca="1">+'Compra -HOJA1'!Q377</f>
        <v>0</v>
      </c>
      <c r="AA685" s="2805">
        <f ca="1">+'Compra -HOJA1'!P377</f>
        <v>0</v>
      </c>
      <c r="AC685" s="2835">
        <f t="shared" si="711"/>
        <v>0</v>
      </c>
      <c r="AD685" s="2776">
        <f t="shared" si="712"/>
        <v>0</v>
      </c>
      <c r="AE685" s="2776">
        <f t="shared" si="713"/>
        <v>0</v>
      </c>
      <c r="AF685" s="1490">
        <f t="shared" si="714"/>
        <v>0</v>
      </c>
      <c r="AG685" s="1490">
        <f>+'Compra -HOJA1'!F377</f>
        <v>0</v>
      </c>
      <c r="AH685" s="2776">
        <f t="shared" ca="1" si="715"/>
        <v>0</v>
      </c>
      <c r="AI685" s="2776">
        <f t="shared" ca="1" si="716"/>
        <v>0</v>
      </c>
      <c r="AJ685" s="2776">
        <f t="shared" ca="1" si="717"/>
        <v>0</v>
      </c>
      <c r="AK685" s="1490">
        <f t="shared" ca="1" si="718"/>
        <v>0</v>
      </c>
      <c r="AL685" s="2825">
        <f t="shared" ca="1" si="719"/>
        <v>0</v>
      </c>
      <c r="AM685" s="1490">
        <f t="shared" ca="1" si="720"/>
        <v>0</v>
      </c>
      <c r="AO685" s="1573">
        <f t="shared" si="721"/>
        <v>0</v>
      </c>
      <c r="AP685" s="1490">
        <f t="shared" si="722"/>
        <v>0</v>
      </c>
      <c r="AS685" s="1490">
        <f t="shared" si="723"/>
        <v>0</v>
      </c>
      <c r="AT685" s="1490">
        <f t="shared" si="724"/>
        <v>0</v>
      </c>
      <c r="AU685" s="1490">
        <f t="shared" si="725"/>
        <v>0</v>
      </c>
    </row>
    <row r="686" spans="1:47" ht="62.1" hidden="1" customHeight="1" thickBot="1" x14ac:dyDescent="0.65">
      <c r="A686" s="3492"/>
      <c r="B686" s="3516"/>
      <c r="C686" s="3517"/>
      <c r="D686" s="1949" t="s">
        <v>1358</v>
      </c>
      <c r="E686" s="2539">
        <f>+'Compra -HOJA1'!G378</f>
        <v>0</v>
      </c>
      <c r="F686" s="1680">
        <f t="shared" ref="F686" si="894">+AC686</f>
        <v>0</v>
      </c>
      <c r="G686" s="1680">
        <f t="shared" ref="G686" si="895">+AD686</f>
        <v>0</v>
      </c>
      <c r="H686" s="1680">
        <f t="shared" ref="H686" si="896">+AE686</f>
        <v>0</v>
      </c>
      <c r="I686" s="1680">
        <f t="shared" ref="I686" ca="1" si="897">+AH686</f>
        <v>0</v>
      </c>
      <c r="J686" s="1680">
        <f t="shared" ref="J686" ca="1" si="898">+AI686</f>
        <v>0</v>
      </c>
      <c r="K686" s="1680">
        <f t="shared" ref="K686" ca="1" si="899">+AJ686</f>
        <v>0</v>
      </c>
      <c r="L686" s="2021">
        <f t="shared" ref="L686" ca="1" si="900">+F686+I686</f>
        <v>0</v>
      </c>
      <c r="M686" s="2021">
        <f t="shared" ref="M686" ca="1" si="901">+G686+J686</f>
        <v>0</v>
      </c>
      <c r="N686" s="2851">
        <f t="shared" ref="N686" ca="1" si="902">+H686+K686</f>
        <v>0</v>
      </c>
      <c r="O686" s="3492"/>
      <c r="P686" s="3516"/>
      <c r="Q686" s="3517"/>
      <c r="R686" s="1949" t="s">
        <v>1356</v>
      </c>
      <c r="S686" s="2804">
        <f>+ROUND('Compra -HOJA1'!I378,0)</f>
        <v>0</v>
      </c>
      <c r="T686" s="2804">
        <f>+ROUND('Compra -HOJA1'!K378,0)</f>
        <v>0</v>
      </c>
      <c r="U686" s="2804">
        <f>+ROUND('Compra -HOJA1'!J378,0)</f>
        <v>0</v>
      </c>
      <c r="V686" s="2804">
        <f ca="1">+ROUND('Compra -HOJA1'!L378,0)</f>
        <v>0</v>
      </c>
      <c r="W686" s="2804">
        <f ca="1">+ROUND('Compra -HOJA1'!N378,0)</f>
        <v>0</v>
      </c>
      <c r="X686" s="2804">
        <f ca="1">+ROUND('Compra -HOJA1'!M378,0)</f>
        <v>0</v>
      </c>
      <c r="Y686" s="2805">
        <f ca="1">+'Compra -HOJA1'!O378</f>
        <v>0</v>
      </c>
      <c r="Z686" s="2805">
        <f ca="1">+'Compra -HOJA1'!Q378</f>
        <v>0</v>
      </c>
      <c r="AA686" s="2805">
        <f ca="1">+'Compra -HOJA1'!P378</f>
        <v>0</v>
      </c>
      <c r="AC686" s="2835">
        <f t="shared" ref="AC686" si="903">+ROUND(S686,0)</f>
        <v>0</v>
      </c>
      <c r="AD686" s="2776">
        <f t="shared" ref="AD686" si="904">+ROUND(T686,0)</f>
        <v>0</v>
      </c>
      <c r="AE686" s="2776">
        <f t="shared" ref="AE686" si="905">+AG686-AC686-AD686</f>
        <v>0</v>
      </c>
      <c r="AF686" s="1490">
        <f t="shared" ref="AF686" si="906">SUM(AC686:AE686)</f>
        <v>0</v>
      </c>
      <c r="AG686" s="1490">
        <f>+'Compra -HOJA1'!F378</f>
        <v>0</v>
      </c>
      <c r="AH686" s="2776">
        <f t="shared" ref="AH686" ca="1" si="907">+ROUND(V686,0)</f>
        <v>0</v>
      </c>
      <c r="AI686" s="2776">
        <f t="shared" ref="AI686" ca="1" si="908">+ROUND(W686,0)</f>
        <v>0</v>
      </c>
      <c r="AJ686" s="2776">
        <f t="shared" ref="AJ686" ca="1" si="909">+AL686-AH686-AI686</f>
        <v>0</v>
      </c>
      <c r="AK686" s="1490">
        <f t="shared" ref="AK686" ca="1" si="910">SUM(AH686:AJ686)</f>
        <v>0</v>
      </c>
      <c r="AL686" s="2825">
        <f t="shared" ref="AL686" ca="1" si="911">+ROUND(SUM(V686:X686),0)</f>
        <v>0</v>
      </c>
      <c r="AM686" s="1490">
        <f t="shared" ref="AM686" ca="1" si="912">SUM(V686:X686)</f>
        <v>0</v>
      </c>
      <c r="AO686" s="1573">
        <f t="shared" ref="AO686" si="913">+SUM(S686:U686)</f>
        <v>0</v>
      </c>
      <c r="AP686" s="1490">
        <f t="shared" ref="AP686" si="914">+AO686-AG686</f>
        <v>0</v>
      </c>
      <c r="AS686" s="1490">
        <f t="shared" ref="AS686" si="915">+S686-AC686</f>
        <v>0</v>
      </c>
      <c r="AT686" s="1490">
        <f t="shared" ref="AT686" si="916">+T686-AD686</f>
        <v>0</v>
      </c>
      <c r="AU686" s="1490">
        <f t="shared" ref="AU686" si="917">+U686-AE686</f>
        <v>0</v>
      </c>
    </row>
    <row r="687" spans="1:47" ht="62.1" hidden="1" customHeight="1" thickBot="1" x14ac:dyDescent="0.65">
      <c r="A687" s="4054" t="s">
        <v>21</v>
      </c>
      <c r="B687" s="3739" t="s">
        <v>187</v>
      </c>
      <c r="C687" s="3740"/>
      <c r="D687" s="3741"/>
      <c r="E687" s="2539">
        <f>+'Compra -HOJA1'!G379</f>
        <v>0</v>
      </c>
      <c r="F687" s="1680">
        <f t="shared" ref="F687:F690" si="918">+AC687</f>
        <v>0</v>
      </c>
      <c r="G687" s="1680">
        <f t="shared" ref="G687:G690" si="919">+AD687</f>
        <v>0</v>
      </c>
      <c r="H687" s="1680">
        <f t="shared" ref="H687:H690" si="920">+AE687</f>
        <v>0</v>
      </c>
      <c r="I687" s="1680">
        <f t="shared" ref="I687:I690" ca="1" si="921">+AH687</f>
        <v>0</v>
      </c>
      <c r="J687" s="1680">
        <f t="shared" ref="J687:J690" ca="1" si="922">+AI687</f>
        <v>0</v>
      </c>
      <c r="K687" s="1680">
        <f t="shared" ref="K687:K690" ca="1" si="923">+AJ687</f>
        <v>0</v>
      </c>
      <c r="L687" s="2021">
        <f t="shared" ref="L687:L690" ca="1" si="924">+F687+I687</f>
        <v>0</v>
      </c>
      <c r="M687" s="2021">
        <f t="shared" ref="M687:M690" ca="1" si="925">+G687+J687</f>
        <v>0</v>
      </c>
      <c r="N687" s="2851">
        <f t="shared" ref="N687:N690" ca="1" si="926">+H687+K687</f>
        <v>0</v>
      </c>
      <c r="O687" s="4054" t="s">
        <v>21</v>
      </c>
      <c r="P687" s="3739" t="s">
        <v>187</v>
      </c>
      <c r="Q687" s="3740"/>
      <c r="R687" s="3741"/>
      <c r="S687" s="2804">
        <f>+ROUND('Compra -HOJA1'!I379,0)</f>
        <v>0</v>
      </c>
      <c r="T687" s="2804">
        <f>+ROUND('Compra -HOJA1'!K379,0)</f>
        <v>0</v>
      </c>
      <c r="U687" s="2804">
        <f>+ROUND('Compra -HOJA1'!J379,0)</f>
        <v>0</v>
      </c>
      <c r="V687" s="2804">
        <f ca="1">+ROUND('Compra -HOJA1'!L379,0)</f>
        <v>0</v>
      </c>
      <c r="W687" s="2804">
        <f ca="1">+ROUND('Compra -HOJA1'!N379,0)</f>
        <v>0</v>
      </c>
      <c r="X687" s="2804">
        <f ca="1">+ROUND('Compra -HOJA1'!M379,0)</f>
        <v>0</v>
      </c>
      <c r="Y687" s="2805">
        <f ca="1">+'Compra -HOJA1'!O379</f>
        <v>0</v>
      </c>
      <c r="Z687" s="2805">
        <f ca="1">+'Compra -HOJA1'!Q379</f>
        <v>0</v>
      </c>
      <c r="AA687" s="2805">
        <f ca="1">+'Compra -HOJA1'!P379</f>
        <v>0</v>
      </c>
      <c r="AC687" s="2835">
        <f t="shared" si="711"/>
        <v>0</v>
      </c>
      <c r="AD687" s="2776">
        <f t="shared" si="712"/>
        <v>0</v>
      </c>
      <c r="AE687" s="2776">
        <f t="shared" si="713"/>
        <v>0</v>
      </c>
      <c r="AF687" s="1490">
        <f t="shared" si="714"/>
        <v>0</v>
      </c>
      <c r="AG687" s="1490">
        <f>+'Compra -HOJA1'!F379</f>
        <v>0</v>
      </c>
      <c r="AH687" s="2776">
        <f t="shared" ca="1" si="715"/>
        <v>0</v>
      </c>
      <c r="AI687" s="2776">
        <f t="shared" ca="1" si="716"/>
        <v>0</v>
      </c>
      <c r="AJ687" s="2776">
        <f t="shared" ca="1" si="717"/>
        <v>0</v>
      </c>
      <c r="AK687" s="1490">
        <f t="shared" ca="1" si="718"/>
        <v>0</v>
      </c>
      <c r="AL687" s="2825">
        <f t="shared" ca="1" si="719"/>
        <v>0</v>
      </c>
      <c r="AM687" s="1490">
        <f t="shared" ca="1" si="720"/>
        <v>0</v>
      </c>
      <c r="AO687" s="1573">
        <f t="shared" si="721"/>
        <v>0</v>
      </c>
      <c r="AP687" s="1490">
        <f t="shared" si="722"/>
        <v>0</v>
      </c>
      <c r="AS687" s="1490">
        <f t="shared" si="723"/>
        <v>0</v>
      </c>
      <c r="AT687" s="1490">
        <f t="shared" si="724"/>
        <v>0</v>
      </c>
      <c r="AU687" s="1490">
        <f t="shared" si="725"/>
        <v>0</v>
      </c>
    </row>
    <row r="688" spans="1:47" ht="62.1" hidden="1" customHeight="1" thickBot="1" x14ac:dyDescent="0.65">
      <c r="A688" s="4055"/>
      <c r="B688" s="3739" t="s">
        <v>188</v>
      </c>
      <c r="C688" s="3740"/>
      <c r="D688" s="3741"/>
      <c r="E688" s="2539">
        <f>+'Compra -HOJA1'!G380</f>
        <v>0</v>
      </c>
      <c r="F688" s="1680">
        <f t="shared" si="918"/>
        <v>0</v>
      </c>
      <c r="G688" s="1680">
        <f t="shared" si="919"/>
        <v>0</v>
      </c>
      <c r="H688" s="1680">
        <f t="shared" si="920"/>
        <v>0</v>
      </c>
      <c r="I688" s="1680">
        <f t="shared" ca="1" si="921"/>
        <v>0</v>
      </c>
      <c r="J688" s="1680">
        <f t="shared" ca="1" si="922"/>
        <v>0</v>
      </c>
      <c r="K688" s="1680">
        <f t="shared" ca="1" si="923"/>
        <v>0</v>
      </c>
      <c r="L688" s="2021">
        <f t="shared" ca="1" si="924"/>
        <v>0</v>
      </c>
      <c r="M688" s="2021">
        <f t="shared" ca="1" si="925"/>
        <v>0</v>
      </c>
      <c r="N688" s="2851">
        <f t="shared" ca="1" si="926"/>
        <v>0</v>
      </c>
      <c r="O688" s="4055"/>
      <c r="P688" s="3739" t="s">
        <v>188</v>
      </c>
      <c r="Q688" s="3740"/>
      <c r="R688" s="3741"/>
      <c r="S688" s="2804">
        <f>+ROUND('Compra -HOJA1'!I380,0)</f>
        <v>0</v>
      </c>
      <c r="T688" s="2804">
        <f>+ROUND('Compra -HOJA1'!K380,0)</f>
        <v>0</v>
      </c>
      <c r="U688" s="2804">
        <f>+ROUND('Compra -HOJA1'!J380,0)</f>
        <v>0</v>
      </c>
      <c r="V688" s="2804">
        <f ca="1">+ROUND('Compra -HOJA1'!L380,0)</f>
        <v>0</v>
      </c>
      <c r="W688" s="2804">
        <f ca="1">+ROUND('Compra -HOJA1'!N380,0)</f>
        <v>0</v>
      </c>
      <c r="X688" s="2804">
        <f ca="1">+ROUND('Compra -HOJA1'!M380,0)</f>
        <v>0</v>
      </c>
      <c r="Y688" s="2805">
        <f ca="1">+'Compra -HOJA1'!O380</f>
        <v>0</v>
      </c>
      <c r="Z688" s="2805">
        <f ca="1">+'Compra -HOJA1'!Q380</f>
        <v>0</v>
      </c>
      <c r="AA688" s="2805">
        <f ca="1">+'Compra -HOJA1'!P380</f>
        <v>0</v>
      </c>
      <c r="AC688" s="2835">
        <f t="shared" si="711"/>
        <v>0</v>
      </c>
      <c r="AD688" s="2776">
        <f t="shared" si="712"/>
        <v>0</v>
      </c>
      <c r="AE688" s="2776">
        <f t="shared" si="713"/>
        <v>0</v>
      </c>
      <c r="AF688" s="1490">
        <f t="shared" si="714"/>
        <v>0</v>
      </c>
      <c r="AG688" s="1490">
        <f>+'Compra -HOJA1'!F380</f>
        <v>0</v>
      </c>
      <c r="AH688" s="2776">
        <f t="shared" ca="1" si="715"/>
        <v>0</v>
      </c>
      <c r="AI688" s="2776">
        <f t="shared" ca="1" si="716"/>
        <v>0</v>
      </c>
      <c r="AJ688" s="2776">
        <f t="shared" ca="1" si="717"/>
        <v>0</v>
      </c>
      <c r="AK688" s="1490">
        <f t="shared" ca="1" si="718"/>
        <v>0</v>
      </c>
      <c r="AL688" s="2825">
        <f t="shared" ca="1" si="719"/>
        <v>0</v>
      </c>
      <c r="AM688" s="1490">
        <f t="shared" ca="1" si="720"/>
        <v>0</v>
      </c>
      <c r="AO688" s="1573">
        <f t="shared" si="721"/>
        <v>0</v>
      </c>
      <c r="AP688" s="1490">
        <f t="shared" si="722"/>
        <v>0</v>
      </c>
      <c r="AS688" s="1490">
        <f t="shared" si="723"/>
        <v>0</v>
      </c>
      <c r="AT688" s="1490">
        <f t="shared" si="724"/>
        <v>0</v>
      </c>
      <c r="AU688" s="1490">
        <f t="shared" si="725"/>
        <v>0</v>
      </c>
    </row>
    <row r="689" spans="1:55" ht="62.1" hidden="1" customHeight="1" thickBot="1" x14ac:dyDescent="0.65">
      <c r="A689" s="3817" t="s">
        <v>71</v>
      </c>
      <c r="B689" s="3794" t="s">
        <v>224</v>
      </c>
      <c r="C689" s="3795"/>
      <c r="D689" s="3796"/>
      <c r="E689" s="2539">
        <f>+'Compra -HOJA1'!G381</f>
        <v>0</v>
      </c>
      <c r="F689" s="1680">
        <f t="shared" si="918"/>
        <v>0</v>
      </c>
      <c r="G689" s="1680">
        <f t="shared" si="919"/>
        <v>0</v>
      </c>
      <c r="H689" s="1680">
        <f t="shared" si="920"/>
        <v>0</v>
      </c>
      <c r="I689" s="1680">
        <f t="shared" ca="1" si="921"/>
        <v>0</v>
      </c>
      <c r="J689" s="1680">
        <f t="shared" ca="1" si="922"/>
        <v>0</v>
      </c>
      <c r="K689" s="1680">
        <f t="shared" ca="1" si="923"/>
        <v>0</v>
      </c>
      <c r="L689" s="2021">
        <f t="shared" ca="1" si="924"/>
        <v>0</v>
      </c>
      <c r="M689" s="2021">
        <f t="shared" ca="1" si="925"/>
        <v>0</v>
      </c>
      <c r="N689" s="2851">
        <f t="shared" ca="1" si="926"/>
        <v>0</v>
      </c>
      <c r="O689" s="3817" t="s">
        <v>71</v>
      </c>
      <c r="P689" s="3794" t="s">
        <v>224</v>
      </c>
      <c r="Q689" s="3795"/>
      <c r="R689" s="3796"/>
      <c r="S689" s="2804">
        <f>+ROUND('Compra -HOJA1'!I381,0)</f>
        <v>0</v>
      </c>
      <c r="T689" s="2804">
        <f>+ROUND('Compra -HOJA1'!K381,0)</f>
        <v>0</v>
      </c>
      <c r="U689" s="2804">
        <f>+ROUND('Compra -HOJA1'!J381,0)</f>
        <v>0</v>
      </c>
      <c r="V689" s="2804">
        <f ca="1">+ROUND('Compra -HOJA1'!L381,0)</f>
        <v>0</v>
      </c>
      <c r="W689" s="2804">
        <f ca="1">+ROUND('Compra -HOJA1'!N381,0)</f>
        <v>0</v>
      </c>
      <c r="X689" s="2804">
        <f ca="1">+ROUND('Compra -HOJA1'!M381,0)</f>
        <v>0</v>
      </c>
      <c r="Y689" s="2805">
        <f ca="1">+'Compra -HOJA1'!O381</f>
        <v>0</v>
      </c>
      <c r="Z689" s="2805">
        <f ca="1">+'Compra -HOJA1'!Q381</f>
        <v>0</v>
      </c>
      <c r="AA689" s="2805">
        <f ca="1">+'Compra -HOJA1'!P381</f>
        <v>0</v>
      </c>
      <c r="AC689" s="2835">
        <f t="shared" ref="AC689:AC690" si="927">+ROUND(S689,0)</f>
        <v>0</v>
      </c>
      <c r="AD689" s="2776">
        <f t="shared" ref="AD689:AD690" si="928">+ROUND(T689,0)</f>
        <v>0</v>
      </c>
      <c r="AE689" s="2776">
        <f t="shared" ref="AE689:AE690" si="929">+AG689-AC689-AD689</f>
        <v>0</v>
      </c>
      <c r="AF689" s="1490">
        <f t="shared" ref="AF689:AF690" si="930">SUM(AC689:AE689)</f>
        <v>0</v>
      </c>
      <c r="AG689" s="1490">
        <f>+'Compra -HOJA1'!F381</f>
        <v>0</v>
      </c>
      <c r="AH689" s="2776">
        <f t="shared" ref="AH689:AH690" ca="1" si="931">+ROUND(V689,0)</f>
        <v>0</v>
      </c>
      <c r="AI689" s="2776">
        <f t="shared" ref="AI689:AI690" ca="1" si="932">+ROUND(W689,0)</f>
        <v>0</v>
      </c>
      <c r="AJ689" s="2776">
        <f t="shared" ref="AJ689:AJ690" ca="1" si="933">+AL689-AH689-AI689</f>
        <v>0</v>
      </c>
      <c r="AK689" s="1490">
        <f t="shared" ref="AK689:AK690" ca="1" si="934">SUM(AH689:AJ689)</f>
        <v>0</v>
      </c>
      <c r="AL689" s="2825">
        <f t="shared" ref="AL689:AL690" ca="1" si="935">+ROUND(SUM(V689:X689),0)</f>
        <v>0</v>
      </c>
      <c r="AM689" s="1490">
        <f t="shared" ref="AM689:AM690" ca="1" si="936">SUM(V689:X689)</f>
        <v>0</v>
      </c>
      <c r="AO689" s="1573">
        <f t="shared" ref="AO689:AO690" si="937">+SUM(S689:U689)</f>
        <v>0</v>
      </c>
      <c r="AP689" s="1490">
        <f t="shared" ref="AP689:AP690" si="938">+AO689-AG689</f>
        <v>0</v>
      </c>
      <c r="AS689" s="1490">
        <f t="shared" ref="AS689:AS690" si="939">+S689-AC689</f>
        <v>0</v>
      </c>
      <c r="AT689" s="1490">
        <f t="shared" ref="AT689:AT690" si="940">+T689-AD689</f>
        <v>0</v>
      </c>
      <c r="AU689" s="1490">
        <f t="shared" ref="AU689:AU690" si="941">+U689-AE689</f>
        <v>0</v>
      </c>
      <c r="BC689" s="2767"/>
    </row>
    <row r="690" spans="1:55" ht="62.1" hidden="1" customHeight="1" thickBot="1" x14ac:dyDescent="0.65">
      <c r="A690" s="3818"/>
      <c r="B690" s="3794" t="s">
        <v>225</v>
      </c>
      <c r="C690" s="3795"/>
      <c r="D690" s="3796"/>
      <c r="E690" s="2539">
        <f>+'Compra -HOJA1'!G382</f>
        <v>0</v>
      </c>
      <c r="F690" s="1680">
        <f t="shared" si="918"/>
        <v>0</v>
      </c>
      <c r="G690" s="1680">
        <f t="shared" si="919"/>
        <v>0</v>
      </c>
      <c r="H690" s="1680">
        <f t="shared" si="920"/>
        <v>0</v>
      </c>
      <c r="I690" s="1680">
        <f t="shared" ca="1" si="921"/>
        <v>0</v>
      </c>
      <c r="J690" s="1680">
        <f t="shared" ca="1" si="922"/>
        <v>0</v>
      </c>
      <c r="K690" s="1680">
        <f t="shared" ca="1" si="923"/>
        <v>0</v>
      </c>
      <c r="L690" s="2021">
        <f t="shared" ca="1" si="924"/>
        <v>0</v>
      </c>
      <c r="M690" s="2021">
        <f t="shared" ca="1" si="925"/>
        <v>0</v>
      </c>
      <c r="N690" s="2851">
        <f t="shared" ca="1" si="926"/>
        <v>0</v>
      </c>
      <c r="O690" s="3818"/>
      <c r="P690" s="3794" t="s">
        <v>225</v>
      </c>
      <c r="Q690" s="3795"/>
      <c r="R690" s="3796"/>
      <c r="S690" s="2804">
        <f>+ROUND('Compra -HOJA1'!I382,0)</f>
        <v>0</v>
      </c>
      <c r="T690" s="2804">
        <f>+ROUND('Compra -HOJA1'!K382,0)</f>
        <v>0</v>
      </c>
      <c r="U690" s="2804">
        <f>+ROUND('Compra -HOJA1'!J382,0)</f>
        <v>0</v>
      </c>
      <c r="V690" s="2804">
        <f ca="1">+ROUND('Compra -HOJA1'!L382,0)</f>
        <v>0</v>
      </c>
      <c r="W690" s="2804">
        <f ca="1">+ROUND('Compra -HOJA1'!N382,0)</f>
        <v>0</v>
      </c>
      <c r="X690" s="2804">
        <f ca="1">+ROUND('Compra -HOJA1'!M382,0)</f>
        <v>0</v>
      </c>
      <c r="Y690" s="2805">
        <f ca="1">+'Compra -HOJA1'!O382</f>
        <v>0</v>
      </c>
      <c r="Z690" s="2805">
        <f ca="1">+'Compra -HOJA1'!Q382</f>
        <v>0</v>
      </c>
      <c r="AA690" s="2805">
        <f ca="1">+'Compra -HOJA1'!P382</f>
        <v>0</v>
      </c>
      <c r="AC690" s="2835">
        <f t="shared" si="927"/>
        <v>0</v>
      </c>
      <c r="AD690" s="2776">
        <f t="shared" si="928"/>
        <v>0</v>
      </c>
      <c r="AE690" s="2776">
        <f t="shared" si="929"/>
        <v>0</v>
      </c>
      <c r="AF690" s="1490">
        <f t="shared" si="930"/>
        <v>0</v>
      </c>
      <c r="AG690" s="1490">
        <f>+'Compra -HOJA1'!F382</f>
        <v>0</v>
      </c>
      <c r="AH690" s="2776">
        <f t="shared" ca="1" si="931"/>
        <v>0</v>
      </c>
      <c r="AI690" s="2776">
        <f t="shared" ca="1" si="932"/>
        <v>0</v>
      </c>
      <c r="AJ690" s="2776">
        <f t="shared" ca="1" si="933"/>
        <v>0</v>
      </c>
      <c r="AK690" s="1490">
        <f t="shared" ca="1" si="934"/>
        <v>0</v>
      </c>
      <c r="AL690" s="2825">
        <f t="shared" ca="1" si="935"/>
        <v>0</v>
      </c>
      <c r="AM690" s="1490">
        <f t="shared" ca="1" si="936"/>
        <v>0</v>
      </c>
      <c r="AO690" s="1573">
        <f t="shared" si="937"/>
        <v>0</v>
      </c>
      <c r="AP690" s="1490">
        <f t="shared" si="938"/>
        <v>0</v>
      </c>
      <c r="AS690" s="1490">
        <f t="shared" si="939"/>
        <v>0</v>
      </c>
      <c r="AT690" s="1490">
        <f t="shared" si="940"/>
        <v>0</v>
      </c>
      <c r="AU690" s="1490">
        <f t="shared" si="941"/>
        <v>0</v>
      </c>
    </row>
    <row r="691" spans="1:55" ht="62.1" hidden="1" customHeight="1" thickBot="1" x14ac:dyDescent="0.65">
      <c r="A691" s="4517" t="s">
        <v>226</v>
      </c>
      <c r="B691" s="4268" t="s">
        <v>227</v>
      </c>
      <c r="C691" s="4269" t="s">
        <v>228</v>
      </c>
      <c r="D691" s="4269"/>
      <c r="E691" s="2539">
        <f>+'Compra -HOJA1'!G383</f>
        <v>0</v>
      </c>
      <c r="F691" s="1680">
        <f t="shared" ca="1" si="639"/>
        <v>0</v>
      </c>
      <c r="G691" s="1680">
        <f t="shared" ca="1" si="640"/>
        <v>0</v>
      </c>
      <c r="H691" s="1680">
        <f t="shared" ca="1" si="641"/>
        <v>0</v>
      </c>
      <c r="I691" s="1680">
        <f t="shared" ca="1" si="642"/>
        <v>0</v>
      </c>
      <c r="J691" s="1680">
        <f t="shared" ca="1" si="643"/>
        <v>0</v>
      </c>
      <c r="K691" s="1680">
        <f t="shared" ca="1" si="644"/>
        <v>0</v>
      </c>
      <c r="L691" s="2021">
        <f t="shared" ca="1" si="645"/>
        <v>0</v>
      </c>
      <c r="M691" s="2021">
        <f t="shared" ca="1" si="646"/>
        <v>0</v>
      </c>
      <c r="N691" s="2851">
        <f t="shared" ca="1" si="647"/>
        <v>0</v>
      </c>
      <c r="O691" s="3727" t="s">
        <v>227</v>
      </c>
      <c r="P691" s="4273" t="s">
        <v>228</v>
      </c>
      <c r="Q691" s="4273"/>
      <c r="R691" s="4273"/>
      <c r="S691" s="2995">
        <f ca="1">+'Compra -HOJA1'!I383</f>
        <v>0</v>
      </c>
      <c r="T691" s="2995">
        <f ca="1">+'Compra -HOJA1'!K383</f>
        <v>0</v>
      </c>
      <c r="U691" s="2995">
        <f ca="1">+'Compra -HOJA1'!J383</f>
        <v>0</v>
      </c>
      <c r="V691" s="2995">
        <f ca="1">+'Compra -HOJA1'!L383</f>
        <v>0</v>
      </c>
      <c r="W691" s="2995">
        <f ca="1">+'Compra -HOJA1'!N383</f>
        <v>0</v>
      </c>
      <c r="X691" s="2995">
        <f ca="1">+'Compra -HOJA1'!M383</f>
        <v>0</v>
      </c>
      <c r="Y691" s="2805">
        <f ca="1">+'Compra -HOJA1'!O383</f>
        <v>0</v>
      </c>
      <c r="Z691" s="2805">
        <f ca="1">+'Compra -HOJA1'!Q383</f>
        <v>0</v>
      </c>
      <c r="AA691" s="2805">
        <f ca="1">+'Compra -HOJA1'!P383</f>
        <v>0</v>
      </c>
      <c r="AC691" s="2838">
        <f ca="1">+'SUMIN -HOJA3'!Z138</f>
        <v>0</v>
      </c>
      <c r="AD691" s="2775">
        <f ca="1">+'SUMIN -HOJA3'!AA138</f>
        <v>0</v>
      </c>
      <c r="AE691" s="2775">
        <f ca="1">+'SUMIN -HOJA3'!AB138</f>
        <v>0</v>
      </c>
      <c r="AF691" s="1490">
        <f t="shared" ca="1" si="651"/>
        <v>0</v>
      </c>
      <c r="AG691" s="1490">
        <f ca="1">+'Compra -HOJA1'!F383</f>
        <v>0</v>
      </c>
      <c r="AH691" s="2775">
        <f ca="1">+'SUMIN -HOJA3'!AC138</f>
        <v>0</v>
      </c>
      <c r="AI691" s="2775">
        <f ca="1">+'SUMIN -HOJA3'!AD138</f>
        <v>0</v>
      </c>
      <c r="AJ691" s="2775">
        <f ca="1">+'SUMIN -HOJA3'!AE138</f>
        <v>0</v>
      </c>
      <c r="AK691" s="1490">
        <f t="shared" ca="1" si="655"/>
        <v>0</v>
      </c>
      <c r="AL691" s="2825">
        <f t="shared" ca="1" si="656"/>
        <v>0</v>
      </c>
      <c r="AM691" s="1490">
        <f t="shared" ca="1" si="657"/>
        <v>0</v>
      </c>
      <c r="AO691" s="1573">
        <f t="shared" ca="1" si="658"/>
        <v>0</v>
      </c>
      <c r="AP691" s="1490">
        <f t="shared" ca="1" si="659"/>
        <v>0</v>
      </c>
      <c r="AS691" s="1490">
        <f t="shared" ca="1" si="660"/>
        <v>0</v>
      </c>
      <c r="AT691" s="1490">
        <f t="shared" ca="1" si="661"/>
        <v>0</v>
      </c>
      <c r="AU691" s="1490">
        <f t="shared" ca="1" si="662"/>
        <v>0</v>
      </c>
    </row>
    <row r="692" spans="1:55" ht="62.1" hidden="1" customHeight="1" thickBot="1" x14ac:dyDescent="0.65">
      <c r="A692" s="4517"/>
      <c r="B692" s="4268"/>
      <c r="C692" s="4269" t="s">
        <v>229</v>
      </c>
      <c r="D692" s="4269"/>
      <c r="E692" s="2539">
        <f>+'Compra -HOJA1'!G384</f>
        <v>0</v>
      </c>
      <c r="F692" s="1680">
        <f t="shared" ca="1" si="639"/>
        <v>0</v>
      </c>
      <c r="G692" s="1680">
        <f t="shared" ca="1" si="640"/>
        <v>0</v>
      </c>
      <c r="H692" s="1680">
        <f t="shared" ca="1" si="641"/>
        <v>0</v>
      </c>
      <c r="I692" s="1680">
        <f t="shared" ca="1" si="642"/>
        <v>0</v>
      </c>
      <c r="J692" s="1680">
        <f t="shared" ca="1" si="643"/>
        <v>0</v>
      </c>
      <c r="K692" s="1680">
        <f t="shared" ca="1" si="644"/>
        <v>0</v>
      </c>
      <c r="L692" s="2021">
        <f t="shared" ca="1" si="645"/>
        <v>0</v>
      </c>
      <c r="M692" s="2021">
        <f t="shared" ca="1" si="646"/>
        <v>0</v>
      </c>
      <c r="N692" s="2851">
        <f t="shared" ca="1" si="647"/>
        <v>0</v>
      </c>
      <c r="O692" s="3728"/>
      <c r="P692" s="4273" t="s">
        <v>229</v>
      </c>
      <c r="Q692" s="4273"/>
      <c r="R692" s="4273"/>
      <c r="S692" s="2995">
        <f ca="1">+'Compra -HOJA1'!I384</f>
        <v>0</v>
      </c>
      <c r="T692" s="2995">
        <f ca="1">+'Compra -HOJA1'!K384</f>
        <v>0</v>
      </c>
      <c r="U692" s="2995">
        <f ca="1">+'Compra -HOJA1'!J384</f>
        <v>0</v>
      </c>
      <c r="V692" s="2995">
        <f ca="1">+'Compra -HOJA1'!L384</f>
        <v>0</v>
      </c>
      <c r="W692" s="2995">
        <f ca="1">+'Compra -HOJA1'!N384</f>
        <v>0</v>
      </c>
      <c r="X692" s="2995">
        <f ca="1">+'Compra -HOJA1'!M384</f>
        <v>0</v>
      </c>
      <c r="Y692" s="2805">
        <f ca="1">+'Compra -HOJA1'!O384</f>
        <v>0</v>
      </c>
      <c r="Z692" s="2805">
        <f ca="1">+'Compra -HOJA1'!Q384</f>
        <v>0</v>
      </c>
      <c r="AA692" s="2805">
        <f ca="1">+'Compra -HOJA1'!P384</f>
        <v>0</v>
      </c>
      <c r="AC692" s="2838">
        <f ca="1">+'SUMIN -HOJA3'!Z139</f>
        <v>0</v>
      </c>
      <c r="AD692" s="2775">
        <f ca="1">+'SUMIN -HOJA3'!AA139</f>
        <v>0</v>
      </c>
      <c r="AE692" s="2775">
        <f ca="1">+'SUMIN -HOJA3'!AB139</f>
        <v>0</v>
      </c>
      <c r="AF692" s="1490">
        <f t="shared" ca="1" si="651"/>
        <v>0</v>
      </c>
      <c r="AG692" s="1490">
        <f ca="1">+'Compra -HOJA1'!F384</f>
        <v>0</v>
      </c>
      <c r="AH692" s="2775">
        <f ca="1">+'SUMIN -HOJA3'!AC139</f>
        <v>0</v>
      </c>
      <c r="AI692" s="2775">
        <f ca="1">+'SUMIN -HOJA3'!AD139</f>
        <v>0</v>
      </c>
      <c r="AJ692" s="2775">
        <f ca="1">+'SUMIN -HOJA3'!AE139</f>
        <v>0</v>
      </c>
      <c r="AK692" s="1490">
        <f t="shared" ca="1" si="655"/>
        <v>0</v>
      </c>
      <c r="AL692" s="2825">
        <f t="shared" ca="1" si="656"/>
        <v>0</v>
      </c>
      <c r="AM692" s="1490">
        <f t="shared" ca="1" si="657"/>
        <v>0</v>
      </c>
      <c r="AO692" s="1573">
        <f t="shared" ca="1" si="658"/>
        <v>0</v>
      </c>
      <c r="AP692" s="1490">
        <f t="shared" ca="1" si="659"/>
        <v>0</v>
      </c>
      <c r="AS692" s="1490">
        <f t="shared" ca="1" si="660"/>
        <v>0</v>
      </c>
      <c r="AT692" s="1490">
        <f t="shared" ca="1" si="661"/>
        <v>0</v>
      </c>
      <c r="AU692" s="1490">
        <f t="shared" ca="1" si="662"/>
        <v>0</v>
      </c>
    </row>
    <row r="693" spans="1:55" ht="62.1" hidden="1" customHeight="1" thickBot="1" x14ac:dyDescent="0.65">
      <c r="A693" s="4517"/>
      <c r="B693" s="4268"/>
      <c r="C693" s="4269" t="s">
        <v>230</v>
      </c>
      <c r="D693" s="4269"/>
      <c r="E693" s="2539">
        <f>+'Compra -HOJA1'!G385</f>
        <v>0</v>
      </c>
      <c r="F693" s="1680">
        <f t="shared" ca="1" si="639"/>
        <v>0</v>
      </c>
      <c r="G693" s="1680">
        <f t="shared" ca="1" si="640"/>
        <v>0</v>
      </c>
      <c r="H693" s="1680">
        <f t="shared" ca="1" si="641"/>
        <v>0</v>
      </c>
      <c r="I693" s="1680">
        <f t="shared" ca="1" si="642"/>
        <v>0</v>
      </c>
      <c r="J693" s="1680">
        <f t="shared" ca="1" si="643"/>
        <v>0</v>
      </c>
      <c r="K693" s="1680">
        <f t="shared" ca="1" si="644"/>
        <v>0</v>
      </c>
      <c r="L693" s="2021">
        <f t="shared" ca="1" si="645"/>
        <v>0</v>
      </c>
      <c r="M693" s="2021">
        <f t="shared" ca="1" si="646"/>
        <v>0</v>
      </c>
      <c r="N693" s="2851">
        <f t="shared" ca="1" si="647"/>
        <v>0</v>
      </c>
      <c r="O693" s="3728"/>
      <c r="P693" s="4273" t="s">
        <v>230</v>
      </c>
      <c r="Q693" s="4273"/>
      <c r="R693" s="4273"/>
      <c r="S693" s="2995">
        <f ca="1">+'Compra -HOJA1'!I385</f>
        <v>0</v>
      </c>
      <c r="T693" s="2995">
        <f ca="1">+'Compra -HOJA1'!K385</f>
        <v>0</v>
      </c>
      <c r="U693" s="2995">
        <f ca="1">+'Compra -HOJA1'!J385</f>
        <v>0</v>
      </c>
      <c r="V693" s="2995">
        <f ca="1">+'Compra -HOJA1'!L385</f>
        <v>0</v>
      </c>
      <c r="W693" s="2995">
        <f ca="1">+'Compra -HOJA1'!N385</f>
        <v>0</v>
      </c>
      <c r="X693" s="2995">
        <f ca="1">+'Compra -HOJA1'!M385</f>
        <v>0</v>
      </c>
      <c r="Y693" s="2805">
        <f ca="1">+'Compra -HOJA1'!O385</f>
        <v>0</v>
      </c>
      <c r="Z693" s="2805">
        <f ca="1">+'Compra -HOJA1'!Q385</f>
        <v>0</v>
      </c>
      <c r="AA693" s="2805">
        <f ca="1">+'Compra -HOJA1'!P385</f>
        <v>0</v>
      </c>
      <c r="AC693" s="2838">
        <f ca="1">+'SUMIN -HOJA3'!Z140</f>
        <v>0</v>
      </c>
      <c r="AD693" s="2775">
        <f ca="1">+'SUMIN -HOJA3'!AA140</f>
        <v>0</v>
      </c>
      <c r="AE693" s="2775">
        <f ca="1">+'SUMIN -HOJA3'!AB140</f>
        <v>0</v>
      </c>
      <c r="AF693" s="1490">
        <f t="shared" ca="1" si="651"/>
        <v>0</v>
      </c>
      <c r="AG693" s="1490">
        <f ca="1">+'Compra -HOJA1'!F385</f>
        <v>0</v>
      </c>
      <c r="AH693" s="2775">
        <f ca="1">+'SUMIN -HOJA3'!AC140</f>
        <v>0</v>
      </c>
      <c r="AI693" s="2775">
        <f ca="1">+'SUMIN -HOJA3'!AD140</f>
        <v>0</v>
      </c>
      <c r="AJ693" s="2775">
        <f ca="1">+'SUMIN -HOJA3'!AE140</f>
        <v>0</v>
      </c>
      <c r="AK693" s="1490">
        <f t="shared" ca="1" si="655"/>
        <v>0</v>
      </c>
      <c r="AL693" s="2825">
        <f t="shared" ca="1" si="656"/>
        <v>0</v>
      </c>
      <c r="AM693" s="1490">
        <f t="shared" ca="1" si="657"/>
        <v>0</v>
      </c>
      <c r="AO693" s="1573">
        <f t="shared" ca="1" si="658"/>
        <v>0</v>
      </c>
      <c r="AP693" s="1490">
        <f t="shared" ca="1" si="659"/>
        <v>0</v>
      </c>
      <c r="AS693" s="1490">
        <f t="shared" ca="1" si="660"/>
        <v>0</v>
      </c>
      <c r="AT693" s="1490">
        <f t="shared" ca="1" si="661"/>
        <v>0</v>
      </c>
      <c r="AU693" s="1490">
        <f t="shared" ca="1" si="662"/>
        <v>0</v>
      </c>
    </row>
    <row r="694" spans="1:55" ht="62.1" hidden="1" customHeight="1" thickBot="1" x14ac:dyDescent="0.65">
      <c r="A694" s="4517"/>
      <c r="B694" s="4268"/>
      <c r="C694" s="4269" t="s">
        <v>231</v>
      </c>
      <c r="D694" s="4269"/>
      <c r="E694" s="2539">
        <f>+'Compra -HOJA1'!G386</f>
        <v>0</v>
      </c>
      <c r="F694" s="1680">
        <f t="shared" ca="1" si="639"/>
        <v>0</v>
      </c>
      <c r="G694" s="1680">
        <f t="shared" ca="1" si="640"/>
        <v>0</v>
      </c>
      <c r="H694" s="1680">
        <f t="shared" ca="1" si="641"/>
        <v>0</v>
      </c>
      <c r="I694" s="1680">
        <f t="shared" ca="1" si="642"/>
        <v>0</v>
      </c>
      <c r="J694" s="1680">
        <f t="shared" ca="1" si="643"/>
        <v>0</v>
      </c>
      <c r="K694" s="1680">
        <f t="shared" ca="1" si="644"/>
        <v>0</v>
      </c>
      <c r="L694" s="2021">
        <f t="shared" ca="1" si="645"/>
        <v>0</v>
      </c>
      <c r="M694" s="2021">
        <f t="shared" ca="1" si="646"/>
        <v>0</v>
      </c>
      <c r="N694" s="2851">
        <f t="shared" ca="1" si="647"/>
        <v>0</v>
      </c>
      <c r="O694" s="3728"/>
      <c r="P694" s="4273" t="s">
        <v>231</v>
      </c>
      <c r="Q694" s="4273"/>
      <c r="R694" s="4273"/>
      <c r="S694" s="2995">
        <f ca="1">+'Compra -HOJA1'!I386</f>
        <v>0</v>
      </c>
      <c r="T694" s="2995">
        <f ca="1">+'Compra -HOJA1'!K386</f>
        <v>0</v>
      </c>
      <c r="U694" s="2995">
        <f ca="1">+'Compra -HOJA1'!J386</f>
        <v>0</v>
      </c>
      <c r="V694" s="2995">
        <f ca="1">+'Compra -HOJA1'!L386</f>
        <v>0</v>
      </c>
      <c r="W694" s="2995">
        <f ca="1">+'Compra -HOJA1'!N386</f>
        <v>0</v>
      </c>
      <c r="X694" s="2995">
        <f ca="1">+'Compra -HOJA1'!M386</f>
        <v>0</v>
      </c>
      <c r="Y694" s="2805">
        <f ca="1">+'Compra -HOJA1'!O386</f>
        <v>0</v>
      </c>
      <c r="Z694" s="2805">
        <f ca="1">+'Compra -HOJA1'!Q386</f>
        <v>0</v>
      </c>
      <c r="AA694" s="2805">
        <f ca="1">+'Compra -HOJA1'!P386</f>
        <v>0</v>
      </c>
      <c r="AC694" s="2838">
        <f ca="1">+'SUMIN -HOJA3'!Z141</f>
        <v>0</v>
      </c>
      <c r="AD694" s="2775">
        <f ca="1">+'SUMIN -HOJA3'!AA141</f>
        <v>0</v>
      </c>
      <c r="AE694" s="2775">
        <f ca="1">+'SUMIN -HOJA3'!AB141</f>
        <v>0</v>
      </c>
      <c r="AF694" s="1490">
        <f t="shared" ca="1" si="651"/>
        <v>0</v>
      </c>
      <c r="AG694" s="1490">
        <f ca="1">+'Compra -HOJA1'!F386</f>
        <v>0</v>
      </c>
      <c r="AH694" s="2775">
        <f ca="1">+'SUMIN -HOJA3'!AC141</f>
        <v>0</v>
      </c>
      <c r="AI694" s="2775">
        <f ca="1">+'SUMIN -HOJA3'!AD141</f>
        <v>0</v>
      </c>
      <c r="AJ694" s="2775">
        <f ca="1">+'SUMIN -HOJA3'!AE141</f>
        <v>0</v>
      </c>
      <c r="AK694" s="1490">
        <f t="shared" ca="1" si="655"/>
        <v>0</v>
      </c>
      <c r="AL694" s="2825">
        <f t="shared" ca="1" si="656"/>
        <v>0</v>
      </c>
      <c r="AM694" s="1490">
        <f t="shared" ca="1" si="657"/>
        <v>0</v>
      </c>
      <c r="AO694" s="1573">
        <f t="shared" ca="1" si="658"/>
        <v>0</v>
      </c>
      <c r="AP694" s="1490">
        <f t="shared" ca="1" si="659"/>
        <v>0</v>
      </c>
      <c r="AS694" s="1490">
        <f t="shared" ca="1" si="660"/>
        <v>0</v>
      </c>
      <c r="AT694" s="1490">
        <f t="shared" ca="1" si="661"/>
        <v>0</v>
      </c>
      <c r="AU694" s="1490">
        <f t="shared" ca="1" si="662"/>
        <v>0</v>
      </c>
    </row>
    <row r="695" spans="1:55" ht="62.1" hidden="1" customHeight="1" thickBot="1" x14ac:dyDescent="0.65">
      <c r="A695" s="4517"/>
      <c r="B695" s="4268"/>
      <c r="C695" s="4269" t="s">
        <v>232</v>
      </c>
      <c r="D695" s="4269"/>
      <c r="E695" s="2539">
        <f>+'Compra -HOJA1'!G387</f>
        <v>0</v>
      </c>
      <c r="F695" s="1680">
        <f t="shared" ca="1" si="639"/>
        <v>0</v>
      </c>
      <c r="G695" s="1680">
        <f t="shared" ca="1" si="640"/>
        <v>0</v>
      </c>
      <c r="H695" s="1680">
        <f t="shared" ca="1" si="641"/>
        <v>0</v>
      </c>
      <c r="I695" s="1680">
        <f t="shared" ca="1" si="642"/>
        <v>0</v>
      </c>
      <c r="J695" s="1680">
        <f t="shared" ca="1" si="643"/>
        <v>0</v>
      </c>
      <c r="K695" s="1680">
        <f t="shared" ca="1" si="644"/>
        <v>0</v>
      </c>
      <c r="L695" s="2021">
        <f t="shared" ca="1" si="645"/>
        <v>0</v>
      </c>
      <c r="M695" s="2021">
        <f t="shared" ca="1" si="646"/>
        <v>0</v>
      </c>
      <c r="N695" s="2851">
        <f t="shared" ca="1" si="647"/>
        <v>0</v>
      </c>
      <c r="O695" s="3729"/>
      <c r="P695" s="4273" t="s">
        <v>232</v>
      </c>
      <c r="Q695" s="4273"/>
      <c r="R695" s="4273"/>
      <c r="S695" s="2995">
        <f ca="1">+'Compra -HOJA1'!I387</f>
        <v>0</v>
      </c>
      <c r="T695" s="2995">
        <f ca="1">+'Compra -HOJA1'!K387</f>
        <v>0</v>
      </c>
      <c r="U695" s="2995">
        <f ca="1">+'Compra -HOJA1'!J387</f>
        <v>0</v>
      </c>
      <c r="V695" s="2995">
        <f ca="1">+'Compra -HOJA1'!L387</f>
        <v>0</v>
      </c>
      <c r="W695" s="2995">
        <f ca="1">+'Compra -HOJA1'!N387</f>
        <v>0</v>
      </c>
      <c r="X695" s="2995">
        <f ca="1">+'Compra -HOJA1'!M387</f>
        <v>0</v>
      </c>
      <c r="Y695" s="2805">
        <f ca="1">+'Compra -HOJA1'!O387</f>
        <v>0</v>
      </c>
      <c r="Z695" s="2805">
        <f ca="1">+'Compra -HOJA1'!Q387</f>
        <v>0</v>
      </c>
      <c r="AA695" s="2805">
        <f ca="1">+'Compra -HOJA1'!P387</f>
        <v>0</v>
      </c>
      <c r="AC695" s="2838">
        <f ca="1">+'SUMIN -HOJA3'!Z142</f>
        <v>0</v>
      </c>
      <c r="AD695" s="2775">
        <f ca="1">+'SUMIN -HOJA3'!AA142</f>
        <v>0</v>
      </c>
      <c r="AE695" s="2775">
        <f ca="1">+'SUMIN -HOJA3'!AB142</f>
        <v>0</v>
      </c>
      <c r="AF695" s="1490">
        <f t="shared" ca="1" si="651"/>
        <v>0</v>
      </c>
      <c r="AG695" s="1490">
        <f ca="1">+'Compra -HOJA1'!F387</f>
        <v>0</v>
      </c>
      <c r="AH695" s="2775">
        <f ca="1">+'SUMIN -HOJA3'!AC142</f>
        <v>0</v>
      </c>
      <c r="AI695" s="2775">
        <f ca="1">+'SUMIN -HOJA3'!AD142</f>
        <v>0</v>
      </c>
      <c r="AJ695" s="2775">
        <f ca="1">+'SUMIN -HOJA3'!AE142</f>
        <v>0</v>
      </c>
      <c r="AK695" s="1490">
        <f t="shared" ca="1" si="655"/>
        <v>0</v>
      </c>
      <c r="AL695" s="2825">
        <f t="shared" ca="1" si="656"/>
        <v>0</v>
      </c>
      <c r="AM695" s="1490">
        <f t="shared" ca="1" si="657"/>
        <v>0</v>
      </c>
      <c r="AO695" s="1573">
        <f t="shared" ca="1" si="658"/>
        <v>0</v>
      </c>
      <c r="AP695" s="1490">
        <f t="shared" ca="1" si="659"/>
        <v>0</v>
      </c>
      <c r="AS695" s="1490">
        <f t="shared" ca="1" si="660"/>
        <v>0</v>
      </c>
      <c r="AT695" s="1490">
        <f t="shared" ca="1" si="661"/>
        <v>0</v>
      </c>
      <c r="AU695" s="1490">
        <f t="shared" ca="1" si="662"/>
        <v>0</v>
      </c>
    </row>
    <row r="696" spans="1:55" ht="62.1" hidden="1" customHeight="1" thickBot="1" x14ac:dyDescent="0.65">
      <c r="A696" s="4517"/>
      <c r="B696" s="4268" t="s">
        <v>233</v>
      </c>
      <c r="C696" s="4269" t="s">
        <v>234</v>
      </c>
      <c r="D696" s="4269"/>
      <c r="E696" s="2539">
        <f>+'Compra -HOJA1'!G388</f>
        <v>0</v>
      </c>
      <c r="F696" s="1680">
        <f t="shared" ca="1" si="639"/>
        <v>0</v>
      </c>
      <c r="G696" s="1680">
        <f t="shared" ca="1" si="640"/>
        <v>0</v>
      </c>
      <c r="H696" s="1680">
        <f t="shared" ca="1" si="641"/>
        <v>0</v>
      </c>
      <c r="I696" s="1680">
        <f t="shared" ca="1" si="642"/>
        <v>0</v>
      </c>
      <c r="J696" s="1680">
        <f t="shared" ca="1" si="643"/>
        <v>0</v>
      </c>
      <c r="K696" s="1680">
        <f t="shared" ca="1" si="644"/>
        <v>0</v>
      </c>
      <c r="L696" s="2021">
        <f t="shared" ca="1" si="645"/>
        <v>0</v>
      </c>
      <c r="M696" s="2021">
        <f t="shared" ca="1" si="646"/>
        <v>0</v>
      </c>
      <c r="N696" s="2851">
        <f t="shared" ca="1" si="647"/>
        <v>0</v>
      </c>
      <c r="O696" s="3727" t="s">
        <v>233</v>
      </c>
      <c r="P696" s="4273" t="s">
        <v>234</v>
      </c>
      <c r="Q696" s="4273"/>
      <c r="R696" s="4273"/>
      <c r="S696" s="2995">
        <f ca="1">+'Compra -HOJA1'!I388</f>
        <v>0</v>
      </c>
      <c r="T696" s="2995">
        <f ca="1">+'Compra -HOJA1'!K388</f>
        <v>0</v>
      </c>
      <c r="U696" s="2995">
        <f ca="1">+'Compra -HOJA1'!J388</f>
        <v>0</v>
      </c>
      <c r="V696" s="2995">
        <f ca="1">+'Compra -HOJA1'!L388</f>
        <v>0</v>
      </c>
      <c r="W696" s="2995">
        <f ca="1">+'Compra -HOJA1'!N388</f>
        <v>0</v>
      </c>
      <c r="X696" s="2995">
        <f ca="1">+'Compra -HOJA1'!M388</f>
        <v>0</v>
      </c>
      <c r="Y696" s="2805">
        <f ca="1">+'Compra -HOJA1'!O388</f>
        <v>0</v>
      </c>
      <c r="Z696" s="2805">
        <f ca="1">+'Compra -HOJA1'!Q388</f>
        <v>0</v>
      </c>
      <c r="AA696" s="2805">
        <f ca="1">+'Compra -HOJA1'!P388</f>
        <v>0</v>
      </c>
      <c r="AC696" s="2838">
        <f ca="1">+'SUMIN -HOJA3'!Z143</f>
        <v>0</v>
      </c>
      <c r="AD696" s="2775">
        <f ca="1">+'SUMIN -HOJA3'!AA143</f>
        <v>0</v>
      </c>
      <c r="AE696" s="2775">
        <f ca="1">+'SUMIN -HOJA3'!AB143</f>
        <v>0</v>
      </c>
      <c r="AF696" s="1490">
        <f t="shared" ca="1" si="651"/>
        <v>0</v>
      </c>
      <c r="AG696" s="1490">
        <f ca="1">+'Compra -HOJA1'!F388</f>
        <v>0</v>
      </c>
      <c r="AH696" s="2775">
        <f ca="1">+'SUMIN -HOJA3'!AC143</f>
        <v>0</v>
      </c>
      <c r="AI696" s="2775">
        <f ca="1">+'SUMIN -HOJA3'!AD143</f>
        <v>0</v>
      </c>
      <c r="AJ696" s="2775">
        <f ca="1">+'SUMIN -HOJA3'!AE143</f>
        <v>0</v>
      </c>
      <c r="AK696" s="1490">
        <f t="shared" ca="1" si="655"/>
        <v>0</v>
      </c>
      <c r="AL696" s="2825">
        <f t="shared" ca="1" si="656"/>
        <v>0</v>
      </c>
      <c r="AM696" s="1490">
        <f t="shared" ca="1" si="657"/>
        <v>0</v>
      </c>
      <c r="AO696" s="1573">
        <f t="shared" ca="1" si="658"/>
        <v>0</v>
      </c>
      <c r="AP696" s="1490">
        <f t="shared" ca="1" si="659"/>
        <v>0</v>
      </c>
      <c r="AS696" s="1490">
        <f t="shared" ca="1" si="660"/>
        <v>0</v>
      </c>
      <c r="AT696" s="1490">
        <f t="shared" ca="1" si="661"/>
        <v>0</v>
      </c>
      <c r="AU696" s="1490">
        <f t="shared" ca="1" si="662"/>
        <v>0</v>
      </c>
    </row>
    <row r="697" spans="1:55" ht="62.1" hidden="1" customHeight="1" thickBot="1" x14ac:dyDescent="0.65">
      <c r="A697" s="4517"/>
      <c r="B697" s="4268"/>
      <c r="C697" s="4269" t="s">
        <v>235</v>
      </c>
      <c r="D697" s="4269"/>
      <c r="E697" s="2539">
        <f>+'Compra -HOJA1'!G389</f>
        <v>0</v>
      </c>
      <c r="F697" s="1680">
        <f t="shared" ca="1" si="639"/>
        <v>0</v>
      </c>
      <c r="G697" s="1680">
        <f t="shared" ca="1" si="640"/>
        <v>0</v>
      </c>
      <c r="H697" s="1680">
        <f t="shared" ca="1" si="641"/>
        <v>0</v>
      </c>
      <c r="I697" s="1680">
        <f t="shared" ca="1" si="642"/>
        <v>0</v>
      </c>
      <c r="J697" s="1680">
        <f t="shared" ca="1" si="643"/>
        <v>0</v>
      </c>
      <c r="K697" s="1680">
        <f t="shared" ca="1" si="644"/>
        <v>0</v>
      </c>
      <c r="L697" s="2021">
        <f t="shared" ca="1" si="645"/>
        <v>0</v>
      </c>
      <c r="M697" s="2021">
        <f t="shared" ca="1" si="646"/>
        <v>0</v>
      </c>
      <c r="N697" s="2851">
        <f t="shared" ca="1" si="647"/>
        <v>0</v>
      </c>
      <c r="O697" s="3728"/>
      <c r="P697" s="4273" t="s">
        <v>235</v>
      </c>
      <c r="Q697" s="4273"/>
      <c r="R697" s="4273"/>
      <c r="S697" s="2995">
        <f ca="1">+'Compra -HOJA1'!I389</f>
        <v>0</v>
      </c>
      <c r="T697" s="2995">
        <f ca="1">+'Compra -HOJA1'!K389</f>
        <v>0</v>
      </c>
      <c r="U697" s="2995">
        <f ca="1">+'Compra -HOJA1'!J389</f>
        <v>0</v>
      </c>
      <c r="V697" s="2995">
        <f ca="1">+'Compra -HOJA1'!L389</f>
        <v>0</v>
      </c>
      <c r="W697" s="2995">
        <f ca="1">+'Compra -HOJA1'!N389</f>
        <v>0</v>
      </c>
      <c r="X697" s="2995">
        <f ca="1">+'Compra -HOJA1'!M389</f>
        <v>0</v>
      </c>
      <c r="Y697" s="2805">
        <f ca="1">+'Compra -HOJA1'!O389</f>
        <v>0</v>
      </c>
      <c r="Z697" s="2805">
        <f ca="1">+'Compra -HOJA1'!Q389</f>
        <v>0</v>
      </c>
      <c r="AA697" s="2805">
        <f ca="1">+'Compra -HOJA1'!P389</f>
        <v>0</v>
      </c>
      <c r="AC697" s="2838">
        <f ca="1">+'SUMIN -HOJA3'!Z144</f>
        <v>0</v>
      </c>
      <c r="AD697" s="2775">
        <f ca="1">+'SUMIN -HOJA3'!AA144</f>
        <v>0</v>
      </c>
      <c r="AE697" s="2775">
        <f ca="1">+'SUMIN -HOJA3'!AB144</f>
        <v>0</v>
      </c>
      <c r="AF697" s="1490">
        <f t="shared" ca="1" si="651"/>
        <v>0</v>
      </c>
      <c r="AG697" s="1490">
        <f ca="1">+'Compra -HOJA1'!F389</f>
        <v>0</v>
      </c>
      <c r="AH697" s="2775">
        <f ca="1">+'SUMIN -HOJA3'!AC144</f>
        <v>0</v>
      </c>
      <c r="AI697" s="2775">
        <f ca="1">+'SUMIN -HOJA3'!AD144</f>
        <v>0</v>
      </c>
      <c r="AJ697" s="2775">
        <f ca="1">+'SUMIN -HOJA3'!AE144</f>
        <v>0</v>
      </c>
      <c r="AK697" s="1490">
        <f t="shared" ca="1" si="655"/>
        <v>0</v>
      </c>
      <c r="AL697" s="2825">
        <f t="shared" ca="1" si="656"/>
        <v>0</v>
      </c>
      <c r="AM697" s="1490">
        <f t="shared" ca="1" si="657"/>
        <v>0</v>
      </c>
      <c r="AO697" s="1573">
        <f t="shared" ca="1" si="658"/>
        <v>0</v>
      </c>
      <c r="AP697" s="1490">
        <f t="shared" ca="1" si="659"/>
        <v>0</v>
      </c>
      <c r="AS697" s="1490">
        <f t="shared" ca="1" si="660"/>
        <v>0</v>
      </c>
      <c r="AT697" s="1490">
        <f t="shared" ca="1" si="661"/>
        <v>0</v>
      </c>
      <c r="AU697" s="1490">
        <f t="shared" ca="1" si="662"/>
        <v>0</v>
      </c>
    </row>
    <row r="698" spans="1:55" ht="62.1" hidden="1" customHeight="1" thickBot="1" x14ac:dyDescent="0.65">
      <c r="A698" s="4517"/>
      <c r="B698" s="4268"/>
      <c r="C698" s="4269" t="s">
        <v>236</v>
      </c>
      <c r="D698" s="4269"/>
      <c r="E698" s="2539">
        <f>+'Compra -HOJA1'!G390</f>
        <v>0</v>
      </c>
      <c r="F698" s="1680">
        <f t="shared" ca="1" si="639"/>
        <v>0</v>
      </c>
      <c r="G698" s="1680">
        <f t="shared" ca="1" si="640"/>
        <v>0</v>
      </c>
      <c r="H698" s="1680">
        <f t="shared" ca="1" si="641"/>
        <v>0</v>
      </c>
      <c r="I698" s="1680">
        <f t="shared" ca="1" si="642"/>
        <v>0</v>
      </c>
      <c r="J698" s="1680">
        <f t="shared" ca="1" si="643"/>
        <v>0</v>
      </c>
      <c r="K698" s="1680">
        <f t="shared" ca="1" si="644"/>
        <v>0</v>
      </c>
      <c r="L698" s="2021">
        <f t="shared" ca="1" si="645"/>
        <v>0</v>
      </c>
      <c r="M698" s="2021">
        <f t="shared" ca="1" si="646"/>
        <v>0</v>
      </c>
      <c r="N698" s="2851">
        <f t="shared" ca="1" si="647"/>
        <v>0</v>
      </c>
      <c r="O698" s="3728"/>
      <c r="P698" s="4273" t="s">
        <v>236</v>
      </c>
      <c r="Q698" s="4273"/>
      <c r="R698" s="4273"/>
      <c r="S698" s="2995">
        <f ca="1">+'Compra -HOJA1'!I390</f>
        <v>0</v>
      </c>
      <c r="T698" s="2995">
        <f ca="1">+'Compra -HOJA1'!K390</f>
        <v>0</v>
      </c>
      <c r="U698" s="2995">
        <f ca="1">+'Compra -HOJA1'!J390</f>
        <v>0</v>
      </c>
      <c r="V698" s="2995">
        <f ca="1">+'Compra -HOJA1'!L390</f>
        <v>0</v>
      </c>
      <c r="W698" s="2995">
        <f ca="1">+'Compra -HOJA1'!N390</f>
        <v>0</v>
      </c>
      <c r="X698" s="2995">
        <f ca="1">+'Compra -HOJA1'!M390</f>
        <v>0</v>
      </c>
      <c r="Y698" s="2805">
        <f ca="1">+'Compra -HOJA1'!O390</f>
        <v>0</v>
      </c>
      <c r="Z698" s="2805">
        <f ca="1">+'Compra -HOJA1'!Q390</f>
        <v>0</v>
      </c>
      <c r="AA698" s="2805">
        <f ca="1">+'Compra -HOJA1'!P390</f>
        <v>0</v>
      </c>
      <c r="AC698" s="2838">
        <f ca="1">+'SUMIN -HOJA3'!Z145</f>
        <v>0</v>
      </c>
      <c r="AD698" s="2775">
        <f ca="1">+'SUMIN -HOJA3'!AA145</f>
        <v>0</v>
      </c>
      <c r="AE698" s="2775">
        <f ca="1">+'SUMIN -HOJA3'!AB145</f>
        <v>0</v>
      </c>
      <c r="AF698" s="1490">
        <f t="shared" ca="1" si="651"/>
        <v>0</v>
      </c>
      <c r="AG698" s="1490">
        <f ca="1">+'Compra -HOJA1'!F390</f>
        <v>0</v>
      </c>
      <c r="AH698" s="2775">
        <f ca="1">+'SUMIN -HOJA3'!AC145</f>
        <v>0</v>
      </c>
      <c r="AI698" s="2775">
        <f ca="1">+'SUMIN -HOJA3'!AD145</f>
        <v>0</v>
      </c>
      <c r="AJ698" s="2775">
        <f ca="1">+'SUMIN -HOJA3'!AE145</f>
        <v>0</v>
      </c>
      <c r="AK698" s="1490">
        <f t="shared" ca="1" si="655"/>
        <v>0</v>
      </c>
      <c r="AL698" s="2825">
        <f t="shared" ca="1" si="656"/>
        <v>0</v>
      </c>
      <c r="AM698" s="1490">
        <f t="shared" ca="1" si="657"/>
        <v>0</v>
      </c>
      <c r="AO698" s="1573">
        <f t="shared" ca="1" si="658"/>
        <v>0</v>
      </c>
      <c r="AP698" s="1490">
        <f t="shared" ca="1" si="659"/>
        <v>0</v>
      </c>
      <c r="AS698" s="1490">
        <f t="shared" ca="1" si="660"/>
        <v>0</v>
      </c>
      <c r="AT698" s="1490">
        <f t="shared" ca="1" si="661"/>
        <v>0</v>
      </c>
      <c r="AU698" s="1490">
        <f t="shared" ca="1" si="662"/>
        <v>0</v>
      </c>
    </row>
    <row r="699" spans="1:55" ht="62.1" hidden="1" customHeight="1" thickBot="1" x14ac:dyDescent="0.65">
      <c r="A699" s="4517"/>
      <c r="B699" s="4268"/>
      <c r="C699" s="4269" t="s">
        <v>237</v>
      </c>
      <c r="D699" s="4269"/>
      <c r="E699" s="2539">
        <f>+'Compra -HOJA1'!G391</f>
        <v>0</v>
      </c>
      <c r="F699" s="1680">
        <f t="shared" ref="F699:F704" ca="1" si="942">+AC699</f>
        <v>0</v>
      </c>
      <c r="G699" s="1680">
        <f t="shared" ref="G699:G704" ca="1" si="943">+AD699</f>
        <v>0</v>
      </c>
      <c r="H699" s="1680">
        <f t="shared" ref="H699:H704" ca="1" si="944">+AE699</f>
        <v>0</v>
      </c>
      <c r="I699" s="1680">
        <f t="shared" ref="I699:I704" ca="1" si="945">+AH699</f>
        <v>0</v>
      </c>
      <c r="J699" s="1680">
        <f t="shared" ref="J699:J704" ca="1" si="946">+AI699</f>
        <v>0</v>
      </c>
      <c r="K699" s="1680">
        <f t="shared" ref="K699:K704" ca="1" si="947">+AJ699</f>
        <v>0</v>
      </c>
      <c r="L699" s="2021">
        <f t="shared" ca="1" si="645"/>
        <v>0</v>
      </c>
      <c r="M699" s="2021">
        <f t="shared" ca="1" si="646"/>
        <v>0</v>
      </c>
      <c r="N699" s="2851">
        <f t="shared" ca="1" si="647"/>
        <v>0</v>
      </c>
      <c r="O699" s="3729"/>
      <c r="P699" s="4273" t="s">
        <v>237</v>
      </c>
      <c r="Q699" s="4273"/>
      <c r="R699" s="4273"/>
      <c r="S699" s="2995">
        <f ca="1">+'Compra -HOJA1'!I391</f>
        <v>0</v>
      </c>
      <c r="T699" s="2995">
        <f ca="1">+'Compra -HOJA1'!K391</f>
        <v>0</v>
      </c>
      <c r="U699" s="2995">
        <f ca="1">+'Compra -HOJA1'!J391</f>
        <v>0</v>
      </c>
      <c r="V699" s="2995">
        <f ca="1">+'Compra -HOJA1'!L391</f>
        <v>0</v>
      </c>
      <c r="W699" s="2995">
        <f ca="1">+'Compra -HOJA1'!N391</f>
        <v>0</v>
      </c>
      <c r="X699" s="2995">
        <f ca="1">+'Compra -HOJA1'!M391</f>
        <v>0</v>
      </c>
      <c r="Y699" s="2805">
        <f ca="1">+'Compra -HOJA1'!O391</f>
        <v>0</v>
      </c>
      <c r="Z699" s="2805">
        <f ca="1">+'Compra -HOJA1'!Q391</f>
        <v>0</v>
      </c>
      <c r="AA699" s="2805">
        <f ca="1">+'Compra -HOJA1'!P391</f>
        <v>0</v>
      </c>
      <c r="AC699" s="2838">
        <f ca="1">+'SUMIN -HOJA3'!Z146</f>
        <v>0</v>
      </c>
      <c r="AD699" s="2775">
        <f ca="1">+'SUMIN -HOJA3'!AA146</f>
        <v>0</v>
      </c>
      <c r="AE699" s="2775">
        <f ca="1">+'SUMIN -HOJA3'!AB146</f>
        <v>0</v>
      </c>
      <c r="AF699" s="1490">
        <f t="shared" ref="AF699" ca="1" si="948">SUM(AC699:AE699)</f>
        <v>0</v>
      </c>
      <c r="AG699" s="1490">
        <f ca="1">+'Compra -HOJA1'!F391</f>
        <v>0</v>
      </c>
      <c r="AH699" s="2775">
        <f ca="1">+'SUMIN -HOJA3'!AC146</f>
        <v>0</v>
      </c>
      <c r="AI699" s="2775">
        <f ca="1">+'SUMIN -HOJA3'!AD146</f>
        <v>0</v>
      </c>
      <c r="AJ699" s="2775">
        <f ca="1">+'SUMIN -HOJA3'!AE146</f>
        <v>0</v>
      </c>
      <c r="AK699" s="1490">
        <f t="shared" ref="AK699" ca="1" si="949">SUM(AH699:AJ699)</f>
        <v>0</v>
      </c>
      <c r="AL699" s="2825">
        <f t="shared" ca="1" si="656"/>
        <v>0</v>
      </c>
      <c r="AM699" s="1490">
        <f t="shared" ca="1" si="657"/>
        <v>0</v>
      </c>
      <c r="AS699" s="1490">
        <f t="shared" ca="1" si="660"/>
        <v>0</v>
      </c>
      <c r="AT699" s="1490">
        <f t="shared" ca="1" si="661"/>
        <v>0</v>
      </c>
      <c r="AU699" s="1490">
        <f t="shared" ca="1" si="662"/>
        <v>0</v>
      </c>
    </row>
    <row r="700" spans="1:55" ht="62.1" hidden="1" customHeight="1" x14ac:dyDescent="0.55000000000000004">
      <c r="A700" s="2852"/>
      <c r="B700" s="2770"/>
      <c r="C700" s="2770"/>
      <c r="D700" s="2770"/>
      <c r="E700" s="2539"/>
      <c r="F700" s="1680">
        <f t="shared" si="942"/>
        <v>0</v>
      </c>
      <c r="G700" s="1680">
        <f t="shared" si="943"/>
        <v>0</v>
      </c>
      <c r="H700" s="1680">
        <f t="shared" si="944"/>
        <v>0</v>
      </c>
      <c r="I700" s="1680">
        <f t="shared" si="945"/>
        <v>0</v>
      </c>
      <c r="J700" s="1680">
        <f t="shared" si="946"/>
        <v>0</v>
      </c>
      <c r="K700" s="1680">
        <f t="shared" si="947"/>
        <v>0</v>
      </c>
      <c r="L700" s="2021">
        <f t="shared" si="645"/>
        <v>0</v>
      </c>
      <c r="M700" s="2021">
        <f t="shared" si="646"/>
        <v>0</v>
      </c>
      <c r="N700" s="2851">
        <f t="shared" si="647"/>
        <v>0</v>
      </c>
      <c r="O700" s="2717"/>
      <c r="P700" s="2765"/>
      <c r="Q700" s="2766"/>
      <c r="R700" s="2766"/>
      <c r="S700" s="2804"/>
      <c r="T700" s="2804"/>
      <c r="U700" s="2804"/>
      <c r="V700" s="2804"/>
      <c r="W700" s="2804"/>
      <c r="X700" s="2804"/>
      <c r="Y700" s="2805"/>
      <c r="Z700" s="2805"/>
      <c r="AA700" s="2805"/>
      <c r="AC700" s="1499"/>
      <c r="AG700" s="1490"/>
      <c r="AL700" s="2793"/>
      <c r="AS700" s="1490">
        <f t="shared" si="660"/>
        <v>0</v>
      </c>
      <c r="AT700" s="1490">
        <f t="shared" si="661"/>
        <v>0</v>
      </c>
      <c r="AU700" s="1490">
        <f t="shared" si="662"/>
        <v>0</v>
      </c>
    </row>
    <row r="701" spans="1:55" ht="62.1" hidden="1" customHeight="1" thickBot="1" x14ac:dyDescent="0.6">
      <c r="A701" s="2853"/>
      <c r="B701" s="2769"/>
      <c r="C701" s="1551"/>
      <c r="D701" s="2769"/>
      <c r="E701" s="2539"/>
      <c r="F701" s="1680">
        <f t="shared" si="942"/>
        <v>0</v>
      </c>
      <c r="G701" s="1680">
        <f t="shared" si="943"/>
        <v>0</v>
      </c>
      <c r="H701" s="1680">
        <f t="shared" si="944"/>
        <v>0</v>
      </c>
      <c r="I701" s="1680">
        <f t="shared" si="945"/>
        <v>0</v>
      </c>
      <c r="J701" s="1680">
        <f t="shared" si="946"/>
        <v>0</v>
      </c>
      <c r="K701" s="1680">
        <f t="shared" si="947"/>
        <v>0</v>
      </c>
      <c r="L701" s="2021">
        <f t="shared" si="645"/>
        <v>0</v>
      </c>
      <c r="M701" s="2021">
        <f t="shared" si="646"/>
        <v>0</v>
      </c>
      <c r="N701" s="2851">
        <f t="shared" si="647"/>
        <v>0</v>
      </c>
      <c r="P701" s="2709"/>
      <c r="Q701" s="2709"/>
      <c r="R701" s="2709"/>
      <c r="S701" s="2804"/>
      <c r="T701" s="2804"/>
      <c r="U701" s="2804"/>
      <c r="V701" s="2804"/>
      <c r="W701" s="2804"/>
      <c r="X701" s="2804"/>
      <c r="Y701" s="2805"/>
      <c r="Z701" s="2805"/>
      <c r="AA701" s="2805"/>
      <c r="AC701" s="1499"/>
      <c r="AG701" s="1490"/>
      <c r="AL701" s="2793"/>
      <c r="AS701" s="1490">
        <f t="shared" si="660"/>
        <v>0</v>
      </c>
      <c r="AT701" s="1490">
        <f t="shared" si="661"/>
        <v>0</v>
      </c>
      <c r="AU701" s="1490">
        <f t="shared" si="662"/>
        <v>0</v>
      </c>
    </row>
    <row r="702" spans="1:55" ht="62.1" hidden="1" customHeight="1" thickBot="1" x14ac:dyDescent="0.6">
      <c r="A702" s="2854"/>
      <c r="B702" s="2843"/>
      <c r="C702" s="2844"/>
      <c r="D702" s="2844"/>
      <c r="E702" s="2539"/>
      <c r="F702" s="1680">
        <f t="shared" si="942"/>
        <v>0</v>
      </c>
      <c r="G702" s="1680">
        <f t="shared" si="943"/>
        <v>0</v>
      </c>
      <c r="H702" s="1680">
        <f t="shared" si="944"/>
        <v>0</v>
      </c>
      <c r="I702" s="1680">
        <f t="shared" si="945"/>
        <v>0</v>
      </c>
      <c r="J702" s="1680">
        <f t="shared" si="946"/>
        <v>0</v>
      </c>
      <c r="K702" s="1680">
        <f t="shared" si="947"/>
        <v>0</v>
      </c>
      <c r="L702" s="2021">
        <f t="shared" si="645"/>
        <v>0</v>
      </c>
      <c r="M702" s="2021">
        <f t="shared" si="646"/>
        <v>0</v>
      </c>
      <c r="N702" s="2851">
        <f t="shared" si="647"/>
        <v>0</v>
      </c>
      <c r="P702" s="2710"/>
      <c r="Q702" s="2711"/>
      <c r="R702" s="2711"/>
      <c r="S702" s="2804"/>
      <c r="T702" s="2804"/>
      <c r="U702" s="2804"/>
      <c r="V702" s="2804"/>
      <c r="W702" s="2804"/>
      <c r="X702" s="2804"/>
      <c r="Y702" s="2805"/>
      <c r="Z702" s="2805"/>
      <c r="AA702" s="2805"/>
      <c r="AC702" s="1499"/>
      <c r="AG702" s="1490"/>
      <c r="AL702" s="2793"/>
      <c r="AS702" s="1490">
        <f t="shared" si="660"/>
        <v>0</v>
      </c>
      <c r="AT702" s="1490">
        <f t="shared" si="661"/>
        <v>0</v>
      </c>
      <c r="AU702" s="1490">
        <f t="shared" si="662"/>
        <v>0</v>
      </c>
    </row>
    <row r="703" spans="1:55" ht="62.1" hidden="1" customHeight="1" x14ac:dyDescent="0.55000000000000004">
      <c r="A703" s="2855"/>
      <c r="B703" s="2845"/>
      <c r="C703" s="2846"/>
      <c r="D703" s="2846"/>
      <c r="E703" s="2539"/>
      <c r="F703" s="1680">
        <f t="shared" si="942"/>
        <v>0</v>
      </c>
      <c r="G703" s="1680">
        <f t="shared" si="943"/>
        <v>0</v>
      </c>
      <c r="H703" s="1680">
        <f t="shared" si="944"/>
        <v>0</v>
      </c>
      <c r="I703" s="1680">
        <f t="shared" si="945"/>
        <v>0</v>
      </c>
      <c r="J703" s="1680">
        <f t="shared" si="946"/>
        <v>0</v>
      </c>
      <c r="K703" s="1680">
        <f t="shared" si="947"/>
        <v>0</v>
      </c>
      <c r="L703" s="2021">
        <f t="shared" si="645"/>
        <v>0</v>
      </c>
      <c r="M703" s="2021">
        <f t="shared" si="646"/>
        <v>0</v>
      </c>
      <c r="N703" s="2851">
        <f t="shared" si="647"/>
        <v>0</v>
      </c>
      <c r="P703" s="2712"/>
      <c r="Q703" s="2711"/>
      <c r="R703" s="2711"/>
      <c r="S703" s="2804"/>
      <c r="T703" s="2804"/>
      <c r="U703" s="2804"/>
      <c r="V703" s="2804"/>
      <c r="W703" s="2804"/>
      <c r="X703" s="2804"/>
      <c r="Y703" s="2805"/>
      <c r="Z703" s="2805"/>
      <c r="AA703" s="2805"/>
      <c r="AC703" s="1499"/>
      <c r="AG703" s="1490"/>
      <c r="AL703" s="2793"/>
      <c r="AS703" s="1490">
        <f t="shared" si="660"/>
        <v>0</v>
      </c>
      <c r="AT703" s="1490">
        <f t="shared" si="661"/>
        <v>0</v>
      </c>
      <c r="AU703" s="1490">
        <f t="shared" si="662"/>
        <v>0</v>
      </c>
    </row>
    <row r="704" spans="1:55" ht="62.1" hidden="1" customHeight="1" thickBot="1" x14ac:dyDescent="0.65">
      <c r="A704" s="4266" t="s">
        <v>417</v>
      </c>
      <c r="B704" s="4267"/>
      <c r="C704" s="4267"/>
      <c r="D704" s="4267"/>
      <c r="E704" s="2856">
        <f>+'Compra -HOJA1'!G67</f>
        <v>0</v>
      </c>
      <c r="F704" s="2857">
        <f t="shared" si="942"/>
        <v>0</v>
      </c>
      <c r="G704" s="2857">
        <f t="shared" si="943"/>
        <v>0</v>
      </c>
      <c r="H704" s="2857">
        <f t="shared" si="944"/>
        <v>0</v>
      </c>
      <c r="I704" s="2857">
        <f t="shared" si="945"/>
        <v>0</v>
      </c>
      <c r="J704" s="2857">
        <f t="shared" si="946"/>
        <v>0</v>
      </c>
      <c r="K704" s="2857">
        <f t="shared" si="947"/>
        <v>0</v>
      </c>
      <c r="L704" s="2858">
        <f t="shared" si="645"/>
        <v>0</v>
      </c>
      <c r="M704" s="2858">
        <f t="shared" si="646"/>
        <v>0</v>
      </c>
      <c r="N704" s="2859">
        <f t="shared" si="647"/>
        <v>0</v>
      </c>
      <c r="P704" s="2505" t="s">
        <v>470</v>
      </c>
      <c r="Q704" s="2505"/>
      <c r="R704" s="2505"/>
      <c r="S704" s="2804">
        <f>+'Compra -HOJA1'!H67</f>
        <v>0</v>
      </c>
      <c r="T704" s="2804">
        <f>+'Compra -HOJA1'!J67</f>
        <v>0</v>
      </c>
      <c r="U704" s="2804">
        <f>+'Compra -HOJA1'!I67</f>
        <v>0</v>
      </c>
      <c r="V704" s="2804">
        <f>+'Compra -HOJA1'!K67</f>
        <v>0</v>
      </c>
      <c r="W704" s="2804">
        <f>+'Compra -HOJA1'!M67</f>
        <v>0</v>
      </c>
      <c r="X704" s="2804">
        <f>+'Compra -HOJA1'!L67</f>
        <v>0</v>
      </c>
      <c r="Y704" s="2805">
        <f>+'Compra -HOJA1'!N67</f>
        <v>0</v>
      </c>
      <c r="Z704" s="2805">
        <f>+'Compra -HOJA1'!P67</f>
        <v>0</v>
      </c>
      <c r="AA704" s="2805">
        <f>+'Compra -HOJA1'!O67</f>
        <v>0</v>
      </c>
      <c r="AC704" s="2835">
        <f>+ROUND(S704,0)</f>
        <v>0</v>
      </c>
      <c r="AD704" s="2776">
        <f>+ROUND(T704,0)</f>
        <v>0</v>
      </c>
      <c r="AE704" s="2776">
        <f>+AG704-AC704-AD704</f>
        <v>0</v>
      </c>
      <c r="AF704" s="1490">
        <f>+AC704+AD704+AE704</f>
        <v>0</v>
      </c>
      <c r="AG704" s="1490">
        <f>+'Compra -HOJA1'!F67</f>
        <v>0</v>
      </c>
      <c r="AH704" s="2776">
        <f t="shared" ref="AH704" si="950">+ROUND(V704,0)</f>
        <v>0</v>
      </c>
      <c r="AI704" s="2776">
        <f t="shared" ref="AI704" si="951">+ROUND(W704,0)</f>
        <v>0</v>
      </c>
      <c r="AJ704" s="2776">
        <f t="shared" ref="AJ704" si="952">+AL704-AH704-AI704</f>
        <v>0</v>
      </c>
      <c r="AK704" s="1490">
        <f t="shared" ref="AK704" si="953">SUM(AH704:AJ704)</f>
        <v>0</v>
      </c>
      <c r="AL704" s="2825">
        <f t="shared" ref="AL704" si="954">+ROUND(SUM(V704:X704),0)</f>
        <v>0</v>
      </c>
      <c r="AO704" s="1573">
        <f t="shared" ref="AO704" si="955">+SUM(S704:U704)</f>
        <v>0</v>
      </c>
      <c r="AP704" s="1490">
        <f t="shared" ref="AP704" si="956">+AO704-AG704</f>
        <v>0</v>
      </c>
      <c r="AS704" s="1490">
        <f t="shared" si="660"/>
        <v>0</v>
      </c>
      <c r="AT704" s="1490">
        <f t="shared" si="661"/>
        <v>0</v>
      </c>
      <c r="AU704" s="1490">
        <f t="shared" si="662"/>
        <v>0</v>
      </c>
    </row>
    <row r="705" spans="1:58" ht="62.1" hidden="1" customHeight="1" x14ac:dyDescent="0.45">
      <c r="A705" s="1499"/>
      <c r="N705" s="1492"/>
      <c r="P705" s="2505"/>
      <c r="Q705" s="1628"/>
      <c r="R705" s="1628"/>
      <c r="S705" s="1490"/>
      <c r="T705" s="1490"/>
      <c r="U705" s="1490"/>
      <c r="V705" s="1490"/>
      <c r="W705" s="1490"/>
      <c r="X705" s="1490"/>
      <c r="Y705" s="1490"/>
      <c r="AC705" s="1499"/>
      <c r="AL705" s="2793"/>
      <c r="AS705" s="1490">
        <f t="shared" si="660"/>
        <v>0</v>
      </c>
      <c r="AT705" s="1490">
        <f t="shared" si="661"/>
        <v>0</v>
      </c>
      <c r="AU705" s="1490">
        <f t="shared" si="662"/>
        <v>0</v>
      </c>
    </row>
    <row r="706" spans="1:58" ht="62.1" hidden="1" customHeight="1" thickBot="1" x14ac:dyDescent="0.65">
      <c r="A706" s="4270" t="s">
        <v>471</v>
      </c>
      <c r="B706" s="4271"/>
      <c r="C706" s="4271"/>
      <c r="D706" s="4272"/>
      <c r="E706" s="2860">
        <f t="shared" ref="E706:N706" si="957">SUM(E598:E704)</f>
        <v>0</v>
      </c>
      <c r="F706" s="2861">
        <f t="shared" ca="1" si="957"/>
        <v>0</v>
      </c>
      <c r="G706" s="2861">
        <f t="shared" ca="1" si="957"/>
        <v>0</v>
      </c>
      <c r="H706" s="2861">
        <f t="shared" ca="1" si="957"/>
        <v>0</v>
      </c>
      <c r="I706" s="2861">
        <f t="shared" ca="1" si="957"/>
        <v>0</v>
      </c>
      <c r="J706" s="2861">
        <f t="shared" ca="1" si="957"/>
        <v>0</v>
      </c>
      <c r="K706" s="2861">
        <f t="shared" ca="1" si="957"/>
        <v>0</v>
      </c>
      <c r="L706" s="2862">
        <f t="shared" ca="1" si="957"/>
        <v>0</v>
      </c>
      <c r="M706" s="2862">
        <f t="shared" ca="1" si="957"/>
        <v>0</v>
      </c>
      <c r="N706" s="2863">
        <f t="shared" ca="1" si="957"/>
        <v>0</v>
      </c>
      <c r="P706" s="1688">
        <f ca="1">SUM(S706:AA706)</f>
        <v>0</v>
      </c>
      <c r="Q706" s="1689"/>
      <c r="R706" s="1689"/>
      <c r="S706" s="2816">
        <f ca="1">SUM(S598:S704)</f>
        <v>0</v>
      </c>
      <c r="T706" s="2816">
        <f t="shared" ref="T706:AA706" ca="1" si="958">SUM(T598:T704)</f>
        <v>0</v>
      </c>
      <c r="U706" s="2816">
        <f t="shared" ca="1" si="958"/>
        <v>0</v>
      </c>
      <c r="V706" s="2816">
        <f t="shared" ca="1" si="958"/>
        <v>0</v>
      </c>
      <c r="W706" s="2816">
        <f t="shared" ca="1" si="958"/>
        <v>0</v>
      </c>
      <c r="X706" s="2816">
        <f t="shared" ca="1" si="958"/>
        <v>0</v>
      </c>
      <c r="Y706" s="2816">
        <f t="shared" ca="1" si="958"/>
        <v>0</v>
      </c>
      <c r="Z706" s="2816">
        <f t="shared" ca="1" si="958"/>
        <v>0</v>
      </c>
      <c r="AA706" s="2816">
        <f t="shared" ca="1" si="958"/>
        <v>0</v>
      </c>
      <c r="AC706" s="2816">
        <f ca="1">SUM(AC598:AC704)</f>
        <v>0</v>
      </c>
      <c r="AD706" s="2816">
        <f t="shared" ref="AD706:AL706" ca="1" si="959">SUM(AD598:AD704)</f>
        <v>0</v>
      </c>
      <c r="AE706" s="2816">
        <f t="shared" ca="1" si="959"/>
        <v>0</v>
      </c>
      <c r="AF706" s="2816">
        <f t="shared" ca="1" si="959"/>
        <v>0</v>
      </c>
      <c r="AG706" s="2816">
        <f t="shared" ca="1" si="959"/>
        <v>0</v>
      </c>
      <c r="AH706" s="2816">
        <f t="shared" ca="1" si="959"/>
        <v>0</v>
      </c>
      <c r="AI706" s="2816">
        <f t="shared" ca="1" si="959"/>
        <v>0</v>
      </c>
      <c r="AJ706" s="2816">
        <f t="shared" ca="1" si="959"/>
        <v>0</v>
      </c>
      <c r="AK706" s="2816">
        <f t="shared" ca="1" si="959"/>
        <v>0</v>
      </c>
      <c r="AL706" s="2816">
        <f t="shared" ca="1" si="959"/>
        <v>0</v>
      </c>
      <c r="AO706" s="1573">
        <f t="shared" ref="AO706" ca="1" si="960">+SUM(S706:U706)</f>
        <v>0</v>
      </c>
      <c r="AP706" s="1490">
        <f t="shared" ref="AP706" ca="1" si="961">+AO706-AG706</f>
        <v>0</v>
      </c>
      <c r="AS706" s="1490">
        <f t="shared" ca="1" si="660"/>
        <v>0</v>
      </c>
      <c r="AT706" s="1490">
        <f t="shared" ca="1" si="661"/>
        <v>0</v>
      </c>
      <c r="AU706" s="1490">
        <f t="shared" ca="1" si="662"/>
        <v>0</v>
      </c>
    </row>
    <row r="707" spans="1:58" ht="62.1" hidden="1" customHeight="1" x14ac:dyDescent="0.6">
      <c r="A707" s="2783"/>
      <c r="B707" s="2783"/>
      <c r="C707" s="2783"/>
      <c r="D707" s="2783"/>
      <c r="E707" s="2048"/>
      <c r="F707" s="2780">
        <f ca="1">+F706-AC706</f>
        <v>0</v>
      </c>
      <c r="G707" s="2780">
        <f t="shared" ref="G707:H707" ca="1" si="962">+G706-AD706</f>
        <v>0</v>
      </c>
      <c r="H707" s="2780">
        <f t="shared" ca="1" si="962"/>
        <v>0</v>
      </c>
      <c r="I707" s="2780">
        <f ca="1">+I706-AH706</f>
        <v>0</v>
      </c>
      <c r="J707" s="2780">
        <f t="shared" ref="J707:K707" ca="1" si="963">+J706-AI706</f>
        <v>0</v>
      </c>
      <c r="K707" s="2780">
        <f t="shared" ca="1" si="963"/>
        <v>0</v>
      </c>
      <c r="L707" s="2780"/>
      <c r="M707" s="2780"/>
      <c r="N707" s="2780"/>
      <c r="P707" s="1689"/>
      <c r="Q707" s="1689" t="s">
        <v>472</v>
      </c>
      <c r="R707" s="1689"/>
      <c r="S707" s="2787">
        <f>SUM(S598:S679)</f>
        <v>0</v>
      </c>
      <c r="T707" s="2787">
        <f t="shared" ref="T707:AA707" si="964">+SUM(T598:T690)</f>
        <v>0</v>
      </c>
      <c r="U707" s="2787">
        <f t="shared" si="964"/>
        <v>0</v>
      </c>
      <c r="V707" s="2787">
        <f t="shared" ca="1" si="964"/>
        <v>0</v>
      </c>
      <c r="W707" s="2787">
        <f t="shared" ca="1" si="964"/>
        <v>0</v>
      </c>
      <c r="X707" s="2787">
        <f t="shared" ca="1" si="964"/>
        <v>0</v>
      </c>
      <c r="Y707" s="2787">
        <f t="shared" ca="1" si="964"/>
        <v>0</v>
      </c>
      <c r="Z707" s="2787">
        <f t="shared" ca="1" si="964"/>
        <v>0</v>
      </c>
      <c r="AA707" s="2787">
        <f t="shared" ca="1" si="964"/>
        <v>0</v>
      </c>
      <c r="AB707" s="1489" t="s">
        <v>472</v>
      </c>
      <c r="AC707" s="2787">
        <f>+SUM(AC598:AC690)</f>
        <v>0</v>
      </c>
      <c r="AD707" s="2787">
        <f t="shared" ref="AD707:AK707" si="965">+SUM(AD598:AD690)</f>
        <v>0</v>
      </c>
      <c r="AE707" s="2787">
        <f t="shared" si="965"/>
        <v>0</v>
      </c>
      <c r="AF707" s="2787">
        <f t="shared" si="965"/>
        <v>0</v>
      </c>
      <c r="AG707" s="2787">
        <f t="shared" si="965"/>
        <v>0</v>
      </c>
      <c r="AH707" s="2787">
        <f t="shared" ca="1" si="965"/>
        <v>0</v>
      </c>
      <c r="AI707" s="2787">
        <f t="shared" ca="1" si="965"/>
        <v>0</v>
      </c>
      <c r="AJ707" s="2787">
        <f t="shared" ca="1" si="965"/>
        <v>0</v>
      </c>
      <c r="AK707" s="2787">
        <f t="shared" ca="1" si="965"/>
        <v>0</v>
      </c>
    </row>
    <row r="708" spans="1:58" ht="62.1" hidden="1" customHeight="1" x14ac:dyDescent="0.6">
      <c r="A708" s="2783"/>
      <c r="B708" s="2783"/>
      <c r="C708" s="2783"/>
      <c r="D708" s="2783"/>
      <c r="E708" s="2048"/>
      <c r="F708" s="2784"/>
      <c r="G708" s="2784"/>
      <c r="H708" s="2784"/>
      <c r="I708" s="2784"/>
      <c r="J708" s="2784"/>
      <c r="K708" s="2784"/>
      <c r="L708" s="2784"/>
      <c r="M708" s="2785"/>
      <c r="N708" s="2786"/>
      <c r="P708" s="1689"/>
      <c r="Q708" s="1689" t="s">
        <v>473</v>
      </c>
      <c r="R708" s="1689"/>
      <c r="S708" s="2787">
        <f>+SUM(S687:S690)</f>
        <v>0</v>
      </c>
      <c r="T708" s="2787">
        <f t="shared" ref="T708:AA708" si="966">+SUM(T687:T690)</f>
        <v>0</v>
      </c>
      <c r="U708" s="2787">
        <f t="shared" si="966"/>
        <v>0</v>
      </c>
      <c r="V708" s="2787">
        <f t="shared" ca="1" si="966"/>
        <v>0</v>
      </c>
      <c r="W708" s="2787">
        <f t="shared" ca="1" si="966"/>
        <v>0</v>
      </c>
      <c r="X708" s="2787">
        <f t="shared" ca="1" si="966"/>
        <v>0</v>
      </c>
      <c r="Y708" s="2787">
        <f t="shared" ca="1" si="966"/>
        <v>0</v>
      </c>
      <c r="Z708" s="2787">
        <f t="shared" ca="1" si="966"/>
        <v>0</v>
      </c>
      <c r="AA708" s="2787">
        <f t="shared" ca="1" si="966"/>
        <v>0</v>
      </c>
      <c r="AB708" s="1489" t="s">
        <v>473</v>
      </c>
      <c r="AC708" s="2787">
        <f>+SUM(AC687:AC690)</f>
        <v>0</v>
      </c>
      <c r="AD708" s="2787">
        <f t="shared" ref="AD708:AK708" si="967">+SUM(AD687:AD690)</f>
        <v>0</v>
      </c>
      <c r="AE708" s="2787">
        <f t="shared" si="967"/>
        <v>0</v>
      </c>
      <c r="AF708" s="2787">
        <f t="shared" si="967"/>
        <v>0</v>
      </c>
      <c r="AG708" s="2787">
        <f t="shared" si="967"/>
        <v>0</v>
      </c>
      <c r="AH708" s="2787">
        <f t="shared" ca="1" si="967"/>
        <v>0</v>
      </c>
      <c r="AI708" s="2787">
        <f t="shared" ca="1" si="967"/>
        <v>0</v>
      </c>
      <c r="AJ708" s="2787">
        <f t="shared" ca="1" si="967"/>
        <v>0</v>
      </c>
      <c r="AK708" s="2787">
        <f t="shared" ca="1" si="967"/>
        <v>0</v>
      </c>
    </row>
    <row r="709" spans="1:58" s="1540" customFormat="1" ht="62.1" hidden="1" customHeight="1" x14ac:dyDescent="0.5">
      <c r="A709" s="1691"/>
      <c r="B709" s="1691"/>
      <c r="C709" s="1691"/>
      <c r="D709" s="1691"/>
      <c r="E709" s="1691"/>
      <c r="F709" s="2788"/>
      <c r="G709" s="2788"/>
      <c r="H709" s="2788"/>
      <c r="I709" s="2788"/>
      <c r="J709" s="2788"/>
      <c r="K709" s="2788"/>
      <c r="L709" s="2788"/>
      <c r="M709" s="2789"/>
      <c r="N709" s="2790"/>
      <c r="P709" s="1689"/>
      <c r="Q709" s="1689" t="s">
        <v>474</v>
      </c>
      <c r="R709" s="1689"/>
      <c r="S709" s="2787">
        <f ca="1">+SUM(S691:S699)</f>
        <v>0</v>
      </c>
      <c r="T709" s="2787">
        <f t="shared" ref="T709:AA709" ca="1" si="968">+SUM(T691:T699)</f>
        <v>0</v>
      </c>
      <c r="U709" s="2787">
        <f t="shared" ca="1" si="968"/>
        <v>0</v>
      </c>
      <c r="V709" s="2787">
        <f t="shared" ca="1" si="968"/>
        <v>0</v>
      </c>
      <c r="W709" s="2787">
        <f t="shared" ca="1" si="968"/>
        <v>0</v>
      </c>
      <c r="X709" s="2787">
        <f t="shared" ca="1" si="968"/>
        <v>0</v>
      </c>
      <c r="Y709" s="2787">
        <f t="shared" ca="1" si="968"/>
        <v>0</v>
      </c>
      <c r="Z709" s="2787">
        <f t="shared" ca="1" si="968"/>
        <v>0</v>
      </c>
      <c r="AA709" s="2787">
        <f t="shared" ca="1" si="968"/>
        <v>0</v>
      </c>
      <c r="AB709" s="1489" t="s">
        <v>474</v>
      </c>
      <c r="AC709" s="2787">
        <f ca="1">+SUM(AC691:AC699)</f>
        <v>0</v>
      </c>
      <c r="AD709" s="2787">
        <f t="shared" ref="AD709:AK709" ca="1" si="969">+SUM(AD691:AD699)</f>
        <v>0</v>
      </c>
      <c r="AE709" s="2787">
        <f t="shared" ca="1" si="969"/>
        <v>0</v>
      </c>
      <c r="AF709" s="2787">
        <f t="shared" ca="1" si="969"/>
        <v>0</v>
      </c>
      <c r="AG709" s="2787">
        <f t="shared" ca="1" si="969"/>
        <v>0</v>
      </c>
      <c r="AH709" s="2787">
        <f t="shared" ca="1" si="969"/>
        <v>0</v>
      </c>
      <c r="AI709" s="2787">
        <f t="shared" ca="1" si="969"/>
        <v>0</v>
      </c>
      <c r="AJ709" s="2787">
        <f t="shared" ca="1" si="969"/>
        <v>0</v>
      </c>
      <c r="AK709" s="2787">
        <f t="shared" ca="1" si="969"/>
        <v>0</v>
      </c>
      <c r="AL709" s="1489"/>
      <c r="AM709" s="1489"/>
      <c r="AN709" s="1489"/>
      <c r="AO709" s="1489"/>
      <c r="AP709" s="1489"/>
      <c r="AQ709" s="1489"/>
      <c r="AR709" s="1489"/>
      <c r="AS709" s="1489"/>
      <c r="AT709" s="1489"/>
      <c r="AU709" s="1489"/>
      <c r="AV709" s="1489"/>
      <c r="AW709" s="1489"/>
      <c r="AX709" s="1489"/>
      <c r="AY709" s="1489"/>
      <c r="AZ709" s="1489"/>
      <c r="BA709" s="1489"/>
      <c r="BB709" s="1489"/>
      <c r="BC709" s="1489"/>
      <c r="BD709" s="1489"/>
      <c r="BE709" s="1489"/>
      <c r="BF709" s="1489"/>
    </row>
    <row r="710" spans="1:58" s="1540" customFormat="1" ht="62.1" hidden="1" customHeight="1" x14ac:dyDescent="0.5">
      <c r="A710" s="1691"/>
      <c r="B710" s="1691"/>
      <c r="C710" s="1691"/>
      <c r="D710" s="1691"/>
      <c r="E710" s="1691"/>
      <c r="F710" s="2942"/>
      <c r="G710" s="2270"/>
      <c r="H710" s="2270"/>
      <c r="I710" s="2942"/>
      <c r="J710" s="2270"/>
      <c r="K710" s="2270"/>
      <c r="L710" s="2942"/>
      <c r="M710" s="2270"/>
      <c r="N710" s="2943"/>
      <c r="P710" s="1489"/>
      <c r="Q710" s="1489"/>
      <c r="R710" s="1489"/>
      <c r="S710" s="1515" t="s">
        <v>5</v>
      </c>
      <c r="T710" s="1515" t="s">
        <v>7</v>
      </c>
      <c r="U710" s="1515" t="s">
        <v>6</v>
      </c>
      <c r="V710" s="1489"/>
      <c r="W710" s="1489"/>
      <c r="X710" s="1489"/>
      <c r="Y710" s="1489"/>
      <c r="Z710" s="1489"/>
      <c r="AA710" s="1489"/>
      <c r="AB710" s="1489"/>
      <c r="AC710" s="1489"/>
      <c r="AD710" s="1489"/>
      <c r="AE710" s="1489"/>
      <c r="AF710" s="1489"/>
      <c r="AG710" s="1489"/>
      <c r="AH710" s="1489"/>
      <c r="AI710" s="1489"/>
      <c r="AJ710" s="1489"/>
      <c r="AK710" s="1489"/>
      <c r="AL710" s="1489"/>
      <c r="AM710" s="1489"/>
      <c r="AN710" s="1489"/>
      <c r="AO710" s="1489"/>
      <c r="AP710" s="1489"/>
      <c r="AQ710" s="1489"/>
      <c r="AR710" s="1489"/>
      <c r="AS710" s="1489"/>
      <c r="AT710" s="1489"/>
      <c r="AU710" s="1489"/>
      <c r="AV710" s="1489"/>
      <c r="AW710" s="1489"/>
      <c r="AX710" s="1489"/>
      <c r="AY710" s="1489"/>
      <c r="AZ710" s="1489"/>
      <c r="BA710" s="1489"/>
      <c r="BB710" s="1489"/>
      <c r="BC710" s="1489"/>
      <c r="BD710" s="1489"/>
      <c r="BE710" s="1489"/>
      <c r="BF710" s="1489"/>
    </row>
    <row r="711" spans="1:58" s="1540" customFormat="1" ht="62.1" hidden="1" customHeight="1" thickBot="1" x14ac:dyDescent="0.55000000000000004">
      <c r="A711" s="1691"/>
      <c r="B711" s="1691"/>
      <c r="C711" s="1691"/>
      <c r="D711" s="1691"/>
      <c r="E711" s="1691"/>
      <c r="F711" s="2942"/>
      <c r="G711" s="2270"/>
      <c r="H711" s="2270"/>
      <c r="I711" s="2942"/>
      <c r="J711" s="2270"/>
      <c r="K711" s="2270"/>
      <c r="L711" s="2942"/>
      <c r="M711" s="2270"/>
      <c r="N711" s="2943"/>
      <c r="P711" s="1489"/>
      <c r="Q711" s="1489"/>
      <c r="R711" s="1489"/>
      <c r="S711" s="1490"/>
      <c r="T711" s="1490"/>
      <c r="U711" s="1489"/>
      <c r="V711" s="1489"/>
      <c r="W711" s="1489"/>
      <c r="X711" s="1489"/>
      <c r="Y711" s="1489"/>
      <c r="Z711" s="1489"/>
      <c r="AA711" s="1489"/>
      <c r="AB711" s="1489"/>
      <c r="AC711" s="1489"/>
      <c r="AD711" s="1489"/>
      <c r="AE711" s="1489"/>
      <c r="AF711" s="1489"/>
      <c r="AG711" s="1489"/>
      <c r="AH711" s="1489"/>
      <c r="AI711" s="1489"/>
      <c r="AJ711" s="1489"/>
      <c r="AK711" s="1489"/>
      <c r="AL711" s="1489"/>
      <c r="AM711" s="1489"/>
      <c r="AN711" s="1489"/>
      <c r="AO711" s="1489"/>
      <c r="AP711" s="1489"/>
      <c r="AQ711" s="1489"/>
      <c r="AR711" s="1489"/>
      <c r="AS711" s="1489"/>
      <c r="AT711" s="1489"/>
      <c r="AU711" s="1489"/>
      <c r="AV711" s="1489"/>
      <c r="AW711" s="1489"/>
      <c r="AX711" s="1489"/>
      <c r="AY711" s="1489"/>
      <c r="AZ711" s="1489"/>
      <c r="BA711" s="1489"/>
      <c r="BB711" s="1489"/>
      <c r="BC711" s="1489"/>
      <c r="BD711" s="1489"/>
      <c r="BE711" s="1489"/>
      <c r="BF711" s="1489"/>
    </row>
    <row r="712" spans="1:58" ht="62.1" hidden="1" customHeight="1" thickBot="1" x14ac:dyDescent="0.5">
      <c r="A712" s="4276" t="s">
        <v>475</v>
      </c>
      <c r="B712" s="4277"/>
      <c r="C712" s="4277"/>
      <c r="D712" s="4277"/>
      <c r="E712" s="2791"/>
      <c r="F712" s="4234" t="s">
        <v>304</v>
      </c>
      <c r="G712" s="4235"/>
      <c r="H712" s="4244"/>
      <c r="I712" s="4234" t="s">
        <v>439</v>
      </c>
      <c r="J712" s="4235"/>
      <c r="K712" s="4244"/>
      <c r="L712" s="4234" t="s">
        <v>449</v>
      </c>
      <c r="M712" s="4235"/>
      <c r="N712" s="4244"/>
      <c r="O712" s="2792"/>
      <c r="S712" s="2822"/>
      <c r="T712" s="2823"/>
      <c r="U712" s="2824"/>
      <c r="V712" s="2824"/>
      <c r="W712" s="2824"/>
      <c r="X712" s="2824"/>
      <c r="Y712" s="2824"/>
      <c r="Z712" s="2824"/>
      <c r="AA712" s="2824"/>
      <c r="AB712" s="2824"/>
      <c r="AC712" s="2833"/>
      <c r="AD712" s="2824"/>
      <c r="AE712" s="2824"/>
      <c r="AF712" s="2824"/>
      <c r="AG712" s="2824"/>
      <c r="AH712" s="2824"/>
      <c r="AI712" s="2824"/>
      <c r="AJ712" s="2824"/>
      <c r="AK712" s="2824"/>
      <c r="AL712" s="2792"/>
    </row>
    <row r="713" spans="1:58" ht="62.1" hidden="1" customHeight="1" x14ac:dyDescent="0.5">
      <c r="A713" s="4505"/>
      <c r="B713" s="4506"/>
      <c r="C713" s="4506"/>
      <c r="D713" s="4506"/>
      <c r="E713" s="1658"/>
      <c r="F713" s="1515" t="s">
        <v>287</v>
      </c>
      <c r="G713" s="1515" t="s">
        <v>289</v>
      </c>
      <c r="H713" s="1515" t="s">
        <v>288</v>
      </c>
      <c r="I713" s="1515" t="s">
        <v>287</v>
      </c>
      <c r="J713" s="1515" t="s">
        <v>289</v>
      </c>
      <c r="K713" s="1515" t="s">
        <v>288</v>
      </c>
      <c r="L713" s="1515" t="s">
        <v>287</v>
      </c>
      <c r="M713" s="1515" t="s">
        <v>289</v>
      </c>
      <c r="N713" s="1515" t="s">
        <v>288</v>
      </c>
      <c r="O713" s="2793"/>
      <c r="S713" s="4502" t="s">
        <v>191</v>
      </c>
      <c r="T713" s="4265"/>
      <c r="U713" s="4265"/>
      <c r="V713" s="4265" t="s">
        <v>464</v>
      </c>
      <c r="W713" s="4265"/>
      <c r="X713" s="4265"/>
      <c r="Y713" s="4265" t="s">
        <v>465</v>
      </c>
      <c r="Z713" s="4265"/>
      <c r="AA713" s="4501"/>
      <c r="AC713" s="4496" t="s">
        <v>191</v>
      </c>
      <c r="AD713" s="4253"/>
      <c r="AE713" s="4253"/>
      <c r="AF713" s="4253"/>
      <c r="AG713" s="4253"/>
      <c r="AH713" s="4253" t="s">
        <v>464</v>
      </c>
      <c r="AI713" s="4253"/>
      <c r="AJ713" s="4253"/>
      <c r="AK713" s="4253"/>
      <c r="AL713" s="4495"/>
    </row>
    <row r="714" spans="1:58" ht="62.1" hidden="1" customHeight="1" thickBot="1" x14ac:dyDescent="0.5">
      <c r="A714" s="2794" t="s">
        <v>445</v>
      </c>
      <c r="B714" s="1640"/>
      <c r="C714" s="1640"/>
      <c r="D714" s="1640" t="s">
        <v>446</v>
      </c>
      <c r="E714" s="1640"/>
      <c r="F714" s="1640" t="s">
        <v>447</v>
      </c>
      <c r="G714" s="4278" t="s">
        <v>304</v>
      </c>
      <c r="H714" s="4279"/>
      <c r="I714" s="4280"/>
      <c r="J714" s="4278" t="s">
        <v>448</v>
      </c>
      <c r="K714" s="4279"/>
      <c r="L714" s="4280"/>
      <c r="M714" s="4237" t="s">
        <v>449</v>
      </c>
      <c r="N714" s="4238"/>
      <c r="O714" s="4239"/>
      <c r="S714" s="2799" t="s">
        <v>5</v>
      </c>
      <c r="T714" s="2800" t="s">
        <v>7</v>
      </c>
      <c r="U714" s="2800" t="s">
        <v>6</v>
      </c>
      <c r="V714" s="2800" t="s">
        <v>5</v>
      </c>
      <c r="W714" s="2800" t="s">
        <v>7</v>
      </c>
      <c r="X714" s="2800" t="s">
        <v>6</v>
      </c>
      <c r="Y714" s="2800" t="s">
        <v>5</v>
      </c>
      <c r="Z714" s="2800" t="s">
        <v>7</v>
      </c>
      <c r="AA714" s="2801" t="s">
        <v>6</v>
      </c>
      <c r="AC714" s="2548" t="s">
        <v>5</v>
      </c>
      <c r="AD714" s="1515" t="s">
        <v>7</v>
      </c>
      <c r="AE714" s="1515" t="s">
        <v>6</v>
      </c>
      <c r="AF714" s="1515" t="s">
        <v>466</v>
      </c>
      <c r="AG714" s="1515" t="s">
        <v>467</v>
      </c>
      <c r="AH714" s="1515" t="s">
        <v>5</v>
      </c>
      <c r="AI714" s="1515" t="s">
        <v>7</v>
      </c>
      <c r="AJ714" s="1515" t="s">
        <v>6</v>
      </c>
      <c r="AK714" s="1515" t="s">
        <v>466</v>
      </c>
      <c r="AL714" s="1517" t="s">
        <v>467</v>
      </c>
    </row>
    <row r="715" spans="1:58" ht="62.1" hidden="1" customHeight="1" x14ac:dyDescent="0.6">
      <c r="A715" s="2794"/>
      <c r="B715" s="1640"/>
      <c r="C715" s="1640"/>
      <c r="D715" s="1640"/>
      <c r="E715" s="1640"/>
      <c r="F715" s="1640"/>
      <c r="G715" s="1641" t="s">
        <v>287</v>
      </c>
      <c r="H715" s="1641" t="s">
        <v>450</v>
      </c>
      <c r="I715" s="1641" t="s">
        <v>288</v>
      </c>
      <c r="J715" s="1641" t="s">
        <v>287</v>
      </c>
      <c r="K715" s="1641" t="s">
        <v>450</v>
      </c>
      <c r="L715" s="1641" t="s">
        <v>288</v>
      </c>
      <c r="M715" s="1515" t="s">
        <v>287</v>
      </c>
      <c r="N715" s="1515" t="s">
        <v>289</v>
      </c>
      <c r="O715" s="1517" t="s">
        <v>288</v>
      </c>
      <c r="S715" s="1499"/>
      <c r="AC715" s="2834"/>
      <c r="AD715" s="2777"/>
      <c r="AE715" s="2777"/>
      <c r="AF715" s="1490"/>
      <c r="AG715" s="1490"/>
      <c r="AH715" s="2777"/>
      <c r="AI715" s="2777"/>
      <c r="AJ715" s="2777"/>
      <c r="AK715" s="1490"/>
      <c r="AL715" s="2825"/>
    </row>
    <row r="716" spans="1:58" ht="62.1" hidden="1" customHeight="1" thickBot="1" x14ac:dyDescent="0.65">
      <c r="A716" s="2795"/>
      <c r="B716" s="1510"/>
      <c r="C716" s="1510"/>
      <c r="D716" s="1510"/>
      <c r="E716" s="1510"/>
      <c r="F716" s="1510"/>
      <c r="G716" s="1510"/>
      <c r="H716" s="1510"/>
      <c r="I716" s="1510"/>
      <c r="O716" s="2793"/>
      <c r="S716" s="1499"/>
      <c r="AC716" s="2834"/>
      <c r="AD716" s="2777"/>
      <c r="AE716" s="2777"/>
      <c r="AF716" s="1490"/>
      <c r="AG716" s="1490"/>
      <c r="AH716" s="2777"/>
      <c r="AI716" s="2777"/>
      <c r="AJ716" s="2777"/>
      <c r="AK716" s="1490"/>
      <c r="AL716" s="2825"/>
    </row>
    <row r="717" spans="1:58" ht="62.1" hidden="1" customHeight="1" thickBot="1" x14ac:dyDescent="0.65">
      <c r="A717" s="1643" t="s">
        <v>23</v>
      </c>
      <c r="B717" s="1644"/>
      <c r="C717" s="2323"/>
      <c r="D717" s="2815">
        <f>'Compra -HOJA1'!K57</f>
        <v>0</v>
      </c>
      <c r="E717" s="2815"/>
      <c r="F717" s="2815">
        <f>IF('Compra -HOJA1'!J57=0,0,'Compra -HOJA1'!J57/D717)</f>
        <v>0</v>
      </c>
      <c r="G717" s="2818">
        <f>+AC717</f>
        <v>0</v>
      </c>
      <c r="H717" s="2818">
        <f t="shared" ref="H717:I718" si="970">+AD717</f>
        <v>0</v>
      </c>
      <c r="I717" s="2818">
        <f t="shared" si="970"/>
        <v>0</v>
      </c>
      <c r="J717" s="2818">
        <f>+AH717</f>
        <v>0</v>
      </c>
      <c r="K717" s="2818">
        <f t="shared" ref="K717:L717" si="971">+AI717</f>
        <v>0</v>
      </c>
      <c r="L717" s="2818">
        <f t="shared" si="971"/>
        <v>0</v>
      </c>
      <c r="M717" s="2819">
        <f t="shared" ref="M717:O718" si="972">+G717+J717</f>
        <v>0</v>
      </c>
      <c r="N717" s="2819">
        <f t="shared" si="972"/>
        <v>0</v>
      </c>
      <c r="O717" s="2820">
        <f t="shared" si="972"/>
        <v>0</v>
      </c>
      <c r="S717" s="2826">
        <f>'Compra -HOJA1'!G57</f>
        <v>0</v>
      </c>
      <c r="T717" s="2804">
        <f>'Compra -HOJA1'!I57</f>
        <v>0</v>
      </c>
      <c r="U717" s="2804">
        <f>'Compra -HOJA1'!H57</f>
        <v>0</v>
      </c>
      <c r="V717" s="2804">
        <f>+'Compra -HOJA1'!L57</f>
        <v>0</v>
      </c>
      <c r="W717" s="2804">
        <f>+'Compra -HOJA1'!N57</f>
        <v>0</v>
      </c>
      <c r="X717" s="2804">
        <f>+'Compra -HOJA1'!M57</f>
        <v>0</v>
      </c>
      <c r="Y717" s="2805">
        <f>+'Compra -HOJA1'!O57</f>
        <v>0</v>
      </c>
      <c r="Z717" s="2805">
        <f>+'Compra -HOJA1'!Q57</f>
        <v>0</v>
      </c>
      <c r="AA717" s="2805">
        <f>+'Compra -HOJA1'!P57</f>
        <v>0</v>
      </c>
      <c r="AC717" s="2835">
        <f t="shared" ref="AC717" si="973">+ROUND(S717,0)</f>
        <v>0</v>
      </c>
      <c r="AD717" s="2776">
        <f t="shared" ref="AD717" si="974">+ROUND(T717,0)</f>
        <v>0</v>
      </c>
      <c r="AE717" s="2776">
        <f t="shared" ref="AE717:AE718" si="975">+AG717-AC717-AD717</f>
        <v>0</v>
      </c>
      <c r="AF717" s="1659">
        <f t="shared" ref="AF717:AF718" si="976">SUM(AC717:AE717)</f>
        <v>0</v>
      </c>
      <c r="AG717" s="1659">
        <f>+ROUND('Compra -HOJA1'!F36,0)</f>
        <v>0</v>
      </c>
      <c r="AH717" s="2776">
        <f t="shared" ref="AH717:AH718" si="977">+ROUND(V717,0)</f>
        <v>0</v>
      </c>
      <c r="AI717" s="2776">
        <f t="shared" ref="AI717:AI718" si="978">+ROUND(W717,0)</f>
        <v>0</v>
      </c>
      <c r="AJ717" s="2776">
        <f t="shared" ref="AJ717:AJ718" si="979">+AL717-AH717-AI717</f>
        <v>0</v>
      </c>
      <c r="AK717" s="1659">
        <f t="shared" ref="AK717:AK718" si="980">SUM(AH717:AJ717)</f>
        <v>0</v>
      </c>
      <c r="AL717" s="2836">
        <f t="shared" ref="AL717:AL718" si="981">+ROUND(SUM(V717:X717),0)</f>
        <v>0</v>
      </c>
    </row>
    <row r="718" spans="1:58" ht="62.1" hidden="1" customHeight="1" thickBot="1" x14ac:dyDescent="0.65">
      <c r="A718" s="1643" t="s">
        <v>24</v>
      </c>
      <c r="B718" s="1644"/>
      <c r="C718" s="2323"/>
      <c r="D718" s="2815">
        <f>'Compra -HOJA1'!K58</f>
        <v>0</v>
      </c>
      <c r="E718" s="2815"/>
      <c r="F718" s="2815">
        <f>IF('Compra -HOJA1'!J58=0,0,'Compra -HOJA1'!J58/D718)</f>
        <v>0</v>
      </c>
      <c r="G718" s="2818">
        <f>+AC718</f>
        <v>0</v>
      </c>
      <c r="H718" s="2818">
        <f t="shared" si="970"/>
        <v>0</v>
      </c>
      <c r="I718" s="2818">
        <f t="shared" si="970"/>
        <v>0</v>
      </c>
      <c r="J718" s="2818">
        <f>+AH718</f>
        <v>0</v>
      </c>
      <c r="K718" s="2818">
        <f t="shared" ref="K718" si="982">+AI718</f>
        <v>0</v>
      </c>
      <c r="L718" s="2818">
        <f t="shared" ref="L718" si="983">+AJ718</f>
        <v>0</v>
      </c>
      <c r="M718" s="2819">
        <f t="shared" si="972"/>
        <v>0</v>
      </c>
      <c r="N718" s="2819">
        <f t="shared" si="972"/>
        <v>0</v>
      </c>
      <c r="O718" s="2820">
        <f t="shared" si="972"/>
        <v>0</v>
      </c>
      <c r="P718" s="1573"/>
      <c r="Q718" s="1573"/>
      <c r="R718" s="1573"/>
      <c r="S718" s="2826">
        <f>'Compra -HOJA1'!G58</f>
        <v>0</v>
      </c>
      <c r="T718" s="2804">
        <f>'Compra -HOJA1'!I58</f>
        <v>0</v>
      </c>
      <c r="U718" s="2804">
        <f>'Compra -HOJA1'!H58</f>
        <v>0</v>
      </c>
      <c r="V718" s="2804">
        <f>+'Compra -HOJA1'!L58</f>
        <v>0</v>
      </c>
      <c r="W718" s="2804">
        <f>+'Compra -HOJA1'!N58</f>
        <v>0</v>
      </c>
      <c r="X718" s="2804">
        <f>+'Compra -HOJA1'!M58</f>
        <v>0</v>
      </c>
      <c r="Y718" s="2805">
        <f>+'Compra -HOJA1'!O58</f>
        <v>0</v>
      </c>
      <c r="Z718" s="2805">
        <f>+'Compra -HOJA1'!Q58</f>
        <v>0</v>
      </c>
      <c r="AA718" s="2805">
        <f>+'Compra -HOJA1'!P58</f>
        <v>0</v>
      </c>
      <c r="AC718" s="2835">
        <f t="shared" ref="AC718" si="984">+ROUND(S718,0)</f>
        <v>0</v>
      </c>
      <c r="AD718" s="2776">
        <f t="shared" ref="AD718" si="985">+ROUND(T718,0)</f>
        <v>0</v>
      </c>
      <c r="AE718" s="2776">
        <f t="shared" si="975"/>
        <v>0</v>
      </c>
      <c r="AF718" s="1659">
        <f t="shared" si="976"/>
        <v>0</v>
      </c>
      <c r="AG718" s="1659">
        <f>+ROUND('Compra -HOJA1'!F58,0)</f>
        <v>0</v>
      </c>
      <c r="AH718" s="2776">
        <f t="shared" si="977"/>
        <v>0</v>
      </c>
      <c r="AI718" s="2776">
        <f t="shared" si="978"/>
        <v>0</v>
      </c>
      <c r="AJ718" s="2776">
        <f t="shared" si="979"/>
        <v>0</v>
      </c>
      <c r="AK718" s="1659">
        <f t="shared" si="980"/>
        <v>0</v>
      </c>
      <c r="AL718" s="2836">
        <f t="shared" si="981"/>
        <v>0</v>
      </c>
    </row>
    <row r="719" spans="1:58" ht="62.1" hidden="1" customHeight="1" x14ac:dyDescent="0.45">
      <c r="A719" s="1643"/>
      <c r="B719" s="1503"/>
      <c r="C719" s="1500"/>
      <c r="D719" s="2815"/>
      <c r="E719" s="2815"/>
      <c r="F719" s="2815"/>
      <c r="G719" s="1647"/>
      <c r="H719" s="1647"/>
      <c r="I719" s="1647"/>
      <c r="J719" s="1647"/>
      <c r="K719" s="1647"/>
      <c r="L719" s="1646"/>
      <c r="M719" s="2180"/>
      <c r="N719" s="2180"/>
      <c r="O719" s="2796"/>
      <c r="P719" s="1573"/>
      <c r="Q719" s="1573"/>
      <c r="R719" s="1573"/>
      <c r="S719" s="2827"/>
      <c r="T719" s="1548"/>
      <c r="U719" s="1548"/>
      <c r="V719" s="1548"/>
      <c r="W719" s="1548"/>
      <c r="X719" s="1548"/>
      <c r="Y719" s="1548"/>
      <c r="Z719" s="1548"/>
      <c r="AA719" s="1548"/>
      <c r="AC719" s="1499"/>
      <c r="AL719" s="2793"/>
    </row>
    <row r="720" spans="1:58" ht="62.1" hidden="1" customHeight="1" thickBot="1" x14ac:dyDescent="0.5">
      <c r="A720" s="2797" t="s">
        <v>471</v>
      </c>
      <c r="B720" s="2798"/>
      <c r="C720" s="2798"/>
      <c r="D720" s="2821">
        <f>SUM(D717:D719)</f>
        <v>0</v>
      </c>
      <c r="E720" s="2821"/>
      <c r="F720" s="2821">
        <f t="shared" ref="F720:O720" si="986">SUM(F717:F719)</f>
        <v>0</v>
      </c>
      <c r="G720" s="2821">
        <f t="shared" si="986"/>
        <v>0</v>
      </c>
      <c r="H720" s="2821">
        <f t="shared" si="986"/>
        <v>0</v>
      </c>
      <c r="I720" s="2821">
        <f t="shared" si="986"/>
        <v>0</v>
      </c>
      <c r="J720" s="2821">
        <f t="shared" si="986"/>
        <v>0</v>
      </c>
      <c r="K720" s="2821">
        <f t="shared" si="986"/>
        <v>0</v>
      </c>
      <c r="L720" s="2821">
        <f t="shared" si="986"/>
        <v>0</v>
      </c>
      <c r="M720" s="2821">
        <f t="shared" si="986"/>
        <v>0</v>
      </c>
      <c r="N720" s="2821">
        <f t="shared" si="986"/>
        <v>0</v>
      </c>
      <c r="O720" s="2821">
        <f t="shared" si="986"/>
        <v>0</v>
      </c>
      <c r="P720" s="1490"/>
      <c r="Q720" s="1490"/>
      <c r="R720" s="1490"/>
      <c r="S720" s="2828">
        <f t="shared" ref="S720:AA720" si="987">SUM(S717:S719)</f>
        <v>0</v>
      </c>
      <c r="T720" s="2829">
        <f t="shared" si="987"/>
        <v>0</v>
      </c>
      <c r="U720" s="2829">
        <f t="shared" si="987"/>
        <v>0</v>
      </c>
      <c r="V720" s="2829">
        <f t="shared" si="987"/>
        <v>0</v>
      </c>
      <c r="W720" s="2829">
        <f t="shared" si="987"/>
        <v>0</v>
      </c>
      <c r="X720" s="2829">
        <f t="shared" si="987"/>
        <v>0</v>
      </c>
      <c r="Y720" s="2829">
        <f t="shared" si="987"/>
        <v>0</v>
      </c>
      <c r="Z720" s="2829">
        <f t="shared" si="987"/>
        <v>0</v>
      </c>
      <c r="AA720" s="2829">
        <f t="shared" si="987"/>
        <v>0</v>
      </c>
      <c r="AB720" s="2830"/>
      <c r="AC720" s="2837"/>
      <c r="AD720" s="2830"/>
      <c r="AE720" s="2830"/>
      <c r="AF720" s="2830"/>
      <c r="AG720" s="2830"/>
      <c r="AH720" s="2830"/>
      <c r="AI720" s="2830"/>
      <c r="AJ720" s="2830"/>
      <c r="AK720" s="2830"/>
      <c r="AL720" s="2831"/>
    </row>
    <row r="721" spans="1:38" ht="62.1" hidden="1" customHeight="1" x14ac:dyDescent="0.45">
      <c r="G721" s="1653">
        <f>+'Compra -HOJA1'!G46</f>
        <v>0</v>
      </c>
      <c r="H721" s="1653">
        <f>+'Compra -HOJA1'!H46</f>
        <v>0</v>
      </c>
      <c r="I721" s="1653">
        <f>+'Compra -HOJA1'!I46</f>
        <v>0</v>
      </c>
      <c r="J721" s="1653">
        <f>+'Compra -HOJA1'!L46</f>
        <v>0</v>
      </c>
      <c r="K721" s="1653">
        <f>+'Compra -HOJA1'!M46</f>
        <v>0</v>
      </c>
      <c r="L721" s="1653">
        <f>+'Compra -HOJA1'!N46</f>
        <v>0</v>
      </c>
      <c r="S721" s="1573"/>
      <c r="T721" s="1573"/>
    </row>
    <row r="722" spans="1:38" ht="62.1" hidden="1" customHeight="1" x14ac:dyDescent="0.45">
      <c r="S722" s="1573"/>
      <c r="T722" s="1573"/>
      <c r="X722" s="2832"/>
      <c r="Y722" s="2832"/>
    </row>
    <row r="723" spans="1:38" ht="62.1" hidden="1" customHeight="1" thickBot="1" x14ac:dyDescent="0.5">
      <c r="S723" s="1573"/>
      <c r="X723" s="2832"/>
      <c r="Y723" s="2832"/>
    </row>
    <row r="724" spans="1:38" ht="62.1" hidden="1" customHeight="1" x14ac:dyDescent="0.45">
      <c r="A724" s="4276" t="s">
        <v>476</v>
      </c>
      <c r="B724" s="4277"/>
      <c r="C724" s="4277"/>
      <c r="D724" s="4277"/>
      <c r="E724" s="2814"/>
      <c r="F724" s="2814"/>
      <c r="G724" s="2814"/>
      <c r="H724" s="2814"/>
      <c r="I724" s="2814"/>
      <c r="J724" s="2791"/>
      <c r="K724" s="2791"/>
      <c r="L724" s="2791"/>
      <c r="M724" s="2791"/>
      <c r="N724" s="2791"/>
      <c r="O724" s="2792"/>
      <c r="X724" s="2832"/>
      <c r="Y724" s="2832"/>
    </row>
    <row r="725" spans="1:38" ht="62.1" hidden="1" customHeight="1" x14ac:dyDescent="0.5">
      <c r="A725" s="2794" t="s">
        <v>445</v>
      </c>
      <c r="B725" s="1640"/>
      <c r="C725" s="1640"/>
      <c r="D725" s="1641" t="s">
        <v>446</v>
      </c>
      <c r="E725" s="1640"/>
      <c r="F725" s="1641" t="s">
        <v>447</v>
      </c>
      <c r="G725" s="4264" t="s">
        <v>304</v>
      </c>
      <c r="H725" s="4264"/>
      <c r="I725" s="4264"/>
      <c r="J725" s="4264" t="s">
        <v>453</v>
      </c>
      <c r="K725" s="4264"/>
      <c r="L725" s="4264"/>
      <c r="M725" s="4237" t="s">
        <v>449</v>
      </c>
      <c r="N725" s="4238"/>
      <c r="O725" s="4239"/>
      <c r="S725" s="4253" t="s">
        <v>191</v>
      </c>
      <c r="T725" s="4253"/>
      <c r="U725" s="4253"/>
      <c r="V725" s="4253" t="s">
        <v>464</v>
      </c>
      <c r="W725" s="4253"/>
      <c r="X725" s="4500"/>
      <c r="Y725" s="4500" t="s">
        <v>465</v>
      </c>
      <c r="Z725" s="4500"/>
      <c r="AA725" s="4253"/>
      <c r="AC725" s="4496" t="s">
        <v>191</v>
      </c>
      <c r="AD725" s="4253"/>
      <c r="AE725" s="4253"/>
      <c r="AF725" s="4253"/>
      <c r="AG725" s="4253"/>
      <c r="AH725" s="4253" t="s">
        <v>464</v>
      </c>
      <c r="AI725" s="4253"/>
      <c r="AJ725" s="4253"/>
      <c r="AK725" s="4253"/>
      <c r="AL725" s="4495"/>
    </row>
    <row r="726" spans="1:38" ht="62.1" hidden="1" customHeight="1" thickBot="1" x14ac:dyDescent="0.5">
      <c r="A726" s="2794"/>
      <c r="B726" s="1640"/>
      <c r="C726" s="1640"/>
      <c r="D726" s="1640"/>
      <c r="E726" s="1640"/>
      <c r="F726" s="1641"/>
      <c r="G726" s="1641" t="s">
        <v>287</v>
      </c>
      <c r="H726" s="1641" t="s">
        <v>450</v>
      </c>
      <c r="I726" s="1641" t="s">
        <v>288</v>
      </c>
      <c r="J726" s="1641" t="s">
        <v>287</v>
      </c>
      <c r="K726" s="1641" t="s">
        <v>450</v>
      </c>
      <c r="L726" s="1641" t="s">
        <v>288</v>
      </c>
      <c r="M726" s="1515" t="s">
        <v>287</v>
      </c>
      <c r="N726" s="1515" t="s">
        <v>289</v>
      </c>
      <c r="O726" s="1517" t="s">
        <v>288</v>
      </c>
      <c r="S726" s="2799" t="s">
        <v>5</v>
      </c>
      <c r="T726" s="2800" t="s">
        <v>7</v>
      </c>
      <c r="U726" s="2800" t="s">
        <v>6</v>
      </c>
      <c r="V726" s="2800" t="s">
        <v>5</v>
      </c>
      <c r="W726" s="2800" t="s">
        <v>7</v>
      </c>
      <c r="X726" s="2800" t="s">
        <v>6</v>
      </c>
      <c r="Y726" s="2800" t="s">
        <v>5</v>
      </c>
      <c r="Z726" s="2800" t="s">
        <v>7</v>
      </c>
      <c r="AA726" s="2801" t="s">
        <v>6</v>
      </c>
      <c r="AC726" s="2548" t="s">
        <v>5</v>
      </c>
      <c r="AD726" s="1515" t="s">
        <v>7</v>
      </c>
      <c r="AE726" s="1515" t="s">
        <v>6</v>
      </c>
      <c r="AF726" s="1515" t="s">
        <v>466</v>
      </c>
      <c r="AG726" s="1515" t="s">
        <v>467</v>
      </c>
      <c r="AH726" s="1515" t="s">
        <v>5</v>
      </c>
      <c r="AI726" s="1515" t="s">
        <v>7</v>
      </c>
      <c r="AJ726" s="1515" t="s">
        <v>6</v>
      </c>
      <c r="AK726" s="1515" t="s">
        <v>466</v>
      </c>
      <c r="AL726" s="1517" t="s">
        <v>467</v>
      </c>
    </row>
    <row r="727" spans="1:38" ht="62.1" hidden="1" customHeight="1" x14ac:dyDescent="0.6">
      <c r="A727" s="2795"/>
      <c r="B727" s="1510"/>
      <c r="C727" s="1510"/>
      <c r="D727" s="1510"/>
      <c r="E727" s="1510"/>
      <c r="F727" s="1510"/>
      <c r="G727" s="1510"/>
      <c r="H727" s="1510"/>
      <c r="I727" s="1510"/>
      <c r="O727" s="2793"/>
      <c r="X727" s="1699"/>
      <c r="Y727" s="1699"/>
      <c r="AC727" s="2834"/>
      <c r="AD727" s="2777"/>
      <c r="AE727" s="2777"/>
      <c r="AF727" s="1490"/>
      <c r="AG727" s="1490"/>
      <c r="AH727" s="2777"/>
      <c r="AI727" s="2777"/>
      <c r="AJ727" s="2777"/>
      <c r="AK727" s="1490"/>
      <c r="AL727" s="2825"/>
    </row>
    <row r="728" spans="1:38" s="2872" customFormat="1" ht="62.1" hidden="1" customHeight="1" x14ac:dyDescent="0.6">
      <c r="A728" s="2867" t="s">
        <v>24</v>
      </c>
      <c r="B728" s="2868"/>
      <c r="C728" s="2869"/>
      <c r="D728" s="2815">
        <f>'Compra -HOJA1'!K59</f>
        <v>0</v>
      </c>
      <c r="E728" s="2815"/>
      <c r="F728" s="2815">
        <f>IF('Compra -HOJA1'!J59=0,0,('Compra -HOJA1'!J59)/D728)</f>
        <v>0</v>
      </c>
      <c r="G728" s="2818">
        <f>+AC728</f>
        <v>0</v>
      </c>
      <c r="H728" s="2818">
        <f t="shared" ref="H728" si="988">+AD728</f>
        <v>0</v>
      </c>
      <c r="I728" s="2818">
        <f t="shared" ref="I728" si="989">+AE728</f>
        <v>0</v>
      </c>
      <c r="J728" s="2818">
        <f>+AH728</f>
        <v>0</v>
      </c>
      <c r="K728" s="2818">
        <f t="shared" ref="K728" si="990">+AI728</f>
        <v>0</v>
      </c>
      <c r="L728" s="2818">
        <f t="shared" ref="L728" si="991">+AJ728</f>
        <v>0</v>
      </c>
      <c r="M728" s="2819">
        <f t="shared" ref="M728:O728" si="992">+G728+J728</f>
        <v>0</v>
      </c>
      <c r="N728" s="2819">
        <f t="shared" si="992"/>
        <v>0</v>
      </c>
      <c r="O728" s="2820">
        <f t="shared" si="992"/>
        <v>0</v>
      </c>
      <c r="S728" s="2873">
        <f>'Compra -HOJA1'!G59</f>
        <v>0</v>
      </c>
      <c r="T728" s="2873">
        <f>'Compra -HOJA1'!I59</f>
        <v>0</v>
      </c>
      <c r="U728" s="2873">
        <f>'Compra -HOJA1'!H59</f>
        <v>0</v>
      </c>
      <c r="V728" s="2873">
        <f>+'Compra -HOJA1'!L59</f>
        <v>0</v>
      </c>
      <c r="W728" s="2873">
        <f>+'Compra -HOJA1'!N59</f>
        <v>0</v>
      </c>
      <c r="X728" s="2873">
        <f>+'Compra -HOJA1'!M59</f>
        <v>0</v>
      </c>
      <c r="Y728" s="2871">
        <f>+'Compra -HOJA1'!O59</f>
        <v>0</v>
      </c>
      <c r="Z728" s="2871">
        <f>+'Compra -HOJA1'!P59</f>
        <v>0</v>
      </c>
      <c r="AA728" s="2871">
        <f>+'Compra -HOJA1'!Q59</f>
        <v>0</v>
      </c>
      <c r="AC728" s="2776">
        <f t="shared" ref="AC728" si="993">+ROUND(S728,0)</f>
        <v>0</v>
      </c>
      <c r="AD728" s="2776">
        <f t="shared" ref="AD728" si="994">+ROUND(T728,0)</f>
        <v>0</v>
      </c>
      <c r="AE728" s="2776">
        <f t="shared" ref="AE728" si="995">+AG728-AC728-AD728</f>
        <v>0</v>
      </c>
      <c r="AF728" s="2775">
        <f t="shared" ref="AF728" si="996">SUM(AC728:AE728)</f>
        <v>0</v>
      </c>
      <c r="AG728" s="2775">
        <f>+ROUND('Compra -HOJA1'!F59,0)</f>
        <v>0</v>
      </c>
      <c r="AH728" s="2776">
        <f t="shared" ref="AH728" si="997">+ROUND(V728,0)</f>
        <v>0</v>
      </c>
      <c r="AI728" s="2776">
        <f t="shared" ref="AI728" si="998">+ROUND(W728,0)</f>
        <v>0</v>
      </c>
      <c r="AJ728" s="2776">
        <f t="shared" ref="AJ728" si="999">+AL728-AH728-AI728</f>
        <v>0</v>
      </c>
      <c r="AK728" s="2775">
        <f t="shared" ref="AK728" si="1000">SUM(AH728:AJ728)</f>
        <v>0</v>
      </c>
      <c r="AL728" s="2775">
        <f t="shared" ref="AL728" si="1001">+ROUND(SUM(V728:X728),0)</f>
        <v>0</v>
      </c>
    </row>
    <row r="729" spans="1:38" ht="62.1" hidden="1" customHeight="1" thickBot="1" x14ac:dyDescent="0.65">
      <c r="A729" s="1654"/>
      <c r="B729" s="1654"/>
      <c r="C729" s="2324"/>
      <c r="D729" s="1655"/>
      <c r="E729" s="1655"/>
      <c r="F729" s="1655"/>
      <c r="G729" s="2817"/>
      <c r="H729" s="2817"/>
      <c r="I729" s="2817"/>
      <c r="J729" s="2817"/>
      <c r="K729" s="2817"/>
      <c r="L729" s="1655"/>
      <c r="M729" s="1653"/>
      <c r="N729" s="1653"/>
      <c r="O729" s="1573"/>
      <c r="V729" s="1573"/>
      <c r="W729" s="1573"/>
      <c r="X729" s="1573"/>
      <c r="Y729" s="1573"/>
      <c r="Z729" s="1573"/>
      <c r="AA729" s="1573"/>
      <c r="AC729" s="2777"/>
      <c r="AD729" s="2777"/>
      <c r="AE729" s="2777"/>
      <c r="AF729" s="1490"/>
      <c r="AG729" s="1490"/>
      <c r="AH729" s="2777"/>
      <c r="AI729" s="2777"/>
      <c r="AJ729" s="2777"/>
      <c r="AK729" s="1490"/>
      <c r="AL729" s="2803"/>
    </row>
    <row r="730" spans="1:38" s="2870" customFormat="1" ht="62.1" hidden="1" customHeight="1" thickBot="1" x14ac:dyDescent="0.65">
      <c r="A730" s="2874" t="s">
        <v>471</v>
      </c>
      <c r="B730" s="2875"/>
      <c r="C730" s="2875"/>
      <c r="D730" s="2876">
        <f>SUM(D728:D729)</f>
        <v>0</v>
      </c>
      <c r="E730" s="2876"/>
      <c r="F730" s="2876">
        <f>SUM(F728:F729)</f>
        <v>0</v>
      </c>
      <c r="G730" s="2876">
        <f t="shared" ref="G730:O730" si="1002">SUM(G728:G729)</f>
        <v>0</v>
      </c>
      <c r="H730" s="2876">
        <f t="shared" si="1002"/>
        <v>0</v>
      </c>
      <c r="I730" s="2876">
        <f t="shared" si="1002"/>
        <v>0</v>
      </c>
      <c r="J730" s="2876">
        <f t="shared" si="1002"/>
        <v>0</v>
      </c>
      <c r="K730" s="2876">
        <f t="shared" si="1002"/>
        <v>0</v>
      </c>
      <c r="L730" s="2876">
        <f t="shared" si="1002"/>
        <v>0</v>
      </c>
      <c r="M730" s="2876">
        <f t="shared" si="1002"/>
        <v>0</v>
      </c>
      <c r="N730" s="2876">
        <f t="shared" si="1002"/>
        <v>0</v>
      </c>
      <c r="O730" s="2877">
        <f t="shared" si="1002"/>
        <v>0</v>
      </c>
      <c r="S730" s="2864">
        <f t="shared" ref="S730:AA730" si="1003">SUM(S728:S729)</f>
        <v>0</v>
      </c>
      <c r="T730" s="2865">
        <f t="shared" si="1003"/>
        <v>0</v>
      </c>
      <c r="U730" s="2865">
        <f t="shared" si="1003"/>
        <v>0</v>
      </c>
      <c r="V730" s="2865">
        <f t="shared" si="1003"/>
        <v>0</v>
      </c>
      <c r="W730" s="2865">
        <f t="shared" si="1003"/>
        <v>0</v>
      </c>
      <c r="X730" s="2865">
        <f t="shared" si="1003"/>
        <v>0</v>
      </c>
      <c r="Y730" s="2865">
        <f t="shared" si="1003"/>
        <v>0</v>
      </c>
      <c r="Z730" s="2865">
        <f t="shared" si="1003"/>
        <v>0</v>
      </c>
      <c r="AA730" s="2866">
        <f t="shared" si="1003"/>
        <v>0</v>
      </c>
    </row>
    <row r="731" spans="1:38" ht="62.1" hidden="1" customHeight="1" x14ac:dyDescent="0.45">
      <c r="G731" s="1653">
        <f>+'Compra -HOJA1'!G53</f>
        <v>0</v>
      </c>
      <c r="H731" s="1653">
        <f>+'Compra -HOJA1'!H53</f>
        <v>0</v>
      </c>
      <c r="I731" s="1653">
        <f>+'Compra -HOJA1'!I53</f>
        <v>0</v>
      </c>
      <c r="J731" s="1653">
        <f>+'Compra -HOJA1'!L53</f>
        <v>0</v>
      </c>
      <c r="K731" s="1653">
        <f>+'Compra -HOJA1'!M53</f>
        <v>0</v>
      </c>
      <c r="L731" s="1653">
        <f>+'Compra -HOJA1'!N53</f>
        <v>0</v>
      </c>
    </row>
    <row r="732" spans="1:38" ht="62.1" hidden="1" customHeight="1" x14ac:dyDescent="0.45">
      <c r="X732" s="1573"/>
    </row>
    <row r="733" spans="1:38" ht="62.1" hidden="1" customHeight="1" x14ac:dyDescent="0.45">
      <c r="S733" s="1490"/>
      <c r="T733" s="1490"/>
      <c r="U733" s="1490"/>
      <c r="V733" s="1490"/>
      <c r="W733" s="1490"/>
      <c r="X733" s="1490"/>
    </row>
    <row r="734" spans="1:38" ht="62.1" hidden="1" customHeight="1" x14ac:dyDescent="0.45">
      <c r="A734" s="4197" t="s">
        <v>456</v>
      </c>
      <c r="B734" s="4197"/>
      <c r="C734" s="4197"/>
      <c r="D734" s="4197"/>
      <c r="E734" s="1658"/>
      <c r="F734" s="1658"/>
      <c r="G734" s="1658"/>
      <c r="H734" s="1658"/>
      <c r="I734" s="1658"/>
      <c r="J734" s="1658"/>
      <c r="K734" s="1658"/>
      <c r="L734" s="1658"/>
      <c r="M734" s="1658"/>
      <c r="N734" s="1658"/>
      <c r="O734" s="1594"/>
      <c r="P734" s="1594"/>
      <c r="Q734" s="1594"/>
      <c r="R734" s="1594"/>
      <c r="S734" s="1594"/>
    </row>
    <row r="735" spans="1:38" ht="62.1" hidden="1" customHeight="1" x14ac:dyDescent="0.45">
      <c r="A735" s="1594"/>
      <c r="B735" s="1594"/>
      <c r="C735" s="1658"/>
      <c r="D735" s="1658"/>
      <c r="E735" s="1658"/>
      <c r="F735" s="1658"/>
      <c r="G735" s="1658"/>
      <c r="H735" s="1658"/>
      <c r="I735" s="1658"/>
      <c r="J735" s="1658"/>
      <c r="K735" s="1658"/>
      <c r="L735" s="1658"/>
      <c r="M735" s="1658"/>
      <c r="N735" s="1658"/>
      <c r="O735" s="1594"/>
      <c r="P735" s="1594"/>
      <c r="Q735" s="1594"/>
      <c r="R735" s="1594"/>
    </row>
    <row r="736" spans="1:38" ht="62.1" hidden="1" customHeight="1" x14ac:dyDescent="0.45"/>
    <row r="737" spans="1:58" ht="62.1" hidden="1" customHeight="1" x14ac:dyDescent="0.5">
      <c r="A737" s="1639" t="s">
        <v>457</v>
      </c>
      <c r="B737" s="1640"/>
      <c r="C737" s="1640"/>
      <c r="D737" s="1640" t="s">
        <v>26</v>
      </c>
      <c r="E737" s="1640"/>
      <c r="F737" s="1640" t="s">
        <v>458</v>
      </c>
      <c r="G737" s="4274" t="s">
        <v>304</v>
      </c>
      <c r="H737" s="4274"/>
      <c r="I737" s="4274"/>
      <c r="J737" s="4274" t="s">
        <v>453</v>
      </c>
      <c r="K737" s="4274"/>
      <c r="L737" s="4275"/>
      <c r="M737" s="4237" t="s">
        <v>449</v>
      </c>
      <c r="N737" s="4238"/>
      <c r="O737" s="4240"/>
      <c r="S737" s="4253" t="s">
        <v>191</v>
      </c>
      <c r="T737" s="4253"/>
      <c r="U737" s="4253"/>
      <c r="V737" s="4253" t="s">
        <v>464</v>
      </c>
      <c r="W737" s="4253"/>
      <c r="X737" s="4253"/>
      <c r="Y737" s="4253" t="s">
        <v>465</v>
      </c>
      <c r="Z737" s="4253"/>
      <c r="AA737" s="4253"/>
    </row>
    <row r="738" spans="1:58" ht="62.1" hidden="1" customHeight="1" thickBot="1" x14ac:dyDescent="0.5">
      <c r="A738" s="1639"/>
      <c r="B738" s="1640"/>
      <c r="C738" s="1640"/>
      <c r="D738" s="1640"/>
      <c r="E738" s="1640"/>
      <c r="F738" s="1640"/>
      <c r="G738" s="1640" t="s">
        <v>287</v>
      </c>
      <c r="H738" s="1640" t="s">
        <v>450</v>
      </c>
      <c r="I738" s="1640" t="s">
        <v>288</v>
      </c>
      <c r="J738" s="1640" t="s">
        <v>287</v>
      </c>
      <c r="K738" s="1640" t="s">
        <v>450</v>
      </c>
      <c r="L738" s="1640" t="s">
        <v>288</v>
      </c>
      <c r="M738" s="1515" t="s">
        <v>287</v>
      </c>
      <c r="N738" s="1515" t="s">
        <v>289</v>
      </c>
      <c r="O738" s="1515" t="s">
        <v>288</v>
      </c>
      <c r="S738" s="2799" t="s">
        <v>5</v>
      </c>
      <c r="T738" s="2800" t="s">
        <v>7</v>
      </c>
      <c r="U738" s="2800" t="s">
        <v>6</v>
      </c>
      <c r="V738" s="2800" t="s">
        <v>5</v>
      </c>
      <c r="W738" s="2800" t="s">
        <v>7</v>
      </c>
      <c r="X738" s="2800" t="s">
        <v>6</v>
      </c>
      <c r="Y738" s="2800" t="s">
        <v>5</v>
      </c>
      <c r="Z738" s="2800" t="s">
        <v>7</v>
      </c>
      <c r="AA738" s="2801" t="s">
        <v>6</v>
      </c>
    </row>
    <row r="739" spans="1:58" ht="62.1" hidden="1" customHeight="1" x14ac:dyDescent="0.45"/>
    <row r="740" spans="1:58" ht="62.1" hidden="1" customHeight="1" x14ac:dyDescent="0.6">
      <c r="A740" s="1652" t="s">
        <v>23</v>
      </c>
      <c r="B740" s="1645"/>
      <c r="C740" s="2323"/>
      <c r="D740" s="1660">
        <f>'Compra -HOJA1'!K24</f>
        <v>0</v>
      </c>
      <c r="E740" s="1660"/>
      <c r="F740" s="1660">
        <f ca="1">'Compra -HOJA1'!J24</f>
        <v>0</v>
      </c>
      <c r="G740" s="2818">
        <f ca="1">+(S740)</f>
        <v>0</v>
      </c>
      <c r="H740" s="2818">
        <f t="shared" ref="H740:L740" ca="1" si="1004">+(T740)</f>
        <v>0</v>
      </c>
      <c r="I740" s="2818">
        <f t="shared" ca="1" si="1004"/>
        <v>0</v>
      </c>
      <c r="J740" s="2818">
        <f t="shared" ca="1" si="1004"/>
        <v>0</v>
      </c>
      <c r="K740" s="2818">
        <f t="shared" ca="1" si="1004"/>
        <v>0</v>
      </c>
      <c r="L740" s="2818">
        <f t="shared" ca="1" si="1004"/>
        <v>0</v>
      </c>
      <c r="M740" s="2819">
        <f t="shared" ref="M740:O741" ca="1" si="1005">+J740+G740</f>
        <v>0</v>
      </c>
      <c r="N740" s="2819">
        <f t="shared" ca="1" si="1005"/>
        <v>0</v>
      </c>
      <c r="O740" s="2820">
        <f t="shared" ca="1" si="1005"/>
        <v>0</v>
      </c>
      <c r="S740" s="2881">
        <f ca="1">'Compra -HOJA1'!G24</f>
        <v>0</v>
      </c>
      <c r="T740" s="2881">
        <f ca="1">'Compra -HOJA1'!I24</f>
        <v>0</v>
      </c>
      <c r="U740" s="2881">
        <f ca="1">'Compra -HOJA1'!H24</f>
        <v>0</v>
      </c>
      <c r="V740" s="2881">
        <f ca="1">+'Compra -HOJA1'!L24</f>
        <v>0</v>
      </c>
      <c r="W740" s="2881">
        <f ca="1">+'Compra -HOJA1'!N24</f>
        <v>0</v>
      </c>
      <c r="X740" s="2881">
        <f ca="1">+'Compra -HOJA1'!M24</f>
        <v>0</v>
      </c>
      <c r="Y740" s="2881">
        <f ca="1">+'Compra -HOJA1'!O24</f>
        <v>0</v>
      </c>
      <c r="Z740" s="2881">
        <f ca="1">+'Compra -HOJA1'!Q24</f>
        <v>0</v>
      </c>
      <c r="AA740" s="2881">
        <f ca="1">+'Compra -HOJA1'!P24</f>
        <v>0</v>
      </c>
    </row>
    <row r="741" spans="1:58" ht="62.1" hidden="1" customHeight="1" x14ac:dyDescent="0.6">
      <c r="A741" s="1652" t="s">
        <v>24</v>
      </c>
      <c r="B741" s="1645"/>
      <c r="C741" s="2323"/>
      <c r="D741" s="1660">
        <f>'Compra -HOJA1'!K27</f>
        <v>0</v>
      </c>
      <c r="E741" s="1660"/>
      <c r="F741" s="1660">
        <f ca="1">'Compra -HOJA1'!J27</f>
        <v>0</v>
      </c>
      <c r="G741" s="2818">
        <f ca="1">+(S741)</f>
        <v>0</v>
      </c>
      <c r="H741" s="2818">
        <f t="shared" ref="H741" ca="1" si="1006">+(T741)</f>
        <v>0</v>
      </c>
      <c r="I741" s="2818">
        <f t="shared" ref="I741" ca="1" si="1007">+(U741)</f>
        <v>0</v>
      </c>
      <c r="J741" s="2818">
        <f t="shared" ref="J741" ca="1" si="1008">+(V741)</f>
        <v>0</v>
      </c>
      <c r="K741" s="2818">
        <f t="shared" ref="K741" ca="1" si="1009">+(W741)</f>
        <v>0</v>
      </c>
      <c r="L741" s="2818">
        <f t="shared" ref="L741" ca="1" si="1010">+(X741)</f>
        <v>0</v>
      </c>
      <c r="M741" s="2819">
        <f t="shared" ca="1" si="1005"/>
        <v>0</v>
      </c>
      <c r="N741" s="2819">
        <f t="shared" ca="1" si="1005"/>
        <v>0</v>
      </c>
      <c r="O741" s="2820">
        <f t="shared" ca="1" si="1005"/>
        <v>0</v>
      </c>
      <c r="S741" s="2881">
        <f ca="1">+'Compra -HOJA1'!G27</f>
        <v>0</v>
      </c>
      <c r="T741" s="2881">
        <f ca="1">+'Compra -HOJA1'!I27</f>
        <v>0</v>
      </c>
      <c r="U741" s="2881">
        <f ca="1">+'Compra -HOJA1'!H27</f>
        <v>0</v>
      </c>
      <c r="V741" s="2881">
        <f ca="1">'Compra -HOJA1'!L27</f>
        <v>0</v>
      </c>
      <c r="W741" s="2881">
        <f ca="1">'Compra -HOJA1'!N27</f>
        <v>0</v>
      </c>
      <c r="X741" s="2881">
        <f ca="1">'Compra -HOJA1'!M27</f>
        <v>0</v>
      </c>
      <c r="Y741" s="2881">
        <f ca="1">'Compra -HOJA1'!O27</f>
        <v>0</v>
      </c>
      <c r="Z741" s="2881">
        <f ca="1">'Compra -HOJA1'!Q27</f>
        <v>0</v>
      </c>
      <c r="AA741" s="2881">
        <f ca="1">'Compra -HOJA1'!P27</f>
        <v>0</v>
      </c>
    </row>
    <row r="742" spans="1:58" s="2870" customFormat="1" ht="62.1" hidden="1" customHeight="1" x14ac:dyDescent="0.6">
      <c r="A742" s="2882" t="s">
        <v>471</v>
      </c>
      <c r="B742" s="2882"/>
      <c r="C742" s="2883"/>
      <c r="D742" s="2884">
        <f>SUM(D740:D741)</f>
        <v>0</v>
      </c>
      <c r="E742" s="2884"/>
      <c r="F742" s="2884">
        <f t="shared" ref="F742:L742" ca="1" si="1011">SUM(F740:F741)</f>
        <v>0</v>
      </c>
      <c r="G742" s="2884">
        <f t="shared" ca="1" si="1011"/>
        <v>0</v>
      </c>
      <c r="H742" s="2884">
        <f t="shared" ca="1" si="1011"/>
        <v>0</v>
      </c>
      <c r="I742" s="2884">
        <f t="shared" ca="1" si="1011"/>
        <v>0</v>
      </c>
      <c r="J742" s="2884">
        <f t="shared" ca="1" si="1011"/>
        <v>0</v>
      </c>
      <c r="K742" s="2884">
        <f t="shared" ca="1" si="1011"/>
        <v>0</v>
      </c>
      <c r="L742" s="2884">
        <f t="shared" ca="1" si="1011"/>
        <v>0</v>
      </c>
      <c r="M742" s="2884">
        <f ca="1">SUM(M740:M741)</f>
        <v>0</v>
      </c>
      <c r="N742" s="2884">
        <f ca="1">SUM(N740:N741)</f>
        <v>0</v>
      </c>
      <c r="O742" s="2885">
        <f ca="1">SUM(O740:O741)</f>
        <v>0</v>
      </c>
      <c r="S742" s="2878">
        <f t="shared" ref="S742:AA742" ca="1" si="1012">SUM(S740:S741)</f>
        <v>0</v>
      </c>
      <c r="T742" s="2878">
        <f t="shared" ca="1" si="1012"/>
        <v>0</v>
      </c>
      <c r="U742" s="2878">
        <f t="shared" ca="1" si="1012"/>
        <v>0</v>
      </c>
      <c r="V742" s="2878">
        <f t="shared" ca="1" si="1012"/>
        <v>0</v>
      </c>
      <c r="W742" s="2878">
        <f t="shared" ca="1" si="1012"/>
        <v>0</v>
      </c>
      <c r="X742" s="2878">
        <f t="shared" ca="1" si="1012"/>
        <v>0</v>
      </c>
      <c r="Y742" s="2878">
        <f t="shared" ca="1" si="1012"/>
        <v>0</v>
      </c>
      <c r="Z742" s="2878">
        <f t="shared" ca="1" si="1012"/>
        <v>0</v>
      </c>
      <c r="AA742" s="2878">
        <f t="shared" ca="1" si="1012"/>
        <v>0</v>
      </c>
    </row>
    <row r="743" spans="1:58" s="1540" customFormat="1" ht="62.1" hidden="1" customHeight="1" x14ac:dyDescent="0.5">
      <c r="A743" s="1703"/>
      <c r="B743" s="1703"/>
      <c r="C743" s="2328"/>
      <c r="D743" s="2316"/>
      <c r="E743" s="2316"/>
      <c r="F743" s="2316"/>
      <c r="G743" s="1706">
        <f ca="1">+'Compra -HOJA1'!G29</f>
        <v>0</v>
      </c>
      <c r="H743" s="1706">
        <f ca="1">+'Compra -HOJA1'!H29</f>
        <v>0</v>
      </c>
      <c r="I743" s="1706">
        <f ca="1">+'Compra -HOJA1'!I29</f>
        <v>0</v>
      </c>
      <c r="J743" s="1706">
        <f ca="1">+'Compra -HOJA1'!L29</f>
        <v>0</v>
      </c>
      <c r="K743" s="1706">
        <f ca="1">+'Compra -HOJA1'!M29</f>
        <v>0</v>
      </c>
      <c r="L743" s="1706">
        <f ca="1">+'Compra -HOJA1'!N29</f>
        <v>0</v>
      </c>
      <c r="M743" s="1706"/>
      <c r="N743" s="1706"/>
      <c r="O743" s="1704"/>
      <c r="P743" s="1489"/>
      <c r="Q743" s="1489"/>
      <c r="R743" s="1489"/>
      <c r="S743" s="1573"/>
      <c r="T743" s="1489"/>
      <c r="U743" s="1489"/>
      <c r="V743" s="1489"/>
      <c r="W743" s="1489"/>
      <c r="X743" s="1489"/>
      <c r="Y743" s="1489"/>
      <c r="Z743" s="1489"/>
      <c r="AA743" s="1489"/>
      <c r="AB743" s="1489"/>
      <c r="AC743" s="1489"/>
      <c r="AD743" s="1489"/>
      <c r="AE743" s="1489"/>
      <c r="AF743" s="1489"/>
      <c r="AG743" s="1489"/>
      <c r="AH743" s="1489"/>
      <c r="AI743" s="1489"/>
      <c r="AJ743" s="1489"/>
      <c r="AK743" s="1489"/>
      <c r="AL743" s="1489"/>
      <c r="AM743" s="1489"/>
      <c r="AN743" s="1489"/>
      <c r="AO743" s="1489"/>
      <c r="AP743" s="1489"/>
      <c r="AQ743" s="1489"/>
      <c r="AR743" s="1489"/>
      <c r="AS743" s="1489"/>
      <c r="AT743" s="1489"/>
      <c r="AU743" s="1489"/>
      <c r="AV743" s="1489"/>
      <c r="AW743" s="1489"/>
      <c r="AX743" s="1489"/>
      <c r="AY743" s="1489"/>
      <c r="AZ743" s="1489"/>
      <c r="BA743" s="1489"/>
      <c r="BB743" s="1489"/>
      <c r="BC743" s="1489"/>
      <c r="BD743" s="1489"/>
      <c r="BE743" s="1489"/>
      <c r="BF743" s="1489"/>
    </row>
    <row r="744" spans="1:58" ht="62.1" hidden="1" customHeight="1" x14ac:dyDescent="0.5">
      <c r="B744" s="1665" t="s">
        <v>429</v>
      </c>
      <c r="C744" s="1717"/>
      <c r="G744" s="1666">
        <f>+(S744)</f>
        <v>0</v>
      </c>
      <c r="H744" s="1666">
        <f>+(U744)</f>
        <v>0</v>
      </c>
      <c r="I744" s="1666">
        <f>+(T744)</f>
        <v>0</v>
      </c>
      <c r="J744" s="1666">
        <f>+(V744)</f>
        <v>0</v>
      </c>
      <c r="K744" s="1666">
        <f>+(X744)</f>
        <v>0</v>
      </c>
      <c r="L744" s="1666">
        <f>+(W744)</f>
        <v>0</v>
      </c>
      <c r="M744" s="1661">
        <f t="shared" ref="M744:O745" si="1013">+J744+G744</f>
        <v>0</v>
      </c>
      <c r="N744" s="1661">
        <f t="shared" si="1013"/>
        <v>0</v>
      </c>
      <c r="O744" s="1662">
        <f t="shared" si="1013"/>
        <v>0</v>
      </c>
    </row>
    <row r="745" spans="1:58" ht="62.1" hidden="1" customHeight="1" x14ac:dyDescent="0.5">
      <c r="A745" s="1498"/>
      <c r="B745" s="1665" t="s">
        <v>430</v>
      </c>
      <c r="C745" s="2310"/>
      <c r="D745" s="2310"/>
      <c r="E745" s="2310"/>
      <c r="F745" s="2310"/>
      <c r="G745" s="1666">
        <f>+(S745)</f>
        <v>0</v>
      </c>
      <c r="H745" s="1666">
        <f>+(U745)</f>
        <v>0</v>
      </c>
      <c r="I745" s="1666">
        <f>+(T745)</f>
        <v>0</v>
      </c>
      <c r="J745" s="1666"/>
      <c r="K745" s="1666"/>
      <c r="L745" s="1666"/>
      <c r="M745" s="1661">
        <f t="shared" si="1013"/>
        <v>0</v>
      </c>
      <c r="N745" s="1661">
        <f t="shared" si="1013"/>
        <v>0</v>
      </c>
      <c r="O745" s="1662">
        <f t="shared" si="1013"/>
        <v>0</v>
      </c>
      <c r="P745" s="1498"/>
      <c r="Q745" s="1498"/>
      <c r="R745" s="1498"/>
      <c r="S745" s="1498"/>
      <c r="T745" s="1498"/>
      <c r="U745" s="1498"/>
    </row>
    <row r="746" spans="1:58" ht="62.1" hidden="1" customHeight="1" x14ac:dyDescent="0.45">
      <c r="A746" s="1668"/>
      <c r="B746" s="4300" t="s">
        <v>460</v>
      </c>
      <c r="C746" s="4301"/>
      <c r="D746" s="4301"/>
      <c r="E746" s="4301"/>
      <c r="F746" s="4302"/>
      <c r="G746" s="1671">
        <f t="shared" ref="G746:L746" si="1014">SUM(G744:G745)</f>
        <v>0</v>
      </c>
      <c r="H746" s="1671">
        <f t="shared" si="1014"/>
        <v>0</v>
      </c>
      <c r="I746" s="1671">
        <f t="shared" si="1014"/>
        <v>0</v>
      </c>
      <c r="J746" s="1671">
        <f t="shared" si="1014"/>
        <v>0</v>
      </c>
      <c r="K746" s="1671">
        <f t="shared" si="1014"/>
        <v>0</v>
      </c>
      <c r="L746" s="1671">
        <f t="shared" si="1014"/>
        <v>0</v>
      </c>
      <c r="M746" s="1671">
        <f>SUM(M744:M745)</f>
        <v>0</v>
      </c>
      <c r="N746" s="1671">
        <f>SUM(N744:N745)</f>
        <v>0</v>
      </c>
      <c r="O746" s="1669">
        <f>SUM(O744:O745)</f>
        <v>0</v>
      </c>
      <c r="S746" s="2713"/>
      <c r="T746" s="2713"/>
      <c r="U746" s="2713"/>
      <c r="V746" s="2713"/>
      <c r="W746" s="2713"/>
      <c r="X746" s="2713"/>
      <c r="Y746" s="2713"/>
      <c r="Z746" s="2713"/>
      <c r="AA746" s="2713"/>
    </row>
    <row r="747" spans="1:58" ht="62.1" hidden="1" customHeight="1" x14ac:dyDescent="0.5">
      <c r="A747" s="1672"/>
      <c r="B747" s="1672"/>
      <c r="G747" s="4278" t="s">
        <v>304</v>
      </c>
      <c r="H747" s="4279"/>
      <c r="I747" s="4280"/>
      <c r="J747" s="4278" t="s">
        <v>453</v>
      </c>
      <c r="K747" s="4279"/>
      <c r="L747" s="4280"/>
      <c r="M747" s="4237" t="s">
        <v>449</v>
      </c>
      <c r="N747" s="4238"/>
      <c r="O747" s="4240"/>
      <c r="S747" s="4253" t="s">
        <v>191</v>
      </c>
      <c r="T747" s="4253"/>
      <c r="U747" s="4253"/>
      <c r="V747" s="4253" t="s">
        <v>464</v>
      </c>
      <c r="W747" s="4253"/>
      <c r="X747" s="4253"/>
      <c r="Y747" s="4253" t="s">
        <v>465</v>
      </c>
      <c r="Z747" s="4253"/>
      <c r="AA747" s="4253"/>
    </row>
    <row r="748" spans="1:58" ht="62.1" hidden="1" customHeight="1" x14ac:dyDescent="0.45">
      <c r="A748" s="1672"/>
      <c r="B748" s="1672"/>
      <c r="G748" s="1641" t="s">
        <v>287</v>
      </c>
      <c r="H748" s="1641" t="s">
        <v>450</v>
      </c>
      <c r="I748" s="1641" t="s">
        <v>288</v>
      </c>
      <c r="J748" s="1641" t="s">
        <v>287</v>
      </c>
      <c r="K748" s="1641" t="s">
        <v>450</v>
      </c>
      <c r="L748" s="1641" t="s">
        <v>288</v>
      </c>
      <c r="M748" s="1515" t="s">
        <v>287</v>
      </c>
      <c r="N748" s="1515" t="s">
        <v>289</v>
      </c>
      <c r="O748" s="1515" t="s">
        <v>288</v>
      </c>
      <c r="S748" s="1515" t="s">
        <v>5</v>
      </c>
      <c r="T748" s="1515" t="s">
        <v>6</v>
      </c>
      <c r="U748" s="1515" t="s">
        <v>7</v>
      </c>
      <c r="V748" s="1515" t="s">
        <v>5</v>
      </c>
      <c r="W748" s="1515" t="s">
        <v>6</v>
      </c>
      <c r="X748" s="1515" t="s">
        <v>7</v>
      </c>
      <c r="Y748" s="1515" t="s">
        <v>5</v>
      </c>
      <c r="Z748" s="1515" t="s">
        <v>6</v>
      </c>
      <c r="AA748" s="1515" t="s">
        <v>7</v>
      </c>
    </row>
    <row r="749" spans="1:58" ht="62.1" hidden="1" customHeight="1" x14ac:dyDescent="0.8">
      <c r="A749" s="4278" t="s">
        <v>431</v>
      </c>
      <c r="B749" s="4279"/>
      <c r="C749" s="4279"/>
      <c r="D749" s="4279"/>
      <c r="E749" s="4279"/>
      <c r="F749" s="4280"/>
      <c r="G749" s="1673">
        <f t="shared" ref="G749:L749" ca="1" si="1015">+F706+G720+G730+G742+G746</f>
        <v>0</v>
      </c>
      <c r="H749" s="1673">
        <f t="shared" ca="1" si="1015"/>
        <v>0</v>
      </c>
      <c r="I749" s="1673">
        <f t="shared" ca="1" si="1015"/>
        <v>0</v>
      </c>
      <c r="J749" s="1673">
        <f t="shared" ca="1" si="1015"/>
        <v>0</v>
      </c>
      <c r="K749" s="1673">
        <f t="shared" ca="1" si="1015"/>
        <v>0</v>
      </c>
      <c r="L749" s="1673">
        <f t="shared" ca="1" si="1015"/>
        <v>0</v>
      </c>
      <c r="M749" s="1673">
        <f ca="1">+G749+J749</f>
        <v>0</v>
      </c>
      <c r="N749" s="1673">
        <f ca="1">+H749+K749</f>
        <v>0</v>
      </c>
      <c r="O749" s="1673">
        <f ca="1">+I749+L749</f>
        <v>0</v>
      </c>
      <c r="P749" s="2886">
        <f ca="1">SUM(M749:O749)</f>
        <v>0</v>
      </c>
      <c r="S749" s="1548">
        <f ca="1">+S746+S742+S730+S720+S706</f>
        <v>0</v>
      </c>
      <c r="T749" s="1548">
        <f t="shared" ref="T749:AA749" ca="1" si="1016">+T746+T742+T730+T720+T706</f>
        <v>0</v>
      </c>
      <c r="U749" s="1548">
        <f t="shared" ca="1" si="1016"/>
        <v>0</v>
      </c>
      <c r="V749" s="1548">
        <f t="shared" ca="1" si="1016"/>
        <v>0</v>
      </c>
      <c r="W749" s="1548">
        <f t="shared" ca="1" si="1016"/>
        <v>0</v>
      </c>
      <c r="X749" s="1548">
        <f t="shared" ca="1" si="1016"/>
        <v>0</v>
      </c>
      <c r="Y749" s="1548">
        <f t="shared" ca="1" si="1016"/>
        <v>0</v>
      </c>
      <c r="Z749" s="1548">
        <f t="shared" ca="1" si="1016"/>
        <v>0</v>
      </c>
      <c r="AA749" s="1548">
        <f t="shared" ca="1" si="1016"/>
        <v>0</v>
      </c>
    </row>
    <row r="750" spans="1:58" ht="62.1" hidden="1" customHeight="1" x14ac:dyDescent="0.45">
      <c r="A750" s="1641"/>
      <c r="B750" s="1641"/>
      <c r="C750" s="1641"/>
      <c r="D750" s="1641"/>
      <c r="E750" s="1641"/>
      <c r="F750" s="1641"/>
      <c r="G750" s="4237" t="s">
        <v>449</v>
      </c>
      <c r="H750" s="4238"/>
      <c r="I750" s="4240"/>
      <c r="S750" s="4395" t="s">
        <v>449</v>
      </c>
      <c r="T750" s="4323"/>
      <c r="U750" s="4396"/>
    </row>
    <row r="751" spans="1:58" ht="62.1" hidden="1" customHeight="1" x14ac:dyDescent="0.55000000000000004">
      <c r="A751" s="4278" t="s">
        <v>431</v>
      </c>
      <c r="B751" s="4279"/>
      <c r="C751" s="4279"/>
      <c r="D751" s="4279"/>
      <c r="E751" s="4279"/>
      <c r="F751" s="4280"/>
      <c r="G751" s="1674">
        <f ca="1">+G749+J749</f>
        <v>0</v>
      </c>
      <c r="H751" s="1674">
        <f ca="1">+H749+K749</f>
        <v>0</v>
      </c>
      <c r="I751" s="1674">
        <f ca="1">+I749+L749</f>
        <v>0</v>
      </c>
      <c r="J751" s="2317" t="e">
        <f ca="1">+J749/G749</f>
        <v>#DIV/0!</v>
      </c>
      <c r="K751" s="2317" t="e">
        <f ca="1">+K749/H749</f>
        <v>#DIV/0!</v>
      </c>
      <c r="L751" s="1653">
        <v>574588</v>
      </c>
      <c r="P751" s="2887">
        <f>+'Compra -HOJA1'!F10</f>
        <v>0</v>
      </c>
      <c r="S751" s="1673">
        <f ca="1">+S749+V749</f>
        <v>0</v>
      </c>
      <c r="T751" s="1673">
        <f ca="1">+T749+W749</f>
        <v>0</v>
      </c>
      <c r="U751" s="1673">
        <f ca="1">+U749+X749</f>
        <v>0</v>
      </c>
      <c r="V751" s="1573">
        <f ca="1">SUM(S751:U751)</f>
        <v>0</v>
      </c>
    </row>
    <row r="752" spans="1:58" ht="62.1" hidden="1" customHeight="1" x14ac:dyDescent="0.45">
      <c r="A752" s="4278" t="s">
        <v>433</v>
      </c>
      <c r="B752" s="4279"/>
      <c r="C752" s="4279"/>
      <c r="D752" s="4279"/>
      <c r="E752" s="4279"/>
      <c r="F752" s="4280"/>
      <c r="G752" s="1675">
        <f>+'Compra -HOJA1'!G10</f>
        <v>0</v>
      </c>
      <c r="H752" s="1675">
        <f>+'Compra -HOJA1'!I10</f>
        <v>0</v>
      </c>
      <c r="I752" s="1675">
        <f>+'Compra -HOJA1'!H10</f>
        <v>0</v>
      </c>
      <c r="J752" s="1653"/>
      <c r="K752" s="1653"/>
      <c r="L752" s="1653">
        <f ca="1">+I751-L751</f>
        <v>-574588</v>
      </c>
      <c r="P752" s="1573">
        <f ca="1">+P751-P749</f>
        <v>0</v>
      </c>
      <c r="S752" s="2714">
        <f>+G752</f>
        <v>0</v>
      </c>
      <c r="T752" s="2714">
        <f>+I752</f>
        <v>0</v>
      </c>
      <c r="U752" s="2714">
        <f>+H752</f>
        <v>0</v>
      </c>
      <c r="V752" s="1573">
        <f>SUM(S752:U752)</f>
        <v>0</v>
      </c>
      <c r="W752" s="1573">
        <f ca="1">+V752-V751</f>
        <v>0</v>
      </c>
    </row>
    <row r="753" spans="1:27" ht="62.1" hidden="1" customHeight="1" x14ac:dyDescent="0.45">
      <c r="A753" s="1676"/>
      <c r="B753" s="1676"/>
      <c r="C753" s="2325"/>
      <c r="R753" s="1489" t="s">
        <v>477</v>
      </c>
      <c r="S753" s="1573" t="e">
        <f ca="1">+'Compra -HOJA1'!F285+'Compra -HOJA1'!F67+'Compra -HOJA1'!F52+'Compra -HOJA1'!#REF!+'Compra -HOJA1'!F51+'Compra -HOJA1'!F50+'Compra -HOJA1'!F49+'Compra -HOJA1'!F48+'Compra -HOJA1'!F44+'Compra -HOJA1'!#REF!+'Compra -HOJA1'!F43+'Compra -HOJA1'!F42+'Compra -HOJA1'!F41+'Compra -HOJA1'!F40+'Compra -HOJA1'!F37+'Compra -HOJA1'!F36+'Compra -HOJA1'!F28+'Compra -HOJA1'!F25</f>
        <v>#REF!</v>
      </c>
      <c r="T753" s="1573">
        <f ca="1">+S749+T749+U749</f>
        <v>0</v>
      </c>
      <c r="V753" s="1573">
        <f ca="1">+V749+W749+X749</f>
        <v>0</v>
      </c>
      <c r="W753" s="1573">
        <f ca="1">+'Compra -HOJA1'!L29+'Compra -HOJA1'!M29+'Compra -HOJA1'!N29+'Compra -HOJA1'!L38+'Compra -HOJA1'!M38+'Compra -HOJA1'!N38+'Compra -HOJA1'!L45+'Compra -HOJA1'!M45+'Compra -HOJA1'!N45+'Compra -HOJA1'!L53+'Compra -HOJA1'!M53+'Compra -HOJA1'!N53+'Compra -HOJA1'!K67+'Compra -HOJA1'!L67+'Compra -HOJA1'!M67+'Compra -HOJA1'!L392+'Compra -HOJA1'!M392+'Compra -HOJA1'!N392</f>
        <v>0</v>
      </c>
      <c r="X753" s="1573" t="e">
        <f ca="1">+S753+V753</f>
        <v>#REF!</v>
      </c>
    </row>
    <row r="754" spans="1:27" ht="62.1" hidden="1" customHeight="1" x14ac:dyDescent="0.45">
      <c r="A754" s="1676"/>
      <c r="B754" s="1676"/>
      <c r="C754" s="2325"/>
      <c r="D754" s="1491" t="s">
        <v>435</v>
      </c>
      <c r="G754" s="1653" t="str">
        <f ca="1">IF((G752-G751)=0,"O.K.","VERIFICAR¨")</f>
        <v>O.K.</v>
      </c>
      <c r="H754" s="1653" t="str">
        <f ca="1">IF((H752-H751)=0,"O.K.","VERIFICAR¨")</f>
        <v>O.K.</v>
      </c>
      <c r="I754" s="1653" t="str">
        <f ca="1">IF((I752-I751)=0,"O.K.","VERIFICAR¨")</f>
        <v>O.K.</v>
      </c>
    </row>
    <row r="755" spans="1:27" ht="62.1" hidden="1" customHeight="1" x14ac:dyDescent="0.45">
      <c r="A755" s="1677"/>
      <c r="B755" s="1677"/>
      <c r="C755" s="2326"/>
      <c r="G755" s="2318">
        <f ca="1">+G752-G751</f>
        <v>0</v>
      </c>
      <c r="H755" s="2318">
        <f ca="1">+H752-H751</f>
        <v>0</v>
      </c>
      <c r="I755" s="2318">
        <f ca="1">+I752-I751</f>
        <v>0</v>
      </c>
      <c r="J755" s="2319">
        <f ca="1">SUM(G755:I755)</f>
        <v>0</v>
      </c>
      <c r="P755" s="1489" t="s">
        <v>157</v>
      </c>
      <c r="S755" s="1489">
        <v>156746.49797894555</v>
      </c>
      <c r="T755" s="1489">
        <v>309925.00195551571</v>
      </c>
      <c r="U755" s="1489">
        <v>119409.50006553871</v>
      </c>
      <c r="V755" s="1709">
        <v>10627.412562972509</v>
      </c>
      <c r="W755" s="1709">
        <v>21012.915132583963</v>
      </c>
      <c r="X755" s="1709">
        <v>8095.9641044435248</v>
      </c>
      <c r="Y755" s="1489">
        <f>SUM(S755:X755)</f>
        <v>625817.29180000001</v>
      </c>
      <c r="Z755" s="1489">
        <v>330937.91708809964</v>
      </c>
      <c r="AA755" s="1489">
        <v>127505.46416998224</v>
      </c>
    </row>
    <row r="756" spans="1:27" ht="62.1" hidden="1" customHeight="1" x14ac:dyDescent="0.45">
      <c r="A756" s="1677"/>
      <c r="B756" s="1677"/>
      <c r="C756" s="2326"/>
      <c r="G756" s="1653"/>
      <c r="H756" s="1653"/>
      <c r="I756" s="1653"/>
      <c r="P756" s="1489" t="s">
        <v>158</v>
      </c>
      <c r="S756" s="1489">
        <v>132079.20000000001</v>
      </c>
      <c r="T756" s="1489">
        <v>48028.799999999996</v>
      </c>
      <c r="U756" s="1489">
        <v>220132.00000000003</v>
      </c>
      <c r="V756" s="1709">
        <v>8954.96976</v>
      </c>
      <c r="W756" s="1709">
        <v>3256.3526399999996</v>
      </c>
      <c r="X756" s="1709">
        <v>14924.949600000002</v>
      </c>
      <c r="Y756" s="1489">
        <f>SUM(S756:X756)</f>
        <v>427376.272</v>
      </c>
      <c r="Z756" s="1489">
        <v>51285.152639999993</v>
      </c>
      <c r="AA756" s="1489">
        <v>235056.94960000002</v>
      </c>
    </row>
    <row r="757" spans="1:27" ht="62.1" hidden="1" customHeight="1" x14ac:dyDescent="0.45">
      <c r="A757" s="1677"/>
      <c r="B757" s="1677"/>
      <c r="C757" s="2326"/>
      <c r="G757" s="1653"/>
      <c r="H757" s="1653"/>
      <c r="I757" s="1653"/>
      <c r="P757" s="1489" t="s">
        <v>21</v>
      </c>
      <c r="S757" s="1573">
        <f>+'Compra -HOJA1'!I379</f>
        <v>0</v>
      </c>
      <c r="T757" s="1573">
        <f>+'Compra -HOJA1'!J379</f>
        <v>0</v>
      </c>
      <c r="U757" s="1573">
        <f>+'Compra -HOJA1'!K379</f>
        <v>0</v>
      </c>
      <c r="V757" s="1711">
        <f ca="1">+'Compra -HOJA1'!L379</f>
        <v>0</v>
      </c>
      <c r="W757" s="1711">
        <f ca="1">+'Compra -HOJA1'!M379</f>
        <v>0</v>
      </c>
      <c r="X757" s="1711">
        <f ca="1">+'Compra -HOJA1'!N379</f>
        <v>0</v>
      </c>
      <c r="Y757" s="1489">
        <f ca="1">SUM(S757:X757)</f>
        <v>0</v>
      </c>
    </row>
    <row r="758" spans="1:27" ht="62.1" hidden="1" customHeight="1" x14ac:dyDescent="0.45">
      <c r="D758" s="2313" t="s">
        <v>478</v>
      </c>
      <c r="E758" s="2313"/>
      <c r="F758" s="2313"/>
      <c r="G758" s="2313"/>
      <c r="H758" s="2313"/>
      <c r="I758" s="2313"/>
      <c r="P758" s="1489" t="s">
        <v>71</v>
      </c>
      <c r="S758" s="1573">
        <f>+'Compra -HOJA1'!I381</f>
        <v>0</v>
      </c>
      <c r="T758" s="1573">
        <f>+'Compra -HOJA1'!J381</f>
        <v>0</v>
      </c>
      <c r="U758" s="1573">
        <f>+'Compra -HOJA1'!K381</f>
        <v>0</v>
      </c>
      <c r="V758" s="1711">
        <f ca="1">+'Compra -HOJA1'!L381</f>
        <v>0</v>
      </c>
      <c r="W758" s="1711">
        <f ca="1">+'Compra -HOJA1'!M381</f>
        <v>0</v>
      </c>
      <c r="X758" s="1711">
        <f ca="1">+'Compra -HOJA1'!N381</f>
        <v>0</v>
      </c>
      <c r="Y758" s="1489">
        <f ca="1">SUM(S758:X758)</f>
        <v>0</v>
      </c>
    </row>
    <row r="759" spans="1:27" ht="62.1" hidden="1" customHeight="1" x14ac:dyDescent="0.45">
      <c r="D759" s="2313"/>
      <c r="E759" s="2313"/>
      <c r="F759" s="2313"/>
      <c r="G759" s="2313"/>
      <c r="H759" s="2313"/>
      <c r="I759" s="2313"/>
      <c r="P759" s="1489">
        <v>5000</v>
      </c>
      <c r="S759" s="1573">
        <f>+SUM('Compra -HOJA1'!I290:I371)</f>
        <v>0</v>
      </c>
      <c r="T759" s="1573">
        <f>+SUM('Compra -HOJA1'!J290:J371)</f>
        <v>0</v>
      </c>
      <c r="U759" s="1573">
        <f>+SUM('Compra -HOJA1'!K290:K371)</f>
        <v>0</v>
      </c>
      <c r="V759" s="1711">
        <f ca="1">+SUM('Compra -HOJA1'!L290:L371)</f>
        <v>0</v>
      </c>
      <c r="W759" s="1711">
        <f ca="1">+SUM('Compra -HOJA1'!M290:M371)</f>
        <v>0</v>
      </c>
      <c r="X759" s="1711">
        <f ca="1">+SUM('Compra -HOJA1'!N290:N371)</f>
        <v>0</v>
      </c>
      <c r="Y759" s="1489">
        <f ca="1">SUM(S759:X759)</f>
        <v>0</v>
      </c>
    </row>
    <row r="760" spans="1:27" ht="62.1" hidden="1" customHeight="1" x14ac:dyDescent="0.5">
      <c r="A760" s="1676"/>
      <c r="B760" s="1676"/>
      <c r="C760" s="2325"/>
      <c r="D760" s="2313"/>
      <c r="E760" s="2313"/>
      <c r="F760" s="2313"/>
      <c r="G760" s="2313"/>
      <c r="H760" s="2313"/>
      <c r="I760" s="2313"/>
      <c r="Y760" s="1665">
        <f ca="1">SUM(Y755:Y759)</f>
        <v>1053193.5638000001</v>
      </c>
      <c r="Z760" s="1573">
        <f>+'Compra -HOJA1'!F10</f>
        <v>0</v>
      </c>
      <c r="AA760" s="1573">
        <f ca="1">+Y760-Z760</f>
        <v>1053193.5638000001</v>
      </c>
    </row>
    <row r="761" spans="1:27" ht="62.1" hidden="1" customHeight="1" x14ac:dyDescent="0.45"/>
    <row r="762" spans="1:27" ht="62.1" hidden="1" customHeight="1" x14ac:dyDescent="0.45">
      <c r="A762" s="1640" t="s">
        <v>479</v>
      </c>
      <c r="B762" s="1640"/>
      <c r="C762" s="1640"/>
    </row>
    <row r="763" spans="1:27" ht="62.1" hidden="1" customHeight="1" x14ac:dyDescent="0.45">
      <c r="P763" s="1489" t="s">
        <v>157</v>
      </c>
      <c r="S763" s="1573">
        <f t="shared" ref="S763:X763" si="1017">+S718+S728</f>
        <v>0</v>
      </c>
      <c r="T763" s="1573">
        <f t="shared" si="1017"/>
        <v>0</v>
      </c>
      <c r="U763" s="1573">
        <f t="shared" si="1017"/>
        <v>0</v>
      </c>
      <c r="V763" s="1711">
        <f t="shared" si="1017"/>
        <v>0</v>
      </c>
      <c r="W763" s="1711">
        <f t="shared" si="1017"/>
        <v>0</v>
      </c>
      <c r="X763" s="1711">
        <f t="shared" si="1017"/>
        <v>0</v>
      </c>
      <c r="Y763" s="1573">
        <f>SUM(S763:X763)</f>
        <v>0</v>
      </c>
    </row>
    <row r="764" spans="1:27" ht="62.1" hidden="1" customHeight="1" x14ac:dyDescent="0.45">
      <c r="P764" s="1489" t="s">
        <v>158</v>
      </c>
      <c r="S764" s="1490">
        <f t="shared" ref="S764:X764" si="1018">+S704</f>
        <v>0</v>
      </c>
      <c r="T764" s="1490">
        <f t="shared" si="1018"/>
        <v>0</v>
      </c>
      <c r="U764" s="1490">
        <f t="shared" si="1018"/>
        <v>0</v>
      </c>
      <c r="V764" s="1713">
        <f t="shared" si="1018"/>
        <v>0</v>
      </c>
      <c r="W764" s="1713">
        <f t="shared" si="1018"/>
        <v>0</v>
      </c>
      <c r="X764" s="1713">
        <f t="shared" si="1018"/>
        <v>0</v>
      </c>
      <c r="Y764" s="1573">
        <f>SUM(S764:X764)</f>
        <v>0</v>
      </c>
    </row>
    <row r="765" spans="1:27" ht="62.1" hidden="1" customHeight="1" x14ac:dyDescent="0.45">
      <c r="P765" s="1489" t="s">
        <v>21</v>
      </c>
      <c r="S765" s="1490">
        <f t="shared" ref="S765:X766" si="1019">+S702</f>
        <v>0</v>
      </c>
      <c r="T765" s="1490">
        <f t="shared" si="1019"/>
        <v>0</v>
      </c>
      <c r="U765" s="1490">
        <f t="shared" si="1019"/>
        <v>0</v>
      </c>
      <c r="V765" s="1713">
        <f t="shared" si="1019"/>
        <v>0</v>
      </c>
      <c r="W765" s="1713">
        <f t="shared" si="1019"/>
        <v>0</v>
      </c>
      <c r="X765" s="1713">
        <f t="shared" si="1019"/>
        <v>0</v>
      </c>
      <c r="Y765" s="1573">
        <f>SUM(S765:X765)</f>
        <v>0</v>
      </c>
    </row>
    <row r="766" spans="1:27" ht="62.1" hidden="1" customHeight="1" x14ac:dyDescent="0.45">
      <c r="P766" s="1489" t="s">
        <v>71</v>
      </c>
      <c r="S766" s="1490">
        <f t="shared" si="1019"/>
        <v>0</v>
      </c>
      <c r="T766" s="1490">
        <f t="shared" si="1019"/>
        <v>0</v>
      </c>
      <c r="U766" s="1490">
        <f t="shared" si="1019"/>
        <v>0</v>
      </c>
      <c r="V766" s="1713">
        <f t="shared" si="1019"/>
        <v>0</v>
      </c>
      <c r="W766" s="1713">
        <f t="shared" si="1019"/>
        <v>0</v>
      </c>
      <c r="X766" s="1713">
        <f t="shared" si="1019"/>
        <v>0</v>
      </c>
      <c r="Y766" s="1573">
        <f>SUM(S766:X766)</f>
        <v>0</v>
      </c>
    </row>
    <row r="767" spans="1:27" ht="62.1" hidden="1" customHeight="1" x14ac:dyDescent="0.45">
      <c r="P767" s="1489">
        <v>5000</v>
      </c>
      <c r="S767" s="1490">
        <f t="shared" ref="S767:X767" ca="1" si="1020">+SUM(S598:S701)</f>
        <v>0</v>
      </c>
      <c r="T767" s="1490">
        <f t="shared" ca="1" si="1020"/>
        <v>0</v>
      </c>
      <c r="U767" s="1490">
        <f t="shared" ca="1" si="1020"/>
        <v>0</v>
      </c>
      <c r="V767" s="1490">
        <f t="shared" ca="1" si="1020"/>
        <v>0</v>
      </c>
      <c r="W767" s="1490">
        <f t="shared" ca="1" si="1020"/>
        <v>0</v>
      </c>
      <c r="X767" s="1490">
        <f t="shared" ca="1" si="1020"/>
        <v>0</v>
      </c>
      <c r="Y767" s="1573">
        <f ca="1">SUM(S767:X767)</f>
        <v>0</v>
      </c>
    </row>
    <row r="768" spans="1:27" ht="62.1" hidden="1" customHeight="1" x14ac:dyDescent="0.5">
      <c r="S768" s="2715">
        <f t="shared" ref="S768:X768" ca="1" si="1021">SUM(S765:S767)</f>
        <v>0</v>
      </c>
      <c r="T768" s="2715">
        <f t="shared" ca="1" si="1021"/>
        <v>0</v>
      </c>
      <c r="U768" s="2715">
        <f t="shared" ca="1" si="1021"/>
        <v>0</v>
      </c>
      <c r="V768" s="2715">
        <f t="shared" ca="1" si="1021"/>
        <v>0</v>
      </c>
      <c r="W768" s="2715">
        <f t="shared" ca="1" si="1021"/>
        <v>0</v>
      </c>
      <c r="X768" s="2715">
        <f t="shared" ca="1" si="1021"/>
        <v>0</v>
      </c>
      <c r="Y768" s="1573">
        <f ca="1">SUM(Y763:Y767)</f>
        <v>0</v>
      </c>
      <c r="Z768" s="1573">
        <f>+Z760</f>
        <v>0</v>
      </c>
      <c r="AA768" s="1573">
        <f ca="1">+Y768-Z768</f>
        <v>0</v>
      </c>
    </row>
    <row r="769" spans="12:25" ht="62.1" hidden="1" customHeight="1" x14ac:dyDescent="0.45"/>
    <row r="770" spans="12:25" ht="62.1" hidden="1" customHeight="1" x14ac:dyDescent="0.45">
      <c r="P770" s="4394" t="s">
        <v>480</v>
      </c>
      <c r="Q770" s="4394"/>
      <c r="R770" s="4394"/>
      <c r="S770" s="4394"/>
      <c r="T770" s="4394"/>
      <c r="U770" s="4394"/>
      <c r="V770" s="4394"/>
      <c r="W770" s="4394"/>
      <c r="X770" s="4394"/>
      <c r="Y770" s="4394"/>
    </row>
    <row r="771" spans="12:25" ht="62.1" hidden="1" customHeight="1" x14ac:dyDescent="0.5">
      <c r="P771" s="1519" t="s">
        <v>157</v>
      </c>
      <c r="Q771" s="1717"/>
      <c r="R771" s="1717"/>
      <c r="S771" s="1573">
        <f>+'Compra -HOJA1'!H75</f>
        <v>0</v>
      </c>
      <c r="T771" s="1573">
        <f>+'Compra -HOJA1'!I75</f>
        <v>0</v>
      </c>
      <c r="U771" s="1573">
        <f>+'Compra -HOJA1'!J75</f>
        <v>0</v>
      </c>
      <c r="V771" s="1573">
        <f>+'Compra -HOJA1'!K75</f>
        <v>0</v>
      </c>
      <c r="W771" s="1573">
        <f>+'Compra -HOJA1'!L75</f>
        <v>0</v>
      </c>
      <c r="X771" s="1573">
        <f>+'Compra -HOJA1'!M75</f>
        <v>0</v>
      </c>
    </row>
    <row r="772" spans="12:25" ht="62.1" hidden="1" customHeight="1" x14ac:dyDescent="0.5">
      <c r="L772" s="1489"/>
      <c r="M772" s="1489"/>
      <c r="N772" s="1489"/>
      <c r="P772" s="1519" t="s">
        <v>158</v>
      </c>
      <c r="Q772" s="1717"/>
      <c r="R772" s="1717"/>
      <c r="S772" s="1573">
        <f>+'Compra -HOJA1'!H76</f>
        <v>0</v>
      </c>
      <c r="T772" s="1573">
        <f>+'Compra -HOJA1'!I76</f>
        <v>0</v>
      </c>
      <c r="U772" s="1573">
        <f>+'Compra -HOJA1'!J76</f>
        <v>0</v>
      </c>
      <c r="V772" s="1573">
        <f>+'Compra -HOJA1'!K76</f>
        <v>0</v>
      </c>
      <c r="W772" s="1573">
        <f>+'Compra -HOJA1'!L76</f>
        <v>0</v>
      </c>
      <c r="X772" s="1573">
        <f>+'Compra -HOJA1'!M76</f>
        <v>0</v>
      </c>
    </row>
    <row r="773" spans="12:25" ht="62.1" hidden="1" customHeight="1" x14ac:dyDescent="0.5">
      <c r="L773" s="1489"/>
      <c r="M773" s="1489"/>
      <c r="N773" s="1489"/>
      <c r="P773" s="1519" t="s">
        <v>481</v>
      </c>
      <c r="Q773" s="1717"/>
      <c r="R773" s="1717"/>
      <c r="S773" s="1573">
        <f ca="1">+'Compra -HOJA1'!I392</f>
        <v>0</v>
      </c>
      <c r="T773" s="1573">
        <f ca="1">+'Compra -HOJA1'!J392</f>
        <v>0</v>
      </c>
      <c r="U773" s="1573">
        <f ca="1">+'Compra -HOJA1'!K392</f>
        <v>0</v>
      </c>
      <c r="V773" s="1573">
        <f ca="1">+'Compra -HOJA1'!L392</f>
        <v>0</v>
      </c>
      <c r="W773" s="1573">
        <f ca="1">+'Compra -HOJA1'!M392</f>
        <v>0</v>
      </c>
      <c r="X773" s="1573">
        <f ca="1">+'Compra -HOJA1'!N392</f>
        <v>0</v>
      </c>
    </row>
    <row r="774" spans="12:25" ht="62.1" hidden="1" customHeight="1" x14ac:dyDescent="0.45">
      <c r="L774" s="1489"/>
      <c r="M774" s="1489"/>
      <c r="N774" s="1489"/>
      <c r="S774" s="1573">
        <f t="shared" ref="S774:X774" ca="1" si="1022">SUM(S771:S773)</f>
        <v>0</v>
      </c>
      <c r="T774" s="1573">
        <f t="shared" ca="1" si="1022"/>
        <v>0</v>
      </c>
      <c r="U774" s="1573">
        <f t="shared" ca="1" si="1022"/>
        <v>0</v>
      </c>
      <c r="V774" s="1573">
        <f t="shared" ca="1" si="1022"/>
        <v>0</v>
      </c>
      <c r="W774" s="1573">
        <f t="shared" ca="1" si="1022"/>
        <v>0</v>
      </c>
      <c r="X774" s="1573">
        <f t="shared" ca="1" si="1022"/>
        <v>0</v>
      </c>
    </row>
    <row r="775" spans="12:25" ht="62.1" hidden="1" customHeight="1" x14ac:dyDescent="0.45"/>
    <row r="776" spans="12:25" ht="62.1" hidden="1" customHeight="1" x14ac:dyDescent="0.45">
      <c r="L776" s="1489"/>
      <c r="M776" s="1489"/>
      <c r="N776" s="1489"/>
      <c r="S776" s="1573">
        <f ca="1">+S774+V774</f>
        <v>0</v>
      </c>
      <c r="T776" s="1573">
        <f ca="1">+T774+W774</f>
        <v>0</v>
      </c>
      <c r="U776" s="1573">
        <f ca="1">+U774+X774</f>
        <v>0</v>
      </c>
      <c r="V776" s="1711">
        <f ca="1">+V768-V773</f>
        <v>0</v>
      </c>
      <c r="W776" s="1711">
        <f ca="1">+W768-W773</f>
        <v>0</v>
      </c>
      <c r="X776" s="1711">
        <f ca="1">+X768-X773</f>
        <v>0</v>
      </c>
      <c r="Y776" s="1573">
        <f ca="1">SUM(V776:X776)</f>
        <v>0</v>
      </c>
    </row>
    <row r="777" spans="12:25" hidden="1" x14ac:dyDescent="0.45">
      <c r="L777" s="1489"/>
      <c r="M777" s="1489"/>
      <c r="N777" s="1489"/>
      <c r="S777" s="1573">
        <f>+'Compra -HOJA1'!G10</f>
        <v>0</v>
      </c>
      <c r="T777" s="1573">
        <f>+'Compra -HOJA1'!H10</f>
        <v>0</v>
      </c>
      <c r="U777" s="1573">
        <f>+'Compra -HOJA1'!I10</f>
        <v>0</v>
      </c>
    </row>
    <row r="778" spans="12:25" hidden="1" x14ac:dyDescent="0.45"/>
    <row r="779" spans="12:25" hidden="1" x14ac:dyDescent="0.45"/>
    <row r="780" spans="12:25" hidden="1" x14ac:dyDescent="0.45"/>
    <row r="781" spans="12:25" hidden="1" x14ac:dyDescent="0.45"/>
    <row r="782" spans="12:25" hidden="1" x14ac:dyDescent="0.45"/>
    <row r="783" spans="12:25" hidden="1" x14ac:dyDescent="0.45"/>
    <row r="784" spans="12:25" hidden="1" x14ac:dyDescent="0.45"/>
    <row r="785" spans="12:14" hidden="1" x14ac:dyDescent="0.45"/>
    <row r="786" spans="12:14" hidden="1" x14ac:dyDescent="0.45"/>
    <row r="787" spans="12:14" hidden="1" x14ac:dyDescent="0.45">
      <c r="L787" s="1489"/>
      <c r="M787" s="1489"/>
      <c r="N787" s="1489"/>
    </row>
    <row r="788" spans="12:14" hidden="1" x14ac:dyDescent="0.45">
      <c r="L788" s="1489"/>
      <c r="M788" s="1489"/>
      <c r="N788" s="1489"/>
    </row>
    <row r="789" spans="12:14" hidden="1" x14ac:dyDescent="0.45">
      <c r="L789" s="1489"/>
      <c r="M789" s="1489"/>
      <c r="N789" s="1489"/>
    </row>
    <row r="790" spans="12:14" hidden="1" x14ac:dyDescent="0.45">
      <c r="L790" s="1489"/>
      <c r="M790" s="1489"/>
      <c r="N790" s="1489"/>
    </row>
    <row r="791" spans="12:14" hidden="1" x14ac:dyDescent="0.45">
      <c r="L791" s="1489"/>
      <c r="M791" s="1489"/>
      <c r="N791" s="1489"/>
    </row>
    <row r="792" spans="12:14" hidden="1" x14ac:dyDescent="0.45">
      <c r="L792" s="1489"/>
      <c r="M792" s="1489"/>
      <c r="N792" s="1489"/>
    </row>
    <row r="793" spans="12:14" hidden="1" x14ac:dyDescent="0.45">
      <c r="L793" s="1489"/>
      <c r="M793" s="1489"/>
      <c r="N793" s="1489"/>
    </row>
    <row r="794" spans="12:14" hidden="1" x14ac:dyDescent="0.45">
      <c r="L794" s="1489"/>
      <c r="M794" s="1489"/>
      <c r="N794" s="1489"/>
    </row>
    <row r="795" spans="12:14" hidden="1" x14ac:dyDescent="0.45">
      <c r="L795" s="1489"/>
      <c r="M795" s="1489"/>
      <c r="N795" s="1489"/>
    </row>
    <row r="796" spans="12:14" hidden="1" x14ac:dyDescent="0.45">
      <c r="L796" s="1489"/>
      <c r="M796" s="1489"/>
      <c r="N796" s="1489"/>
    </row>
    <row r="797" spans="12:14" hidden="1" x14ac:dyDescent="0.45">
      <c r="L797" s="1489"/>
      <c r="M797" s="1489"/>
      <c r="N797" s="1489"/>
    </row>
    <row r="798" spans="12:14" hidden="1" x14ac:dyDescent="0.45">
      <c r="L798" s="1489"/>
      <c r="M798" s="1489"/>
      <c r="N798" s="1489"/>
    </row>
    <row r="799" spans="12:14" hidden="1" x14ac:dyDescent="0.45">
      <c r="L799" s="1489"/>
      <c r="M799" s="1489"/>
      <c r="N799" s="1489"/>
    </row>
    <row r="800" spans="12:14" hidden="1" x14ac:dyDescent="0.45">
      <c r="L800" s="1489"/>
      <c r="M800" s="1489"/>
      <c r="N800" s="1489"/>
    </row>
    <row r="801" spans="12:14" hidden="1" x14ac:dyDescent="0.45">
      <c r="L801" s="1489"/>
      <c r="M801" s="1489"/>
      <c r="N801" s="1489"/>
    </row>
    <row r="802" spans="12:14" hidden="1" x14ac:dyDescent="0.45">
      <c r="L802" s="1489"/>
      <c r="M802" s="1489"/>
      <c r="N802" s="1489"/>
    </row>
    <row r="803" spans="12:14" hidden="1" x14ac:dyDescent="0.45">
      <c r="L803" s="1489"/>
      <c r="M803" s="1489"/>
      <c r="N803" s="1489"/>
    </row>
    <row r="804" spans="12:14" hidden="1" x14ac:dyDescent="0.45">
      <c r="L804" s="1489"/>
      <c r="M804" s="1489"/>
      <c r="N804" s="1489"/>
    </row>
    <row r="805" spans="12:14" hidden="1" x14ac:dyDescent="0.45">
      <c r="L805" s="1489"/>
      <c r="M805" s="1489"/>
      <c r="N805" s="1489"/>
    </row>
    <row r="806" spans="12:14" hidden="1" x14ac:dyDescent="0.45">
      <c r="L806" s="1489"/>
      <c r="M806" s="1489"/>
      <c r="N806" s="1489"/>
    </row>
    <row r="807" spans="12:14" hidden="1" x14ac:dyDescent="0.45">
      <c r="L807" s="1489"/>
      <c r="M807" s="1489"/>
      <c r="N807" s="1489"/>
    </row>
    <row r="808" spans="12:14" hidden="1" x14ac:dyDescent="0.45">
      <c r="L808" s="1489"/>
      <c r="M808" s="1489"/>
      <c r="N808" s="1489"/>
    </row>
    <row r="809" spans="12:14" hidden="1" x14ac:dyDescent="0.45">
      <c r="L809" s="1489"/>
      <c r="M809" s="1489"/>
      <c r="N809" s="1489"/>
    </row>
    <row r="810" spans="12:14" hidden="1" x14ac:dyDescent="0.45">
      <c r="L810" s="1489"/>
      <c r="M810" s="1489"/>
      <c r="N810" s="1489"/>
    </row>
    <row r="811" spans="12:14" hidden="1" x14ac:dyDescent="0.45">
      <c r="L811" s="1489"/>
      <c r="M811" s="1489"/>
      <c r="N811" s="1489"/>
    </row>
    <row r="812" spans="12:14" hidden="1" x14ac:dyDescent="0.45">
      <c r="L812" s="1489"/>
      <c r="M812" s="1489"/>
      <c r="N812" s="1489"/>
    </row>
    <row r="813" spans="12:14" hidden="1" x14ac:dyDescent="0.45">
      <c r="L813" s="1489"/>
      <c r="M813" s="1489"/>
      <c r="N813" s="1489"/>
    </row>
    <row r="814" spans="12:14" hidden="1" x14ac:dyDescent="0.45">
      <c r="L814" s="1489"/>
      <c r="M814" s="1489"/>
      <c r="N814" s="1489"/>
    </row>
    <row r="815" spans="12:14" hidden="1" x14ac:dyDescent="0.45">
      <c r="L815" s="1489"/>
      <c r="M815" s="1489"/>
      <c r="N815" s="1489"/>
    </row>
    <row r="816" spans="12:14" hidden="1" x14ac:dyDescent="0.45">
      <c r="L816" s="1489"/>
      <c r="M816" s="1489"/>
      <c r="N816" s="1489"/>
    </row>
    <row r="817" spans="12:14" hidden="1" x14ac:dyDescent="0.45">
      <c r="L817" s="1489"/>
      <c r="M817" s="1489"/>
      <c r="N817" s="1489"/>
    </row>
    <row r="818" spans="12:14" hidden="1" x14ac:dyDescent="0.45">
      <c r="L818" s="1489"/>
      <c r="M818" s="1489"/>
      <c r="N818" s="1489"/>
    </row>
    <row r="819" spans="12:14" hidden="1" x14ac:dyDescent="0.45">
      <c r="L819" s="1489"/>
      <c r="M819" s="1489"/>
      <c r="N819" s="1489"/>
    </row>
    <row r="820" spans="12:14" hidden="1" x14ac:dyDescent="0.45">
      <c r="L820" s="1489"/>
      <c r="M820" s="1489"/>
      <c r="N820" s="1489"/>
    </row>
    <row r="821" spans="12:14" hidden="1" x14ac:dyDescent="0.45">
      <c r="L821" s="1489"/>
      <c r="M821" s="1489"/>
      <c r="N821" s="1489"/>
    </row>
    <row r="822" spans="12:14" hidden="1" x14ac:dyDescent="0.45">
      <c r="L822" s="1489"/>
      <c r="M822" s="1489"/>
      <c r="N822" s="1489"/>
    </row>
    <row r="823" spans="12:14" hidden="1" x14ac:dyDescent="0.45">
      <c r="L823" s="1489"/>
      <c r="M823" s="1489"/>
      <c r="N823" s="1489"/>
    </row>
    <row r="824" spans="12:14" hidden="1" x14ac:dyDescent="0.45">
      <c r="L824" s="1489"/>
      <c r="M824" s="1489"/>
      <c r="N824" s="1489"/>
    </row>
    <row r="825" spans="12:14" hidden="1" x14ac:dyDescent="0.45">
      <c r="L825" s="1489"/>
      <c r="M825" s="1489"/>
      <c r="N825" s="1489"/>
    </row>
    <row r="826" spans="12:14" hidden="1" x14ac:dyDescent="0.45">
      <c r="L826" s="1489"/>
      <c r="M826" s="1489"/>
      <c r="N826" s="1489"/>
    </row>
    <row r="827" spans="12:14" hidden="1" x14ac:dyDescent="0.45">
      <c r="L827" s="1489"/>
      <c r="M827" s="1489"/>
      <c r="N827" s="1489"/>
    </row>
    <row r="828" spans="12:14" hidden="1" x14ac:dyDescent="0.45">
      <c r="L828" s="1489"/>
      <c r="M828" s="1489"/>
      <c r="N828" s="1489"/>
    </row>
    <row r="829" spans="12:14" hidden="1" x14ac:dyDescent="0.45">
      <c r="L829" s="1489"/>
      <c r="M829" s="1489"/>
      <c r="N829" s="1489"/>
    </row>
    <row r="830" spans="12:14" hidden="1" x14ac:dyDescent="0.45">
      <c r="L830" s="1489"/>
      <c r="M830" s="1489"/>
      <c r="N830" s="1489"/>
    </row>
    <row r="831" spans="12:14" hidden="1" x14ac:dyDescent="0.45">
      <c r="L831" s="1489"/>
      <c r="M831" s="1489"/>
      <c r="N831" s="1489"/>
    </row>
    <row r="832" spans="12:14" hidden="1" x14ac:dyDescent="0.45">
      <c r="L832" s="1489"/>
      <c r="M832" s="1489"/>
      <c r="N832" s="1489"/>
    </row>
    <row r="833" spans="12:14" hidden="1" x14ac:dyDescent="0.45">
      <c r="L833" s="1489"/>
      <c r="M833" s="1489"/>
      <c r="N833" s="1489"/>
    </row>
    <row r="834" spans="12:14" hidden="1" x14ac:dyDescent="0.45">
      <c r="L834" s="1489"/>
      <c r="M834" s="1489"/>
      <c r="N834" s="1489"/>
    </row>
    <row r="835" spans="12:14" hidden="1" x14ac:dyDescent="0.45">
      <c r="L835" s="1489"/>
      <c r="M835" s="1489"/>
      <c r="N835" s="1489"/>
    </row>
    <row r="836" spans="12:14" hidden="1" x14ac:dyDescent="0.45">
      <c r="L836" s="1489"/>
      <c r="M836" s="1489"/>
      <c r="N836" s="1489"/>
    </row>
    <row r="837" spans="12:14" hidden="1" x14ac:dyDescent="0.45">
      <c r="L837" s="1489"/>
      <c r="M837" s="1489"/>
      <c r="N837" s="1489"/>
    </row>
    <row r="838" spans="12:14" hidden="1" x14ac:dyDescent="0.45">
      <c r="L838" s="1489"/>
      <c r="M838" s="1489"/>
      <c r="N838" s="1489"/>
    </row>
    <row r="839" spans="12:14" hidden="1" x14ac:dyDescent="0.45">
      <c r="L839" s="1489"/>
      <c r="M839" s="1489"/>
      <c r="N839" s="1489"/>
    </row>
    <row r="840" spans="12:14" hidden="1" x14ac:dyDescent="0.45">
      <c r="L840" s="1489"/>
      <c r="M840" s="1489"/>
      <c r="N840" s="1489"/>
    </row>
    <row r="841" spans="12:14" hidden="1" x14ac:dyDescent="0.45">
      <c r="L841" s="1489"/>
      <c r="M841" s="1489"/>
      <c r="N841" s="1489"/>
    </row>
    <row r="842" spans="12:14" hidden="1" x14ac:dyDescent="0.45">
      <c r="L842" s="1489"/>
      <c r="M842" s="1489"/>
      <c r="N842" s="1489"/>
    </row>
    <row r="843" spans="12:14" hidden="1" x14ac:dyDescent="0.45">
      <c r="L843" s="1489"/>
      <c r="M843" s="1489"/>
      <c r="N843" s="1489"/>
    </row>
    <row r="844" spans="12:14" hidden="1" x14ac:dyDescent="0.45">
      <c r="L844" s="1489"/>
      <c r="M844" s="1489"/>
      <c r="N844" s="1489"/>
    </row>
    <row r="845" spans="12:14" hidden="1" x14ac:dyDescent="0.45">
      <c r="L845" s="1489"/>
      <c r="M845" s="1489"/>
      <c r="N845" s="1489"/>
    </row>
    <row r="846" spans="12:14" hidden="1" x14ac:dyDescent="0.45">
      <c r="L846" s="1489"/>
      <c r="M846" s="1489"/>
      <c r="N846" s="1489"/>
    </row>
    <row r="847" spans="12:14" hidden="1" x14ac:dyDescent="0.45">
      <c r="L847" s="1489"/>
      <c r="M847" s="1489"/>
      <c r="N847" s="1489"/>
    </row>
    <row r="848" spans="12:14" hidden="1" x14ac:dyDescent="0.45">
      <c r="L848" s="1489"/>
      <c r="M848" s="1489"/>
      <c r="N848" s="1489"/>
    </row>
    <row r="849" spans="12:14" hidden="1" x14ac:dyDescent="0.45">
      <c r="L849" s="1489"/>
      <c r="M849" s="1489"/>
      <c r="N849" s="1489"/>
    </row>
    <row r="850" spans="12:14" hidden="1" x14ac:dyDescent="0.45">
      <c r="L850" s="1489"/>
      <c r="M850" s="1489"/>
      <c r="N850" s="1489"/>
    </row>
    <row r="851" spans="12:14" hidden="1" x14ac:dyDescent="0.45">
      <c r="L851" s="1489"/>
      <c r="M851" s="1489"/>
      <c r="N851" s="1489"/>
    </row>
    <row r="852" spans="12:14" hidden="1" x14ac:dyDescent="0.45">
      <c r="L852" s="1489"/>
      <c r="M852" s="1489"/>
      <c r="N852" s="1489"/>
    </row>
    <row r="853" spans="12:14" hidden="1" x14ac:dyDescent="0.45">
      <c r="L853" s="1489"/>
      <c r="M853" s="1489"/>
      <c r="N853" s="1489"/>
    </row>
    <row r="854" spans="12:14" hidden="1" x14ac:dyDescent="0.45">
      <c r="L854" s="1489"/>
      <c r="M854" s="1489"/>
      <c r="N854" s="1489"/>
    </row>
    <row r="855" spans="12:14" hidden="1" x14ac:dyDescent="0.45">
      <c r="L855" s="1489"/>
      <c r="M855" s="1489"/>
      <c r="N855" s="1489"/>
    </row>
    <row r="856" spans="12:14" hidden="1" x14ac:dyDescent="0.45">
      <c r="L856" s="1489"/>
      <c r="M856" s="1489"/>
      <c r="N856" s="1489"/>
    </row>
    <row r="857" spans="12:14" hidden="1" x14ac:dyDescent="0.45">
      <c r="L857" s="1489"/>
      <c r="M857" s="1489"/>
      <c r="N857" s="1489"/>
    </row>
    <row r="858" spans="12:14" hidden="1" x14ac:dyDescent="0.45">
      <c r="L858" s="1489"/>
      <c r="M858" s="1489"/>
      <c r="N858" s="1489"/>
    </row>
    <row r="859" spans="12:14" hidden="1" x14ac:dyDescent="0.45">
      <c r="L859" s="1489"/>
      <c r="M859" s="1489"/>
      <c r="N859" s="1489"/>
    </row>
    <row r="860" spans="12:14" hidden="1" x14ac:dyDescent="0.45">
      <c r="L860" s="1489"/>
      <c r="M860" s="1489"/>
      <c r="N860" s="1489"/>
    </row>
    <row r="861" spans="12:14" hidden="1" x14ac:dyDescent="0.45">
      <c r="L861" s="1489"/>
      <c r="M861" s="1489"/>
      <c r="N861" s="1489"/>
    </row>
    <row r="862" spans="12:14" hidden="1" x14ac:dyDescent="0.45">
      <c r="L862" s="1489"/>
      <c r="M862" s="1489"/>
      <c r="N862" s="1489"/>
    </row>
    <row r="863" spans="12:14" hidden="1" x14ac:dyDescent="0.45">
      <c r="L863" s="1489"/>
      <c r="M863" s="1489"/>
      <c r="N863" s="1489"/>
    </row>
    <row r="864" spans="12:14" hidden="1" x14ac:dyDescent="0.45">
      <c r="L864" s="1489"/>
      <c r="M864" s="1489"/>
      <c r="N864" s="1489"/>
    </row>
    <row r="865" spans="12:14" hidden="1" x14ac:dyDescent="0.45">
      <c r="L865" s="1489"/>
      <c r="M865" s="1489"/>
      <c r="N865" s="1489"/>
    </row>
    <row r="866" spans="12:14" hidden="1" x14ac:dyDescent="0.45">
      <c r="L866" s="1489"/>
      <c r="M866" s="1489"/>
      <c r="N866" s="1489"/>
    </row>
    <row r="867" spans="12:14" hidden="1" x14ac:dyDescent="0.45">
      <c r="L867" s="1489"/>
      <c r="M867" s="1489"/>
      <c r="N867" s="1489"/>
    </row>
    <row r="868" spans="12:14" hidden="1" x14ac:dyDescent="0.45">
      <c r="L868" s="1489"/>
      <c r="M868" s="1489"/>
      <c r="N868" s="1489"/>
    </row>
    <row r="869" spans="12:14" hidden="1" x14ac:dyDescent="0.45">
      <c r="L869" s="1489"/>
      <c r="M869" s="1489"/>
      <c r="N869" s="1489"/>
    </row>
    <row r="870" spans="12:14" hidden="1" x14ac:dyDescent="0.45">
      <c r="L870" s="1489"/>
      <c r="M870" s="1489"/>
      <c r="N870" s="1489"/>
    </row>
    <row r="871" spans="12:14" hidden="1" x14ac:dyDescent="0.45">
      <c r="L871" s="1489"/>
      <c r="M871" s="1489"/>
      <c r="N871" s="1489"/>
    </row>
    <row r="872" spans="12:14" hidden="1" x14ac:dyDescent="0.45">
      <c r="L872" s="1489"/>
      <c r="M872" s="1489"/>
      <c r="N872" s="1489"/>
    </row>
    <row r="873" spans="12:14" hidden="1" x14ac:dyDescent="0.45">
      <c r="L873" s="1489"/>
      <c r="M873" s="1489"/>
      <c r="N873" s="1489"/>
    </row>
    <row r="874" spans="12:14" hidden="1" x14ac:dyDescent="0.45">
      <c r="L874" s="1489"/>
      <c r="M874" s="1489"/>
      <c r="N874" s="1489"/>
    </row>
    <row r="875" spans="12:14" hidden="1" x14ac:dyDescent="0.45">
      <c r="L875" s="1489"/>
      <c r="M875" s="1489"/>
      <c r="N875" s="1489"/>
    </row>
    <row r="876" spans="12:14" hidden="1" x14ac:dyDescent="0.45">
      <c r="L876" s="1489"/>
      <c r="M876" s="1489"/>
      <c r="N876" s="1489"/>
    </row>
    <row r="877" spans="12:14" hidden="1" x14ac:dyDescent="0.45">
      <c r="L877" s="1489"/>
      <c r="M877" s="1489"/>
      <c r="N877" s="1489"/>
    </row>
    <row r="878" spans="12:14" hidden="1" x14ac:dyDescent="0.45">
      <c r="L878" s="1489"/>
      <c r="M878" s="1489"/>
      <c r="N878" s="1489"/>
    </row>
    <row r="879" spans="12:14" hidden="1" x14ac:dyDescent="0.45">
      <c r="L879" s="1489"/>
      <c r="M879" s="1489"/>
      <c r="N879" s="1489"/>
    </row>
    <row r="880" spans="12:14" hidden="1" x14ac:dyDescent="0.45">
      <c r="L880" s="1489"/>
      <c r="M880" s="1489"/>
      <c r="N880" s="1489"/>
    </row>
    <row r="881" hidden="1" x14ac:dyDescent="0.45"/>
  </sheetData>
  <sheetProtection algorithmName="SHA-512" hashValue="6YZOPpBRPLN+oDLCdGGr+/Z/OGBqaQ+JQJDmh/mWEB0xic87X+epdufhe7loQp6LZD8oUsTB8DUn9fS4HnmGZg==" saltValue="uQqDFoDz16QtcacxJeNn2w==" spinCount="100000" sheet="1" objects="1" scenarios="1"/>
  <mergeCells count="577">
    <mergeCell ref="C367:D367"/>
    <mergeCell ref="C368:D368"/>
    <mergeCell ref="E107:E108"/>
    <mergeCell ref="F107:H107"/>
    <mergeCell ref="I107:K107"/>
    <mergeCell ref="L107:N107"/>
    <mergeCell ref="L85:N85"/>
    <mergeCell ref="C349:D349"/>
    <mergeCell ref="C366:D366"/>
    <mergeCell ref="A423:D423"/>
    <mergeCell ref="A425:D425"/>
    <mergeCell ref="P318:P324"/>
    <mergeCell ref="P333:P344"/>
    <mergeCell ref="P356:P365"/>
    <mergeCell ref="P373:P382"/>
    <mergeCell ref="A390:A406"/>
    <mergeCell ref="C390:D390"/>
    <mergeCell ref="C393:D393"/>
    <mergeCell ref="C394:D394"/>
    <mergeCell ref="C395:D395"/>
    <mergeCell ref="C400:D400"/>
    <mergeCell ref="C401:D401"/>
    <mergeCell ref="C402:D402"/>
    <mergeCell ref="A356:A372"/>
    <mergeCell ref="C356:D356"/>
    <mergeCell ref="C359:D359"/>
    <mergeCell ref="C360:D360"/>
    <mergeCell ref="C361:D361"/>
    <mergeCell ref="A416:A419"/>
    <mergeCell ref="B416:D416"/>
    <mergeCell ref="B417:D417"/>
    <mergeCell ref="C22:D22"/>
    <mergeCell ref="C27:D27"/>
    <mergeCell ref="C44:D44"/>
    <mergeCell ref="C51:D51"/>
    <mergeCell ref="C52:D52"/>
    <mergeCell ref="C53:D53"/>
    <mergeCell ref="C75:D75"/>
    <mergeCell ref="C76:D76"/>
    <mergeCell ref="C77:D77"/>
    <mergeCell ref="C42:D42"/>
    <mergeCell ref="C70:D70"/>
    <mergeCell ref="A411:A415"/>
    <mergeCell ref="B411:D411"/>
    <mergeCell ref="B412:D412"/>
    <mergeCell ref="B413:D413"/>
    <mergeCell ref="B414:D414"/>
    <mergeCell ref="B415:D415"/>
    <mergeCell ref="C457:D457"/>
    <mergeCell ref="C458:D458"/>
    <mergeCell ref="C441:D441"/>
    <mergeCell ref="B418:D418"/>
    <mergeCell ref="B419:D419"/>
    <mergeCell ref="C450:C453"/>
    <mergeCell ref="A598:A612"/>
    <mergeCell ref="A613:A634"/>
    <mergeCell ref="C615:D615"/>
    <mergeCell ref="A439:A453"/>
    <mergeCell ref="A454:A475"/>
    <mergeCell ref="C456:D456"/>
    <mergeCell ref="C459:D459"/>
    <mergeCell ref="C454:D454"/>
    <mergeCell ref="C467:C470"/>
    <mergeCell ref="C455:D455"/>
    <mergeCell ref="B533:D533"/>
    <mergeCell ref="B534:D534"/>
    <mergeCell ref="B535:D535"/>
    <mergeCell ref="B536:D536"/>
    <mergeCell ref="A670:A685"/>
    <mergeCell ref="C672:D672"/>
    <mergeCell ref="C638:D638"/>
    <mergeCell ref="C641:D641"/>
    <mergeCell ref="A653:A668"/>
    <mergeCell ref="C655:D655"/>
    <mergeCell ref="C658:D658"/>
    <mergeCell ref="C660:C663"/>
    <mergeCell ref="C677:C680"/>
    <mergeCell ref="A636:A651"/>
    <mergeCell ref="C675:D675"/>
    <mergeCell ref="C666:C669"/>
    <mergeCell ref="C656:D656"/>
    <mergeCell ref="Q683:Q685"/>
    <mergeCell ref="Q656:R656"/>
    <mergeCell ref="Q657:R657"/>
    <mergeCell ref="Q637:R637"/>
    <mergeCell ref="Q636:R636"/>
    <mergeCell ref="Q639:R639"/>
    <mergeCell ref="O670:O685"/>
    <mergeCell ref="Q672:R672"/>
    <mergeCell ref="Q675:R675"/>
    <mergeCell ref="Q677:Q680"/>
    <mergeCell ref="O636:O651"/>
    <mergeCell ref="Q638:R638"/>
    <mergeCell ref="Q641:R641"/>
    <mergeCell ref="O653:O668"/>
    <mergeCell ref="Q655:R655"/>
    <mergeCell ref="Q658:R658"/>
    <mergeCell ref="Q660:Q663"/>
    <mergeCell ref="Q649:Q652"/>
    <mergeCell ref="A254:D258"/>
    <mergeCell ref="C439:D439"/>
    <mergeCell ref="C440:D440"/>
    <mergeCell ref="B538:D538"/>
    <mergeCell ref="B539:D539"/>
    <mergeCell ref="C442:C445"/>
    <mergeCell ref="F596:H596"/>
    <mergeCell ref="J573:L573"/>
    <mergeCell ref="A263:A267"/>
    <mergeCell ref="C478:D478"/>
    <mergeCell ref="A297:E302"/>
    <mergeCell ref="C446:C449"/>
    <mergeCell ref="C497:D497"/>
    <mergeCell ref="I596:K596"/>
    <mergeCell ref="G561:I561"/>
    <mergeCell ref="G573:I573"/>
    <mergeCell ref="A373:A389"/>
    <mergeCell ref="C373:D373"/>
    <mergeCell ref="C376:D376"/>
    <mergeCell ref="C377:D377"/>
    <mergeCell ref="C378:D378"/>
    <mergeCell ref="C383:D383"/>
    <mergeCell ref="C384:D384"/>
    <mergeCell ref="C385:D385"/>
    <mergeCell ref="S713:U713"/>
    <mergeCell ref="D3:E3"/>
    <mergeCell ref="AC725:AG725"/>
    <mergeCell ref="F547:H547"/>
    <mergeCell ref="I547:K547"/>
    <mergeCell ref="L547:N547"/>
    <mergeCell ref="A712:D713"/>
    <mergeCell ref="AC596:AG596"/>
    <mergeCell ref="M573:O573"/>
    <mergeCell ref="M561:O561"/>
    <mergeCell ref="G585:I585"/>
    <mergeCell ref="A556:C556"/>
    <mergeCell ref="M551:O551"/>
    <mergeCell ref="G714:I714"/>
    <mergeCell ref="G725:I725"/>
    <mergeCell ref="O687:O688"/>
    <mergeCell ref="C670:D670"/>
    <mergeCell ref="C639:D639"/>
    <mergeCell ref="C640:D640"/>
    <mergeCell ref="L6:N6"/>
    <mergeCell ref="I8:K8"/>
    <mergeCell ref="B9:D9"/>
    <mergeCell ref="F316:H316"/>
    <mergeCell ref="F279:H279"/>
    <mergeCell ref="AH725:AL725"/>
    <mergeCell ref="Q619:R619"/>
    <mergeCell ref="Q642:R642"/>
    <mergeCell ref="Q643:Q645"/>
    <mergeCell ref="Q659:R659"/>
    <mergeCell ref="Q676:R676"/>
    <mergeCell ref="P699:R699"/>
    <mergeCell ref="P688:R688"/>
    <mergeCell ref="P689:R689"/>
    <mergeCell ref="P690:R690"/>
    <mergeCell ref="P691:R691"/>
    <mergeCell ref="Q654:R654"/>
    <mergeCell ref="Q653:R653"/>
    <mergeCell ref="Q671:R671"/>
    <mergeCell ref="Q673:R673"/>
    <mergeCell ref="Q674:R674"/>
    <mergeCell ref="Q670:R670"/>
    <mergeCell ref="S725:U725"/>
    <mergeCell ref="V725:X725"/>
    <mergeCell ref="Y725:AA725"/>
    <mergeCell ref="Q664:Q665"/>
    <mergeCell ref="Q666:Q668"/>
    <mergeCell ref="Q681:Q682"/>
    <mergeCell ref="Y713:AA713"/>
    <mergeCell ref="A17:A32"/>
    <mergeCell ref="C113:D113"/>
    <mergeCell ref="A87:A104"/>
    <mergeCell ref="C91:D91"/>
    <mergeCell ref="I4:K4"/>
    <mergeCell ref="L4:N4"/>
    <mergeCell ref="L5:N5"/>
    <mergeCell ref="AH596:AL596"/>
    <mergeCell ref="AC713:AG713"/>
    <mergeCell ref="AH713:AL713"/>
    <mergeCell ref="S594:AA594"/>
    <mergeCell ref="AC594:AL594"/>
    <mergeCell ref="O691:O695"/>
    <mergeCell ref="O696:O699"/>
    <mergeCell ref="P692:R692"/>
    <mergeCell ref="P693:R693"/>
    <mergeCell ref="P694:R694"/>
    <mergeCell ref="P695:R695"/>
    <mergeCell ref="P696:R696"/>
    <mergeCell ref="P697:R697"/>
    <mergeCell ref="P698:R698"/>
    <mergeCell ref="Q640:R640"/>
    <mergeCell ref="V596:X596"/>
    <mergeCell ref="S596:U596"/>
    <mergeCell ref="Q316:S316"/>
    <mergeCell ref="P254:S254"/>
    <mergeCell ref="P263:S263"/>
    <mergeCell ref="P210:S210"/>
    <mergeCell ref="AD85:AH85"/>
    <mergeCell ref="Y596:AA596"/>
    <mergeCell ref="S546:U546"/>
    <mergeCell ref="V546:X546"/>
    <mergeCell ref="Y546:AA546"/>
    <mergeCell ref="P390:P399"/>
    <mergeCell ref="P407:P408"/>
    <mergeCell ref="P409:P410"/>
    <mergeCell ref="P201:S201"/>
    <mergeCell ref="P439:P445"/>
    <mergeCell ref="P454:P465"/>
    <mergeCell ref="P477:P486"/>
    <mergeCell ref="P494:P503"/>
    <mergeCell ref="P528:P529"/>
    <mergeCell ref="P530:P531"/>
    <mergeCell ref="P511:P520"/>
    <mergeCell ref="S425:T425"/>
    <mergeCell ref="C204:D204"/>
    <mergeCell ref="E210:E211"/>
    <mergeCell ref="L316:N316"/>
    <mergeCell ref="F266:H266"/>
    <mergeCell ref="A278:K278"/>
    <mergeCell ref="F263:H263"/>
    <mergeCell ref="L201:N201"/>
    <mergeCell ref="C203:D203"/>
    <mergeCell ref="F210:H210"/>
    <mergeCell ref="A304:E306"/>
    <mergeCell ref="F290:H290"/>
    <mergeCell ref="A293:E295"/>
    <mergeCell ref="A308:E308"/>
    <mergeCell ref="B229:B233"/>
    <mergeCell ref="B239:B242"/>
    <mergeCell ref="L287:N287"/>
    <mergeCell ref="I254:K254"/>
    <mergeCell ref="L254:N254"/>
    <mergeCell ref="F257:H257"/>
    <mergeCell ref="A262:K262"/>
    <mergeCell ref="E257:E258"/>
    <mergeCell ref="A269:K269"/>
    <mergeCell ref="E227:E228"/>
    <mergeCell ref="F227:H227"/>
    <mergeCell ref="E129:E130"/>
    <mergeCell ref="F129:H129"/>
    <mergeCell ref="A196:D196"/>
    <mergeCell ref="L129:N129"/>
    <mergeCell ref="I201:K201"/>
    <mergeCell ref="L210:N210"/>
    <mergeCell ref="E205:E207"/>
    <mergeCell ref="F205:H205"/>
    <mergeCell ref="A208:N209"/>
    <mergeCell ref="I129:K129"/>
    <mergeCell ref="I210:K210"/>
    <mergeCell ref="A131:A194"/>
    <mergeCell ref="C160:C173"/>
    <mergeCell ref="A210:B216"/>
    <mergeCell ref="A201:B207"/>
    <mergeCell ref="C133:D133"/>
    <mergeCell ref="C136:D136"/>
    <mergeCell ref="C174:C194"/>
    <mergeCell ref="C135:D135"/>
    <mergeCell ref="C137:D137"/>
    <mergeCell ref="C134:D134"/>
    <mergeCell ref="A129:D130"/>
    <mergeCell ref="C210:D211"/>
    <mergeCell ref="F214:H214"/>
    <mergeCell ref="AQ129:AS129"/>
    <mergeCell ref="X129:Z129"/>
    <mergeCell ref="AA129:AC129"/>
    <mergeCell ref="AD129:AH129"/>
    <mergeCell ref="AN129:AP129"/>
    <mergeCell ref="AI129:AM129"/>
    <mergeCell ref="X107:Z107"/>
    <mergeCell ref="AA107:AC107"/>
    <mergeCell ref="AD107:AH107"/>
    <mergeCell ref="AN107:AP107"/>
    <mergeCell ref="AI107:AM107"/>
    <mergeCell ref="P15:T15"/>
    <mergeCell ref="E15:E16"/>
    <mergeCell ref="P770:Y770"/>
    <mergeCell ref="G737:I737"/>
    <mergeCell ref="J737:L737"/>
    <mergeCell ref="M737:O737"/>
    <mergeCell ref="B746:F746"/>
    <mergeCell ref="G747:I747"/>
    <mergeCell ref="M747:O747"/>
    <mergeCell ref="J747:L747"/>
    <mergeCell ref="A749:F749"/>
    <mergeCell ref="G750:I750"/>
    <mergeCell ref="A751:F751"/>
    <mergeCell ref="S747:U747"/>
    <mergeCell ref="V747:X747"/>
    <mergeCell ref="Y747:AA747"/>
    <mergeCell ref="S750:U750"/>
    <mergeCell ref="A752:F752"/>
    <mergeCell ref="S737:U737"/>
    <mergeCell ref="V737:X737"/>
    <mergeCell ref="Y737:AA737"/>
    <mergeCell ref="A734:D734"/>
    <mergeCell ref="X85:Z85"/>
    <mergeCell ref="AA85:AC85"/>
    <mergeCell ref="A1:N1"/>
    <mergeCell ref="L15:N15"/>
    <mergeCell ref="A200:N200"/>
    <mergeCell ref="E201:E202"/>
    <mergeCell ref="F201:H201"/>
    <mergeCell ref="C138:C158"/>
    <mergeCell ref="A197:E199"/>
    <mergeCell ref="F197:H197"/>
    <mergeCell ref="A2:H2"/>
    <mergeCell ref="A10:C10"/>
    <mergeCell ref="D10:K10"/>
    <mergeCell ref="A13:K14"/>
    <mergeCell ref="F15:H15"/>
    <mergeCell ref="I15:K15"/>
    <mergeCell ref="C17:D17"/>
    <mergeCell ref="B4:D4"/>
    <mergeCell ref="B5:D5"/>
    <mergeCell ref="B6:D6"/>
    <mergeCell ref="B7:D7"/>
    <mergeCell ref="B8:D8"/>
    <mergeCell ref="L8:N8"/>
    <mergeCell ref="I35:K35"/>
    <mergeCell ref="A35:D36"/>
    <mergeCell ref="A15:D16"/>
    <mergeCell ref="B283:E285"/>
    <mergeCell ref="F284:H284"/>
    <mergeCell ref="L227:N227"/>
    <mergeCell ref="B234:B238"/>
    <mergeCell ref="C212:D212"/>
    <mergeCell ref="C213:D213"/>
    <mergeCell ref="I287:K287"/>
    <mergeCell ref="I279:K279"/>
    <mergeCell ref="B274:E276"/>
    <mergeCell ref="F275:H275"/>
    <mergeCell ref="B266:E267"/>
    <mergeCell ref="F249:H249"/>
    <mergeCell ref="A227:D228"/>
    <mergeCell ref="I263:K263"/>
    <mergeCell ref="A279:A285"/>
    <mergeCell ref="I227:K227"/>
    <mergeCell ref="E222:E224"/>
    <mergeCell ref="F222:H222"/>
    <mergeCell ref="B243:B247"/>
    <mergeCell ref="A229:A247"/>
    <mergeCell ref="F254:H254"/>
    <mergeCell ref="A270:A276"/>
    <mergeCell ref="L279:N279"/>
    <mergeCell ref="L263:N263"/>
    <mergeCell ref="B581:F581"/>
    <mergeCell ref="G582:I582"/>
    <mergeCell ref="J582:L582"/>
    <mergeCell ref="M582:O582"/>
    <mergeCell ref="I316:K316"/>
    <mergeCell ref="C460:D460"/>
    <mergeCell ref="F293:H293"/>
    <mergeCell ref="L304:N304"/>
    <mergeCell ref="A318:A332"/>
    <mergeCell ref="C318:D318"/>
    <mergeCell ref="C323:D323"/>
    <mergeCell ref="C328:D328"/>
    <mergeCell ref="A333:A355"/>
    <mergeCell ref="C333:D333"/>
    <mergeCell ref="C338:D338"/>
    <mergeCell ref="C339:D339"/>
    <mergeCell ref="C340:D340"/>
    <mergeCell ref="C347:D347"/>
    <mergeCell ref="C348:D348"/>
    <mergeCell ref="L297:N297"/>
    <mergeCell ref="C461:C466"/>
    <mergeCell ref="A477:A492"/>
    <mergeCell ref="C479:D479"/>
    <mergeCell ref="C482:D482"/>
    <mergeCell ref="C522:C523"/>
    <mergeCell ref="C512:D512"/>
    <mergeCell ref="C524:C526"/>
    <mergeCell ref="C505:C506"/>
    <mergeCell ref="F297:H297"/>
    <mergeCell ref="I297:K297"/>
    <mergeCell ref="F300:H300"/>
    <mergeCell ref="F304:H304"/>
    <mergeCell ref="A287:E291"/>
    <mergeCell ref="F287:H287"/>
    <mergeCell ref="A494:A509"/>
    <mergeCell ref="C496:D496"/>
    <mergeCell ref="C499:D499"/>
    <mergeCell ref="C501:C504"/>
    <mergeCell ref="A511:A526"/>
    <mergeCell ref="C513:D513"/>
    <mergeCell ref="C516:D516"/>
    <mergeCell ref="C518:C521"/>
    <mergeCell ref="A407:A408"/>
    <mergeCell ref="B407:D407"/>
    <mergeCell ref="B408:D408"/>
    <mergeCell ref="A409:A410"/>
    <mergeCell ref="B409:D409"/>
    <mergeCell ref="B410:D410"/>
    <mergeCell ref="A544:D544"/>
    <mergeCell ref="B540:D540"/>
    <mergeCell ref="A537:A540"/>
    <mergeCell ref="A584:F584"/>
    <mergeCell ref="A550:D550"/>
    <mergeCell ref="A559:D559"/>
    <mergeCell ref="A572:D572"/>
    <mergeCell ref="C471:C475"/>
    <mergeCell ref="C488:C489"/>
    <mergeCell ref="C490:C492"/>
    <mergeCell ref="B530:D530"/>
    <mergeCell ref="A530:A531"/>
    <mergeCell ref="B531:D531"/>
    <mergeCell ref="A528:A529"/>
    <mergeCell ref="B528:D528"/>
    <mergeCell ref="C477:D477"/>
    <mergeCell ref="C480:D480"/>
    <mergeCell ref="C511:D511"/>
    <mergeCell ref="B529:D529"/>
    <mergeCell ref="C494:D494"/>
    <mergeCell ref="C495:D495"/>
    <mergeCell ref="C500:D500"/>
    <mergeCell ref="A532:A536"/>
    <mergeCell ref="C507:C509"/>
    <mergeCell ref="A724:D724"/>
    <mergeCell ref="L712:N712"/>
    <mergeCell ref="O689:O690"/>
    <mergeCell ref="C693:D693"/>
    <mergeCell ref="C694:D694"/>
    <mergeCell ref="A689:A690"/>
    <mergeCell ref="A586:F586"/>
    <mergeCell ref="C647:C648"/>
    <mergeCell ref="C649:C651"/>
    <mergeCell ref="L596:N596"/>
    <mergeCell ref="A587:F587"/>
    <mergeCell ref="J714:L714"/>
    <mergeCell ref="M714:O714"/>
    <mergeCell ref="C676:D676"/>
    <mergeCell ref="A691:A699"/>
    <mergeCell ref="B691:B695"/>
    <mergeCell ref="C697:D697"/>
    <mergeCell ref="A687:A688"/>
    <mergeCell ref="B687:D687"/>
    <mergeCell ref="C681:C682"/>
    <mergeCell ref="C683:C685"/>
    <mergeCell ref="C618:D618"/>
    <mergeCell ref="C620:C625"/>
    <mergeCell ref="C630:C635"/>
    <mergeCell ref="C671:D671"/>
    <mergeCell ref="C673:D673"/>
    <mergeCell ref="C674:D674"/>
    <mergeCell ref="A706:D706"/>
    <mergeCell ref="F712:H712"/>
    <mergeCell ref="I712:K712"/>
    <mergeCell ref="B688:D688"/>
    <mergeCell ref="J551:L551"/>
    <mergeCell ref="C514:D514"/>
    <mergeCell ref="C515:D515"/>
    <mergeCell ref="C517:D517"/>
    <mergeCell ref="C657:D657"/>
    <mergeCell ref="B532:D532"/>
    <mergeCell ref="C616:D616"/>
    <mergeCell ref="C617:D617"/>
    <mergeCell ref="C600:D600"/>
    <mergeCell ref="C601:C604"/>
    <mergeCell ref="J561:L561"/>
    <mergeCell ref="D551:D552"/>
    <mergeCell ref="F551:F552"/>
    <mergeCell ref="G551:I551"/>
    <mergeCell ref="B537:D537"/>
    <mergeCell ref="A546:D546"/>
    <mergeCell ref="A566:C566"/>
    <mergeCell ref="Q605:Q608"/>
    <mergeCell ref="Q609:Q612"/>
    <mergeCell ref="Q626:Q629"/>
    <mergeCell ref="Q630:Q634"/>
    <mergeCell ref="Q647:Q648"/>
    <mergeCell ref="C598:D598"/>
    <mergeCell ref="C599:D599"/>
    <mergeCell ref="C605:C608"/>
    <mergeCell ref="C609:C612"/>
    <mergeCell ref="Q613:R613"/>
    <mergeCell ref="Q614:R614"/>
    <mergeCell ref="O598:O612"/>
    <mergeCell ref="O613:O634"/>
    <mergeCell ref="Q615:R615"/>
    <mergeCell ref="C613:D613"/>
    <mergeCell ref="C614:D614"/>
    <mergeCell ref="C619:D619"/>
    <mergeCell ref="C626:C629"/>
    <mergeCell ref="Q600:R600"/>
    <mergeCell ref="Q601:Q604"/>
    <mergeCell ref="Q616:R616"/>
    <mergeCell ref="Q617:R617"/>
    <mergeCell ref="Q620:Q625"/>
    <mergeCell ref="Q618:R618"/>
    <mergeCell ref="J725:L725"/>
    <mergeCell ref="M725:O725"/>
    <mergeCell ref="Q598:R598"/>
    <mergeCell ref="Q599:R599"/>
    <mergeCell ref="V713:X713"/>
    <mergeCell ref="A704:D704"/>
    <mergeCell ref="C653:D653"/>
    <mergeCell ref="B689:D689"/>
    <mergeCell ref="B690:D690"/>
    <mergeCell ref="C642:D642"/>
    <mergeCell ref="C659:D659"/>
    <mergeCell ref="C654:D654"/>
    <mergeCell ref="C643:C645"/>
    <mergeCell ref="C636:D636"/>
    <mergeCell ref="P687:R687"/>
    <mergeCell ref="C637:D637"/>
    <mergeCell ref="B696:B699"/>
    <mergeCell ref="C691:D691"/>
    <mergeCell ref="C692:D692"/>
    <mergeCell ref="C695:D695"/>
    <mergeCell ref="C696:D696"/>
    <mergeCell ref="C698:D698"/>
    <mergeCell ref="C699:D699"/>
    <mergeCell ref="C664:C665"/>
    <mergeCell ref="C498:D498"/>
    <mergeCell ref="AN85:AP85"/>
    <mergeCell ref="AQ85:AS85"/>
    <mergeCell ref="P85:T85"/>
    <mergeCell ref="AI85:AM85"/>
    <mergeCell ref="C90:D90"/>
    <mergeCell ref="E85:E86"/>
    <mergeCell ref="F85:H85"/>
    <mergeCell ref="C112:D112"/>
    <mergeCell ref="C109:D109"/>
    <mergeCell ref="AQ107:AS107"/>
    <mergeCell ref="P107:T107"/>
    <mergeCell ref="I85:K85"/>
    <mergeCell ref="C97:D97"/>
    <mergeCell ref="C98:D98"/>
    <mergeCell ref="C99:D99"/>
    <mergeCell ref="C92:D92"/>
    <mergeCell ref="C114:D114"/>
    <mergeCell ref="C481:D481"/>
    <mergeCell ref="C483:D483"/>
    <mergeCell ref="C484:C486"/>
    <mergeCell ref="F270:H270"/>
    <mergeCell ref="I270:K270"/>
    <mergeCell ref="L270:N270"/>
    <mergeCell ref="D12:N12"/>
    <mergeCell ref="A11:C11"/>
    <mergeCell ref="A217:N218"/>
    <mergeCell ref="A219:D224"/>
    <mergeCell ref="E219:E220"/>
    <mergeCell ref="F219:H219"/>
    <mergeCell ref="I219:K219"/>
    <mergeCell ref="L219:N219"/>
    <mergeCell ref="C214:E216"/>
    <mergeCell ref="C131:D131"/>
    <mergeCell ref="C132:D132"/>
    <mergeCell ref="C87:D87"/>
    <mergeCell ref="B32:D32"/>
    <mergeCell ref="C37:D37"/>
    <mergeCell ref="L35:N35"/>
    <mergeCell ref="L63:N63"/>
    <mergeCell ref="I63:K63"/>
    <mergeCell ref="F63:H63"/>
    <mergeCell ref="E63:E64"/>
    <mergeCell ref="E35:E36"/>
    <mergeCell ref="F35:H35"/>
    <mergeCell ref="B104:D104"/>
    <mergeCell ref="A37:A60"/>
    <mergeCell ref="B60:D60"/>
    <mergeCell ref="A109:A126"/>
    <mergeCell ref="B126:D126"/>
    <mergeCell ref="B82:D82"/>
    <mergeCell ref="A65:A82"/>
    <mergeCell ref="C65:D65"/>
    <mergeCell ref="C68:D68"/>
    <mergeCell ref="C69:D69"/>
    <mergeCell ref="C43:D43"/>
    <mergeCell ref="A107:D108"/>
    <mergeCell ref="A85:D86"/>
    <mergeCell ref="A63:D64"/>
    <mergeCell ref="C119:D119"/>
    <mergeCell ref="C120:D120"/>
    <mergeCell ref="C121:D121"/>
  </mergeCells>
  <phoneticPr fontId="262" type="noConversion"/>
  <dataValidations disablePrompts="1" count="1">
    <dataValidation type="list" allowBlank="1" showInputMessage="1" showErrorMessage="1" sqref="L5:N5" xr:uid="{00000000-0002-0000-0500-000000000000}">
      <formula1>$V$3:$V$4</formula1>
    </dataValidation>
  </dataValidations>
  <pageMargins left="0.70866141732283472" right="0.70866141732283472" top="0.74803149606299213" bottom="0.74803149606299213" header="0.31496062992125984" footer="0.31496062992125984"/>
  <pageSetup paperSize="9" scale="10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-0.499984740745262"/>
  </sheetPr>
  <dimension ref="A1:AE283"/>
  <sheetViews>
    <sheetView showGridLines="0" workbookViewId="0">
      <selection activeCell="D8" sqref="D8"/>
    </sheetView>
  </sheetViews>
  <sheetFormatPr baseColWidth="10" defaultColWidth="11.42578125" defaultRowHeight="12.75" x14ac:dyDescent="0.2"/>
  <cols>
    <col min="2" max="2" width="17.28515625" customWidth="1"/>
    <col min="3" max="3" width="20" customWidth="1"/>
    <col min="4" max="4" width="13" style="214" customWidth="1"/>
    <col min="5" max="5" width="15.7109375" style="214" customWidth="1"/>
    <col min="6" max="6" width="13" style="214" customWidth="1"/>
    <col min="7" max="7" width="15" style="214" customWidth="1"/>
    <col min="8" max="16" width="18" style="214" customWidth="1"/>
    <col min="17" max="19" width="12.140625" customWidth="1"/>
    <col min="20" max="61" width="0" hidden="1" customWidth="1"/>
  </cols>
  <sheetData>
    <row r="1" spans="1:25" ht="123.95" customHeight="1" x14ac:dyDescent="0.2">
      <c r="A1" s="4574" t="s">
        <v>482</v>
      </c>
      <c r="B1" s="4574"/>
      <c r="C1" s="4574"/>
      <c r="D1" s="4574"/>
      <c r="E1" s="4574"/>
      <c r="F1" s="4574"/>
      <c r="G1" s="4574"/>
      <c r="H1" s="4574"/>
      <c r="I1" s="4574"/>
      <c r="J1" s="4574"/>
      <c r="K1" s="4574"/>
      <c r="L1" s="4574"/>
      <c r="M1" s="4574"/>
    </row>
    <row r="2" spans="1:25" ht="34.700000000000003" customHeight="1" x14ac:dyDescent="0.25">
      <c r="A2" s="4575" t="s">
        <v>483</v>
      </c>
      <c r="B2" s="4575"/>
      <c r="C2" s="4575"/>
      <c r="D2" s="4575"/>
      <c r="E2" s="4575"/>
      <c r="F2" s="4575"/>
      <c r="G2" s="4575"/>
      <c r="H2" s="4575"/>
      <c r="I2" s="4575"/>
      <c r="J2" s="4575"/>
      <c r="K2" s="4575"/>
      <c r="L2" s="4575"/>
      <c r="M2" s="4575"/>
    </row>
    <row r="3" spans="1:25" ht="15" x14ac:dyDescent="0.2">
      <c r="A3" s="4576" t="s">
        <v>484</v>
      </c>
      <c r="B3" s="4577"/>
      <c r="C3" s="4577"/>
      <c r="D3" s="4577"/>
      <c r="E3" s="4578">
        <f>+'Compra -HOJA1'!D2</f>
        <v>0</v>
      </c>
      <c r="F3" s="4578"/>
      <c r="G3" s="4578"/>
      <c r="H3" s="4578"/>
      <c r="I3" s="4578"/>
      <c r="J3" s="4578"/>
      <c r="K3" s="4578"/>
      <c r="L3" s="4578"/>
    </row>
    <row r="4" spans="1:25" ht="15" x14ac:dyDescent="0.2">
      <c r="A4" s="4576" t="s">
        <v>485</v>
      </c>
      <c r="B4" s="4577"/>
      <c r="C4" s="4577"/>
      <c r="D4" s="4577"/>
      <c r="E4" s="2762">
        <f>+'Compra -HOJA1'!F4</f>
        <v>45536</v>
      </c>
      <c r="F4" s="2762"/>
      <c r="G4" s="2761"/>
      <c r="H4" s="2761"/>
      <c r="I4" s="2761"/>
      <c r="J4" s="2763"/>
      <c r="K4" s="2763"/>
      <c r="L4" s="2763"/>
    </row>
    <row r="6" spans="1:25" ht="25.5" thickBot="1" x14ac:dyDescent="0.5">
      <c r="A6" s="4579" t="s">
        <v>486</v>
      </c>
      <c r="B6" s="4579"/>
      <c r="C6" s="4579"/>
      <c r="D6" s="4579"/>
      <c r="E6" s="4579"/>
      <c r="F6" s="4579"/>
      <c r="G6" s="4580"/>
      <c r="H6" s="4570" t="s">
        <v>487</v>
      </c>
      <c r="I6" s="4570"/>
      <c r="J6" s="4570"/>
      <c r="K6" s="4570" t="s">
        <v>488</v>
      </c>
      <c r="L6" s="4570"/>
      <c r="M6" s="4570"/>
      <c r="N6" s="4570" t="s">
        <v>489</v>
      </c>
      <c r="O6" s="4570"/>
      <c r="P6" s="4570"/>
    </row>
    <row r="7" spans="1:25" ht="50.45" customHeight="1" thickBot="1" x14ac:dyDescent="0.25">
      <c r="A7" s="21" t="s">
        <v>29</v>
      </c>
      <c r="B7" s="21" t="s">
        <v>490</v>
      </c>
      <c r="C7" s="3050" t="s">
        <v>307</v>
      </c>
      <c r="D7" s="3053" t="s">
        <v>281</v>
      </c>
      <c r="E7" s="3054" t="s">
        <v>282</v>
      </c>
      <c r="F7" s="3055" t="s">
        <v>283</v>
      </c>
      <c r="G7" s="3056" t="s">
        <v>284</v>
      </c>
      <c r="H7" s="3051" t="s">
        <v>287</v>
      </c>
      <c r="I7" s="2731" t="s">
        <v>289</v>
      </c>
      <c r="J7" s="2731" t="s">
        <v>288</v>
      </c>
      <c r="K7" s="2731" t="s">
        <v>287</v>
      </c>
      <c r="L7" s="2731" t="s">
        <v>289</v>
      </c>
      <c r="M7" s="2731" t="s">
        <v>288</v>
      </c>
      <c r="N7" s="2732" t="s">
        <v>287</v>
      </c>
      <c r="O7" s="2732" t="s">
        <v>289</v>
      </c>
      <c r="P7" s="2732" t="s">
        <v>288</v>
      </c>
      <c r="Y7" s="21" t="s">
        <v>285</v>
      </c>
    </row>
    <row r="8" spans="1:25" ht="20.25" x14ac:dyDescent="0.3">
      <c r="A8" s="3047">
        <f>+'GUDI  -HOJA2'!I9</f>
        <v>0</v>
      </c>
      <c r="B8" s="3047">
        <f>+'GUDI  -HOJA2'!B9</f>
        <v>0</v>
      </c>
      <c r="C8" s="3048">
        <f>+'GUDI  -HOJA2'!C9</f>
        <v>0</v>
      </c>
      <c r="D8" s="3052">
        <f>+ROUND('GUDI  -HOJA2'!J9,0)</f>
        <v>0</v>
      </c>
      <c r="E8" s="3052">
        <f>+ROUND('GUDI  -HOJA2'!K9,0)</f>
        <v>0</v>
      </c>
      <c r="F8" s="3052">
        <f>+ROUND('GUDI  -HOJA2'!L9,0)</f>
        <v>0</v>
      </c>
      <c r="G8" s="3052">
        <f>+ROUND('GUDI  -HOJA2'!M9,0)</f>
        <v>0</v>
      </c>
      <c r="H8" s="3581">
        <f>+ROUND('GUDI  -HOJA2'!P9,0)</f>
        <v>0</v>
      </c>
      <c r="I8" s="3581">
        <f>+ROUND('GUDI  -HOJA2'!R9,0)</f>
        <v>0</v>
      </c>
      <c r="J8" s="3581">
        <f>+ROUND('GUDI  -HOJA2'!Q9,0)</f>
        <v>0</v>
      </c>
      <c r="K8" s="3581">
        <f>+'GUDI  -HOJA2'!AJ9</f>
        <v>0</v>
      </c>
      <c r="L8" s="3581">
        <f>+'GUDI  -HOJA2'!AL9</f>
        <v>0</v>
      </c>
      <c r="M8" s="3581">
        <f>+'GUDI  -HOJA2'!AK9</f>
        <v>0</v>
      </c>
      <c r="N8" s="2733">
        <f>+H8+K8</f>
        <v>0</v>
      </c>
      <c r="O8" s="2733">
        <f t="shared" ref="O8:P17" si="0">+I8+L8</f>
        <v>0</v>
      </c>
      <c r="P8" s="2733">
        <f t="shared" si="0"/>
        <v>0</v>
      </c>
      <c r="Y8" s="100">
        <f>+'GUDI  -HOJA2'!N9</f>
        <v>0</v>
      </c>
    </row>
    <row r="9" spans="1:25" ht="20.25" x14ac:dyDescent="0.3">
      <c r="A9" s="3047">
        <f>+'GUDI  -HOJA2'!I10</f>
        <v>0</v>
      </c>
      <c r="B9" s="3047">
        <f>+'GUDI  -HOJA2'!B10</f>
        <v>0</v>
      </c>
      <c r="C9" s="3048">
        <f>+'GUDI  -HOJA2'!C10</f>
        <v>0</v>
      </c>
      <c r="D9" s="3049">
        <f>+ROUND('GUDI  -HOJA2'!J10,0)</f>
        <v>0</v>
      </c>
      <c r="E9" s="3049">
        <f>+ROUND('GUDI  -HOJA2'!K10,0)</f>
        <v>0</v>
      </c>
      <c r="F9" s="3049">
        <f>+ROUND('GUDI  -HOJA2'!L10,0)</f>
        <v>0</v>
      </c>
      <c r="G9" s="3049">
        <f>+ROUND('GUDI  -HOJA2'!M10,0)</f>
        <v>0</v>
      </c>
      <c r="H9" s="3581">
        <f>+ROUND('GUDI  -HOJA2'!P10,0)</f>
        <v>0</v>
      </c>
      <c r="I9" s="3581">
        <f>+ROUND('GUDI  -HOJA2'!R10,0)</f>
        <v>0</v>
      </c>
      <c r="J9" s="3581">
        <f>+ROUND('GUDI  -HOJA2'!Q10,0)</f>
        <v>0</v>
      </c>
      <c r="K9" s="3581">
        <f>+'GUDI  -HOJA2'!AJ10</f>
        <v>0</v>
      </c>
      <c r="L9" s="3581">
        <f>+'GUDI  -HOJA2'!AL10</f>
        <v>0</v>
      </c>
      <c r="M9" s="3581">
        <f>+'GUDI  -HOJA2'!AK10</f>
        <v>0</v>
      </c>
      <c r="N9" s="2733">
        <f>+H9+K9</f>
        <v>0</v>
      </c>
      <c r="O9" s="2733">
        <f t="shared" si="0"/>
        <v>0</v>
      </c>
      <c r="P9" s="2733">
        <f t="shared" si="0"/>
        <v>0</v>
      </c>
      <c r="Y9" s="100">
        <f>+'GUDI  -HOJA2'!N10</f>
        <v>0</v>
      </c>
    </row>
    <row r="10" spans="1:25" ht="20.25" x14ac:dyDescent="0.3">
      <c r="A10" s="3047">
        <f>+'GUDI  -HOJA2'!I11</f>
        <v>0</v>
      </c>
      <c r="B10" s="3047">
        <f>+'GUDI  -HOJA2'!B11</f>
        <v>0</v>
      </c>
      <c r="C10" s="3048">
        <f>+'GUDI  -HOJA2'!C11</f>
        <v>0</v>
      </c>
      <c r="D10" s="3049">
        <f>+ROUND('GUDI  -HOJA2'!J11,0)</f>
        <v>0</v>
      </c>
      <c r="E10" s="3049">
        <f>+ROUND('GUDI  -HOJA2'!K11,0)</f>
        <v>0</v>
      </c>
      <c r="F10" s="3049">
        <f>+ROUND('GUDI  -HOJA2'!L11,0)</f>
        <v>0</v>
      </c>
      <c r="G10" s="3049">
        <f>+ROUND('GUDI  -HOJA2'!M11,0)</f>
        <v>0</v>
      </c>
      <c r="H10" s="3581">
        <f>+ROUND('GUDI  -HOJA2'!P11,0)</f>
        <v>0</v>
      </c>
      <c r="I10" s="3581">
        <f>+ROUND('GUDI  -HOJA2'!R11,0)</f>
        <v>0</v>
      </c>
      <c r="J10" s="3581">
        <f>+ROUND('GUDI  -HOJA2'!Q11,0)</f>
        <v>0</v>
      </c>
      <c r="K10" s="3581">
        <f>+'GUDI  -HOJA2'!AJ11</f>
        <v>0</v>
      </c>
      <c r="L10" s="3581">
        <f>+'GUDI  -HOJA2'!AL11</f>
        <v>0</v>
      </c>
      <c r="M10" s="3581">
        <f>+'GUDI  -HOJA2'!AK11</f>
        <v>0</v>
      </c>
      <c r="N10" s="2733">
        <f t="shared" ref="N10:N17" si="1">+H10+K10</f>
        <v>0</v>
      </c>
      <c r="O10" s="2733">
        <f t="shared" si="0"/>
        <v>0</v>
      </c>
      <c r="P10" s="2733">
        <f t="shared" si="0"/>
        <v>0</v>
      </c>
      <c r="Y10" s="100">
        <f>+'GUDI  -HOJA2'!N11</f>
        <v>0</v>
      </c>
    </row>
    <row r="11" spans="1:25" ht="20.45" customHeight="1" x14ac:dyDescent="0.3">
      <c r="A11" s="3047">
        <f>+'GUDI  -HOJA2'!I12</f>
        <v>0</v>
      </c>
      <c r="B11" s="3047">
        <f>+'GUDI  -HOJA2'!B12</f>
        <v>0</v>
      </c>
      <c r="C11" s="3048">
        <f>+'GUDI  -HOJA2'!C12</f>
        <v>0</v>
      </c>
      <c r="D11" s="3049">
        <f>+ROUND('GUDI  -HOJA2'!J12,0)</f>
        <v>0</v>
      </c>
      <c r="E11" s="3049">
        <f>+ROUND('GUDI  -HOJA2'!K12,0)</f>
        <v>0</v>
      </c>
      <c r="F11" s="3049">
        <f>+ROUND('GUDI  -HOJA2'!L12,0)</f>
        <v>0</v>
      </c>
      <c r="G11" s="3049">
        <f>+ROUND('GUDI  -HOJA2'!M12,0)</f>
        <v>0</v>
      </c>
      <c r="H11" s="3581">
        <f>+ROUND('GUDI  -HOJA2'!P12,0)</f>
        <v>0</v>
      </c>
      <c r="I11" s="3581">
        <f>+ROUND('GUDI  -HOJA2'!R12,0)</f>
        <v>0</v>
      </c>
      <c r="J11" s="3581">
        <f>+ROUND('GUDI  -HOJA2'!Q12,0)</f>
        <v>0</v>
      </c>
      <c r="K11" s="3581">
        <f>+'GUDI  -HOJA2'!AJ12</f>
        <v>0</v>
      </c>
      <c r="L11" s="3581">
        <f>+'GUDI  -HOJA2'!AL12</f>
        <v>0</v>
      </c>
      <c r="M11" s="3581">
        <f>+'GUDI  -HOJA2'!AK12</f>
        <v>0</v>
      </c>
      <c r="N11" s="2733">
        <f t="shared" si="1"/>
        <v>0</v>
      </c>
      <c r="O11" s="2733">
        <f t="shared" si="0"/>
        <v>0</v>
      </c>
      <c r="P11" s="2733">
        <f t="shared" si="0"/>
        <v>0</v>
      </c>
      <c r="Y11" s="100">
        <f>+'GUDI  -HOJA2'!N12</f>
        <v>0</v>
      </c>
    </row>
    <row r="12" spans="1:25" ht="20.25" x14ac:dyDescent="0.3">
      <c r="A12" s="3047">
        <f>+'GUDI  -HOJA2'!I13</f>
        <v>0</v>
      </c>
      <c r="B12" s="3047">
        <f>+'GUDI  -HOJA2'!B13</f>
        <v>0</v>
      </c>
      <c r="C12" s="3048">
        <f>+'GUDI  -HOJA2'!C13</f>
        <v>0</v>
      </c>
      <c r="D12" s="3049">
        <f>+ROUND('GUDI  -HOJA2'!J13,0)</f>
        <v>0</v>
      </c>
      <c r="E12" s="3049">
        <f>+ROUND('GUDI  -HOJA2'!K13,0)</f>
        <v>0</v>
      </c>
      <c r="F12" s="3049">
        <f>+ROUND('GUDI  -HOJA2'!L13,0)</f>
        <v>0</v>
      </c>
      <c r="G12" s="3049">
        <f>+ROUND('GUDI  -HOJA2'!M13,0)</f>
        <v>0</v>
      </c>
      <c r="H12" s="3581">
        <f>+ROUND('GUDI  -HOJA2'!P13,0)</f>
        <v>0</v>
      </c>
      <c r="I12" s="3581">
        <f>+ROUND('GUDI  -HOJA2'!R13,0)</f>
        <v>0</v>
      </c>
      <c r="J12" s="3581">
        <f>+ROUND('GUDI  -HOJA2'!Q13,0)</f>
        <v>0</v>
      </c>
      <c r="K12" s="3581">
        <f>+'GUDI  -HOJA2'!AJ13</f>
        <v>0</v>
      </c>
      <c r="L12" s="3581">
        <f>+'GUDI  -HOJA2'!AL13</f>
        <v>0</v>
      </c>
      <c r="M12" s="3581">
        <f>+'GUDI  -HOJA2'!AK13</f>
        <v>0</v>
      </c>
      <c r="N12" s="2733">
        <f t="shared" si="1"/>
        <v>0</v>
      </c>
      <c r="O12" s="2733">
        <f t="shared" si="0"/>
        <v>0</v>
      </c>
      <c r="P12" s="2733">
        <f t="shared" si="0"/>
        <v>0</v>
      </c>
      <c r="Y12" s="100">
        <f>+'GUDI  -HOJA2'!N13</f>
        <v>0</v>
      </c>
    </row>
    <row r="13" spans="1:25" ht="20.25" x14ac:dyDescent="0.3">
      <c r="A13" s="3047">
        <f>+'GUDI  -HOJA2'!I14</f>
        <v>0</v>
      </c>
      <c r="B13" s="3047">
        <f>+'GUDI  -HOJA2'!B14</f>
        <v>0</v>
      </c>
      <c r="C13" s="3048">
        <f>+'GUDI  -HOJA2'!C14</f>
        <v>0</v>
      </c>
      <c r="D13" s="3049">
        <f>+ROUND('GUDI  -HOJA2'!J14,0)</f>
        <v>0</v>
      </c>
      <c r="E13" s="3049">
        <f>+ROUND('GUDI  -HOJA2'!K14,0)</f>
        <v>0</v>
      </c>
      <c r="F13" s="3049">
        <f>+ROUND('GUDI  -HOJA2'!L14,0)</f>
        <v>0</v>
      </c>
      <c r="G13" s="3049">
        <f>+ROUND('GUDI  -HOJA2'!M14,0)</f>
        <v>0</v>
      </c>
      <c r="H13" s="3581">
        <f>+ROUND('GUDI  -HOJA2'!P14,0)</f>
        <v>0</v>
      </c>
      <c r="I13" s="3581">
        <f>+ROUND('GUDI  -HOJA2'!R14,0)</f>
        <v>0</v>
      </c>
      <c r="J13" s="3581">
        <f>+ROUND('GUDI  -HOJA2'!Q14,0)</f>
        <v>0</v>
      </c>
      <c r="K13" s="3581">
        <f>+'GUDI  -HOJA2'!AJ14</f>
        <v>0</v>
      </c>
      <c r="L13" s="3581">
        <f>+'GUDI  -HOJA2'!AL14</f>
        <v>0</v>
      </c>
      <c r="M13" s="3581">
        <f>+'GUDI  -HOJA2'!AK14</f>
        <v>0</v>
      </c>
      <c r="N13" s="2733">
        <f t="shared" si="1"/>
        <v>0</v>
      </c>
      <c r="O13" s="2733">
        <f t="shared" si="0"/>
        <v>0</v>
      </c>
      <c r="P13" s="2733">
        <f t="shared" si="0"/>
        <v>0</v>
      </c>
      <c r="Y13" s="100">
        <f>+'GUDI  -HOJA2'!N14</f>
        <v>0</v>
      </c>
    </row>
    <row r="14" spans="1:25" ht="20.25" x14ac:dyDescent="0.3">
      <c r="A14" s="3047">
        <f>+'GUDI  -HOJA2'!I15</f>
        <v>0</v>
      </c>
      <c r="B14" s="3047">
        <f>+'GUDI  -HOJA2'!B15</f>
        <v>0</v>
      </c>
      <c r="C14" s="3048">
        <f>+'GUDI  -HOJA2'!C15</f>
        <v>0</v>
      </c>
      <c r="D14" s="3049">
        <f>+ROUND('GUDI  -HOJA2'!J15,0)</f>
        <v>0</v>
      </c>
      <c r="E14" s="3049">
        <f>+ROUND('GUDI  -HOJA2'!K15,0)</f>
        <v>0</v>
      </c>
      <c r="F14" s="3049">
        <f>+ROUND('GUDI  -HOJA2'!L15,0)</f>
        <v>0</v>
      </c>
      <c r="G14" s="3049">
        <f>+ROUND('GUDI  -HOJA2'!M15,0)</f>
        <v>0</v>
      </c>
      <c r="H14" s="3581">
        <f>+ROUND('GUDI  -HOJA2'!P15,0)</f>
        <v>0</v>
      </c>
      <c r="I14" s="3581">
        <f>+ROUND('GUDI  -HOJA2'!R15,0)</f>
        <v>0</v>
      </c>
      <c r="J14" s="3581">
        <f>+ROUND('GUDI  -HOJA2'!Q15,0)</f>
        <v>0</v>
      </c>
      <c r="K14" s="3581">
        <f>+'GUDI  -HOJA2'!AJ15</f>
        <v>0</v>
      </c>
      <c r="L14" s="3581">
        <f>+'GUDI  -HOJA2'!AL15</f>
        <v>0</v>
      </c>
      <c r="M14" s="3581">
        <f>+'GUDI  -HOJA2'!AK15</f>
        <v>0</v>
      </c>
      <c r="N14" s="2733">
        <f t="shared" si="1"/>
        <v>0</v>
      </c>
      <c r="O14" s="2733">
        <f t="shared" si="0"/>
        <v>0</v>
      </c>
      <c r="P14" s="2733">
        <f t="shared" si="0"/>
        <v>0</v>
      </c>
      <c r="Y14" s="100">
        <f>+'GUDI  -HOJA2'!N15</f>
        <v>0</v>
      </c>
    </row>
    <row r="15" spans="1:25" ht="20.25" x14ac:dyDescent="0.3">
      <c r="A15" s="3047">
        <f>+'GUDI  -HOJA2'!I16</f>
        <v>0</v>
      </c>
      <c r="B15" s="3047">
        <f>+'GUDI  -HOJA2'!B16</f>
        <v>0</v>
      </c>
      <c r="C15" s="3048">
        <f>+'GUDI  -HOJA2'!C16</f>
        <v>0</v>
      </c>
      <c r="D15" s="3049">
        <f>+ROUND('GUDI  -HOJA2'!J16,0)</f>
        <v>0</v>
      </c>
      <c r="E15" s="3049">
        <f>+ROUND('GUDI  -HOJA2'!K16,0)</f>
        <v>0</v>
      </c>
      <c r="F15" s="3049">
        <f>+ROUND('GUDI  -HOJA2'!L16,0)</f>
        <v>0</v>
      </c>
      <c r="G15" s="3049">
        <f>+ROUND('GUDI  -HOJA2'!M16,0)</f>
        <v>0</v>
      </c>
      <c r="H15" s="3581">
        <f>+ROUND('GUDI  -HOJA2'!P16,0)</f>
        <v>0</v>
      </c>
      <c r="I15" s="3581">
        <f>+ROUND('GUDI  -HOJA2'!R16,0)</f>
        <v>0</v>
      </c>
      <c r="J15" s="3581">
        <f>+ROUND('GUDI  -HOJA2'!Q16,0)</f>
        <v>0</v>
      </c>
      <c r="K15" s="3581">
        <f>+'GUDI  -HOJA2'!AJ16</f>
        <v>0</v>
      </c>
      <c r="L15" s="3581">
        <f>+'GUDI  -HOJA2'!AL16</f>
        <v>0</v>
      </c>
      <c r="M15" s="3581">
        <f>+'GUDI  -HOJA2'!AK16</f>
        <v>0</v>
      </c>
      <c r="N15" s="2733">
        <f t="shared" si="1"/>
        <v>0</v>
      </c>
      <c r="O15" s="2733">
        <f t="shared" si="0"/>
        <v>0</v>
      </c>
      <c r="P15" s="2733">
        <f t="shared" si="0"/>
        <v>0</v>
      </c>
      <c r="Y15" s="100">
        <f>+'GUDI  -HOJA2'!N16</f>
        <v>0</v>
      </c>
    </row>
    <row r="16" spans="1:25" ht="20.25" x14ac:dyDescent="0.3">
      <c r="A16" s="3047">
        <f>+'GUDI  -HOJA2'!I17</f>
        <v>0</v>
      </c>
      <c r="B16" s="3047">
        <f>+'GUDI  -HOJA2'!B17</f>
        <v>0</v>
      </c>
      <c r="C16" s="3048">
        <f>+'GUDI  -HOJA2'!C17</f>
        <v>0</v>
      </c>
      <c r="D16" s="3049">
        <f>+ROUND('GUDI  -HOJA2'!J17,0)</f>
        <v>0</v>
      </c>
      <c r="E16" s="3049">
        <f>+ROUND('GUDI  -HOJA2'!K17,0)</f>
        <v>0</v>
      </c>
      <c r="F16" s="3049">
        <f>+ROUND('GUDI  -HOJA2'!L17,0)</f>
        <v>0</v>
      </c>
      <c r="G16" s="3049">
        <f>+ROUND('GUDI  -HOJA2'!M17,0)</f>
        <v>0</v>
      </c>
      <c r="H16" s="3581">
        <f>+ROUND('GUDI  -HOJA2'!P17,0)</f>
        <v>0</v>
      </c>
      <c r="I16" s="3581">
        <f>+ROUND('GUDI  -HOJA2'!R17,0)</f>
        <v>0</v>
      </c>
      <c r="J16" s="3581">
        <f>+ROUND('GUDI  -HOJA2'!Q17,0)</f>
        <v>0</v>
      </c>
      <c r="K16" s="3581">
        <f>+'GUDI  -HOJA2'!AJ17</f>
        <v>0</v>
      </c>
      <c r="L16" s="3581">
        <f>+'GUDI  -HOJA2'!AL17</f>
        <v>0</v>
      </c>
      <c r="M16" s="3581">
        <f>+'GUDI  -HOJA2'!AK17</f>
        <v>0</v>
      </c>
      <c r="N16" s="2733">
        <f t="shared" si="1"/>
        <v>0</v>
      </c>
      <c r="O16" s="2733">
        <f t="shared" si="0"/>
        <v>0</v>
      </c>
      <c r="P16" s="2733">
        <f t="shared" si="0"/>
        <v>0</v>
      </c>
      <c r="Y16" s="100">
        <f>+'GUDI  -HOJA2'!N17</f>
        <v>0</v>
      </c>
    </row>
    <row r="17" spans="1:30" ht="20.25" x14ac:dyDescent="0.3">
      <c r="A17" s="3047">
        <f>+'GUDI  -HOJA2'!I18</f>
        <v>0</v>
      </c>
      <c r="B17" s="3047">
        <f>+'GUDI  -HOJA2'!B18</f>
        <v>0</v>
      </c>
      <c r="C17" s="3048">
        <f>+'GUDI  -HOJA2'!C18</f>
        <v>0</v>
      </c>
      <c r="D17" s="3049">
        <f>+ROUND('GUDI  -HOJA2'!J18,0)</f>
        <v>0</v>
      </c>
      <c r="E17" s="3049">
        <f>+ROUND('GUDI  -HOJA2'!K18,0)</f>
        <v>0</v>
      </c>
      <c r="F17" s="3049">
        <f>+ROUND('GUDI  -HOJA2'!L18,0)</f>
        <v>0</v>
      </c>
      <c r="G17" s="3049">
        <f>+ROUND('GUDI  -HOJA2'!M18,0)</f>
        <v>0</v>
      </c>
      <c r="H17" s="3581">
        <f>+ROUND('GUDI  -HOJA2'!P18,0)</f>
        <v>0</v>
      </c>
      <c r="I17" s="3581">
        <f>+ROUND('GUDI  -HOJA2'!R18,0)</f>
        <v>0</v>
      </c>
      <c r="J17" s="3581">
        <f>+ROUND('GUDI  -HOJA2'!Q18,0)</f>
        <v>0</v>
      </c>
      <c r="K17" s="3581">
        <f>+'GUDI  -HOJA2'!AJ18</f>
        <v>0</v>
      </c>
      <c r="L17" s="3581">
        <f>+'GUDI  -HOJA2'!AL18</f>
        <v>0</v>
      </c>
      <c r="M17" s="3581">
        <f>+'GUDI  -HOJA2'!AK18</f>
        <v>0</v>
      </c>
      <c r="N17" s="2733">
        <f t="shared" si="1"/>
        <v>0</v>
      </c>
      <c r="O17" s="2733">
        <f t="shared" si="0"/>
        <v>0</v>
      </c>
      <c r="P17" s="2733">
        <f t="shared" si="0"/>
        <v>0</v>
      </c>
      <c r="Y17" s="100">
        <f>+'GUDI  -HOJA2'!N18</f>
        <v>0</v>
      </c>
    </row>
    <row r="18" spans="1:30" ht="19.5" x14ac:dyDescent="0.2">
      <c r="H18" s="2733">
        <f>SUM(H8:H17)</f>
        <v>0</v>
      </c>
      <c r="I18" s="2733">
        <f t="shared" ref="I18:J18" si="2">SUM(I8:I17)</f>
        <v>0</v>
      </c>
      <c r="J18" s="2733">
        <f t="shared" si="2"/>
        <v>0</v>
      </c>
      <c r="K18" s="2733">
        <f>SUM(K8:K17)</f>
        <v>0</v>
      </c>
      <c r="L18" s="2733">
        <f t="shared" ref="L18:M18" si="3">SUM(L8:L17)</f>
        <v>0</v>
      </c>
      <c r="M18" s="2733">
        <f t="shared" si="3"/>
        <v>0</v>
      </c>
    </row>
    <row r="19" spans="1:30" ht="15" x14ac:dyDescent="0.2">
      <c r="H19" s="4571" t="s">
        <v>377</v>
      </c>
      <c r="I19" s="4572"/>
      <c r="J19" s="4573"/>
    </row>
    <row r="20" spans="1:30" ht="26.25" customHeight="1" x14ac:dyDescent="0.2">
      <c r="H20" s="2733">
        <f>+H18+K18</f>
        <v>0</v>
      </c>
      <c r="I20" s="2733">
        <f>+I18+L18</f>
        <v>0</v>
      </c>
      <c r="J20" s="2733">
        <f>+J18+M18</f>
        <v>0</v>
      </c>
    </row>
    <row r="21" spans="1:30" ht="26.25" customHeight="1" x14ac:dyDescent="0.2">
      <c r="H21" s="3059"/>
      <c r="I21" s="3059"/>
      <c r="J21" s="3059"/>
    </row>
    <row r="22" spans="1:30" ht="26.25" customHeight="1" x14ac:dyDescent="0.2">
      <c r="H22" s="3059"/>
      <c r="I22" s="3059"/>
      <c r="J22" s="3059"/>
    </row>
    <row r="23" spans="1:30" ht="22.5" x14ac:dyDescent="0.45">
      <c r="H23" s="4570" t="s">
        <v>487</v>
      </c>
      <c r="I23" s="4570"/>
      <c r="J23" s="4570"/>
      <c r="K23" s="4570" t="s">
        <v>488</v>
      </c>
      <c r="L23" s="4570"/>
      <c r="M23" s="4570"/>
      <c r="N23" s="4570" t="s">
        <v>489</v>
      </c>
      <c r="O23" s="4570"/>
      <c r="P23" s="4570"/>
    </row>
    <row r="24" spans="1:30" ht="19.5" x14ac:dyDescent="0.2">
      <c r="E24" s="1719"/>
      <c r="H24" s="3051" t="s">
        <v>287</v>
      </c>
      <c r="I24" s="2731" t="s">
        <v>289</v>
      </c>
      <c r="J24" s="2731" t="s">
        <v>288</v>
      </c>
      <c r="K24" s="2731" t="s">
        <v>287</v>
      </c>
      <c r="L24" s="2731" t="s">
        <v>289</v>
      </c>
      <c r="M24" s="2731" t="s">
        <v>288</v>
      </c>
      <c r="N24" s="2732" t="s">
        <v>287</v>
      </c>
      <c r="O24" s="2732" t="s">
        <v>289</v>
      </c>
      <c r="P24" s="2732" t="s">
        <v>288</v>
      </c>
    </row>
    <row r="25" spans="1:30" ht="23.25" x14ac:dyDescent="0.35">
      <c r="G25" s="3582" t="s">
        <v>23</v>
      </c>
      <c r="H25" s="3583">
        <f t="shared" ref="H25:P26" ca="1" si="4">+SUMIF($A$8:$P$17,$G25,H$8:H$17)</f>
        <v>0</v>
      </c>
      <c r="I25" s="3584">
        <f t="shared" ca="1" si="4"/>
        <v>0</v>
      </c>
      <c r="J25" s="3584">
        <f t="shared" ca="1" si="4"/>
        <v>0</v>
      </c>
      <c r="K25" s="3584">
        <f t="shared" ca="1" si="4"/>
        <v>0</v>
      </c>
      <c r="L25" s="3584">
        <f t="shared" ca="1" si="4"/>
        <v>0</v>
      </c>
      <c r="M25" s="3584">
        <f t="shared" ca="1" si="4"/>
        <v>0</v>
      </c>
      <c r="N25" s="3057">
        <f t="shared" ca="1" si="4"/>
        <v>0</v>
      </c>
      <c r="O25" s="3057">
        <f t="shared" ca="1" si="4"/>
        <v>0</v>
      </c>
      <c r="P25" s="3057">
        <f t="shared" ca="1" si="4"/>
        <v>0</v>
      </c>
    </row>
    <row r="26" spans="1:30" ht="23.25" x14ac:dyDescent="0.35">
      <c r="G26" s="3582" t="s">
        <v>24</v>
      </c>
      <c r="H26" s="3583">
        <f t="shared" ca="1" si="4"/>
        <v>0</v>
      </c>
      <c r="I26" s="3584">
        <f t="shared" ca="1" si="4"/>
        <v>0</v>
      </c>
      <c r="J26" s="3584">
        <f t="shared" ca="1" si="4"/>
        <v>0</v>
      </c>
      <c r="K26" s="3584">
        <f t="shared" ca="1" si="4"/>
        <v>0</v>
      </c>
      <c r="L26" s="3584">
        <f t="shared" ca="1" si="4"/>
        <v>0</v>
      </c>
      <c r="M26" s="3584">
        <f t="shared" ca="1" si="4"/>
        <v>0</v>
      </c>
      <c r="N26" s="3057">
        <f t="shared" ca="1" si="4"/>
        <v>0</v>
      </c>
      <c r="O26" s="3057">
        <f t="shared" ca="1" si="4"/>
        <v>0</v>
      </c>
      <c r="P26" s="3057">
        <f t="shared" ca="1" si="4"/>
        <v>0</v>
      </c>
    </row>
    <row r="27" spans="1:30" ht="23.25" customHeight="1" x14ac:dyDescent="0.4">
      <c r="G27" s="3582" t="s">
        <v>4</v>
      </c>
      <c r="H27" s="3585">
        <f ca="1">SUM(H25:H26)</f>
        <v>0</v>
      </c>
      <c r="I27" s="3586">
        <f t="shared" ref="I27:P27" ca="1" si="5">SUM(I25:I26)</f>
        <v>0</v>
      </c>
      <c r="J27" s="3586">
        <f t="shared" ca="1" si="5"/>
        <v>0</v>
      </c>
      <c r="K27" s="3586">
        <f t="shared" ca="1" si="5"/>
        <v>0</v>
      </c>
      <c r="L27" s="3586">
        <f t="shared" ca="1" si="5"/>
        <v>0</v>
      </c>
      <c r="M27" s="3586">
        <f t="shared" ca="1" si="5"/>
        <v>0</v>
      </c>
      <c r="N27" s="3058">
        <f t="shared" ca="1" si="5"/>
        <v>0</v>
      </c>
      <c r="O27" s="3058">
        <f t="shared" ca="1" si="5"/>
        <v>0</v>
      </c>
      <c r="P27" s="3058">
        <f t="shared" ca="1" si="5"/>
        <v>0</v>
      </c>
    </row>
    <row r="31" spans="1:30" ht="13.5" thickBot="1" x14ac:dyDescent="0.25"/>
    <row r="32" spans="1:30" s="9" customFormat="1" ht="36.75" customHeight="1" x14ac:dyDescent="0.2">
      <c r="A32" s="4565" t="s">
        <v>98</v>
      </c>
      <c r="B32" s="4566"/>
      <c r="C32" s="4566"/>
      <c r="D32" s="4566"/>
      <c r="E32" s="4566"/>
      <c r="F32" s="4566"/>
      <c r="G32" s="4566"/>
      <c r="H32" s="4566"/>
      <c r="I32" s="4566"/>
      <c r="J32" s="4566"/>
      <c r="K32" s="3587"/>
      <c r="L32" s="611"/>
      <c r="M32" s="2752"/>
      <c r="N32" s="2753"/>
      <c r="O32" s="611"/>
      <c r="P32" s="611"/>
      <c r="Q32" s="611"/>
      <c r="R32" s="611"/>
      <c r="S32" s="612"/>
      <c r="Z32" s="544"/>
      <c r="AB32" s="540"/>
      <c r="AC32" s="540"/>
      <c r="AD32" s="540"/>
    </row>
    <row r="33" spans="1:31" s="9" customFormat="1" ht="36.75" customHeight="1" thickBot="1" x14ac:dyDescent="0.25">
      <c r="A33" s="4567"/>
      <c r="B33" s="4568"/>
      <c r="C33" s="4568"/>
      <c r="D33" s="4569"/>
      <c r="E33" s="4569"/>
      <c r="F33" s="4569"/>
      <c r="G33" s="4569"/>
      <c r="H33" s="4569"/>
      <c r="I33" s="4569"/>
      <c r="J33" s="4569"/>
      <c r="K33" s="3588"/>
      <c r="L33" s="2756"/>
      <c r="M33" s="2754"/>
      <c r="N33" s="2755"/>
      <c r="O33" s="2756"/>
      <c r="P33" s="2756"/>
      <c r="Q33" s="2756"/>
      <c r="R33" s="2756"/>
      <c r="S33" s="2757"/>
      <c r="Z33" s="544"/>
      <c r="AB33" s="540"/>
      <c r="AC33" s="540"/>
      <c r="AD33" s="540"/>
    </row>
    <row r="34" spans="1:31" s="9" customFormat="1" ht="30.75" customHeight="1" x14ac:dyDescent="0.2">
      <c r="A34" s="2734"/>
      <c r="B34" s="3043"/>
      <c r="C34" s="564"/>
      <c r="D34" s="4564" t="s">
        <v>99</v>
      </c>
      <c r="E34" s="4564"/>
      <c r="F34" s="4564"/>
      <c r="G34" s="4564"/>
      <c r="H34" s="4558" t="s">
        <v>94</v>
      </c>
      <c r="I34" s="4558"/>
      <c r="J34" s="4558"/>
      <c r="K34" s="4555" t="s">
        <v>491</v>
      </c>
      <c r="L34" s="4557" t="s">
        <v>101</v>
      </c>
      <c r="M34" s="2735" t="s">
        <v>97</v>
      </c>
      <c r="N34" s="2735"/>
      <c r="O34" s="2735"/>
      <c r="P34" s="2735" t="s">
        <v>102</v>
      </c>
      <c r="Q34" s="2735"/>
      <c r="R34" s="2735"/>
      <c r="S34" s="2735"/>
      <c r="T34" s="10"/>
      <c r="U34" s="10"/>
      <c r="V34" s="10"/>
      <c r="W34" s="10"/>
      <c r="X34" s="10"/>
      <c r="Y34" s="10"/>
      <c r="Z34" s="10"/>
      <c r="AA34" s="10"/>
      <c r="AB34" s="540"/>
      <c r="AC34" s="540"/>
      <c r="AD34" s="540"/>
    </row>
    <row r="35" spans="1:31" s="9" customFormat="1" ht="39.6" customHeight="1" thickBot="1" x14ac:dyDescent="0.25">
      <c r="A35" s="2734"/>
      <c r="B35" s="3043"/>
      <c r="C35" s="564"/>
      <c r="D35" s="4564"/>
      <c r="E35" s="4564"/>
      <c r="F35" s="4564"/>
      <c r="G35" s="4564"/>
      <c r="H35" s="2736" t="s">
        <v>5</v>
      </c>
      <c r="I35" s="2736" t="s">
        <v>6</v>
      </c>
      <c r="J35" s="2736" t="s">
        <v>7</v>
      </c>
      <c r="K35" s="4556"/>
      <c r="L35" s="4558"/>
      <c r="M35" s="2736" t="s">
        <v>5</v>
      </c>
      <c r="N35" s="2736" t="s">
        <v>6</v>
      </c>
      <c r="O35" s="2736" t="s">
        <v>7</v>
      </c>
      <c r="P35" s="2736" t="s">
        <v>5</v>
      </c>
      <c r="Q35" s="2736" t="s">
        <v>6</v>
      </c>
      <c r="R35" s="2736" t="s">
        <v>7</v>
      </c>
      <c r="S35" s="2736" t="s">
        <v>4</v>
      </c>
      <c r="T35" s="10"/>
      <c r="U35" s="10"/>
      <c r="V35" s="10"/>
      <c r="W35" s="10"/>
      <c r="X35" s="10"/>
      <c r="Y35" s="10"/>
      <c r="Z35" s="10"/>
      <c r="AA35" s="10"/>
      <c r="AB35" s="540"/>
      <c r="AC35" s="540"/>
      <c r="AD35" s="540"/>
    </row>
    <row r="36" spans="1:31" s="9" customFormat="1" ht="32.25" customHeight="1" x14ac:dyDescent="0.25">
      <c r="A36" s="4559" t="s">
        <v>103</v>
      </c>
      <c r="B36" s="3044"/>
      <c r="C36" s="2758" t="s">
        <v>81</v>
      </c>
      <c r="D36" s="4562" t="s">
        <v>104</v>
      </c>
      <c r="E36" s="4562"/>
      <c r="F36" s="3589"/>
      <c r="G36" s="2739">
        <f t="shared" ref="G36" ca="1" si="6">SUM(H36:J36)</f>
        <v>0</v>
      </c>
      <c r="H36" s="2745">
        <f ca="1">+H25</f>
        <v>0</v>
      </c>
      <c r="I36" s="2745">
        <f ca="1">+J25</f>
        <v>0</v>
      </c>
      <c r="J36" s="2745">
        <f ca="1">+I25</f>
        <v>0</v>
      </c>
      <c r="K36" s="2737">
        <f ca="1">+SUMIF($A$8:$Y$17,G$25,Y$8:Y$17)</f>
        <v>0</v>
      </c>
      <c r="L36" s="2737">
        <f>+COUNTIF(A$8:A$17,G$25)</f>
        <v>0</v>
      </c>
      <c r="M36" s="2746">
        <f ca="1">+K25</f>
        <v>0</v>
      </c>
      <c r="N36" s="2746">
        <f ca="1">+M25</f>
        <v>0</v>
      </c>
      <c r="O36" s="2746">
        <f ca="1">+L25</f>
        <v>0</v>
      </c>
      <c r="P36" s="3590">
        <f t="shared" ref="P36:R36" ca="1" si="7">M36+H36</f>
        <v>0</v>
      </c>
      <c r="Q36" s="2747">
        <f t="shared" ca="1" si="7"/>
        <v>0</v>
      </c>
      <c r="R36" s="2747">
        <f t="shared" ca="1" si="7"/>
        <v>0</v>
      </c>
      <c r="S36" s="2748">
        <f ca="1">SUM(P36:R36)</f>
        <v>0</v>
      </c>
      <c r="T36" s="10"/>
      <c r="U36" s="10"/>
      <c r="V36" s="10"/>
      <c r="W36" s="10"/>
      <c r="X36" s="10"/>
      <c r="Y36" s="10"/>
      <c r="Z36" s="10"/>
      <c r="AA36" s="10"/>
      <c r="AB36" s="540"/>
      <c r="AC36" s="540"/>
      <c r="AD36" s="540"/>
    </row>
    <row r="37" spans="1:31" s="9" customFormat="1" ht="32.450000000000003" customHeight="1" x14ac:dyDescent="0.2">
      <c r="A37" s="4560"/>
      <c r="B37" s="3045"/>
      <c r="C37" s="2759"/>
      <c r="D37" s="3589"/>
      <c r="E37" s="3589"/>
      <c r="F37" s="2749"/>
      <c r="G37" s="2736"/>
      <c r="H37" s="2744"/>
      <c r="I37" s="2744"/>
      <c r="J37" s="2744"/>
      <c r="K37" s="2737"/>
      <c r="L37" s="2737"/>
      <c r="M37" s="2750"/>
      <c r="N37" s="2736"/>
      <c r="O37" s="2736"/>
      <c r="P37" s="2736"/>
      <c r="Q37" s="2736"/>
      <c r="R37" s="2736"/>
      <c r="S37" s="2736"/>
      <c r="T37" s="10"/>
      <c r="U37" s="10"/>
      <c r="V37" s="10"/>
      <c r="W37" s="10"/>
      <c r="X37" s="10"/>
      <c r="Y37" s="10"/>
      <c r="Z37" s="10"/>
      <c r="AA37" s="10"/>
      <c r="AB37" s="2738"/>
      <c r="AC37" s="2738"/>
      <c r="AD37" s="2738"/>
      <c r="AE37" s="10"/>
    </row>
    <row r="38" spans="1:31" s="9" customFormat="1" ht="27.75" customHeight="1" x14ac:dyDescent="0.25">
      <c r="A38" s="4560"/>
      <c r="B38" s="3045"/>
      <c r="C38" s="2760" t="s">
        <v>106</v>
      </c>
      <c r="D38" s="4562" t="s">
        <v>107</v>
      </c>
      <c r="E38" s="4562"/>
      <c r="F38" s="3589"/>
      <c r="G38" s="2739">
        <f t="shared" ref="G38" ca="1" si="8">SUM(H38:J38)</f>
        <v>0</v>
      </c>
      <c r="H38" s="2745">
        <f ca="1">+H26</f>
        <v>0</v>
      </c>
      <c r="I38" s="2745">
        <f ca="1">+J26</f>
        <v>0</v>
      </c>
      <c r="J38" s="2745">
        <f ca="1">+I26</f>
        <v>0</v>
      </c>
      <c r="K38" s="2737">
        <f ca="1">+SUMIF($A$8:$Y$17,G$26,Y$8:Y$17)</f>
        <v>0</v>
      </c>
      <c r="L38" s="2737">
        <f>+COUNTIF(A$8:A$17,G$26)</f>
        <v>0</v>
      </c>
      <c r="M38" s="2746">
        <f ca="1">+K26</f>
        <v>0</v>
      </c>
      <c r="N38" s="2746">
        <f ca="1">+M26</f>
        <v>0</v>
      </c>
      <c r="O38" s="2746">
        <f ca="1">+L26</f>
        <v>0</v>
      </c>
      <c r="P38" s="3590">
        <f t="shared" ref="P38" ca="1" si="9">M38+H38</f>
        <v>0</v>
      </c>
      <c r="Q38" s="2747">
        <f t="shared" ref="Q38" ca="1" si="10">N38+I38</f>
        <v>0</v>
      </c>
      <c r="R38" s="2747">
        <f t="shared" ref="R38" ca="1" si="11">O38+J38</f>
        <v>0</v>
      </c>
      <c r="S38" s="2748">
        <f ca="1">SUM(P38:R38)</f>
        <v>0</v>
      </c>
      <c r="T38" s="10"/>
      <c r="U38" s="10"/>
      <c r="V38" s="10"/>
      <c r="W38" s="10"/>
      <c r="X38" s="10"/>
      <c r="Y38" s="10"/>
      <c r="Z38" s="10"/>
      <c r="AA38" s="10"/>
      <c r="AB38" s="10"/>
      <c r="AC38" s="10"/>
    </row>
    <row r="39" spans="1:31" s="9" customFormat="1" ht="42" customHeight="1" thickBot="1" x14ac:dyDescent="0.3">
      <c r="A39" s="4561"/>
      <c r="B39" s="3046"/>
      <c r="C39" s="2743"/>
      <c r="D39" s="4563" t="s">
        <v>109</v>
      </c>
      <c r="E39" s="4563"/>
      <c r="F39" s="4563"/>
      <c r="G39" s="2751">
        <f ca="1">+G36+G38</f>
        <v>0</v>
      </c>
      <c r="H39" s="2751">
        <f t="shared" ref="H39:S39" ca="1" si="12">+H36+H38</f>
        <v>0</v>
      </c>
      <c r="I39" s="2751">
        <f t="shared" ca="1" si="12"/>
        <v>0</v>
      </c>
      <c r="J39" s="2751">
        <f t="shared" ca="1" si="12"/>
        <v>0</v>
      </c>
      <c r="K39" s="2751">
        <f t="shared" ca="1" si="12"/>
        <v>0</v>
      </c>
      <c r="L39" s="2751">
        <f t="shared" si="12"/>
        <v>0</v>
      </c>
      <c r="M39" s="2751">
        <f t="shared" ca="1" si="12"/>
        <v>0</v>
      </c>
      <c r="N39" s="2751">
        <f t="shared" ca="1" si="12"/>
        <v>0</v>
      </c>
      <c r="O39" s="2751">
        <f t="shared" ca="1" si="12"/>
        <v>0</v>
      </c>
      <c r="P39" s="2751">
        <f t="shared" ca="1" si="12"/>
        <v>0</v>
      </c>
      <c r="Q39" s="2751">
        <f t="shared" ca="1" si="12"/>
        <v>0</v>
      </c>
      <c r="R39" s="2751">
        <f t="shared" ca="1" si="12"/>
        <v>0</v>
      </c>
      <c r="S39" s="2751">
        <f t="shared" ca="1" si="12"/>
        <v>0</v>
      </c>
      <c r="T39" s="2740"/>
      <c r="U39" s="653"/>
      <c r="V39" s="10"/>
      <c r="W39" s="10"/>
      <c r="X39" s="10"/>
      <c r="Y39" s="10"/>
      <c r="Z39" s="10"/>
      <c r="AA39" s="10"/>
      <c r="AB39" s="10"/>
      <c r="AC39" s="10"/>
    </row>
    <row r="40" spans="1:31" hidden="1" x14ac:dyDescent="0.2"/>
    <row r="41" spans="1:31" ht="13.5" hidden="1" thickBot="1" x14ac:dyDescent="0.25"/>
    <row r="42" spans="1:31" s="9" customFormat="1" ht="36.75" hidden="1" customHeight="1" x14ac:dyDescent="0.2">
      <c r="A42" s="4565" t="s">
        <v>98</v>
      </c>
      <c r="B42" s="4566"/>
      <c r="C42" s="4566"/>
      <c r="D42" s="4566"/>
      <c r="E42" s="4566"/>
      <c r="F42" s="4566"/>
      <c r="G42" s="4566"/>
      <c r="H42" s="4566"/>
      <c r="I42" s="4566"/>
      <c r="J42" s="4566"/>
      <c r="K42" s="3587"/>
      <c r="L42" s="611"/>
      <c r="M42" s="2752"/>
      <c r="N42" s="2753"/>
      <c r="O42" s="611"/>
      <c r="P42" s="611"/>
      <c r="Q42" s="611"/>
      <c r="R42" s="611"/>
      <c r="S42" s="612"/>
      <c r="Z42" s="544"/>
      <c r="AB42" s="540"/>
      <c r="AC42" s="540"/>
      <c r="AD42" s="540"/>
    </row>
    <row r="43" spans="1:31" s="9" customFormat="1" ht="36.75" hidden="1" customHeight="1" thickBot="1" x14ac:dyDescent="0.25">
      <c r="A43" s="4567"/>
      <c r="B43" s="4568"/>
      <c r="C43" s="4568"/>
      <c r="D43" s="4569"/>
      <c r="E43" s="4569"/>
      <c r="F43" s="4569"/>
      <c r="G43" s="4569"/>
      <c r="H43" s="4569"/>
      <c r="I43" s="4569"/>
      <c r="J43" s="4569"/>
      <c r="K43" s="3588"/>
      <c r="L43" s="2756"/>
      <c r="M43" s="2754"/>
      <c r="N43" s="2755"/>
      <c r="O43" s="2756"/>
      <c r="P43" s="2756"/>
      <c r="Q43" s="2756"/>
      <c r="R43" s="2756"/>
      <c r="S43" s="2757"/>
      <c r="Z43" s="544"/>
      <c r="AB43" s="540"/>
      <c r="AC43" s="540"/>
      <c r="AD43" s="540"/>
    </row>
    <row r="44" spans="1:31" s="9" customFormat="1" ht="30.75" hidden="1" customHeight="1" x14ac:dyDescent="0.2">
      <c r="A44" s="2734"/>
      <c r="B44" s="3043"/>
      <c r="C44" s="564"/>
      <c r="D44" s="4564" t="s">
        <v>99</v>
      </c>
      <c r="E44" s="4564"/>
      <c r="F44" s="4564"/>
      <c r="G44" s="4564"/>
      <c r="H44" s="4558" t="s">
        <v>94</v>
      </c>
      <c r="I44" s="4558"/>
      <c r="J44" s="4558"/>
      <c r="K44" s="4555" t="s">
        <v>491</v>
      </c>
      <c r="L44" s="4557" t="s">
        <v>101</v>
      </c>
      <c r="M44" s="2735" t="s">
        <v>97</v>
      </c>
      <c r="N44" s="2735"/>
      <c r="O44" s="2735"/>
      <c r="P44" s="2735" t="s">
        <v>102</v>
      </c>
      <c r="Q44" s="2735"/>
      <c r="R44" s="2735"/>
      <c r="S44" s="2735"/>
      <c r="T44" s="10"/>
      <c r="U44" s="10"/>
      <c r="V44" s="10"/>
      <c r="W44" s="10"/>
      <c r="X44" s="10"/>
      <c r="Y44" s="10"/>
      <c r="Z44" s="10"/>
      <c r="AA44" s="10"/>
      <c r="AB44" s="540"/>
      <c r="AC44" s="540"/>
      <c r="AD44" s="540"/>
    </row>
    <row r="45" spans="1:31" s="9" customFormat="1" ht="39.6" hidden="1" customHeight="1" thickBot="1" x14ac:dyDescent="0.25">
      <c r="A45" s="2734"/>
      <c r="B45" s="3043"/>
      <c r="C45" s="564"/>
      <c r="D45" s="4564"/>
      <c r="E45" s="4564"/>
      <c r="F45" s="4564"/>
      <c r="G45" s="4564"/>
      <c r="H45" s="2736" t="s">
        <v>5</v>
      </c>
      <c r="I45" s="2736" t="s">
        <v>6</v>
      </c>
      <c r="J45" s="2736" t="s">
        <v>7</v>
      </c>
      <c r="K45" s="4556"/>
      <c r="L45" s="4558"/>
      <c r="M45" s="2736" t="s">
        <v>5</v>
      </c>
      <c r="N45" s="2736" t="s">
        <v>6</v>
      </c>
      <c r="O45" s="2736" t="s">
        <v>7</v>
      </c>
      <c r="P45" s="2736" t="s">
        <v>5</v>
      </c>
      <c r="Q45" s="2736" t="s">
        <v>6</v>
      </c>
      <c r="R45" s="2736" t="s">
        <v>7</v>
      </c>
      <c r="S45" s="2736" t="s">
        <v>4</v>
      </c>
      <c r="T45" s="10"/>
      <c r="U45" s="10"/>
      <c r="V45" s="10"/>
      <c r="W45" s="10"/>
      <c r="X45" s="10"/>
      <c r="Y45" s="10"/>
      <c r="Z45" s="10"/>
      <c r="AA45" s="10"/>
      <c r="AB45" s="540"/>
      <c r="AC45" s="540"/>
      <c r="AD45" s="540"/>
    </row>
    <row r="46" spans="1:31" s="9" customFormat="1" ht="32.25" hidden="1" customHeight="1" x14ac:dyDescent="0.25">
      <c r="A46" s="4559" t="s">
        <v>103</v>
      </c>
      <c r="B46" s="3044"/>
      <c r="C46" s="2758" t="s">
        <v>81</v>
      </c>
      <c r="D46" s="4562" t="s">
        <v>104</v>
      </c>
      <c r="E46" s="4562"/>
      <c r="F46" s="3589"/>
      <c r="G46" s="2739">
        <f ca="1">+'Compra -HOJA1'!F24</f>
        <v>0</v>
      </c>
      <c r="H46" s="2739">
        <f ca="1">+'Compra -HOJA1'!G24</f>
        <v>0</v>
      </c>
      <c r="I46" s="2739">
        <f ca="1">+'Compra -HOJA1'!H24</f>
        <v>0</v>
      </c>
      <c r="J46" s="2739">
        <f ca="1">+'Compra -HOJA1'!I24</f>
        <v>0</v>
      </c>
      <c r="K46" s="2739">
        <f ca="1">+'Compra -HOJA1'!J24</f>
        <v>0</v>
      </c>
      <c r="L46" s="2739">
        <f>+'Compra -HOJA1'!K24</f>
        <v>0</v>
      </c>
      <c r="M46" s="2739">
        <f ca="1">+'Compra -HOJA1'!L24</f>
        <v>0</v>
      </c>
      <c r="N46" s="2739">
        <f ca="1">+'Compra -HOJA1'!M24</f>
        <v>0</v>
      </c>
      <c r="O46" s="2739">
        <f ca="1">+'Compra -HOJA1'!N24</f>
        <v>0</v>
      </c>
      <c r="P46" s="2739">
        <f ca="1">+'Compra -HOJA1'!O24</f>
        <v>0</v>
      </c>
      <c r="Q46" s="2739">
        <f ca="1">+'Compra -HOJA1'!P24</f>
        <v>0</v>
      </c>
      <c r="R46" s="2739">
        <f ca="1">+'Compra -HOJA1'!Q24</f>
        <v>0</v>
      </c>
      <c r="S46" s="2739">
        <f ca="1">+'Compra -HOJA1'!R24</f>
        <v>0</v>
      </c>
      <c r="T46" s="10"/>
      <c r="U46" s="10"/>
      <c r="V46" s="10"/>
      <c r="W46" s="10"/>
      <c r="X46" s="10"/>
      <c r="Y46" s="10"/>
      <c r="Z46" s="10"/>
      <c r="AA46" s="10"/>
      <c r="AB46" s="540"/>
      <c r="AC46" s="540"/>
      <c r="AD46" s="540"/>
    </row>
    <row r="47" spans="1:31" s="9" customFormat="1" ht="32.450000000000003" hidden="1" customHeight="1" x14ac:dyDescent="0.2">
      <c r="A47" s="4560"/>
      <c r="B47" s="3045"/>
      <c r="C47" s="2759"/>
      <c r="D47" s="3589"/>
      <c r="E47" s="3589"/>
      <c r="F47" s="2749"/>
      <c r="G47" s="2736"/>
      <c r="H47" s="2744"/>
      <c r="I47" s="2744"/>
      <c r="J47" s="2744"/>
      <c r="K47" s="2737"/>
      <c r="L47" s="2737"/>
      <c r="M47" s="2750"/>
      <c r="N47" s="2736"/>
      <c r="O47" s="2736"/>
      <c r="P47" s="2736"/>
      <c r="Q47" s="2736"/>
      <c r="R47" s="2736"/>
      <c r="S47" s="2736"/>
      <c r="T47" s="10"/>
      <c r="U47" s="10"/>
      <c r="V47" s="10"/>
      <c r="W47" s="10"/>
      <c r="X47" s="10"/>
      <c r="Y47" s="10"/>
      <c r="Z47" s="10"/>
      <c r="AA47" s="10"/>
      <c r="AB47" s="2738"/>
      <c r="AC47" s="2738"/>
      <c r="AD47" s="2738"/>
      <c r="AE47" s="10"/>
    </row>
    <row r="48" spans="1:31" s="9" customFormat="1" ht="27.75" hidden="1" customHeight="1" x14ac:dyDescent="0.25">
      <c r="A48" s="4560"/>
      <c r="B48" s="3045"/>
      <c r="C48" s="2760" t="s">
        <v>106</v>
      </c>
      <c r="D48" s="4562" t="s">
        <v>107</v>
      </c>
      <c r="E48" s="4562"/>
      <c r="F48" s="3589"/>
      <c r="G48" s="2739">
        <f ca="1">+'Compra -HOJA1'!F27</f>
        <v>0</v>
      </c>
      <c r="H48" s="2739">
        <f ca="1">+'Compra -HOJA1'!G27</f>
        <v>0</v>
      </c>
      <c r="I48" s="2739">
        <f ca="1">+'Compra -HOJA1'!H27</f>
        <v>0</v>
      </c>
      <c r="J48" s="2739">
        <f ca="1">+'Compra -HOJA1'!I27</f>
        <v>0</v>
      </c>
      <c r="K48" s="2739">
        <f ca="1">+'Compra -HOJA1'!J27</f>
        <v>0</v>
      </c>
      <c r="L48" s="2739">
        <f>+'Compra -HOJA1'!K27</f>
        <v>0</v>
      </c>
      <c r="M48" s="2739">
        <f ca="1">+'Compra -HOJA1'!L27</f>
        <v>0</v>
      </c>
      <c r="N48" s="2739">
        <f ca="1">+'Compra -HOJA1'!M27</f>
        <v>0</v>
      </c>
      <c r="O48" s="2739">
        <f ca="1">+'Compra -HOJA1'!N27</f>
        <v>0</v>
      </c>
      <c r="P48" s="2739">
        <f ca="1">+'Compra -HOJA1'!O27</f>
        <v>0</v>
      </c>
      <c r="Q48" s="2739">
        <f ca="1">+'Compra -HOJA1'!P27</f>
        <v>0</v>
      </c>
      <c r="R48" s="2739">
        <f ca="1">+'Compra -HOJA1'!Q27</f>
        <v>0</v>
      </c>
      <c r="S48" s="2739">
        <f ca="1">+'Compra -HOJA1'!R27</f>
        <v>0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</row>
    <row r="49" spans="1:29" s="9" customFormat="1" ht="42" hidden="1" customHeight="1" thickBot="1" x14ac:dyDescent="0.3">
      <c r="A49" s="4561"/>
      <c r="B49" s="3046"/>
      <c r="C49" s="2743"/>
      <c r="D49" s="4563" t="s">
        <v>109</v>
      </c>
      <c r="E49" s="4563"/>
      <c r="F49" s="4563"/>
      <c r="G49" s="2751">
        <f ca="1">+G46+G48</f>
        <v>0</v>
      </c>
      <c r="H49" s="2751">
        <f t="shared" ref="H49:S49" ca="1" si="13">+H46+H48</f>
        <v>0</v>
      </c>
      <c r="I49" s="2751">
        <f t="shared" ca="1" si="13"/>
        <v>0</v>
      </c>
      <c r="J49" s="2751">
        <f t="shared" ca="1" si="13"/>
        <v>0</v>
      </c>
      <c r="K49" s="2751">
        <f t="shared" ca="1" si="13"/>
        <v>0</v>
      </c>
      <c r="L49" s="2751">
        <f t="shared" si="13"/>
        <v>0</v>
      </c>
      <c r="M49" s="2751">
        <f t="shared" ca="1" si="13"/>
        <v>0</v>
      </c>
      <c r="N49" s="2751">
        <f t="shared" ca="1" si="13"/>
        <v>0</v>
      </c>
      <c r="O49" s="2751">
        <f t="shared" ca="1" si="13"/>
        <v>0</v>
      </c>
      <c r="P49" s="2751">
        <f t="shared" ca="1" si="13"/>
        <v>0</v>
      </c>
      <c r="Q49" s="2751">
        <f t="shared" ca="1" si="13"/>
        <v>0</v>
      </c>
      <c r="R49" s="2751">
        <f t="shared" ca="1" si="13"/>
        <v>0</v>
      </c>
      <c r="S49" s="2751">
        <f t="shared" ca="1" si="13"/>
        <v>0</v>
      </c>
      <c r="T49" s="2740"/>
      <c r="U49" s="653"/>
      <c r="V49" s="10"/>
      <c r="W49" s="10"/>
      <c r="X49" s="10"/>
      <c r="Y49" s="10"/>
      <c r="Z49" s="10"/>
      <c r="AA49" s="10"/>
      <c r="AB49" s="10"/>
      <c r="AC49" s="10"/>
    </row>
    <row r="50" spans="1:29" hidden="1" x14ac:dyDescent="0.2"/>
    <row r="51" spans="1:29" hidden="1" x14ac:dyDescent="0.2"/>
    <row r="52" spans="1:29" hidden="1" x14ac:dyDescent="0.2"/>
    <row r="53" spans="1:29" ht="18.95" hidden="1" customHeight="1" x14ac:dyDescent="0.2">
      <c r="F53" s="1719" t="s">
        <v>492</v>
      </c>
      <c r="G53" s="1936">
        <f ca="1">+G46-G36</f>
        <v>0</v>
      </c>
      <c r="H53" s="1936">
        <f t="shared" ref="H53:S53" ca="1" si="14">+H46-H36</f>
        <v>0</v>
      </c>
      <c r="I53" s="1936">
        <f t="shared" ca="1" si="14"/>
        <v>0</v>
      </c>
      <c r="J53" s="1936">
        <f t="shared" ca="1" si="14"/>
        <v>0</v>
      </c>
      <c r="K53" s="1936">
        <f t="shared" ca="1" si="14"/>
        <v>0</v>
      </c>
      <c r="L53" s="1936">
        <f t="shared" si="14"/>
        <v>0</v>
      </c>
      <c r="M53" s="1936">
        <f t="shared" ca="1" si="14"/>
        <v>0</v>
      </c>
      <c r="N53" s="1936">
        <f t="shared" ca="1" si="14"/>
        <v>0</v>
      </c>
      <c r="O53" s="1936">
        <f t="shared" ca="1" si="14"/>
        <v>0</v>
      </c>
      <c r="P53" s="1936">
        <f t="shared" ca="1" si="14"/>
        <v>0</v>
      </c>
      <c r="Q53" s="72">
        <f t="shared" ca="1" si="14"/>
        <v>0</v>
      </c>
      <c r="R53" s="72">
        <f t="shared" ca="1" si="14"/>
        <v>0</v>
      </c>
      <c r="S53" s="72">
        <f t="shared" ca="1" si="14"/>
        <v>0</v>
      </c>
    </row>
    <row r="54" spans="1:29" ht="18.95" hidden="1" customHeight="1" x14ac:dyDescent="0.2">
      <c r="F54" s="1719" t="s">
        <v>493</v>
      </c>
      <c r="G54" s="1936">
        <f ca="1">+G48-G38</f>
        <v>0</v>
      </c>
      <c r="H54" s="1936">
        <f t="shared" ref="H54:S54" ca="1" si="15">+H48-H38</f>
        <v>0</v>
      </c>
      <c r="I54" s="1936">
        <f t="shared" ca="1" si="15"/>
        <v>0</v>
      </c>
      <c r="J54" s="1936">
        <f t="shared" ca="1" si="15"/>
        <v>0</v>
      </c>
      <c r="K54" s="1936">
        <f t="shared" ca="1" si="15"/>
        <v>0</v>
      </c>
      <c r="L54" s="1936">
        <f t="shared" si="15"/>
        <v>0</v>
      </c>
      <c r="M54" s="1936">
        <f t="shared" ca="1" si="15"/>
        <v>0</v>
      </c>
      <c r="N54" s="1936">
        <f t="shared" ca="1" si="15"/>
        <v>0</v>
      </c>
      <c r="O54" s="1936">
        <f t="shared" ca="1" si="15"/>
        <v>0</v>
      </c>
      <c r="P54" s="1936">
        <f t="shared" ca="1" si="15"/>
        <v>0</v>
      </c>
      <c r="Q54" s="72">
        <f t="shared" ca="1" si="15"/>
        <v>0</v>
      </c>
      <c r="R54" s="72">
        <f t="shared" ca="1" si="15"/>
        <v>0</v>
      </c>
      <c r="S54" s="72">
        <f t="shared" ca="1" si="15"/>
        <v>0</v>
      </c>
    </row>
    <row r="55" spans="1:29" ht="18.95" hidden="1" customHeight="1" x14ac:dyDescent="0.2"/>
    <row r="56" spans="1:29" ht="18.95" hidden="1" customHeight="1" x14ac:dyDescent="0.2"/>
    <row r="57" spans="1:29" hidden="1" x14ac:dyDescent="0.2"/>
    <row r="58" spans="1:29" hidden="1" x14ac:dyDescent="0.2"/>
    <row r="59" spans="1:29" hidden="1" x14ac:dyDescent="0.2"/>
    <row r="60" spans="1:29" hidden="1" x14ac:dyDescent="0.2"/>
    <row r="61" spans="1:29" hidden="1" x14ac:dyDescent="0.2"/>
    <row r="62" spans="1:29" hidden="1" x14ac:dyDescent="0.2"/>
    <row r="63" spans="1:29" hidden="1" x14ac:dyDescent="0.2"/>
    <row r="64" spans="1:29" hidden="1" x14ac:dyDescent="0.2"/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idden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  <row r="85" hidden="1" x14ac:dyDescent="0.2"/>
    <row r="86" hidden="1" x14ac:dyDescent="0.2"/>
    <row r="87" hidden="1" x14ac:dyDescent="0.2"/>
    <row r="88" hidden="1" x14ac:dyDescent="0.2"/>
    <row r="89" hidden="1" x14ac:dyDescent="0.2"/>
    <row r="90" hidden="1" x14ac:dyDescent="0.2"/>
    <row r="91" hidden="1" x14ac:dyDescent="0.2"/>
    <row r="92" hidden="1" x14ac:dyDescent="0.2"/>
    <row r="93" hidden="1" x14ac:dyDescent="0.2"/>
    <row r="94" hidden="1" x14ac:dyDescent="0.2"/>
    <row r="95" hidden="1" x14ac:dyDescent="0.2"/>
    <row r="9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spans="8:11" hidden="1" x14ac:dyDescent="0.2"/>
    <row r="162" spans="8:11" hidden="1" x14ac:dyDescent="0.2"/>
    <row r="163" spans="8:11" hidden="1" x14ac:dyDescent="0.2"/>
    <row r="164" spans="8:11" hidden="1" x14ac:dyDescent="0.2"/>
    <row r="165" spans="8:11" hidden="1" x14ac:dyDescent="0.2"/>
    <row r="166" spans="8:11" hidden="1" x14ac:dyDescent="0.2"/>
    <row r="167" spans="8:11" hidden="1" x14ac:dyDescent="0.2"/>
    <row r="168" spans="8:11" hidden="1" x14ac:dyDescent="0.2"/>
    <row r="169" spans="8:11" hidden="1" x14ac:dyDescent="0.2"/>
    <row r="170" spans="8:11" hidden="1" x14ac:dyDescent="0.2">
      <c r="H170" s="1936">
        <f ca="1">SUM(H27:J27)</f>
        <v>0</v>
      </c>
      <c r="K170" s="1936">
        <f ca="1">SUM(K27:M27)</f>
        <v>0</v>
      </c>
    </row>
    <row r="171" spans="8:11" hidden="1" x14ac:dyDescent="0.2"/>
    <row r="172" spans="8:11" hidden="1" x14ac:dyDescent="0.2"/>
    <row r="173" spans="8:11" hidden="1" x14ac:dyDescent="0.2"/>
    <row r="174" spans="8:11" hidden="1" x14ac:dyDescent="0.2"/>
    <row r="175" spans="8:11" hidden="1" x14ac:dyDescent="0.2"/>
    <row r="176" spans="8:11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</sheetData>
  <sheetProtection algorithmName="SHA-512" hashValue="hOOgW7xUVedtcvSfDjz01KhVVqZYPz1xxSrtMCEIrPuCY+Apvtfdsd6lbglg1GoM3r1Q7pC48hjACUZ1MZd/JA==" saltValue="rUJQ7ZeeejSVuK29ZDuQTw==" spinCount="100000" sheet="1" objects="1" scenarios="1"/>
  <mergeCells count="31">
    <mergeCell ref="D34:G35"/>
    <mergeCell ref="H34:J34"/>
    <mergeCell ref="K34:K35"/>
    <mergeCell ref="L34:L35"/>
    <mergeCell ref="H6:J6"/>
    <mergeCell ref="K6:M6"/>
    <mergeCell ref="N6:P6"/>
    <mergeCell ref="H19:J19"/>
    <mergeCell ref="A32:J33"/>
    <mergeCell ref="A1:M1"/>
    <mergeCell ref="A2:M2"/>
    <mergeCell ref="A3:D3"/>
    <mergeCell ref="E3:L3"/>
    <mergeCell ref="A4:D4"/>
    <mergeCell ref="A6:G6"/>
    <mergeCell ref="H23:J23"/>
    <mergeCell ref="K23:M23"/>
    <mergeCell ref="N23:P23"/>
    <mergeCell ref="A36:A39"/>
    <mergeCell ref="D36:E36"/>
    <mergeCell ref="D38:E38"/>
    <mergeCell ref="D39:F39"/>
    <mergeCell ref="A42:J43"/>
    <mergeCell ref="K44:K45"/>
    <mergeCell ref="L44:L45"/>
    <mergeCell ref="A46:A49"/>
    <mergeCell ref="D46:E46"/>
    <mergeCell ref="D48:E48"/>
    <mergeCell ref="D49:F49"/>
    <mergeCell ref="D44:G45"/>
    <mergeCell ref="H44:J44"/>
  </mergeCells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-0.499984740745262"/>
    <pageSetUpPr fitToPage="1"/>
  </sheetPr>
  <dimension ref="A1:R312"/>
  <sheetViews>
    <sheetView showGridLines="0" topLeftCell="C1" zoomScale="70" zoomScaleNormal="70" workbookViewId="0">
      <selection activeCell="I22" sqref="I22"/>
    </sheetView>
  </sheetViews>
  <sheetFormatPr baseColWidth="10" defaultColWidth="11.42578125" defaultRowHeight="15" x14ac:dyDescent="0.25"/>
  <cols>
    <col min="1" max="1" width="13.5703125" customWidth="1"/>
    <col min="2" max="2" width="21.42578125" customWidth="1"/>
    <col min="3" max="3" width="23.42578125" customWidth="1"/>
    <col min="4" max="4" width="16.85546875" customWidth="1"/>
    <col min="5" max="5" width="25.5703125" customWidth="1"/>
    <col min="6" max="6" width="53.140625" style="2718" customWidth="1"/>
    <col min="7" max="7" width="14.42578125" style="2718" customWidth="1"/>
    <col min="8" max="8" width="21.7109375" style="2718" customWidth="1"/>
    <col min="9" max="9" width="28.42578125" style="2718" customWidth="1"/>
    <col min="10" max="18" width="17.28515625" style="214" customWidth="1"/>
  </cols>
  <sheetData>
    <row r="1" spans="1:18" ht="27.75" customHeight="1" x14ac:dyDescent="0.5">
      <c r="A1" s="4171" t="s">
        <v>292</v>
      </c>
      <c r="B1" s="4172"/>
      <c r="C1" s="4172"/>
      <c r="D1" s="4172"/>
      <c r="E1" s="4172"/>
      <c r="F1" s="4172"/>
      <c r="G1" s="4172"/>
      <c r="H1" s="4172"/>
      <c r="I1" s="4172"/>
    </row>
    <row r="2" spans="1:18" ht="12.75" x14ac:dyDescent="0.2">
      <c r="A2" s="210"/>
      <c r="F2"/>
      <c r="G2"/>
      <c r="H2"/>
      <c r="I2"/>
    </row>
    <row r="3" spans="1:18" ht="12.75" x14ac:dyDescent="0.2">
      <c r="A3" s="210"/>
      <c r="F3"/>
      <c r="G3"/>
      <c r="H3"/>
      <c r="I3"/>
    </row>
    <row r="4" spans="1:18" ht="12.75" x14ac:dyDescent="0.2">
      <c r="A4" s="210"/>
      <c r="F4"/>
      <c r="G4"/>
      <c r="H4"/>
      <c r="I4"/>
    </row>
    <row r="5" spans="1:18" ht="12.75" x14ac:dyDescent="0.2">
      <c r="A5" s="210"/>
      <c r="F5"/>
      <c r="G5"/>
      <c r="H5"/>
      <c r="I5"/>
    </row>
    <row r="6" spans="1:18" ht="12.75" x14ac:dyDescent="0.2">
      <c r="A6" s="210"/>
      <c r="F6"/>
      <c r="G6"/>
      <c r="H6"/>
      <c r="I6"/>
    </row>
    <row r="7" spans="1:18" ht="12.75" x14ac:dyDescent="0.2">
      <c r="A7" s="210"/>
      <c r="F7"/>
      <c r="G7"/>
      <c r="H7"/>
      <c r="I7"/>
    </row>
    <row r="8" spans="1:18" ht="13.5" thickBot="1" x14ac:dyDescent="0.25">
      <c r="A8" s="1465"/>
      <c r="B8" s="2728"/>
      <c r="C8" s="2728"/>
      <c r="D8" s="2728"/>
      <c r="E8" s="2728"/>
      <c r="F8" s="2728"/>
      <c r="G8" s="2728"/>
      <c r="H8" s="2728"/>
      <c r="I8" s="2728"/>
    </row>
    <row r="9" spans="1:18" ht="12.75" x14ac:dyDescent="0.2">
      <c r="F9"/>
      <c r="G9"/>
      <c r="H9"/>
      <c r="I9"/>
    </row>
    <row r="10" spans="1:18" ht="23.1" customHeight="1" x14ac:dyDescent="0.4">
      <c r="A10" s="2730" t="s">
        <v>300</v>
      </c>
    </row>
    <row r="11" spans="1:18" s="1" customFormat="1" ht="20.25" x14ac:dyDescent="0.3">
      <c r="A11" s="3060" t="s">
        <v>301</v>
      </c>
      <c r="F11" s="2718"/>
      <c r="G11" s="2718"/>
      <c r="H11" s="2718"/>
      <c r="I11" s="2718"/>
      <c r="J11" s="1906"/>
      <c r="K11" s="1906"/>
      <c r="L11" s="1906"/>
      <c r="M11" s="1906"/>
      <c r="N11" s="1906"/>
      <c r="O11" s="1906"/>
      <c r="P11" s="1906"/>
      <c r="Q11" s="1906"/>
      <c r="R11" s="1906"/>
    </row>
    <row r="12" spans="1:18" ht="20.25" x14ac:dyDescent="0.3">
      <c r="A12" s="2729"/>
      <c r="J12" s="4582" t="s">
        <v>304</v>
      </c>
      <c r="K12" s="4583"/>
      <c r="L12" s="4584"/>
      <c r="M12" s="4582" t="s">
        <v>368</v>
      </c>
      <c r="N12" s="4583"/>
      <c r="O12" s="4584"/>
      <c r="P12" s="4582" t="s">
        <v>377</v>
      </c>
      <c r="Q12" s="4583"/>
      <c r="R12" s="4584"/>
    </row>
    <row r="13" spans="1:18" ht="20.25" x14ac:dyDescent="0.3">
      <c r="A13" s="2729"/>
      <c r="J13" s="3038" t="s">
        <v>287</v>
      </c>
      <c r="K13" s="3038" t="s">
        <v>289</v>
      </c>
      <c r="L13" s="3038" t="s">
        <v>288</v>
      </c>
      <c r="M13" s="3038" t="s">
        <v>287</v>
      </c>
      <c r="N13" s="3038" t="s">
        <v>289</v>
      </c>
      <c r="O13" s="3038" t="s">
        <v>288</v>
      </c>
      <c r="P13" s="3038" t="s">
        <v>287</v>
      </c>
      <c r="Q13" s="3038" t="s">
        <v>289</v>
      </c>
      <c r="R13" s="3038" t="s">
        <v>288</v>
      </c>
    </row>
    <row r="14" spans="1:18" ht="27.75" customHeight="1" x14ac:dyDescent="0.35">
      <c r="A14" s="2729"/>
      <c r="I14" s="3040" t="s">
        <v>4</v>
      </c>
      <c r="J14" s="3040">
        <f ca="1">+J132</f>
        <v>0</v>
      </c>
      <c r="K14" s="3040">
        <f t="shared" ref="K14:R14" ca="1" si="0">+K132</f>
        <v>0</v>
      </c>
      <c r="L14" s="3040">
        <f t="shared" ca="1" si="0"/>
        <v>0</v>
      </c>
      <c r="M14" s="3040">
        <f t="shared" ca="1" si="0"/>
        <v>0</v>
      </c>
      <c r="N14" s="3040">
        <f t="shared" ca="1" si="0"/>
        <v>0</v>
      </c>
      <c r="O14" s="3040">
        <f t="shared" ca="1" si="0"/>
        <v>0</v>
      </c>
      <c r="P14" s="3576">
        <f t="shared" ca="1" si="0"/>
        <v>0</v>
      </c>
      <c r="Q14" s="3576">
        <f t="shared" ca="1" si="0"/>
        <v>0</v>
      </c>
      <c r="R14" s="3576">
        <f t="shared" ca="1" si="0"/>
        <v>0</v>
      </c>
    </row>
    <row r="15" spans="1:18" ht="27.75" customHeight="1" x14ac:dyDescent="0.35">
      <c r="A15" s="2729"/>
      <c r="I15" s="3041"/>
      <c r="J15" s="4581" t="s">
        <v>377</v>
      </c>
      <c r="K15" s="4581"/>
      <c r="L15" s="4581"/>
      <c r="M15" s="3041"/>
      <c r="N15" s="3041"/>
      <c r="O15" s="3041"/>
      <c r="P15" s="3041"/>
      <c r="Q15" s="3041"/>
      <c r="R15" s="3041"/>
    </row>
    <row r="16" spans="1:18" ht="27.75" customHeight="1" x14ac:dyDescent="0.35">
      <c r="A16" s="2729"/>
      <c r="I16" s="3041"/>
      <c r="J16" s="2598" t="s">
        <v>287</v>
      </c>
      <c r="K16" s="2598" t="s">
        <v>289</v>
      </c>
      <c r="L16" s="2598" t="s">
        <v>288</v>
      </c>
      <c r="M16" s="3041"/>
      <c r="N16" s="3041"/>
      <c r="O16" s="3041"/>
      <c r="P16" s="3041"/>
      <c r="Q16" s="3041"/>
      <c r="R16" s="3041"/>
    </row>
    <row r="17" spans="1:18" ht="27.75" customHeight="1" x14ac:dyDescent="0.35">
      <c r="A17" s="2729"/>
      <c r="I17" s="3041"/>
      <c r="J17" s="3577">
        <f ca="1">+P14</f>
        <v>0</v>
      </c>
      <c r="K17" s="3577">
        <f t="shared" ref="K17:L17" ca="1" si="1">+Q14</f>
        <v>0</v>
      </c>
      <c r="L17" s="3577">
        <f t="shared" ca="1" si="1"/>
        <v>0</v>
      </c>
      <c r="M17" s="3578">
        <f ca="1">+J17+K17+L17</f>
        <v>0</v>
      </c>
      <c r="N17" s="3041"/>
      <c r="O17" s="3041"/>
      <c r="P17" s="3041"/>
      <c r="Q17" s="3041"/>
      <c r="R17" s="3041"/>
    </row>
    <row r="18" spans="1:18" ht="27.75" customHeight="1" x14ac:dyDescent="0.35">
      <c r="A18" s="2729"/>
      <c r="I18" s="3041"/>
      <c r="J18" s="3041"/>
      <c r="K18" s="3041"/>
      <c r="L18" s="3041"/>
      <c r="M18" s="3041"/>
      <c r="N18" s="3041"/>
      <c r="O18" s="3041"/>
      <c r="P18" s="3041"/>
      <c r="Q18" s="3041"/>
      <c r="R18" s="3041"/>
    </row>
    <row r="20" spans="1:18" ht="34.700000000000003" customHeight="1" x14ac:dyDescent="0.4">
      <c r="A20" s="4588" t="s">
        <v>494</v>
      </c>
      <c r="B20" s="4588"/>
      <c r="C20" s="4588"/>
      <c r="D20" s="4588"/>
      <c r="E20" s="4588"/>
      <c r="F20" s="4588"/>
      <c r="G20" s="4588"/>
      <c r="H20" s="4588"/>
      <c r="I20" s="4589"/>
      <c r="J20" s="4582" t="s">
        <v>304</v>
      </c>
      <c r="K20" s="4583"/>
      <c r="L20" s="4584"/>
      <c r="M20" s="4582" t="s">
        <v>368</v>
      </c>
      <c r="N20" s="4583"/>
      <c r="O20" s="4584"/>
      <c r="P20" s="4582" t="s">
        <v>377</v>
      </c>
      <c r="Q20" s="4583"/>
      <c r="R20" s="4584"/>
    </row>
    <row r="21" spans="1:18" s="2724" customFormat="1" ht="15.75" x14ac:dyDescent="0.25">
      <c r="A21" s="4585" t="str">
        <f>+CONCATENATE('SUMIN -HOJA3'!B22,"-",'SUMIN -HOJA3'!C22,"-",'SUMIN -HOJA3'!D22,"-",'SUMIN -HOJA3'!E22,"-",'SUMIN -HOJA3'!F22,)</f>
        <v>SUMINISTRO-RAZON SOCIAL-DIRECCION-LOCALIDAD-PROVINCIA</v>
      </c>
      <c r="B21" s="4586"/>
      <c r="C21" s="4586"/>
      <c r="D21" s="4586"/>
      <c r="E21" s="4587"/>
      <c r="F21" s="2722" t="s">
        <v>312</v>
      </c>
      <c r="G21" s="2722" t="s">
        <v>313</v>
      </c>
      <c r="H21" s="2722" t="s">
        <v>474</v>
      </c>
      <c r="I21" s="2722" t="s">
        <v>315</v>
      </c>
      <c r="J21" s="3038" t="s">
        <v>287</v>
      </c>
      <c r="K21" s="3038" t="s">
        <v>289</v>
      </c>
      <c r="L21" s="3038" t="s">
        <v>288</v>
      </c>
      <c r="M21" s="3038" t="s">
        <v>287</v>
      </c>
      <c r="N21" s="3038" t="s">
        <v>289</v>
      </c>
      <c r="O21" s="3038" t="s">
        <v>288</v>
      </c>
      <c r="P21" s="3038" t="s">
        <v>287</v>
      </c>
      <c r="Q21" s="3038" t="s">
        <v>289</v>
      </c>
      <c r="R21" s="3038" t="s">
        <v>288</v>
      </c>
    </row>
    <row r="22" spans="1:18" ht="26.45" customHeight="1" x14ac:dyDescent="0.35">
      <c r="A22" s="4585" t="str">
        <f>+CONCATENATE(+'SUMIN -HOJA3'!A23,'SUMIN -HOJA3'!B23,"-",'SUMIN -HOJA3'!C23,"-",'SUMIN -HOJA3'!D23,"-",'SUMIN -HOJA3'!E23,"-",'SUMIN -HOJA3'!F23,)</f>
        <v>----</v>
      </c>
      <c r="B22" s="4586"/>
      <c r="C22" s="4586"/>
      <c r="D22" s="4586"/>
      <c r="E22" s="4587"/>
      <c r="F22" s="2725">
        <f>+'SUMIN -HOJA3'!G23</f>
        <v>0</v>
      </c>
      <c r="G22" s="2725" t="str">
        <f>+'SUMIN -HOJA3'!H23</f>
        <v/>
      </c>
      <c r="H22" s="3359" t="str">
        <f>+CONCATENATE('SUMIN -HOJA3'!A23,'SUMIN -HOJA3'!B23)</f>
        <v/>
      </c>
      <c r="I22" s="3039" t="str">
        <f>+CONCATENATE('SUMIN -HOJA3'!I23," (",'SUMIN -HOJA3'!K23,")")</f>
        <v xml:space="preserve"> ()</v>
      </c>
      <c r="J22" s="3579">
        <f ca="1">+'SUMIN -HOJA3'!Z23</f>
        <v>0</v>
      </c>
      <c r="K22" s="3579">
        <f ca="1">+'SUMIN -HOJA3'!AA23</f>
        <v>0</v>
      </c>
      <c r="L22" s="3579">
        <f ca="1">+'SUMIN -HOJA3'!AB23</f>
        <v>0</v>
      </c>
      <c r="M22" s="3579">
        <f ca="1">+'SUMIN -HOJA3'!AC23</f>
        <v>0</v>
      </c>
      <c r="N22" s="3579">
        <f ca="1">+'SUMIN -HOJA3'!AD23</f>
        <v>0</v>
      </c>
      <c r="O22" s="3579">
        <f ca="1">+'SUMIN -HOJA3'!AE23</f>
        <v>0</v>
      </c>
      <c r="P22" s="3577">
        <f ca="1">+J22+M22</f>
        <v>0</v>
      </c>
      <c r="Q22" s="3577">
        <f t="shared" ref="Q22:R22" ca="1" si="2">+K22+N22</f>
        <v>0</v>
      </c>
      <c r="R22" s="3577">
        <f t="shared" ca="1" si="2"/>
        <v>0</v>
      </c>
    </row>
    <row r="23" spans="1:18" ht="26.45" customHeight="1" x14ac:dyDescent="0.35">
      <c r="A23" s="4585" t="str">
        <f>+CONCATENATE(+'SUMIN -HOJA3'!A24,'SUMIN -HOJA3'!B24,"-",'SUMIN -HOJA3'!C24,"-",'SUMIN -HOJA3'!D24,"-",'SUMIN -HOJA3'!E24,"-",'SUMIN -HOJA3'!F24,)</f>
        <v>----</v>
      </c>
      <c r="B23" s="4586"/>
      <c r="C23" s="4586"/>
      <c r="D23" s="4586"/>
      <c r="E23" s="4587"/>
      <c r="F23" s="2725">
        <f>+'SUMIN -HOJA3'!G24</f>
        <v>0</v>
      </c>
      <c r="G23" s="2725" t="str">
        <f>+'SUMIN -HOJA3'!H24</f>
        <v/>
      </c>
      <c r="H23" s="3359" t="str">
        <f>+CONCATENATE('SUMIN -HOJA3'!A24,'SUMIN -HOJA3'!B24)</f>
        <v/>
      </c>
      <c r="I23" s="3039" t="str">
        <f>+CONCATENATE('SUMIN -HOJA3'!I24," (",'SUMIN -HOJA3'!K24,")")</f>
        <v xml:space="preserve"> ()</v>
      </c>
      <c r="J23" s="3579">
        <f ca="1">+'SUMIN -HOJA3'!Z24</f>
        <v>0</v>
      </c>
      <c r="K23" s="3579">
        <f ca="1">+'SUMIN -HOJA3'!AA24</f>
        <v>0</v>
      </c>
      <c r="L23" s="3579">
        <f ca="1">+'SUMIN -HOJA3'!AB24</f>
        <v>0</v>
      </c>
      <c r="M23" s="3579">
        <f ca="1">+'SUMIN -HOJA3'!AC24</f>
        <v>0</v>
      </c>
      <c r="N23" s="3579">
        <f ca="1">+'SUMIN -HOJA3'!AD24</f>
        <v>0</v>
      </c>
      <c r="O23" s="3579">
        <f ca="1">+'SUMIN -HOJA3'!AE24</f>
        <v>0</v>
      </c>
      <c r="P23" s="3577">
        <f t="shared" ref="P23:P86" ca="1" si="3">+J23+M23</f>
        <v>0</v>
      </c>
      <c r="Q23" s="3577">
        <f t="shared" ref="Q23:Q86" ca="1" si="4">+K23+N23</f>
        <v>0</v>
      </c>
      <c r="R23" s="3577">
        <f t="shared" ref="R23:R86" ca="1" si="5">+L23+O23</f>
        <v>0</v>
      </c>
    </row>
    <row r="24" spans="1:18" ht="26.45" customHeight="1" x14ac:dyDescent="0.35">
      <c r="A24" s="4585" t="str">
        <f>+CONCATENATE(+'SUMIN -HOJA3'!A25,'SUMIN -HOJA3'!B25,"-",'SUMIN -HOJA3'!C25,"-",'SUMIN -HOJA3'!D25,"-",'SUMIN -HOJA3'!E25,"-",'SUMIN -HOJA3'!F25,)</f>
        <v>----</v>
      </c>
      <c r="B24" s="4586"/>
      <c r="C24" s="4586"/>
      <c r="D24" s="4586"/>
      <c r="E24" s="4587"/>
      <c r="F24" s="2725">
        <f>+'SUMIN -HOJA3'!G25</f>
        <v>0</v>
      </c>
      <c r="G24" s="2725" t="str">
        <f>+'SUMIN -HOJA3'!H25</f>
        <v/>
      </c>
      <c r="H24" s="3359" t="str">
        <f>+CONCATENATE('SUMIN -HOJA3'!A25,'SUMIN -HOJA3'!B25)</f>
        <v/>
      </c>
      <c r="I24" s="3039" t="str">
        <f>+CONCATENATE('SUMIN -HOJA3'!I25," (",'SUMIN -HOJA3'!K25,")")</f>
        <v xml:space="preserve"> ()</v>
      </c>
      <c r="J24" s="3579">
        <f ca="1">+'SUMIN -HOJA3'!Z25</f>
        <v>0</v>
      </c>
      <c r="K24" s="3579">
        <f ca="1">+'SUMIN -HOJA3'!AA25</f>
        <v>0</v>
      </c>
      <c r="L24" s="3579">
        <f ca="1">+'SUMIN -HOJA3'!AB25</f>
        <v>0</v>
      </c>
      <c r="M24" s="3579">
        <f ca="1">+'SUMIN -HOJA3'!AC25</f>
        <v>0</v>
      </c>
      <c r="N24" s="3579">
        <f ca="1">+'SUMIN -HOJA3'!AD25</f>
        <v>0</v>
      </c>
      <c r="O24" s="3579">
        <f ca="1">+'SUMIN -HOJA3'!AE25</f>
        <v>0</v>
      </c>
      <c r="P24" s="3577">
        <f t="shared" ca="1" si="3"/>
        <v>0</v>
      </c>
      <c r="Q24" s="3577">
        <f t="shared" ca="1" si="4"/>
        <v>0</v>
      </c>
      <c r="R24" s="3577">
        <f t="shared" ca="1" si="5"/>
        <v>0</v>
      </c>
    </row>
    <row r="25" spans="1:18" ht="26.45" customHeight="1" x14ac:dyDescent="0.35">
      <c r="A25" s="4585" t="str">
        <f>+CONCATENATE(+'SUMIN -HOJA3'!A26,'SUMIN -HOJA3'!B26,"-",'SUMIN -HOJA3'!C26,"-",'SUMIN -HOJA3'!D26,"-",'SUMIN -HOJA3'!E26,"-",'SUMIN -HOJA3'!F26,)</f>
        <v>----</v>
      </c>
      <c r="B25" s="4586"/>
      <c r="C25" s="4586"/>
      <c r="D25" s="4586"/>
      <c r="E25" s="4587"/>
      <c r="F25" s="2725">
        <f>+'SUMIN -HOJA3'!G26</f>
        <v>0</v>
      </c>
      <c r="G25" s="2725" t="str">
        <f>+'SUMIN -HOJA3'!H26</f>
        <v/>
      </c>
      <c r="H25" s="3359" t="str">
        <f>+CONCATENATE('SUMIN -HOJA3'!A26,'SUMIN -HOJA3'!B26)</f>
        <v/>
      </c>
      <c r="I25" s="3039" t="str">
        <f>+CONCATENATE('SUMIN -HOJA3'!I26," (",'SUMIN -HOJA3'!K26,")")</f>
        <v xml:space="preserve"> ()</v>
      </c>
      <c r="J25" s="3579">
        <f ca="1">+'SUMIN -HOJA3'!Z26</f>
        <v>0</v>
      </c>
      <c r="K25" s="3579">
        <f ca="1">+'SUMIN -HOJA3'!AA26</f>
        <v>0</v>
      </c>
      <c r="L25" s="3579">
        <f ca="1">+'SUMIN -HOJA3'!AB26</f>
        <v>0</v>
      </c>
      <c r="M25" s="3579">
        <f ca="1">+'SUMIN -HOJA3'!AC26</f>
        <v>0</v>
      </c>
      <c r="N25" s="3579">
        <f ca="1">+'SUMIN -HOJA3'!AD26</f>
        <v>0</v>
      </c>
      <c r="O25" s="3579">
        <f ca="1">+'SUMIN -HOJA3'!AE26</f>
        <v>0</v>
      </c>
      <c r="P25" s="3577">
        <f t="shared" ca="1" si="3"/>
        <v>0</v>
      </c>
      <c r="Q25" s="3577">
        <f t="shared" ca="1" si="4"/>
        <v>0</v>
      </c>
      <c r="R25" s="3577">
        <f t="shared" ca="1" si="5"/>
        <v>0</v>
      </c>
    </row>
    <row r="26" spans="1:18" ht="26.45" customHeight="1" x14ac:dyDescent="0.35">
      <c r="A26" s="4585" t="str">
        <f>+CONCATENATE(+'SUMIN -HOJA3'!A27,'SUMIN -HOJA3'!B27,"-",'SUMIN -HOJA3'!C27,"-",'SUMIN -HOJA3'!D27,"-",'SUMIN -HOJA3'!E27,"-",'SUMIN -HOJA3'!F27,)</f>
        <v>----</v>
      </c>
      <c r="B26" s="4586"/>
      <c r="C26" s="4586"/>
      <c r="D26" s="4586"/>
      <c r="E26" s="4587"/>
      <c r="F26" s="2725">
        <f>+'SUMIN -HOJA3'!G27</f>
        <v>0</v>
      </c>
      <c r="G26" s="2725" t="str">
        <f>+'SUMIN -HOJA3'!H27</f>
        <v/>
      </c>
      <c r="H26" s="3359" t="str">
        <f>+CONCATENATE('SUMIN -HOJA3'!A27,'SUMIN -HOJA3'!B27)</f>
        <v/>
      </c>
      <c r="I26" s="3039" t="str">
        <f>+CONCATENATE('SUMIN -HOJA3'!I27," (",'SUMIN -HOJA3'!K27,")")</f>
        <v xml:space="preserve"> ()</v>
      </c>
      <c r="J26" s="3579">
        <f ca="1">+'SUMIN -HOJA3'!Z27</f>
        <v>0</v>
      </c>
      <c r="K26" s="3579">
        <f ca="1">+'SUMIN -HOJA3'!AA27</f>
        <v>0</v>
      </c>
      <c r="L26" s="3579">
        <f ca="1">+'SUMIN -HOJA3'!AB27</f>
        <v>0</v>
      </c>
      <c r="M26" s="3579">
        <f ca="1">+'SUMIN -HOJA3'!AC27</f>
        <v>0</v>
      </c>
      <c r="N26" s="3579">
        <f ca="1">+'SUMIN -HOJA3'!AD27</f>
        <v>0</v>
      </c>
      <c r="O26" s="3579">
        <f ca="1">+'SUMIN -HOJA3'!AE27</f>
        <v>0</v>
      </c>
      <c r="P26" s="3577">
        <f t="shared" ca="1" si="3"/>
        <v>0</v>
      </c>
      <c r="Q26" s="3577">
        <f t="shared" ca="1" si="4"/>
        <v>0</v>
      </c>
      <c r="R26" s="3577">
        <f t="shared" ca="1" si="5"/>
        <v>0</v>
      </c>
    </row>
    <row r="27" spans="1:18" ht="26.45" customHeight="1" x14ac:dyDescent="0.35">
      <c r="A27" s="4585" t="str">
        <f>+CONCATENATE(+'SUMIN -HOJA3'!A28,'SUMIN -HOJA3'!B28,"-",'SUMIN -HOJA3'!C28,"-",'SUMIN -HOJA3'!D28,"-",'SUMIN -HOJA3'!E28,"-",'SUMIN -HOJA3'!F28,)</f>
        <v>----</v>
      </c>
      <c r="B27" s="4586"/>
      <c r="C27" s="4586"/>
      <c r="D27" s="4586"/>
      <c r="E27" s="4587"/>
      <c r="F27" s="2725">
        <f>+'SUMIN -HOJA3'!G28</f>
        <v>0</v>
      </c>
      <c r="G27" s="2725" t="str">
        <f>+'SUMIN -HOJA3'!H28</f>
        <v/>
      </c>
      <c r="H27" s="3359" t="str">
        <f>+CONCATENATE('SUMIN -HOJA3'!A28,'SUMIN -HOJA3'!B28)</f>
        <v/>
      </c>
      <c r="I27" s="3039" t="str">
        <f>+CONCATENATE('SUMIN -HOJA3'!I28," (",'SUMIN -HOJA3'!K28,")")</f>
        <v xml:space="preserve"> ()</v>
      </c>
      <c r="J27" s="3579">
        <f ca="1">+'SUMIN -HOJA3'!Z28</f>
        <v>0</v>
      </c>
      <c r="K27" s="3579">
        <f ca="1">+'SUMIN -HOJA3'!AA28</f>
        <v>0</v>
      </c>
      <c r="L27" s="3579">
        <f ca="1">+'SUMIN -HOJA3'!AB28</f>
        <v>0</v>
      </c>
      <c r="M27" s="3579">
        <f ca="1">+'SUMIN -HOJA3'!AC28</f>
        <v>0</v>
      </c>
      <c r="N27" s="3579">
        <f ca="1">+'SUMIN -HOJA3'!AD28</f>
        <v>0</v>
      </c>
      <c r="O27" s="3579">
        <f ca="1">+'SUMIN -HOJA3'!AE28</f>
        <v>0</v>
      </c>
      <c r="P27" s="3577">
        <f t="shared" ca="1" si="3"/>
        <v>0</v>
      </c>
      <c r="Q27" s="3577">
        <f t="shared" ca="1" si="4"/>
        <v>0</v>
      </c>
      <c r="R27" s="3577">
        <f t="shared" ca="1" si="5"/>
        <v>0</v>
      </c>
    </row>
    <row r="28" spans="1:18" ht="26.45" customHeight="1" x14ac:dyDescent="0.35">
      <c r="A28" s="4585" t="str">
        <f>+CONCATENATE(+'SUMIN -HOJA3'!A29,'SUMIN -HOJA3'!B29,"-",'SUMIN -HOJA3'!C29,"-",'SUMIN -HOJA3'!D29,"-",'SUMIN -HOJA3'!E29,"-",'SUMIN -HOJA3'!F29,)</f>
        <v>----</v>
      </c>
      <c r="B28" s="4586"/>
      <c r="C28" s="4586"/>
      <c r="D28" s="4586"/>
      <c r="E28" s="4587"/>
      <c r="F28" s="2725">
        <f>+'SUMIN -HOJA3'!G29</f>
        <v>0</v>
      </c>
      <c r="G28" s="2725" t="str">
        <f>+'SUMIN -HOJA3'!H29</f>
        <v/>
      </c>
      <c r="H28" s="3359" t="str">
        <f>+CONCATENATE('SUMIN -HOJA3'!A29,'SUMIN -HOJA3'!B29)</f>
        <v/>
      </c>
      <c r="I28" s="3039" t="str">
        <f>+CONCATENATE('SUMIN -HOJA3'!I29," (",'SUMIN -HOJA3'!K29,")")</f>
        <v xml:space="preserve"> ()</v>
      </c>
      <c r="J28" s="3579">
        <f ca="1">+'SUMIN -HOJA3'!Z29</f>
        <v>0</v>
      </c>
      <c r="K28" s="3579">
        <f ca="1">+'SUMIN -HOJA3'!AA29</f>
        <v>0</v>
      </c>
      <c r="L28" s="3579">
        <f ca="1">+'SUMIN -HOJA3'!AB29</f>
        <v>0</v>
      </c>
      <c r="M28" s="3579">
        <f ca="1">+'SUMIN -HOJA3'!AC29</f>
        <v>0</v>
      </c>
      <c r="N28" s="3579">
        <f ca="1">+'SUMIN -HOJA3'!AD29</f>
        <v>0</v>
      </c>
      <c r="O28" s="3579">
        <f ca="1">+'SUMIN -HOJA3'!AE29</f>
        <v>0</v>
      </c>
      <c r="P28" s="3577">
        <f t="shared" ca="1" si="3"/>
        <v>0</v>
      </c>
      <c r="Q28" s="3577">
        <f t="shared" ca="1" si="4"/>
        <v>0</v>
      </c>
      <c r="R28" s="3577">
        <f t="shared" ca="1" si="5"/>
        <v>0</v>
      </c>
    </row>
    <row r="29" spans="1:18" ht="26.45" customHeight="1" x14ac:dyDescent="0.35">
      <c r="A29" s="4585" t="str">
        <f>+CONCATENATE(+'SUMIN -HOJA3'!A30,'SUMIN -HOJA3'!B30,"-",'SUMIN -HOJA3'!C30,"-",'SUMIN -HOJA3'!D30,"-",'SUMIN -HOJA3'!E30,"-",'SUMIN -HOJA3'!F30,)</f>
        <v>----</v>
      </c>
      <c r="B29" s="4586"/>
      <c r="C29" s="4586"/>
      <c r="D29" s="4586"/>
      <c r="E29" s="4587"/>
      <c r="F29" s="2725">
        <f>+'SUMIN -HOJA3'!G30</f>
        <v>0</v>
      </c>
      <c r="G29" s="2725" t="str">
        <f>+'SUMIN -HOJA3'!H30</f>
        <v/>
      </c>
      <c r="H29" s="3359" t="str">
        <f>+CONCATENATE('SUMIN -HOJA3'!A30,'SUMIN -HOJA3'!B30)</f>
        <v/>
      </c>
      <c r="I29" s="3039" t="str">
        <f>+CONCATENATE('SUMIN -HOJA3'!I30," (",'SUMIN -HOJA3'!K30,")")</f>
        <v xml:space="preserve"> ()</v>
      </c>
      <c r="J29" s="3579">
        <f ca="1">+'SUMIN -HOJA3'!Z30</f>
        <v>0</v>
      </c>
      <c r="K29" s="3579">
        <f ca="1">+'SUMIN -HOJA3'!AA30</f>
        <v>0</v>
      </c>
      <c r="L29" s="3579">
        <f ca="1">+'SUMIN -HOJA3'!AB30</f>
        <v>0</v>
      </c>
      <c r="M29" s="3579">
        <f ca="1">+'SUMIN -HOJA3'!AC30</f>
        <v>0</v>
      </c>
      <c r="N29" s="3579">
        <f ca="1">+'SUMIN -HOJA3'!AD30</f>
        <v>0</v>
      </c>
      <c r="O29" s="3579">
        <f ca="1">+'SUMIN -HOJA3'!AE30</f>
        <v>0</v>
      </c>
      <c r="P29" s="3577">
        <f t="shared" ca="1" si="3"/>
        <v>0</v>
      </c>
      <c r="Q29" s="3577">
        <f t="shared" ca="1" si="4"/>
        <v>0</v>
      </c>
      <c r="R29" s="3577">
        <f t="shared" ca="1" si="5"/>
        <v>0</v>
      </c>
    </row>
    <row r="30" spans="1:18" ht="26.45" customHeight="1" x14ac:dyDescent="0.35">
      <c r="A30" s="4585" t="str">
        <f>+CONCATENATE(+'SUMIN -HOJA3'!A31,'SUMIN -HOJA3'!B31,"-",'SUMIN -HOJA3'!C31,"-",'SUMIN -HOJA3'!D31,"-",'SUMIN -HOJA3'!E31,"-",'SUMIN -HOJA3'!F31,)</f>
        <v>----</v>
      </c>
      <c r="B30" s="4586"/>
      <c r="C30" s="4586"/>
      <c r="D30" s="4586"/>
      <c r="E30" s="4587"/>
      <c r="F30" s="2725">
        <f>+'SUMIN -HOJA3'!G31</f>
        <v>0</v>
      </c>
      <c r="G30" s="2725" t="str">
        <f>+'SUMIN -HOJA3'!H31</f>
        <v/>
      </c>
      <c r="H30" s="3359" t="str">
        <f>+CONCATENATE('SUMIN -HOJA3'!A31,'SUMIN -HOJA3'!B31)</f>
        <v/>
      </c>
      <c r="I30" s="3039" t="str">
        <f>+CONCATENATE('SUMIN -HOJA3'!I31," (",'SUMIN -HOJA3'!K31,")")</f>
        <v xml:space="preserve"> ()</v>
      </c>
      <c r="J30" s="3579">
        <f ca="1">+'SUMIN -HOJA3'!Z31</f>
        <v>0</v>
      </c>
      <c r="K30" s="3579">
        <f ca="1">+'SUMIN -HOJA3'!AA31</f>
        <v>0</v>
      </c>
      <c r="L30" s="3579">
        <f ca="1">+'SUMIN -HOJA3'!AB31</f>
        <v>0</v>
      </c>
      <c r="M30" s="3579">
        <f ca="1">+'SUMIN -HOJA3'!AC31</f>
        <v>0</v>
      </c>
      <c r="N30" s="3579">
        <f ca="1">+'SUMIN -HOJA3'!AD31</f>
        <v>0</v>
      </c>
      <c r="O30" s="3579">
        <f ca="1">+'SUMIN -HOJA3'!AE31</f>
        <v>0</v>
      </c>
      <c r="P30" s="3577">
        <f t="shared" ca="1" si="3"/>
        <v>0</v>
      </c>
      <c r="Q30" s="3577">
        <f t="shared" ca="1" si="4"/>
        <v>0</v>
      </c>
      <c r="R30" s="3577">
        <f t="shared" ca="1" si="5"/>
        <v>0</v>
      </c>
    </row>
    <row r="31" spans="1:18" ht="26.45" customHeight="1" x14ac:dyDescent="0.35">
      <c r="A31" s="4585" t="str">
        <f>+CONCATENATE(+'SUMIN -HOJA3'!A32,'SUMIN -HOJA3'!B32,"-",'SUMIN -HOJA3'!C32,"-",'SUMIN -HOJA3'!D32,"-",'SUMIN -HOJA3'!E32,"-",'SUMIN -HOJA3'!F32,)</f>
        <v>----</v>
      </c>
      <c r="B31" s="4586"/>
      <c r="C31" s="4586"/>
      <c r="D31" s="4586"/>
      <c r="E31" s="4587"/>
      <c r="F31" s="2725">
        <f>+'SUMIN -HOJA3'!G32</f>
        <v>0</v>
      </c>
      <c r="G31" s="2725" t="str">
        <f>+'SUMIN -HOJA3'!H32</f>
        <v/>
      </c>
      <c r="H31" s="3359" t="str">
        <f>+CONCATENATE('SUMIN -HOJA3'!A32,'SUMIN -HOJA3'!B32)</f>
        <v/>
      </c>
      <c r="I31" s="3039" t="str">
        <f>+CONCATENATE('SUMIN -HOJA3'!I32," (",'SUMIN -HOJA3'!K32,")")</f>
        <v xml:space="preserve"> ()</v>
      </c>
      <c r="J31" s="3579">
        <f ca="1">+'SUMIN -HOJA3'!Z32</f>
        <v>0</v>
      </c>
      <c r="K31" s="3579">
        <f ca="1">+'SUMIN -HOJA3'!AA32</f>
        <v>0</v>
      </c>
      <c r="L31" s="3579">
        <f ca="1">+'SUMIN -HOJA3'!AB32</f>
        <v>0</v>
      </c>
      <c r="M31" s="3579">
        <f ca="1">+'SUMIN -HOJA3'!AC32</f>
        <v>0</v>
      </c>
      <c r="N31" s="3579">
        <f ca="1">+'SUMIN -HOJA3'!AD32</f>
        <v>0</v>
      </c>
      <c r="O31" s="3579">
        <f ca="1">+'SUMIN -HOJA3'!AE32</f>
        <v>0</v>
      </c>
      <c r="P31" s="3577">
        <f t="shared" ca="1" si="3"/>
        <v>0</v>
      </c>
      <c r="Q31" s="3577">
        <f t="shared" ca="1" si="4"/>
        <v>0</v>
      </c>
      <c r="R31" s="3577">
        <f t="shared" ca="1" si="5"/>
        <v>0</v>
      </c>
    </row>
    <row r="32" spans="1:18" ht="26.45" customHeight="1" x14ac:dyDescent="0.35">
      <c r="A32" s="4585" t="str">
        <f>+CONCATENATE(+'SUMIN -HOJA3'!A33,'SUMIN -HOJA3'!B33,"-",'SUMIN -HOJA3'!C33,"-",'SUMIN -HOJA3'!D33,"-",'SUMIN -HOJA3'!E33,"-",'SUMIN -HOJA3'!F33,)</f>
        <v>----</v>
      </c>
      <c r="B32" s="4586"/>
      <c r="C32" s="4586"/>
      <c r="D32" s="4586"/>
      <c r="E32" s="4587"/>
      <c r="F32" s="2725">
        <f>+'SUMIN -HOJA3'!G33</f>
        <v>0</v>
      </c>
      <c r="G32" s="2725" t="str">
        <f>+'SUMIN -HOJA3'!H33</f>
        <v/>
      </c>
      <c r="H32" s="3359" t="str">
        <f>+CONCATENATE('SUMIN -HOJA3'!A33,'SUMIN -HOJA3'!B33)</f>
        <v/>
      </c>
      <c r="I32" s="3039" t="str">
        <f>+CONCATENATE('SUMIN -HOJA3'!I33," (",'SUMIN -HOJA3'!K33,")")</f>
        <v xml:space="preserve"> ()</v>
      </c>
      <c r="J32" s="3579">
        <f ca="1">+'SUMIN -HOJA3'!Z33</f>
        <v>0</v>
      </c>
      <c r="K32" s="3579">
        <f ca="1">+'SUMIN -HOJA3'!AA33</f>
        <v>0</v>
      </c>
      <c r="L32" s="3579">
        <f ca="1">+'SUMIN -HOJA3'!AB33</f>
        <v>0</v>
      </c>
      <c r="M32" s="3579">
        <f ca="1">+'SUMIN -HOJA3'!AC33</f>
        <v>0</v>
      </c>
      <c r="N32" s="3579">
        <f ca="1">+'SUMIN -HOJA3'!AD33</f>
        <v>0</v>
      </c>
      <c r="O32" s="3579">
        <f ca="1">+'SUMIN -HOJA3'!AE33</f>
        <v>0</v>
      </c>
      <c r="P32" s="3577">
        <f t="shared" ca="1" si="3"/>
        <v>0</v>
      </c>
      <c r="Q32" s="3577">
        <f t="shared" ca="1" si="4"/>
        <v>0</v>
      </c>
      <c r="R32" s="3577">
        <f t="shared" ca="1" si="5"/>
        <v>0</v>
      </c>
    </row>
    <row r="33" spans="1:18" ht="26.45" customHeight="1" x14ac:dyDescent="0.35">
      <c r="A33" s="4585" t="str">
        <f>+CONCATENATE(+'SUMIN -HOJA3'!A34,'SUMIN -HOJA3'!B34,"-",'SUMIN -HOJA3'!C34,"-",'SUMIN -HOJA3'!D34,"-",'SUMIN -HOJA3'!E34,"-",'SUMIN -HOJA3'!F34,)</f>
        <v>----</v>
      </c>
      <c r="B33" s="4586"/>
      <c r="C33" s="4586"/>
      <c r="D33" s="4586"/>
      <c r="E33" s="4587"/>
      <c r="F33" s="2725">
        <f>+'SUMIN -HOJA3'!G34</f>
        <v>0</v>
      </c>
      <c r="G33" s="2725" t="str">
        <f>+'SUMIN -HOJA3'!H34</f>
        <v/>
      </c>
      <c r="H33" s="3359" t="str">
        <f>+CONCATENATE('SUMIN -HOJA3'!A34,'SUMIN -HOJA3'!B34)</f>
        <v/>
      </c>
      <c r="I33" s="3039" t="str">
        <f>+CONCATENATE('SUMIN -HOJA3'!I34," (",'SUMIN -HOJA3'!K34,")")</f>
        <v xml:space="preserve"> ()</v>
      </c>
      <c r="J33" s="3579">
        <f ca="1">+'SUMIN -HOJA3'!Z34</f>
        <v>0</v>
      </c>
      <c r="K33" s="3579">
        <f ca="1">+'SUMIN -HOJA3'!AA34</f>
        <v>0</v>
      </c>
      <c r="L33" s="3579">
        <f ca="1">+'SUMIN -HOJA3'!AB34</f>
        <v>0</v>
      </c>
      <c r="M33" s="3579">
        <f ca="1">+'SUMIN -HOJA3'!AC34</f>
        <v>0</v>
      </c>
      <c r="N33" s="3579">
        <f ca="1">+'SUMIN -HOJA3'!AD34</f>
        <v>0</v>
      </c>
      <c r="O33" s="3579">
        <f ca="1">+'SUMIN -HOJA3'!AE34</f>
        <v>0</v>
      </c>
      <c r="P33" s="3577">
        <f t="shared" ca="1" si="3"/>
        <v>0</v>
      </c>
      <c r="Q33" s="3577">
        <f t="shared" ca="1" si="4"/>
        <v>0</v>
      </c>
      <c r="R33" s="3577">
        <f t="shared" ca="1" si="5"/>
        <v>0</v>
      </c>
    </row>
    <row r="34" spans="1:18" ht="26.45" customHeight="1" x14ac:dyDescent="0.35">
      <c r="A34" s="4585" t="str">
        <f>+CONCATENATE(+'SUMIN -HOJA3'!A35,'SUMIN -HOJA3'!B35,"-",'SUMIN -HOJA3'!C35,"-",'SUMIN -HOJA3'!D35,"-",'SUMIN -HOJA3'!E35,"-",'SUMIN -HOJA3'!F35,)</f>
        <v>----</v>
      </c>
      <c r="B34" s="4586"/>
      <c r="C34" s="4586"/>
      <c r="D34" s="4586"/>
      <c r="E34" s="4587"/>
      <c r="F34" s="2725">
        <f>+'SUMIN -HOJA3'!G35</f>
        <v>0</v>
      </c>
      <c r="G34" s="2725" t="str">
        <f>+'SUMIN -HOJA3'!H35</f>
        <v/>
      </c>
      <c r="H34" s="3359" t="str">
        <f>+CONCATENATE('SUMIN -HOJA3'!A35,'SUMIN -HOJA3'!B35)</f>
        <v/>
      </c>
      <c r="I34" s="3039" t="str">
        <f>+CONCATENATE('SUMIN -HOJA3'!I35," (",'SUMIN -HOJA3'!K35,")")</f>
        <v xml:space="preserve"> ()</v>
      </c>
      <c r="J34" s="3579">
        <f ca="1">+'SUMIN -HOJA3'!Z35</f>
        <v>0</v>
      </c>
      <c r="K34" s="3579">
        <f ca="1">+'SUMIN -HOJA3'!AA35</f>
        <v>0</v>
      </c>
      <c r="L34" s="3579">
        <f ca="1">+'SUMIN -HOJA3'!AB35</f>
        <v>0</v>
      </c>
      <c r="M34" s="3579">
        <f ca="1">+'SUMIN -HOJA3'!AC35</f>
        <v>0</v>
      </c>
      <c r="N34" s="3579">
        <f ca="1">+'SUMIN -HOJA3'!AD35</f>
        <v>0</v>
      </c>
      <c r="O34" s="3579">
        <f ca="1">+'SUMIN -HOJA3'!AE35</f>
        <v>0</v>
      </c>
      <c r="P34" s="3577">
        <f t="shared" ca="1" si="3"/>
        <v>0</v>
      </c>
      <c r="Q34" s="3577">
        <f t="shared" ca="1" si="4"/>
        <v>0</v>
      </c>
      <c r="R34" s="3577">
        <f t="shared" ca="1" si="5"/>
        <v>0</v>
      </c>
    </row>
    <row r="35" spans="1:18" ht="26.45" customHeight="1" x14ac:dyDescent="0.35">
      <c r="A35" s="4585" t="str">
        <f>+CONCATENATE(+'SUMIN -HOJA3'!A36,'SUMIN -HOJA3'!B36,"-",'SUMIN -HOJA3'!C36,"-",'SUMIN -HOJA3'!D36,"-",'SUMIN -HOJA3'!E36,"-",'SUMIN -HOJA3'!F36,)</f>
        <v>----</v>
      </c>
      <c r="B35" s="4586"/>
      <c r="C35" s="4586"/>
      <c r="D35" s="4586"/>
      <c r="E35" s="4587"/>
      <c r="F35" s="2725">
        <f>+'SUMIN -HOJA3'!G36</f>
        <v>0</v>
      </c>
      <c r="G35" s="2725" t="str">
        <f>+'SUMIN -HOJA3'!H36</f>
        <v/>
      </c>
      <c r="H35" s="3359" t="str">
        <f>+CONCATENATE('SUMIN -HOJA3'!A36,'SUMIN -HOJA3'!B36)</f>
        <v/>
      </c>
      <c r="I35" s="3039" t="str">
        <f>+CONCATENATE('SUMIN -HOJA3'!I36," (",'SUMIN -HOJA3'!K36,")")</f>
        <v xml:space="preserve"> ()</v>
      </c>
      <c r="J35" s="3579">
        <f ca="1">+'SUMIN -HOJA3'!Z36</f>
        <v>0</v>
      </c>
      <c r="K35" s="3579">
        <f ca="1">+'SUMIN -HOJA3'!AA36</f>
        <v>0</v>
      </c>
      <c r="L35" s="3579">
        <f ca="1">+'SUMIN -HOJA3'!AB36</f>
        <v>0</v>
      </c>
      <c r="M35" s="3579">
        <f ca="1">+'SUMIN -HOJA3'!AC36</f>
        <v>0</v>
      </c>
      <c r="N35" s="3579">
        <f ca="1">+'SUMIN -HOJA3'!AD36</f>
        <v>0</v>
      </c>
      <c r="O35" s="3579">
        <f ca="1">+'SUMIN -HOJA3'!AE36</f>
        <v>0</v>
      </c>
      <c r="P35" s="3577">
        <f t="shared" ca="1" si="3"/>
        <v>0</v>
      </c>
      <c r="Q35" s="3577">
        <f t="shared" ca="1" si="4"/>
        <v>0</v>
      </c>
      <c r="R35" s="3577">
        <f t="shared" ca="1" si="5"/>
        <v>0</v>
      </c>
    </row>
    <row r="36" spans="1:18" ht="26.45" customHeight="1" x14ac:dyDescent="0.35">
      <c r="A36" s="4585" t="str">
        <f>+CONCATENATE(+'SUMIN -HOJA3'!A37,'SUMIN -HOJA3'!B37,"-",'SUMIN -HOJA3'!C37,"-",'SUMIN -HOJA3'!D37,"-",'SUMIN -HOJA3'!E37,"-",'SUMIN -HOJA3'!F37,)</f>
        <v>----</v>
      </c>
      <c r="B36" s="4586"/>
      <c r="C36" s="4586"/>
      <c r="D36" s="4586"/>
      <c r="E36" s="4587"/>
      <c r="F36" s="2725">
        <f>+'SUMIN -HOJA3'!G37</f>
        <v>0</v>
      </c>
      <c r="G36" s="2725" t="str">
        <f>+'SUMIN -HOJA3'!H37</f>
        <v/>
      </c>
      <c r="H36" s="3359" t="str">
        <f>+CONCATENATE('SUMIN -HOJA3'!A37,'SUMIN -HOJA3'!B37)</f>
        <v/>
      </c>
      <c r="I36" s="3039" t="str">
        <f>+CONCATENATE('SUMIN -HOJA3'!I37," (",'SUMIN -HOJA3'!K37,")")</f>
        <v xml:space="preserve"> ()</v>
      </c>
      <c r="J36" s="3579">
        <f ca="1">+'SUMIN -HOJA3'!Z37</f>
        <v>0</v>
      </c>
      <c r="K36" s="3579">
        <f ca="1">+'SUMIN -HOJA3'!AA37</f>
        <v>0</v>
      </c>
      <c r="L36" s="3579">
        <f ca="1">+'SUMIN -HOJA3'!AB37</f>
        <v>0</v>
      </c>
      <c r="M36" s="3579">
        <f ca="1">+'SUMIN -HOJA3'!AC37</f>
        <v>0</v>
      </c>
      <c r="N36" s="3579">
        <f ca="1">+'SUMIN -HOJA3'!AD37</f>
        <v>0</v>
      </c>
      <c r="O36" s="3579">
        <f ca="1">+'SUMIN -HOJA3'!AE37</f>
        <v>0</v>
      </c>
      <c r="P36" s="3577">
        <f t="shared" ca="1" si="3"/>
        <v>0</v>
      </c>
      <c r="Q36" s="3577">
        <f t="shared" ca="1" si="4"/>
        <v>0</v>
      </c>
      <c r="R36" s="3577">
        <f t="shared" ca="1" si="5"/>
        <v>0</v>
      </c>
    </row>
    <row r="37" spans="1:18" ht="26.45" customHeight="1" x14ac:dyDescent="0.35">
      <c r="A37" s="4585" t="str">
        <f>+CONCATENATE(+'SUMIN -HOJA3'!A38,'SUMIN -HOJA3'!B38,"-",'SUMIN -HOJA3'!C38,"-",'SUMIN -HOJA3'!D38,"-",'SUMIN -HOJA3'!E38,"-",'SUMIN -HOJA3'!F38,)</f>
        <v>----</v>
      </c>
      <c r="B37" s="4586"/>
      <c r="C37" s="4586"/>
      <c r="D37" s="4586"/>
      <c r="E37" s="4587"/>
      <c r="F37" s="2725">
        <f>+'SUMIN -HOJA3'!G38</f>
        <v>0</v>
      </c>
      <c r="G37" s="2725" t="str">
        <f>+'SUMIN -HOJA3'!H38</f>
        <v/>
      </c>
      <c r="H37" s="3359" t="str">
        <f>+CONCATENATE('SUMIN -HOJA3'!A38,'SUMIN -HOJA3'!B38)</f>
        <v/>
      </c>
      <c r="I37" s="3039" t="str">
        <f>+CONCATENATE('SUMIN -HOJA3'!I38," (",'SUMIN -HOJA3'!K38,")")</f>
        <v xml:space="preserve"> ()</v>
      </c>
      <c r="J37" s="3579">
        <f ca="1">+'SUMIN -HOJA3'!Z38</f>
        <v>0</v>
      </c>
      <c r="K37" s="3579">
        <f ca="1">+'SUMIN -HOJA3'!AA38</f>
        <v>0</v>
      </c>
      <c r="L37" s="3579">
        <f ca="1">+'SUMIN -HOJA3'!AB38</f>
        <v>0</v>
      </c>
      <c r="M37" s="3579">
        <f ca="1">+'SUMIN -HOJA3'!AC38</f>
        <v>0</v>
      </c>
      <c r="N37" s="3579">
        <f ca="1">+'SUMIN -HOJA3'!AD38</f>
        <v>0</v>
      </c>
      <c r="O37" s="3579">
        <f ca="1">+'SUMIN -HOJA3'!AE38</f>
        <v>0</v>
      </c>
      <c r="P37" s="3577">
        <f t="shared" ca="1" si="3"/>
        <v>0</v>
      </c>
      <c r="Q37" s="3577">
        <f t="shared" ca="1" si="4"/>
        <v>0</v>
      </c>
      <c r="R37" s="3577">
        <f t="shared" ca="1" si="5"/>
        <v>0</v>
      </c>
    </row>
    <row r="38" spans="1:18" ht="26.45" customHeight="1" x14ac:dyDescent="0.35">
      <c r="A38" s="4585" t="str">
        <f>+CONCATENATE(+'SUMIN -HOJA3'!A39,'SUMIN -HOJA3'!B39,"-",'SUMIN -HOJA3'!C39,"-",'SUMIN -HOJA3'!D39,"-",'SUMIN -HOJA3'!E39,"-",'SUMIN -HOJA3'!F39,)</f>
        <v>----</v>
      </c>
      <c r="B38" s="4586"/>
      <c r="C38" s="4586"/>
      <c r="D38" s="4586"/>
      <c r="E38" s="4587"/>
      <c r="F38" s="2725">
        <f>+'SUMIN -HOJA3'!G39</f>
        <v>0</v>
      </c>
      <c r="G38" s="2725" t="str">
        <f>+'SUMIN -HOJA3'!H39</f>
        <v/>
      </c>
      <c r="H38" s="3359" t="str">
        <f>+CONCATENATE('SUMIN -HOJA3'!A39,'SUMIN -HOJA3'!B39)</f>
        <v/>
      </c>
      <c r="I38" s="3039" t="str">
        <f>+CONCATENATE('SUMIN -HOJA3'!I39," (",'SUMIN -HOJA3'!K39,")")</f>
        <v xml:space="preserve"> ()</v>
      </c>
      <c r="J38" s="3579">
        <f ca="1">+'SUMIN -HOJA3'!Z39</f>
        <v>0</v>
      </c>
      <c r="K38" s="3579">
        <f ca="1">+'SUMIN -HOJA3'!AA39</f>
        <v>0</v>
      </c>
      <c r="L38" s="3579">
        <f ca="1">+'SUMIN -HOJA3'!AB39</f>
        <v>0</v>
      </c>
      <c r="M38" s="3579">
        <f ca="1">+'SUMIN -HOJA3'!AC39</f>
        <v>0</v>
      </c>
      <c r="N38" s="3579">
        <f ca="1">+'SUMIN -HOJA3'!AD39</f>
        <v>0</v>
      </c>
      <c r="O38" s="3579">
        <f ca="1">+'SUMIN -HOJA3'!AE39</f>
        <v>0</v>
      </c>
      <c r="P38" s="3577">
        <f t="shared" ca="1" si="3"/>
        <v>0</v>
      </c>
      <c r="Q38" s="3577">
        <f t="shared" ca="1" si="4"/>
        <v>0</v>
      </c>
      <c r="R38" s="3577">
        <f t="shared" ca="1" si="5"/>
        <v>0</v>
      </c>
    </row>
    <row r="39" spans="1:18" ht="26.45" customHeight="1" x14ac:dyDescent="0.35">
      <c r="A39" s="4585" t="str">
        <f>+CONCATENATE(+'SUMIN -HOJA3'!A40,'SUMIN -HOJA3'!B40,"-",'SUMIN -HOJA3'!C40,"-",'SUMIN -HOJA3'!D40,"-",'SUMIN -HOJA3'!E40,"-",'SUMIN -HOJA3'!F40,)</f>
        <v>----</v>
      </c>
      <c r="B39" s="4586"/>
      <c r="C39" s="4586"/>
      <c r="D39" s="4586"/>
      <c r="E39" s="4587"/>
      <c r="F39" s="2725">
        <f>+'SUMIN -HOJA3'!G40</f>
        <v>0</v>
      </c>
      <c r="G39" s="2725" t="str">
        <f>+'SUMIN -HOJA3'!H40</f>
        <v/>
      </c>
      <c r="H39" s="3359" t="str">
        <f>+CONCATENATE('SUMIN -HOJA3'!A40,'SUMIN -HOJA3'!B40)</f>
        <v/>
      </c>
      <c r="I39" s="3039" t="str">
        <f>+CONCATENATE('SUMIN -HOJA3'!I40," (",'SUMIN -HOJA3'!K40,")")</f>
        <v xml:space="preserve"> ()</v>
      </c>
      <c r="J39" s="3579">
        <f ca="1">+'SUMIN -HOJA3'!Z40</f>
        <v>0</v>
      </c>
      <c r="K39" s="3579">
        <f ca="1">+'SUMIN -HOJA3'!AA40</f>
        <v>0</v>
      </c>
      <c r="L39" s="3579">
        <f ca="1">+'SUMIN -HOJA3'!AB40</f>
        <v>0</v>
      </c>
      <c r="M39" s="3579">
        <f ca="1">+'SUMIN -HOJA3'!AC40</f>
        <v>0</v>
      </c>
      <c r="N39" s="3579">
        <f ca="1">+'SUMIN -HOJA3'!AD40</f>
        <v>0</v>
      </c>
      <c r="O39" s="3579">
        <f ca="1">+'SUMIN -HOJA3'!AE40</f>
        <v>0</v>
      </c>
      <c r="P39" s="3577">
        <f t="shared" ca="1" si="3"/>
        <v>0</v>
      </c>
      <c r="Q39" s="3577">
        <f t="shared" ca="1" si="4"/>
        <v>0</v>
      </c>
      <c r="R39" s="3577">
        <f t="shared" ca="1" si="5"/>
        <v>0</v>
      </c>
    </row>
    <row r="40" spans="1:18" ht="26.45" customHeight="1" x14ac:dyDescent="0.35">
      <c r="A40" s="4585" t="str">
        <f>+CONCATENATE(+'SUMIN -HOJA3'!A41,'SUMIN -HOJA3'!B41,"-",'SUMIN -HOJA3'!C41,"-",'SUMIN -HOJA3'!D41,"-",'SUMIN -HOJA3'!E41,"-",'SUMIN -HOJA3'!F41,)</f>
        <v>----</v>
      </c>
      <c r="B40" s="4586"/>
      <c r="C40" s="4586"/>
      <c r="D40" s="4586"/>
      <c r="E40" s="4587"/>
      <c r="F40" s="2725">
        <f>+'SUMIN -HOJA3'!G41</f>
        <v>0</v>
      </c>
      <c r="G40" s="2725" t="str">
        <f>+'SUMIN -HOJA3'!H41</f>
        <v/>
      </c>
      <c r="H40" s="3359" t="str">
        <f>+CONCATENATE('SUMIN -HOJA3'!A41,'SUMIN -HOJA3'!B41)</f>
        <v/>
      </c>
      <c r="I40" s="3039" t="str">
        <f>+CONCATENATE('SUMIN -HOJA3'!I41," (",'SUMIN -HOJA3'!K41,")")</f>
        <v xml:space="preserve"> ()</v>
      </c>
      <c r="J40" s="3579">
        <f ca="1">+'SUMIN -HOJA3'!Z41</f>
        <v>0</v>
      </c>
      <c r="K40" s="3579">
        <f ca="1">+'SUMIN -HOJA3'!AA41</f>
        <v>0</v>
      </c>
      <c r="L40" s="3579">
        <f ca="1">+'SUMIN -HOJA3'!AB41</f>
        <v>0</v>
      </c>
      <c r="M40" s="3579">
        <f ca="1">+'SUMIN -HOJA3'!AC41</f>
        <v>0</v>
      </c>
      <c r="N40" s="3579">
        <f ca="1">+'SUMIN -HOJA3'!AD41</f>
        <v>0</v>
      </c>
      <c r="O40" s="3579">
        <f ca="1">+'SUMIN -HOJA3'!AE41</f>
        <v>0</v>
      </c>
      <c r="P40" s="3577">
        <f t="shared" ca="1" si="3"/>
        <v>0</v>
      </c>
      <c r="Q40" s="3577">
        <f t="shared" ca="1" si="4"/>
        <v>0</v>
      </c>
      <c r="R40" s="3577">
        <f t="shared" ca="1" si="5"/>
        <v>0</v>
      </c>
    </row>
    <row r="41" spans="1:18" ht="26.45" customHeight="1" x14ac:dyDescent="0.35">
      <c r="A41" s="4585" t="str">
        <f>+CONCATENATE(+'SUMIN -HOJA3'!A42,'SUMIN -HOJA3'!B42,"-",'SUMIN -HOJA3'!C42,"-",'SUMIN -HOJA3'!D42,"-",'SUMIN -HOJA3'!E42,"-",'SUMIN -HOJA3'!F42,)</f>
        <v>----</v>
      </c>
      <c r="B41" s="4586"/>
      <c r="C41" s="4586"/>
      <c r="D41" s="4586"/>
      <c r="E41" s="4587"/>
      <c r="F41" s="2725">
        <f>+'SUMIN -HOJA3'!G42</f>
        <v>0</v>
      </c>
      <c r="G41" s="2725" t="str">
        <f>+'SUMIN -HOJA3'!H42</f>
        <v/>
      </c>
      <c r="H41" s="3359" t="str">
        <f>+CONCATENATE('SUMIN -HOJA3'!A42,'SUMIN -HOJA3'!B42)</f>
        <v/>
      </c>
      <c r="I41" s="3039" t="str">
        <f>+CONCATENATE('SUMIN -HOJA3'!I42," (",'SUMIN -HOJA3'!K42,")")</f>
        <v xml:space="preserve"> ()</v>
      </c>
      <c r="J41" s="3579">
        <f ca="1">+'SUMIN -HOJA3'!Z42</f>
        <v>0</v>
      </c>
      <c r="K41" s="3579">
        <f ca="1">+'SUMIN -HOJA3'!AA42</f>
        <v>0</v>
      </c>
      <c r="L41" s="3579">
        <f ca="1">+'SUMIN -HOJA3'!AB42</f>
        <v>0</v>
      </c>
      <c r="M41" s="3579">
        <f ca="1">+'SUMIN -HOJA3'!AC42</f>
        <v>0</v>
      </c>
      <c r="N41" s="3579">
        <f ca="1">+'SUMIN -HOJA3'!AD42</f>
        <v>0</v>
      </c>
      <c r="O41" s="3579">
        <f ca="1">+'SUMIN -HOJA3'!AE42</f>
        <v>0</v>
      </c>
      <c r="P41" s="3577">
        <f t="shared" ca="1" si="3"/>
        <v>0</v>
      </c>
      <c r="Q41" s="3577">
        <f t="shared" ca="1" si="4"/>
        <v>0</v>
      </c>
      <c r="R41" s="3577">
        <f t="shared" ca="1" si="5"/>
        <v>0</v>
      </c>
    </row>
    <row r="42" spans="1:18" ht="26.45" customHeight="1" x14ac:dyDescent="0.35">
      <c r="A42" s="4585" t="str">
        <f>+CONCATENATE(+'SUMIN -HOJA3'!A43,'SUMIN -HOJA3'!B43,"-",'SUMIN -HOJA3'!C43,"-",'SUMIN -HOJA3'!D43,"-",'SUMIN -HOJA3'!E43,"-",'SUMIN -HOJA3'!F43,)</f>
        <v>----</v>
      </c>
      <c r="B42" s="4586"/>
      <c r="C42" s="4586"/>
      <c r="D42" s="4586"/>
      <c r="E42" s="4587"/>
      <c r="F42" s="2725">
        <f>+'SUMIN -HOJA3'!G43</f>
        <v>0</v>
      </c>
      <c r="G42" s="2725" t="str">
        <f>+'SUMIN -HOJA3'!H43</f>
        <v/>
      </c>
      <c r="H42" s="3359" t="str">
        <f>+CONCATENATE('SUMIN -HOJA3'!A43,'SUMIN -HOJA3'!B43)</f>
        <v/>
      </c>
      <c r="I42" s="3039" t="str">
        <f>+CONCATENATE('SUMIN -HOJA3'!I43," (",'SUMIN -HOJA3'!K43,")")</f>
        <v xml:space="preserve"> ()</v>
      </c>
      <c r="J42" s="3579">
        <f ca="1">+'SUMIN -HOJA3'!Z43</f>
        <v>0</v>
      </c>
      <c r="K42" s="3579">
        <f ca="1">+'SUMIN -HOJA3'!AA43</f>
        <v>0</v>
      </c>
      <c r="L42" s="3579">
        <f ca="1">+'SUMIN -HOJA3'!AB43</f>
        <v>0</v>
      </c>
      <c r="M42" s="3579">
        <f ca="1">+'SUMIN -HOJA3'!AC43</f>
        <v>0</v>
      </c>
      <c r="N42" s="3579">
        <f ca="1">+'SUMIN -HOJA3'!AD43</f>
        <v>0</v>
      </c>
      <c r="O42" s="3579">
        <f ca="1">+'SUMIN -HOJA3'!AE43</f>
        <v>0</v>
      </c>
      <c r="P42" s="3577">
        <f t="shared" ca="1" si="3"/>
        <v>0</v>
      </c>
      <c r="Q42" s="3577">
        <f t="shared" ca="1" si="4"/>
        <v>0</v>
      </c>
      <c r="R42" s="3577">
        <f t="shared" ca="1" si="5"/>
        <v>0</v>
      </c>
    </row>
    <row r="43" spans="1:18" ht="26.45" customHeight="1" x14ac:dyDescent="0.35">
      <c r="A43" s="4585" t="str">
        <f>+CONCATENATE(+'SUMIN -HOJA3'!A44,'SUMIN -HOJA3'!B44,"-",'SUMIN -HOJA3'!C44,"-",'SUMIN -HOJA3'!D44,"-",'SUMIN -HOJA3'!E44,"-",'SUMIN -HOJA3'!F44,)</f>
        <v>----</v>
      </c>
      <c r="B43" s="4586"/>
      <c r="C43" s="4586"/>
      <c r="D43" s="4586"/>
      <c r="E43" s="4587"/>
      <c r="F43" s="2725">
        <f>+'SUMIN -HOJA3'!G44</f>
        <v>0</v>
      </c>
      <c r="G43" s="2725" t="str">
        <f>+'SUMIN -HOJA3'!H44</f>
        <v/>
      </c>
      <c r="H43" s="3359" t="str">
        <f>+CONCATENATE('SUMIN -HOJA3'!A44,'SUMIN -HOJA3'!B44)</f>
        <v/>
      </c>
      <c r="I43" s="3039" t="str">
        <f>+CONCATENATE('SUMIN -HOJA3'!I44," (",'SUMIN -HOJA3'!K44,")")</f>
        <v xml:space="preserve"> ()</v>
      </c>
      <c r="J43" s="3579">
        <f ca="1">+'SUMIN -HOJA3'!Z44</f>
        <v>0</v>
      </c>
      <c r="K43" s="3579">
        <f ca="1">+'SUMIN -HOJA3'!AA44</f>
        <v>0</v>
      </c>
      <c r="L43" s="3579">
        <f ca="1">+'SUMIN -HOJA3'!AB44</f>
        <v>0</v>
      </c>
      <c r="M43" s="3579">
        <f ca="1">+'SUMIN -HOJA3'!AC44</f>
        <v>0</v>
      </c>
      <c r="N43" s="3579">
        <f ca="1">+'SUMIN -HOJA3'!AD44</f>
        <v>0</v>
      </c>
      <c r="O43" s="3579">
        <f ca="1">+'SUMIN -HOJA3'!AE44</f>
        <v>0</v>
      </c>
      <c r="P43" s="3577">
        <f t="shared" ca="1" si="3"/>
        <v>0</v>
      </c>
      <c r="Q43" s="3577">
        <f t="shared" ca="1" si="4"/>
        <v>0</v>
      </c>
      <c r="R43" s="3577">
        <f t="shared" ca="1" si="5"/>
        <v>0</v>
      </c>
    </row>
    <row r="44" spans="1:18" ht="26.45" customHeight="1" x14ac:dyDescent="0.35">
      <c r="A44" s="4585" t="str">
        <f>+CONCATENATE(+'SUMIN -HOJA3'!A45,'SUMIN -HOJA3'!B45,"-",'SUMIN -HOJA3'!C45,"-",'SUMIN -HOJA3'!D45,"-",'SUMIN -HOJA3'!E45,"-",'SUMIN -HOJA3'!F45,)</f>
        <v>----</v>
      </c>
      <c r="B44" s="4586"/>
      <c r="C44" s="4586"/>
      <c r="D44" s="4586"/>
      <c r="E44" s="4587"/>
      <c r="F44" s="2725">
        <f>+'SUMIN -HOJA3'!G45</f>
        <v>0</v>
      </c>
      <c r="G44" s="2725" t="str">
        <f>+'SUMIN -HOJA3'!H45</f>
        <v/>
      </c>
      <c r="H44" s="3359" t="str">
        <f>+CONCATENATE('SUMIN -HOJA3'!A45,'SUMIN -HOJA3'!B45)</f>
        <v/>
      </c>
      <c r="I44" s="3039" t="str">
        <f>+CONCATENATE('SUMIN -HOJA3'!I45," (",'SUMIN -HOJA3'!K45,")")</f>
        <v xml:space="preserve"> ()</v>
      </c>
      <c r="J44" s="3579">
        <f ca="1">+'SUMIN -HOJA3'!Z45</f>
        <v>0</v>
      </c>
      <c r="K44" s="3579">
        <f ca="1">+'SUMIN -HOJA3'!AA45</f>
        <v>0</v>
      </c>
      <c r="L44" s="3579">
        <f ca="1">+'SUMIN -HOJA3'!AB45</f>
        <v>0</v>
      </c>
      <c r="M44" s="3579">
        <f ca="1">+'SUMIN -HOJA3'!AC45</f>
        <v>0</v>
      </c>
      <c r="N44" s="3579">
        <f ca="1">+'SUMIN -HOJA3'!AD45</f>
        <v>0</v>
      </c>
      <c r="O44" s="3579">
        <f ca="1">+'SUMIN -HOJA3'!AE45</f>
        <v>0</v>
      </c>
      <c r="P44" s="3577">
        <f t="shared" ca="1" si="3"/>
        <v>0</v>
      </c>
      <c r="Q44" s="3577">
        <f t="shared" ca="1" si="4"/>
        <v>0</v>
      </c>
      <c r="R44" s="3577">
        <f t="shared" ca="1" si="5"/>
        <v>0</v>
      </c>
    </row>
    <row r="45" spans="1:18" ht="26.45" customHeight="1" x14ac:dyDescent="0.35">
      <c r="A45" s="4585" t="str">
        <f>+CONCATENATE(+'SUMIN -HOJA3'!A46,'SUMIN -HOJA3'!B46,"-",'SUMIN -HOJA3'!C46,"-",'SUMIN -HOJA3'!D46,"-",'SUMIN -HOJA3'!E46,"-",'SUMIN -HOJA3'!F46,)</f>
        <v>----</v>
      </c>
      <c r="B45" s="4586"/>
      <c r="C45" s="4586"/>
      <c r="D45" s="4586"/>
      <c r="E45" s="4587"/>
      <c r="F45" s="2725">
        <f>+'SUMIN -HOJA3'!G46</f>
        <v>0</v>
      </c>
      <c r="G45" s="2725" t="str">
        <f>+'SUMIN -HOJA3'!H46</f>
        <v/>
      </c>
      <c r="H45" s="3359" t="str">
        <f>+CONCATENATE('SUMIN -HOJA3'!A46,'SUMIN -HOJA3'!B46)</f>
        <v/>
      </c>
      <c r="I45" s="3039" t="str">
        <f>+CONCATENATE('SUMIN -HOJA3'!I46," (",'SUMIN -HOJA3'!K46,")")</f>
        <v xml:space="preserve"> ()</v>
      </c>
      <c r="J45" s="3579">
        <f ca="1">+'SUMIN -HOJA3'!Z46</f>
        <v>0</v>
      </c>
      <c r="K45" s="3579">
        <f ca="1">+'SUMIN -HOJA3'!AA46</f>
        <v>0</v>
      </c>
      <c r="L45" s="3579">
        <f ca="1">+'SUMIN -HOJA3'!AB46</f>
        <v>0</v>
      </c>
      <c r="M45" s="3579">
        <f ca="1">+'SUMIN -HOJA3'!AC46</f>
        <v>0</v>
      </c>
      <c r="N45" s="3579">
        <f ca="1">+'SUMIN -HOJA3'!AD46</f>
        <v>0</v>
      </c>
      <c r="O45" s="3579">
        <f ca="1">+'SUMIN -HOJA3'!AE46</f>
        <v>0</v>
      </c>
      <c r="P45" s="3577">
        <f t="shared" ca="1" si="3"/>
        <v>0</v>
      </c>
      <c r="Q45" s="3577">
        <f t="shared" ca="1" si="4"/>
        <v>0</v>
      </c>
      <c r="R45" s="3577">
        <f t="shared" ca="1" si="5"/>
        <v>0</v>
      </c>
    </row>
    <row r="46" spans="1:18" ht="26.45" customHeight="1" x14ac:dyDescent="0.35">
      <c r="A46" s="4585" t="str">
        <f>+CONCATENATE(+'SUMIN -HOJA3'!A47,'SUMIN -HOJA3'!B47,"-",'SUMIN -HOJA3'!C47,"-",'SUMIN -HOJA3'!D47,"-",'SUMIN -HOJA3'!E47,"-",'SUMIN -HOJA3'!F47,)</f>
        <v>----</v>
      </c>
      <c r="B46" s="4586"/>
      <c r="C46" s="4586"/>
      <c r="D46" s="4586"/>
      <c r="E46" s="4587"/>
      <c r="F46" s="2725">
        <f>+'SUMIN -HOJA3'!G47</f>
        <v>0</v>
      </c>
      <c r="G46" s="2725" t="str">
        <f>+'SUMIN -HOJA3'!H47</f>
        <v/>
      </c>
      <c r="H46" s="3359" t="str">
        <f>+CONCATENATE('SUMIN -HOJA3'!A47,'SUMIN -HOJA3'!B47)</f>
        <v/>
      </c>
      <c r="I46" s="3039" t="str">
        <f>+CONCATENATE('SUMIN -HOJA3'!I47," (",'SUMIN -HOJA3'!K47,")")</f>
        <v xml:space="preserve"> ()</v>
      </c>
      <c r="J46" s="3579">
        <f ca="1">+'SUMIN -HOJA3'!Z47</f>
        <v>0</v>
      </c>
      <c r="K46" s="3579">
        <f ca="1">+'SUMIN -HOJA3'!AA47</f>
        <v>0</v>
      </c>
      <c r="L46" s="3579">
        <f ca="1">+'SUMIN -HOJA3'!AB47</f>
        <v>0</v>
      </c>
      <c r="M46" s="3579">
        <f ca="1">+'SUMIN -HOJA3'!AC47</f>
        <v>0</v>
      </c>
      <c r="N46" s="3579">
        <f ca="1">+'SUMIN -HOJA3'!AD47</f>
        <v>0</v>
      </c>
      <c r="O46" s="3579">
        <f ca="1">+'SUMIN -HOJA3'!AE47</f>
        <v>0</v>
      </c>
      <c r="P46" s="3577">
        <f t="shared" ca="1" si="3"/>
        <v>0</v>
      </c>
      <c r="Q46" s="3577">
        <f t="shared" ca="1" si="4"/>
        <v>0</v>
      </c>
      <c r="R46" s="3577">
        <f t="shared" ca="1" si="5"/>
        <v>0</v>
      </c>
    </row>
    <row r="47" spans="1:18" ht="26.45" customHeight="1" x14ac:dyDescent="0.35">
      <c r="A47" s="4585" t="str">
        <f>+CONCATENATE(+'SUMIN -HOJA3'!A48,'SUMIN -HOJA3'!B48,"-",'SUMIN -HOJA3'!C48,"-",'SUMIN -HOJA3'!D48,"-",'SUMIN -HOJA3'!E48,"-",'SUMIN -HOJA3'!F48,)</f>
        <v>----</v>
      </c>
      <c r="B47" s="4586"/>
      <c r="C47" s="4586"/>
      <c r="D47" s="4586"/>
      <c r="E47" s="4587"/>
      <c r="F47" s="2725">
        <f>+'SUMIN -HOJA3'!G48</f>
        <v>0</v>
      </c>
      <c r="G47" s="2725" t="str">
        <f>+'SUMIN -HOJA3'!H48</f>
        <v/>
      </c>
      <c r="H47" s="3359" t="str">
        <f>+CONCATENATE('SUMIN -HOJA3'!A48,'SUMIN -HOJA3'!B48)</f>
        <v/>
      </c>
      <c r="I47" s="3039" t="str">
        <f>+CONCATENATE('SUMIN -HOJA3'!I48," (",'SUMIN -HOJA3'!K48,")")</f>
        <v xml:space="preserve"> ()</v>
      </c>
      <c r="J47" s="3579">
        <f ca="1">+'SUMIN -HOJA3'!Z48</f>
        <v>0</v>
      </c>
      <c r="K47" s="3579">
        <f ca="1">+'SUMIN -HOJA3'!AA48</f>
        <v>0</v>
      </c>
      <c r="L47" s="3579">
        <f ca="1">+'SUMIN -HOJA3'!AB48</f>
        <v>0</v>
      </c>
      <c r="M47" s="3579">
        <f ca="1">+'SUMIN -HOJA3'!AC48</f>
        <v>0</v>
      </c>
      <c r="N47" s="3579">
        <f ca="1">+'SUMIN -HOJA3'!AD48</f>
        <v>0</v>
      </c>
      <c r="O47" s="3579">
        <f ca="1">+'SUMIN -HOJA3'!AE48</f>
        <v>0</v>
      </c>
      <c r="P47" s="3577">
        <f t="shared" ca="1" si="3"/>
        <v>0</v>
      </c>
      <c r="Q47" s="3577">
        <f t="shared" ca="1" si="4"/>
        <v>0</v>
      </c>
      <c r="R47" s="3577">
        <f t="shared" ca="1" si="5"/>
        <v>0</v>
      </c>
    </row>
    <row r="48" spans="1:18" ht="26.45" customHeight="1" x14ac:dyDescent="0.35">
      <c r="A48" s="4585" t="str">
        <f>+CONCATENATE(+'SUMIN -HOJA3'!A49,'SUMIN -HOJA3'!B49,"-",'SUMIN -HOJA3'!C49,"-",'SUMIN -HOJA3'!D49,"-",'SUMIN -HOJA3'!E49,"-",'SUMIN -HOJA3'!F49,)</f>
        <v>----</v>
      </c>
      <c r="B48" s="4586"/>
      <c r="C48" s="4586"/>
      <c r="D48" s="4586"/>
      <c r="E48" s="4587"/>
      <c r="F48" s="2725">
        <f>+'SUMIN -HOJA3'!G49</f>
        <v>0</v>
      </c>
      <c r="G48" s="2725" t="str">
        <f>+'SUMIN -HOJA3'!H49</f>
        <v/>
      </c>
      <c r="H48" s="3359" t="str">
        <f>+CONCATENATE('SUMIN -HOJA3'!A49,'SUMIN -HOJA3'!B49)</f>
        <v/>
      </c>
      <c r="I48" s="3039" t="str">
        <f>+CONCATENATE('SUMIN -HOJA3'!I49," (",'SUMIN -HOJA3'!K49,")")</f>
        <v xml:space="preserve"> ()</v>
      </c>
      <c r="J48" s="3579">
        <f ca="1">+'SUMIN -HOJA3'!Z49</f>
        <v>0</v>
      </c>
      <c r="K48" s="3579">
        <f ca="1">+'SUMIN -HOJA3'!AA49</f>
        <v>0</v>
      </c>
      <c r="L48" s="3579">
        <f ca="1">+'SUMIN -HOJA3'!AB49</f>
        <v>0</v>
      </c>
      <c r="M48" s="3579">
        <f ca="1">+'SUMIN -HOJA3'!AC49</f>
        <v>0</v>
      </c>
      <c r="N48" s="3579">
        <f ca="1">+'SUMIN -HOJA3'!AD49</f>
        <v>0</v>
      </c>
      <c r="O48" s="3579">
        <f ca="1">+'SUMIN -HOJA3'!AE49</f>
        <v>0</v>
      </c>
      <c r="P48" s="3577">
        <f t="shared" ca="1" si="3"/>
        <v>0</v>
      </c>
      <c r="Q48" s="3577">
        <f t="shared" ca="1" si="4"/>
        <v>0</v>
      </c>
      <c r="R48" s="3577">
        <f t="shared" ca="1" si="5"/>
        <v>0</v>
      </c>
    </row>
    <row r="49" spans="1:18" ht="26.45" customHeight="1" x14ac:dyDescent="0.35">
      <c r="A49" s="4585" t="str">
        <f>+CONCATENATE(+'SUMIN -HOJA3'!A50,'SUMIN -HOJA3'!B50,"-",'SUMIN -HOJA3'!C50,"-",'SUMIN -HOJA3'!D50,"-",'SUMIN -HOJA3'!E50,"-",'SUMIN -HOJA3'!F50,)</f>
        <v>----</v>
      </c>
      <c r="B49" s="4586"/>
      <c r="C49" s="4586"/>
      <c r="D49" s="4586"/>
      <c r="E49" s="4587"/>
      <c r="F49" s="2725">
        <f>+'SUMIN -HOJA3'!G50</f>
        <v>0</v>
      </c>
      <c r="G49" s="2725" t="str">
        <f>+'SUMIN -HOJA3'!H50</f>
        <v/>
      </c>
      <c r="H49" s="3359" t="str">
        <f>+CONCATENATE('SUMIN -HOJA3'!A50,'SUMIN -HOJA3'!B50)</f>
        <v/>
      </c>
      <c r="I49" s="3039" t="str">
        <f>+CONCATENATE('SUMIN -HOJA3'!I50," (",'SUMIN -HOJA3'!K50,")")</f>
        <v xml:space="preserve"> ()</v>
      </c>
      <c r="J49" s="3579">
        <f ca="1">+'SUMIN -HOJA3'!Z50</f>
        <v>0</v>
      </c>
      <c r="K49" s="3579">
        <f ca="1">+'SUMIN -HOJA3'!AA50</f>
        <v>0</v>
      </c>
      <c r="L49" s="3579">
        <f ca="1">+'SUMIN -HOJA3'!AB50</f>
        <v>0</v>
      </c>
      <c r="M49" s="3579">
        <f ca="1">+'SUMIN -HOJA3'!AC50</f>
        <v>0</v>
      </c>
      <c r="N49" s="3579">
        <f ca="1">+'SUMIN -HOJA3'!AD50</f>
        <v>0</v>
      </c>
      <c r="O49" s="3579">
        <f ca="1">+'SUMIN -HOJA3'!AE50</f>
        <v>0</v>
      </c>
      <c r="P49" s="3577">
        <f t="shared" ca="1" si="3"/>
        <v>0</v>
      </c>
      <c r="Q49" s="3577">
        <f t="shared" ca="1" si="4"/>
        <v>0</v>
      </c>
      <c r="R49" s="3577">
        <f t="shared" ca="1" si="5"/>
        <v>0</v>
      </c>
    </row>
    <row r="50" spans="1:18" ht="26.45" customHeight="1" x14ac:dyDescent="0.35">
      <c r="A50" s="4585" t="str">
        <f>+CONCATENATE(+'SUMIN -HOJA3'!A51,'SUMIN -HOJA3'!B51,"-",'SUMIN -HOJA3'!C51,"-",'SUMIN -HOJA3'!D51,"-",'SUMIN -HOJA3'!E51,"-",'SUMIN -HOJA3'!F51,)</f>
        <v>----</v>
      </c>
      <c r="B50" s="4586"/>
      <c r="C50" s="4586"/>
      <c r="D50" s="4586"/>
      <c r="E50" s="4587"/>
      <c r="F50" s="2725">
        <f>+'SUMIN -HOJA3'!G51</f>
        <v>0</v>
      </c>
      <c r="G50" s="2725" t="str">
        <f>+'SUMIN -HOJA3'!H51</f>
        <v/>
      </c>
      <c r="H50" s="3359" t="str">
        <f>+CONCATENATE('SUMIN -HOJA3'!A51,'SUMIN -HOJA3'!B51)</f>
        <v/>
      </c>
      <c r="I50" s="3039" t="str">
        <f>+CONCATENATE('SUMIN -HOJA3'!I51," (",'SUMIN -HOJA3'!K51,")")</f>
        <v xml:space="preserve"> ()</v>
      </c>
      <c r="J50" s="3579">
        <f ca="1">+'SUMIN -HOJA3'!Z51</f>
        <v>0</v>
      </c>
      <c r="K50" s="3579">
        <f ca="1">+'SUMIN -HOJA3'!AA51</f>
        <v>0</v>
      </c>
      <c r="L50" s="3579">
        <f ca="1">+'SUMIN -HOJA3'!AB51</f>
        <v>0</v>
      </c>
      <c r="M50" s="3579">
        <f ca="1">+'SUMIN -HOJA3'!AC51</f>
        <v>0</v>
      </c>
      <c r="N50" s="3579">
        <f ca="1">+'SUMIN -HOJA3'!AD51</f>
        <v>0</v>
      </c>
      <c r="O50" s="3579">
        <f ca="1">+'SUMIN -HOJA3'!AE51</f>
        <v>0</v>
      </c>
      <c r="P50" s="3577">
        <f t="shared" ca="1" si="3"/>
        <v>0</v>
      </c>
      <c r="Q50" s="3577">
        <f t="shared" ca="1" si="4"/>
        <v>0</v>
      </c>
      <c r="R50" s="3577">
        <f t="shared" ca="1" si="5"/>
        <v>0</v>
      </c>
    </row>
    <row r="51" spans="1:18" ht="26.45" customHeight="1" x14ac:dyDescent="0.35">
      <c r="A51" s="4585" t="str">
        <f>+CONCATENATE(+'SUMIN -HOJA3'!A52,'SUMIN -HOJA3'!B52,"-",'SUMIN -HOJA3'!C52,"-",'SUMIN -HOJA3'!D52,"-",'SUMIN -HOJA3'!E52,"-",'SUMIN -HOJA3'!F52,)</f>
        <v>----</v>
      </c>
      <c r="B51" s="4586"/>
      <c r="C51" s="4586"/>
      <c r="D51" s="4586"/>
      <c r="E51" s="4587"/>
      <c r="F51" s="2725">
        <f>+'SUMIN -HOJA3'!G52</f>
        <v>0</v>
      </c>
      <c r="G51" s="2725" t="str">
        <f>+'SUMIN -HOJA3'!H52</f>
        <v/>
      </c>
      <c r="H51" s="3359" t="str">
        <f>+CONCATENATE('SUMIN -HOJA3'!A52,'SUMIN -HOJA3'!B52)</f>
        <v/>
      </c>
      <c r="I51" s="3039" t="str">
        <f>+CONCATENATE('SUMIN -HOJA3'!I52," (",'SUMIN -HOJA3'!K52,")")</f>
        <v xml:space="preserve"> ()</v>
      </c>
      <c r="J51" s="3579">
        <f ca="1">+'SUMIN -HOJA3'!Z52</f>
        <v>0</v>
      </c>
      <c r="K51" s="3579">
        <f ca="1">+'SUMIN -HOJA3'!AA52</f>
        <v>0</v>
      </c>
      <c r="L51" s="3579">
        <f ca="1">+'SUMIN -HOJA3'!AB52</f>
        <v>0</v>
      </c>
      <c r="M51" s="3579">
        <f ca="1">+'SUMIN -HOJA3'!AC52</f>
        <v>0</v>
      </c>
      <c r="N51" s="3579">
        <f ca="1">+'SUMIN -HOJA3'!AD52</f>
        <v>0</v>
      </c>
      <c r="O51" s="3579">
        <f ca="1">+'SUMIN -HOJA3'!AE52</f>
        <v>0</v>
      </c>
      <c r="P51" s="3577">
        <f t="shared" ca="1" si="3"/>
        <v>0</v>
      </c>
      <c r="Q51" s="3577">
        <f t="shared" ca="1" si="4"/>
        <v>0</v>
      </c>
      <c r="R51" s="3577">
        <f t="shared" ca="1" si="5"/>
        <v>0</v>
      </c>
    </row>
    <row r="52" spans="1:18" ht="26.45" customHeight="1" x14ac:dyDescent="0.35">
      <c r="A52" s="4585" t="str">
        <f>+CONCATENATE(+'SUMIN -HOJA3'!A53,'SUMIN -HOJA3'!B53,"-",'SUMIN -HOJA3'!C53,"-",'SUMIN -HOJA3'!D53,"-",'SUMIN -HOJA3'!E53,"-",'SUMIN -HOJA3'!F53,)</f>
        <v>----</v>
      </c>
      <c r="B52" s="4586"/>
      <c r="C52" s="4586"/>
      <c r="D52" s="4586"/>
      <c r="E52" s="4587"/>
      <c r="F52" s="2725">
        <f>+'SUMIN -HOJA3'!G53</f>
        <v>0</v>
      </c>
      <c r="G52" s="2725" t="str">
        <f>+'SUMIN -HOJA3'!H53</f>
        <v/>
      </c>
      <c r="H52" s="3359" t="str">
        <f>+CONCATENATE('SUMIN -HOJA3'!A53,'SUMIN -HOJA3'!B53)</f>
        <v/>
      </c>
      <c r="I52" s="3039" t="str">
        <f>+CONCATENATE('SUMIN -HOJA3'!I53," (",'SUMIN -HOJA3'!K53,")")</f>
        <v xml:space="preserve"> ()</v>
      </c>
      <c r="J52" s="3579">
        <f ca="1">+'SUMIN -HOJA3'!Z53</f>
        <v>0</v>
      </c>
      <c r="K52" s="3579">
        <f ca="1">+'SUMIN -HOJA3'!AA53</f>
        <v>0</v>
      </c>
      <c r="L52" s="3579">
        <f ca="1">+'SUMIN -HOJA3'!AB53</f>
        <v>0</v>
      </c>
      <c r="M52" s="3579">
        <f ca="1">+'SUMIN -HOJA3'!AC53</f>
        <v>0</v>
      </c>
      <c r="N52" s="3579">
        <f ca="1">+'SUMIN -HOJA3'!AD53</f>
        <v>0</v>
      </c>
      <c r="O52" s="3579">
        <f ca="1">+'SUMIN -HOJA3'!AE53</f>
        <v>0</v>
      </c>
      <c r="P52" s="3577">
        <f t="shared" ca="1" si="3"/>
        <v>0</v>
      </c>
      <c r="Q52" s="3577">
        <f t="shared" ca="1" si="4"/>
        <v>0</v>
      </c>
      <c r="R52" s="3577">
        <f t="shared" ca="1" si="5"/>
        <v>0</v>
      </c>
    </row>
    <row r="53" spans="1:18" ht="26.45" customHeight="1" x14ac:dyDescent="0.35">
      <c r="A53" s="4585" t="str">
        <f>+CONCATENATE(+'SUMIN -HOJA3'!A54,'SUMIN -HOJA3'!B54,"-",'SUMIN -HOJA3'!C54,"-",'SUMIN -HOJA3'!D54,"-",'SUMIN -HOJA3'!E54,"-",'SUMIN -HOJA3'!F54,)</f>
        <v>----</v>
      </c>
      <c r="B53" s="4586"/>
      <c r="C53" s="4586"/>
      <c r="D53" s="4586"/>
      <c r="E53" s="4587"/>
      <c r="F53" s="2725">
        <f>+'SUMIN -HOJA3'!G54</f>
        <v>0</v>
      </c>
      <c r="G53" s="2725" t="str">
        <f>+'SUMIN -HOJA3'!H54</f>
        <v/>
      </c>
      <c r="H53" s="3359" t="str">
        <f>+CONCATENATE('SUMIN -HOJA3'!A54,'SUMIN -HOJA3'!B54)</f>
        <v/>
      </c>
      <c r="I53" s="3039" t="str">
        <f>+CONCATENATE('SUMIN -HOJA3'!I54," (",'SUMIN -HOJA3'!K54,")")</f>
        <v xml:space="preserve"> ()</v>
      </c>
      <c r="J53" s="3579">
        <f ca="1">+'SUMIN -HOJA3'!Z54</f>
        <v>0</v>
      </c>
      <c r="K53" s="3579">
        <f ca="1">+'SUMIN -HOJA3'!AA54</f>
        <v>0</v>
      </c>
      <c r="L53" s="3579">
        <f ca="1">+'SUMIN -HOJA3'!AB54</f>
        <v>0</v>
      </c>
      <c r="M53" s="3579">
        <f ca="1">+'SUMIN -HOJA3'!AC54</f>
        <v>0</v>
      </c>
      <c r="N53" s="3579">
        <f ca="1">+'SUMIN -HOJA3'!AD54</f>
        <v>0</v>
      </c>
      <c r="O53" s="3579">
        <f ca="1">+'SUMIN -HOJA3'!AE54</f>
        <v>0</v>
      </c>
      <c r="P53" s="3577">
        <f t="shared" ca="1" si="3"/>
        <v>0</v>
      </c>
      <c r="Q53" s="3577">
        <f t="shared" ca="1" si="4"/>
        <v>0</v>
      </c>
      <c r="R53" s="3577">
        <f t="shared" ca="1" si="5"/>
        <v>0</v>
      </c>
    </row>
    <row r="54" spans="1:18" ht="26.45" customHeight="1" x14ac:dyDescent="0.35">
      <c r="A54" s="4585" t="str">
        <f>+CONCATENATE(+'SUMIN -HOJA3'!A55,'SUMIN -HOJA3'!B55,"-",'SUMIN -HOJA3'!C55,"-",'SUMIN -HOJA3'!D55,"-",'SUMIN -HOJA3'!E55,"-",'SUMIN -HOJA3'!F55,)</f>
        <v>----</v>
      </c>
      <c r="B54" s="4586"/>
      <c r="C54" s="4586"/>
      <c r="D54" s="4586"/>
      <c r="E54" s="4587"/>
      <c r="F54" s="2725">
        <f>+'SUMIN -HOJA3'!G55</f>
        <v>0</v>
      </c>
      <c r="G54" s="2725" t="str">
        <f>+'SUMIN -HOJA3'!H55</f>
        <v/>
      </c>
      <c r="H54" s="3359" t="str">
        <f>+CONCATENATE('SUMIN -HOJA3'!A55,'SUMIN -HOJA3'!B55)</f>
        <v/>
      </c>
      <c r="I54" s="3039" t="str">
        <f>+CONCATENATE('SUMIN -HOJA3'!I55," (",'SUMIN -HOJA3'!K55,")")</f>
        <v xml:space="preserve"> ()</v>
      </c>
      <c r="J54" s="3579">
        <f ca="1">+'SUMIN -HOJA3'!Z55</f>
        <v>0</v>
      </c>
      <c r="K54" s="3579">
        <f ca="1">+'SUMIN -HOJA3'!AA55</f>
        <v>0</v>
      </c>
      <c r="L54" s="3579">
        <f ca="1">+'SUMIN -HOJA3'!AB55</f>
        <v>0</v>
      </c>
      <c r="M54" s="3579">
        <f ca="1">+'SUMIN -HOJA3'!AC55</f>
        <v>0</v>
      </c>
      <c r="N54" s="3579">
        <f ca="1">+'SUMIN -HOJA3'!AD55</f>
        <v>0</v>
      </c>
      <c r="O54" s="3579">
        <f ca="1">+'SUMIN -HOJA3'!AE55</f>
        <v>0</v>
      </c>
      <c r="P54" s="3577">
        <f t="shared" ca="1" si="3"/>
        <v>0</v>
      </c>
      <c r="Q54" s="3577">
        <f t="shared" ca="1" si="4"/>
        <v>0</v>
      </c>
      <c r="R54" s="3577">
        <f t="shared" ca="1" si="5"/>
        <v>0</v>
      </c>
    </row>
    <row r="55" spans="1:18" ht="26.45" customHeight="1" x14ac:dyDescent="0.35">
      <c r="A55" s="4585" t="str">
        <f>+CONCATENATE(+'SUMIN -HOJA3'!A56,'SUMIN -HOJA3'!B56,"-",'SUMIN -HOJA3'!C56,"-",'SUMIN -HOJA3'!D56,"-",'SUMIN -HOJA3'!E56,"-",'SUMIN -HOJA3'!F56,)</f>
        <v>----</v>
      </c>
      <c r="B55" s="4586"/>
      <c r="C55" s="4586"/>
      <c r="D55" s="4586"/>
      <c r="E55" s="4587"/>
      <c r="F55" s="2725">
        <f>+'SUMIN -HOJA3'!G56</f>
        <v>0</v>
      </c>
      <c r="G55" s="2725" t="str">
        <f>+'SUMIN -HOJA3'!H56</f>
        <v/>
      </c>
      <c r="H55" s="3359" t="str">
        <f>+CONCATENATE('SUMIN -HOJA3'!A56,'SUMIN -HOJA3'!B56)</f>
        <v/>
      </c>
      <c r="I55" s="3039" t="str">
        <f>+CONCATENATE('SUMIN -HOJA3'!I56," (",'SUMIN -HOJA3'!K56,")")</f>
        <v xml:space="preserve"> ()</v>
      </c>
      <c r="J55" s="3579">
        <f ca="1">+'SUMIN -HOJA3'!Z56</f>
        <v>0</v>
      </c>
      <c r="K55" s="3579">
        <f ca="1">+'SUMIN -HOJA3'!AA56</f>
        <v>0</v>
      </c>
      <c r="L55" s="3579">
        <f ca="1">+'SUMIN -HOJA3'!AB56</f>
        <v>0</v>
      </c>
      <c r="M55" s="3579">
        <f ca="1">+'SUMIN -HOJA3'!AC56</f>
        <v>0</v>
      </c>
      <c r="N55" s="3579">
        <f ca="1">+'SUMIN -HOJA3'!AD56</f>
        <v>0</v>
      </c>
      <c r="O55" s="3579">
        <f ca="1">+'SUMIN -HOJA3'!AE56</f>
        <v>0</v>
      </c>
      <c r="P55" s="3577">
        <f t="shared" ca="1" si="3"/>
        <v>0</v>
      </c>
      <c r="Q55" s="3577">
        <f t="shared" ca="1" si="4"/>
        <v>0</v>
      </c>
      <c r="R55" s="3577">
        <f t="shared" ca="1" si="5"/>
        <v>0</v>
      </c>
    </row>
    <row r="56" spans="1:18" ht="26.45" customHeight="1" x14ac:dyDescent="0.35">
      <c r="A56" s="4585" t="str">
        <f>+CONCATENATE(+'SUMIN -HOJA3'!A57,'SUMIN -HOJA3'!B57,"-",'SUMIN -HOJA3'!C57,"-",'SUMIN -HOJA3'!D57,"-",'SUMIN -HOJA3'!E57,"-",'SUMIN -HOJA3'!F57,)</f>
        <v>----</v>
      </c>
      <c r="B56" s="4586"/>
      <c r="C56" s="4586"/>
      <c r="D56" s="4586"/>
      <c r="E56" s="4587"/>
      <c r="F56" s="2725">
        <f>+'SUMIN -HOJA3'!G57</f>
        <v>0</v>
      </c>
      <c r="G56" s="2725" t="str">
        <f>+'SUMIN -HOJA3'!H57</f>
        <v/>
      </c>
      <c r="H56" s="3359" t="str">
        <f>+CONCATENATE('SUMIN -HOJA3'!A57,'SUMIN -HOJA3'!B57)</f>
        <v/>
      </c>
      <c r="I56" s="3039" t="str">
        <f>+CONCATENATE('SUMIN -HOJA3'!I57," (",'SUMIN -HOJA3'!K57,")")</f>
        <v xml:space="preserve"> ()</v>
      </c>
      <c r="J56" s="3579">
        <f ca="1">+'SUMIN -HOJA3'!Z57</f>
        <v>0</v>
      </c>
      <c r="K56" s="3579">
        <f ca="1">+'SUMIN -HOJA3'!AA57</f>
        <v>0</v>
      </c>
      <c r="L56" s="3579">
        <f ca="1">+'SUMIN -HOJA3'!AB57</f>
        <v>0</v>
      </c>
      <c r="M56" s="3579">
        <f ca="1">+'SUMIN -HOJA3'!AC57</f>
        <v>0</v>
      </c>
      <c r="N56" s="3579">
        <f ca="1">+'SUMIN -HOJA3'!AD57</f>
        <v>0</v>
      </c>
      <c r="O56" s="3579">
        <f ca="1">+'SUMIN -HOJA3'!AE57</f>
        <v>0</v>
      </c>
      <c r="P56" s="3577">
        <f t="shared" ca="1" si="3"/>
        <v>0</v>
      </c>
      <c r="Q56" s="3577">
        <f t="shared" ca="1" si="4"/>
        <v>0</v>
      </c>
      <c r="R56" s="3577">
        <f t="shared" ca="1" si="5"/>
        <v>0</v>
      </c>
    </row>
    <row r="57" spans="1:18" ht="26.45" customHeight="1" x14ac:dyDescent="0.35">
      <c r="A57" s="4585" t="str">
        <f>+CONCATENATE(+'SUMIN -HOJA3'!A58,'SUMIN -HOJA3'!B58,"-",'SUMIN -HOJA3'!C58,"-",'SUMIN -HOJA3'!D58,"-",'SUMIN -HOJA3'!E58,"-",'SUMIN -HOJA3'!F58,)</f>
        <v>----</v>
      </c>
      <c r="B57" s="4586"/>
      <c r="C57" s="4586"/>
      <c r="D57" s="4586"/>
      <c r="E57" s="4587"/>
      <c r="F57" s="2725">
        <f>+'SUMIN -HOJA3'!G58</f>
        <v>0</v>
      </c>
      <c r="G57" s="2725" t="str">
        <f>+'SUMIN -HOJA3'!H58</f>
        <v/>
      </c>
      <c r="H57" s="3359" t="str">
        <f>+CONCATENATE('SUMIN -HOJA3'!A58,'SUMIN -HOJA3'!B58)</f>
        <v/>
      </c>
      <c r="I57" s="3039" t="str">
        <f>+CONCATENATE('SUMIN -HOJA3'!I58," (",'SUMIN -HOJA3'!K58,")")</f>
        <v xml:space="preserve"> ()</v>
      </c>
      <c r="J57" s="3579">
        <f ca="1">+'SUMIN -HOJA3'!Z58</f>
        <v>0</v>
      </c>
      <c r="K57" s="3579">
        <f ca="1">+'SUMIN -HOJA3'!AA58</f>
        <v>0</v>
      </c>
      <c r="L57" s="3579">
        <f ca="1">+'SUMIN -HOJA3'!AB58</f>
        <v>0</v>
      </c>
      <c r="M57" s="3579">
        <f ca="1">+'SUMIN -HOJA3'!AC58</f>
        <v>0</v>
      </c>
      <c r="N57" s="3579">
        <f ca="1">+'SUMIN -HOJA3'!AD58</f>
        <v>0</v>
      </c>
      <c r="O57" s="3579">
        <f ca="1">+'SUMIN -HOJA3'!AE58</f>
        <v>0</v>
      </c>
      <c r="P57" s="3577">
        <f t="shared" ca="1" si="3"/>
        <v>0</v>
      </c>
      <c r="Q57" s="3577">
        <f t="shared" ca="1" si="4"/>
        <v>0</v>
      </c>
      <c r="R57" s="3577">
        <f t="shared" ca="1" si="5"/>
        <v>0</v>
      </c>
    </row>
    <row r="58" spans="1:18" ht="26.45" customHeight="1" x14ac:dyDescent="0.35">
      <c r="A58" s="4585" t="str">
        <f>+CONCATENATE(+'SUMIN -HOJA3'!A59,'SUMIN -HOJA3'!B59,"-",'SUMIN -HOJA3'!C59,"-",'SUMIN -HOJA3'!D59,"-",'SUMIN -HOJA3'!E59,"-",'SUMIN -HOJA3'!F59,)</f>
        <v>----</v>
      </c>
      <c r="B58" s="4586"/>
      <c r="C58" s="4586"/>
      <c r="D58" s="4586"/>
      <c r="E58" s="4587"/>
      <c r="F58" s="2725">
        <f>+'SUMIN -HOJA3'!G59</f>
        <v>0</v>
      </c>
      <c r="G58" s="2725" t="str">
        <f>+'SUMIN -HOJA3'!H59</f>
        <v/>
      </c>
      <c r="H58" s="3359" t="str">
        <f>+CONCATENATE('SUMIN -HOJA3'!A59,'SUMIN -HOJA3'!B59)</f>
        <v/>
      </c>
      <c r="I58" s="3039" t="str">
        <f>+CONCATENATE('SUMIN -HOJA3'!I59," (",'SUMIN -HOJA3'!K59,")")</f>
        <v xml:space="preserve"> ()</v>
      </c>
      <c r="J58" s="3579">
        <f ca="1">+'SUMIN -HOJA3'!Z59</f>
        <v>0</v>
      </c>
      <c r="K58" s="3579">
        <f ca="1">+'SUMIN -HOJA3'!AA59</f>
        <v>0</v>
      </c>
      <c r="L58" s="3579">
        <f ca="1">+'SUMIN -HOJA3'!AB59</f>
        <v>0</v>
      </c>
      <c r="M58" s="3579">
        <f ca="1">+'SUMIN -HOJA3'!AC59</f>
        <v>0</v>
      </c>
      <c r="N58" s="3579">
        <f ca="1">+'SUMIN -HOJA3'!AD59</f>
        <v>0</v>
      </c>
      <c r="O58" s="3579">
        <f ca="1">+'SUMIN -HOJA3'!AE59</f>
        <v>0</v>
      </c>
      <c r="P58" s="3577">
        <f t="shared" ca="1" si="3"/>
        <v>0</v>
      </c>
      <c r="Q58" s="3577">
        <f t="shared" ca="1" si="4"/>
        <v>0</v>
      </c>
      <c r="R58" s="3577">
        <f t="shared" ca="1" si="5"/>
        <v>0</v>
      </c>
    </row>
    <row r="59" spans="1:18" ht="26.45" customHeight="1" x14ac:dyDescent="0.35">
      <c r="A59" s="4585" t="str">
        <f>+CONCATENATE(+'SUMIN -HOJA3'!A60,'SUMIN -HOJA3'!B60,"-",'SUMIN -HOJA3'!C60,"-",'SUMIN -HOJA3'!D60,"-",'SUMIN -HOJA3'!E60,"-",'SUMIN -HOJA3'!F60,)</f>
        <v>----</v>
      </c>
      <c r="B59" s="4586"/>
      <c r="C59" s="4586"/>
      <c r="D59" s="4586"/>
      <c r="E59" s="4587"/>
      <c r="F59" s="2725">
        <f>+'SUMIN -HOJA3'!G60</f>
        <v>0</v>
      </c>
      <c r="G59" s="2725" t="str">
        <f>+'SUMIN -HOJA3'!H60</f>
        <v/>
      </c>
      <c r="H59" s="3359" t="str">
        <f>+CONCATENATE('SUMIN -HOJA3'!A60,'SUMIN -HOJA3'!B60)</f>
        <v/>
      </c>
      <c r="I59" s="3039" t="str">
        <f>+CONCATENATE('SUMIN -HOJA3'!I60," (",'SUMIN -HOJA3'!K60,")")</f>
        <v xml:space="preserve"> ()</v>
      </c>
      <c r="J59" s="3579">
        <f ca="1">+'SUMIN -HOJA3'!Z60</f>
        <v>0</v>
      </c>
      <c r="K59" s="3579">
        <f ca="1">+'SUMIN -HOJA3'!AA60</f>
        <v>0</v>
      </c>
      <c r="L59" s="3579">
        <f ca="1">+'SUMIN -HOJA3'!AB60</f>
        <v>0</v>
      </c>
      <c r="M59" s="3579">
        <f ca="1">+'SUMIN -HOJA3'!AC60</f>
        <v>0</v>
      </c>
      <c r="N59" s="3579">
        <f ca="1">+'SUMIN -HOJA3'!AD60</f>
        <v>0</v>
      </c>
      <c r="O59" s="3579">
        <f ca="1">+'SUMIN -HOJA3'!AE60</f>
        <v>0</v>
      </c>
      <c r="P59" s="3577">
        <f t="shared" ca="1" si="3"/>
        <v>0</v>
      </c>
      <c r="Q59" s="3577">
        <f t="shared" ca="1" si="4"/>
        <v>0</v>
      </c>
      <c r="R59" s="3577">
        <f t="shared" ca="1" si="5"/>
        <v>0</v>
      </c>
    </row>
    <row r="60" spans="1:18" ht="26.45" customHeight="1" x14ac:dyDescent="0.35">
      <c r="A60" s="4585" t="str">
        <f>+CONCATENATE(+'SUMIN -HOJA3'!A61,'SUMIN -HOJA3'!B61,"-",'SUMIN -HOJA3'!C61,"-",'SUMIN -HOJA3'!D61,"-",'SUMIN -HOJA3'!E61,"-",'SUMIN -HOJA3'!F61,)</f>
        <v>----</v>
      </c>
      <c r="B60" s="4586"/>
      <c r="C60" s="4586"/>
      <c r="D60" s="4586"/>
      <c r="E60" s="4587"/>
      <c r="F60" s="2725">
        <f>+'SUMIN -HOJA3'!G61</f>
        <v>0</v>
      </c>
      <c r="G60" s="2725" t="str">
        <f>+'SUMIN -HOJA3'!H61</f>
        <v/>
      </c>
      <c r="H60" s="3359" t="str">
        <f>+CONCATENATE('SUMIN -HOJA3'!A61,'SUMIN -HOJA3'!B61)</f>
        <v/>
      </c>
      <c r="I60" s="3039" t="str">
        <f>+CONCATENATE('SUMIN -HOJA3'!I61," (",'SUMIN -HOJA3'!K61,")")</f>
        <v xml:space="preserve"> ()</v>
      </c>
      <c r="J60" s="3579">
        <f ca="1">+'SUMIN -HOJA3'!Z61</f>
        <v>0</v>
      </c>
      <c r="K60" s="3579">
        <f ca="1">+'SUMIN -HOJA3'!AA61</f>
        <v>0</v>
      </c>
      <c r="L60" s="3579">
        <f ca="1">+'SUMIN -HOJA3'!AB61</f>
        <v>0</v>
      </c>
      <c r="M60" s="3579">
        <f ca="1">+'SUMIN -HOJA3'!AC61</f>
        <v>0</v>
      </c>
      <c r="N60" s="3579">
        <f ca="1">+'SUMIN -HOJA3'!AD61</f>
        <v>0</v>
      </c>
      <c r="O60" s="3579">
        <f ca="1">+'SUMIN -HOJA3'!AE61</f>
        <v>0</v>
      </c>
      <c r="P60" s="3577">
        <f t="shared" ca="1" si="3"/>
        <v>0</v>
      </c>
      <c r="Q60" s="3577">
        <f t="shared" ca="1" si="4"/>
        <v>0</v>
      </c>
      <c r="R60" s="3577">
        <f t="shared" ca="1" si="5"/>
        <v>0</v>
      </c>
    </row>
    <row r="61" spans="1:18" ht="26.45" customHeight="1" x14ac:dyDescent="0.35">
      <c r="A61" s="4585" t="str">
        <f>+CONCATENATE(+'SUMIN -HOJA3'!A62,'SUMIN -HOJA3'!B62,"-",'SUMIN -HOJA3'!C62,"-",'SUMIN -HOJA3'!D62,"-",'SUMIN -HOJA3'!E62,"-",'SUMIN -HOJA3'!F62,)</f>
        <v>----</v>
      </c>
      <c r="B61" s="4586"/>
      <c r="C61" s="4586"/>
      <c r="D61" s="4586"/>
      <c r="E61" s="4587"/>
      <c r="F61" s="2725">
        <f>+'SUMIN -HOJA3'!G62</f>
        <v>0</v>
      </c>
      <c r="G61" s="2725" t="str">
        <f>+'SUMIN -HOJA3'!H62</f>
        <v/>
      </c>
      <c r="H61" s="3359" t="str">
        <f>+CONCATENATE('SUMIN -HOJA3'!A62,'SUMIN -HOJA3'!B62)</f>
        <v/>
      </c>
      <c r="I61" s="3039" t="str">
        <f>+CONCATENATE('SUMIN -HOJA3'!I62," (",'SUMIN -HOJA3'!K62,")")</f>
        <v xml:space="preserve"> ()</v>
      </c>
      <c r="J61" s="3579">
        <f ca="1">+'SUMIN -HOJA3'!Z62</f>
        <v>0</v>
      </c>
      <c r="K61" s="3579">
        <f ca="1">+'SUMIN -HOJA3'!AA62</f>
        <v>0</v>
      </c>
      <c r="L61" s="3579">
        <f ca="1">+'SUMIN -HOJA3'!AB62</f>
        <v>0</v>
      </c>
      <c r="M61" s="3579">
        <f ca="1">+'SUMIN -HOJA3'!AC62</f>
        <v>0</v>
      </c>
      <c r="N61" s="3579">
        <f ca="1">+'SUMIN -HOJA3'!AD62</f>
        <v>0</v>
      </c>
      <c r="O61" s="3579">
        <f ca="1">+'SUMIN -HOJA3'!AE62</f>
        <v>0</v>
      </c>
      <c r="P61" s="3577">
        <f t="shared" ca="1" si="3"/>
        <v>0</v>
      </c>
      <c r="Q61" s="3577">
        <f t="shared" ca="1" si="4"/>
        <v>0</v>
      </c>
      <c r="R61" s="3577">
        <f t="shared" ca="1" si="5"/>
        <v>0</v>
      </c>
    </row>
    <row r="62" spans="1:18" ht="26.45" customHeight="1" x14ac:dyDescent="0.35">
      <c r="A62" s="4585" t="str">
        <f>+CONCATENATE(+'SUMIN -HOJA3'!A63,'SUMIN -HOJA3'!B63,"-",'SUMIN -HOJA3'!C63,"-",'SUMIN -HOJA3'!D63,"-",'SUMIN -HOJA3'!E63,"-",'SUMIN -HOJA3'!F63,)</f>
        <v>----</v>
      </c>
      <c r="B62" s="4586"/>
      <c r="C62" s="4586"/>
      <c r="D62" s="4586"/>
      <c r="E62" s="4587"/>
      <c r="F62" s="2725">
        <f>+'SUMIN -HOJA3'!G63</f>
        <v>0</v>
      </c>
      <c r="G62" s="2725" t="str">
        <f>+'SUMIN -HOJA3'!H63</f>
        <v/>
      </c>
      <c r="H62" s="3359" t="str">
        <f>+CONCATENATE('SUMIN -HOJA3'!A63,'SUMIN -HOJA3'!B63)</f>
        <v/>
      </c>
      <c r="I62" s="3039" t="str">
        <f>+CONCATENATE('SUMIN -HOJA3'!I63," (",'SUMIN -HOJA3'!K63,")")</f>
        <v xml:space="preserve"> ()</v>
      </c>
      <c r="J62" s="3579">
        <f ca="1">+'SUMIN -HOJA3'!Z63</f>
        <v>0</v>
      </c>
      <c r="K62" s="3579">
        <f ca="1">+'SUMIN -HOJA3'!AA63</f>
        <v>0</v>
      </c>
      <c r="L62" s="3579">
        <f ca="1">+'SUMIN -HOJA3'!AB63</f>
        <v>0</v>
      </c>
      <c r="M62" s="3579">
        <f ca="1">+'SUMIN -HOJA3'!AC63</f>
        <v>0</v>
      </c>
      <c r="N62" s="3579">
        <f ca="1">+'SUMIN -HOJA3'!AD63</f>
        <v>0</v>
      </c>
      <c r="O62" s="3579">
        <f ca="1">+'SUMIN -HOJA3'!AE63</f>
        <v>0</v>
      </c>
      <c r="P62" s="3577">
        <f t="shared" ca="1" si="3"/>
        <v>0</v>
      </c>
      <c r="Q62" s="3577">
        <f t="shared" ca="1" si="4"/>
        <v>0</v>
      </c>
      <c r="R62" s="3577">
        <f t="shared" ca="1" si="5"/>
        <v>0</v>
      </c>
    </row>
    <row r="63" spans="1:18" ht="26.45" customHeight="1" x14ac:dyDescent="0.35">
      <c r="A63" s="4585" t="str">
        <f>+CONCATENATE(+'SUMIN -HOJA3'!A64,'SUMIN -HOJA3'!B64,"-",'SUMIN -HOJA3'!C64,"-",'SUMIN -HOJA3'!D64,"-",'SUMIN -HOJA3'!E64,"-",'SUMIN -HOJA3'!F64,)</f>
        <v>----</v>
      </c>
      <c r="B63" s="4586"/>
      <c r="C63" s="4586"/>
      <c r="D63" s="4586"/>
      <c r="E63" s="4587"/>
      <c r="F63" s="2725">
        <f>+'SUMIN -HOJA3'!G64</f>
        <v>0</v>
      </c>
      <c r="G63" s="2725" t="str">
        <f>+'SUMIN -HOJA3'!H64</f>
        <v/>
      </c>
      <c r="H63" s="3359" t="str">
        <f>+CONCATENATE('SUMIN -HOJA3'!A64,'SUMIN -HOJA3'!B64)</f>
        <v/>
      </c>
      <c r="I63" s="3039" t="str">
        <f>+CONCATENATE('SUMIN -HOJA3'!I64," (",'SUMIN -HOJA3'!K64,")")</f>
        <v xml:space="preserve"> ()</v>
      </c>
      <c r="J63" s="3579">
        <f ca="1">+'SUMIN -HOJA3'!Z64</f>
        <v>0</v>
      </c>
      <c r="K63" s="3579">
        <f ca="1">+'SUMIN -HOJA3'!AA64</f>
        <v>0</v>
      </c>
      <c r="L63" s="3579">
        <f ca="1">+'SUMIN -HOJA3'!AB64</f>
        <v>0</v>
      </c>
      <c r="M63" s="3579">
        <f ca="1">+'SUMIN -HOJA3'!AC64</f>
        <v>0</v>
      </c>
      <c r="N63" s="3579">
        <f ca="1">+'SUMIN -HOJA3'!AD64</f>
        <v>0</v>
      </c>
      <c r="O63" s="3579">
        <f ca="1">+'SUMIN -HOJA3'!AE64</f>
        <v>0</v>
      </c>
      <c r="P63" s="3577">
        <f t="shared" ca="1" si="3"/>
        <v>0</v>
      </c>
      <c r="Q63" s="3577">
        <f t="shared" ca="1" si="4"/>
        <v>0</v>
      </c>
      <c r="R63" s="3577">
        <f t="shared" ca="1" si="5"/>
        <v>0</v>
      </c>
    </row>
    <row r="64" spans="1:18" ht="26.45" customHeight="1" x14ac:dyDescent="0.35">
      <c r="A64" s="4585" t="str">
        <f>+CONCATENATE(+'SUMIN -HOJA3'!A65,'SUMIN -HOJA3'!B65,"-",'SUMIN -HOJA3'!C65,"-",'SUMIN -HOJA3'!D65,"-",'SUMIN -HOJA3'!E65,"-",'SUMIN -HOJA3'!F65,)</f>
        <v>----</v>
      </c>
      <c r="B64" s="4586"/>
      <c r="C64" s="4586"/>
      <c r="D64" s="4586"/>
      <c r="E64" s="4587"/>
      <c r="F64" s="2725">
        <f>+'SUMIN -HOJA3'!G65</f>
        <v>0</v>
      </c>
      <c r="G64" s="2725" t="str">
        <f>+'SUMIN -HOJA3'!H65</f>
        <v/>
      </c>
      <c r="H64" s="3359" t="str">
        <f>+CONCATENATE('SUMIN -HOJA3'!A65,'SUMIN -HOJA3'!B65)</f>
        <v/>
      </c>
      <c r="I64" s="3039" t="str">
        <f>+CONCATENATE('SUMIN -HOJA3'!I65," (",'SUMIN -HOJA3'!K65,")")</f>
        <v xml:space="preserve"> ()</v>
      </c>
      <c r="J64" s="3579">
        <f ca="1">+'SUMIN -HOJA3'!Z65</f>
        <v>0</v>
      </c>
      <c r="K64" s="3579">
        <f ca="1">+'SUMIN -HOJA3'!AA65</f>
        <v>0</v>
      </c>
      <c r="L64" s="3579">
        <f ca="1">+'SUMIN -HOJA3'!AB65</f>
        <v>0</v>
      </c>
      <c r="M64" s="3579">
        <f ca="1">+'SUMIN -HOJA3'!AC65</f>
        <v>0</v>
      </c>
      <c r="N64" s="3579">
        <f ca="1">+'SUMIN -HOJA3'!AD65</f>
        <v>0</v>
      </c>
      <c r="O64" s="3579">
        <f ca="1">+'SUMIN -HOJA3'!AE65</f>
        <v>0</v>
      </c>
      <c r="P64" s="3577">
        <f t="shared" ca="1" si="3"/>
        <v>0</v>
      </c>
      <c r="Q64" s="3577">
        <f t="shared" ca="1" si="4"/>
        <v>0</v>
      </c>
      <c r="R64" s="3577">
        <f t="shared" ca="1" si="5"/>
        <v>0</v>
      </c>
    </row>
    <row r="65" spans="1:18" ht="26.45" customHeight="1" x14ac:dyDescent="0.35">
      <c r="A65" s="4585" t="str">
        <f>+CONCATENATE(+'SUMIN -HOJA3'!A66,'SUMIN -HOJA3'!B66,"-",'SUMIN -HOJA3'!C66,"-",'SUMIN -HOJA3'!D66,"-",'SUMIN -HOJA3'!E66,"-",'SUMIN -HOJA3'!F66,)</f>
        <v>----</v>
      </c>
      <c r="B65" s="4586"/>
      <c r="C65" s="4586"/>
      <c r="D65" s="4586"/>
      <c r="E65" s="4587"/>
      <c r="F65" s="2725">
        <f>+'SUMIN -HOJA3'!G66</f>
        <v>0</v>
      </c>
      <c r="G65" s="2725" t="str">
        <f>+'SUMIN -HOJA3'!H66</f>
        <v/>
      </c>
      <c r="H65" s="3359" t="str">
        <f>+CONCATENATE('SUMIN -HOJA3'!A66,'SUMIN -HOJA3'!B66)</f>
        <v/>
      </c>
      <c r="I65" s="3039" t="str">
        <f>+CONCATENATE('SUMIN -HOJA3'!I66," (",'SUMIN -HOJA3'!K66,")")</f>
        <v xml:space="preserve"> ()</v>
      </c>
      <c r="J65" s="3579">
        <f ca="1">+'SUMIN -HOJA3'!Z66</f>
        <v>0</v>
      </c>
      <c r="K65" s="3579">
        <f ca="1">+'SUMIN -HOJA3'!AA66</f>
        <v>0</v>
      </c>
      <c r="L65" s="3579">
        <f ca="1">+'SUMIN -HOJA3'!AB66</f>
        <v>0</v>
      </c>
      <c r="M65" s="3579">
        <f ca="1">+'SUMIN -HOJA3'!AC66</f>
        <v>0</v>
      </c>
      <c r="N65" s="3579">
        <f ca="1">+'SUMIN -HOJA3'!AD66</f>
        <v>0</v>
      </c>
      <c r="O65" s="3579">
        <f ca="1">+'SUMIN -HOJA3'!AE66</f>
        <v>0</v>
      </c>
      <c r="P65" s="3577">
        <f t="shared" ca="1" si="3"/>
        <v>0</v>
      </c>
      <c r="Q65" s="3577">
        <f t="shared" ca="1" si="4"/>
        <v>0</v>
      </c>
      <c r="R65" s="3577">
        <f t="shared" ca="1" si="5"/>
        <v>0</v>
      </c>
    </row>
    <row r="66" spans="1:18" ht="26.45" customHeight="1" x14ac:dyDescent="0.35">
      <c r="A66" s="4585" t="str">
        <f>+CONCATENATE(+'SUMIN -HOJA3'!A67,'SUMIN -HOJA3'!B67,"-",'SUMIN -HOJA3'!C67,"-",'SUMIN -HOJA3'!D67,"-",'SUMIN -HOJA3'!E67,"-",'SUMIN -HOJA3'!F67,)</f>
        <v>----</v>
      </c>
      <c r="B66" s="4586"/>
      <c r="C66" s="4586"/>
      <c r="D66" s="4586"/>
      <c r="E66" s="4587"/>
      <c r="F66" s="2725">
        <f>+'SUMIN -HOJA3'!G67</f>
        <v>0</v>
      </c>
      <c r="G66" s="2725" t="str">
        <f>+'SUMIN -HOJA3'!H67</f>
        <v/>
      </c>
      <c r="H66" s="3359" t="str">
        <f>+CONCATENATE('SUMIN -HOJA3'!A67,'SUMIN -HOJA3'!B67)</f>
        <v/>
      </c>
      <c r="I66" s="3039" t="str">
        <f>+CONCATENATE('SUMIN -HOJA3'!I67," (",'SUMIN -HOJA3'!K67,")")</f>
        <v xml:space="preserve"> ()</v>
      </c>
      <c r="J66" s="3579">
        <f ca="1">+'SUMIN -HOJA3'!Z67</f>
        <v>0</v>
      </c>
      <c r="K66" s="3579">
        <f ca="1">+'SUMIN -HOJA3'!AA67</f>
        <v>0</v>
      </c>
      <c r="L66" s="3579">
        <f ca="1">+'SUMIN -HOJA3'!AB67</f>
        <v>0</v>
      </c>
      <c r="M66" s="3579">
        <f ca="1">+'SUMIN -HOJA3'!AC67</f>
        <v>0</v>
      </c>
      <c r="N66" s="3579">
        <f ca="1">+'SUMIN -HOJA3'!AD67</f>
        <v>0</v>
      </c>
      <c r="O66" s="3579">
        <f ca="1">+'SUMIN -HOJA3'!AE67</f>
        <v>0</v>
      </c>
      <c r="P66" s="3577">
        <f t="shared" ca="1" si="3"/>
        <v>0</v>
      </c>
      <c r="Q66" s="3577">
        <f t="shared" ca="1" si="4"/>
        <v>0</v>
      </c>
      <c r="R66" s="3577">
        <f t="shared" ca="1" si="5"/>
        <v>0</v>
      </c>
    </row>
    <row r="67" spans="1:18" ht="26.45" customHeight="1" x14ac:dyDescent="0.35">
      <c r="A67" s="4585" t="str">
        <f>+CONCATENATE(+'SUMIN -HOJA3'!A68,'SUMIN -HOJA3'!B68,"-",'SUMIN -HOJA3'!C68,"-",'SUMIN -HOJA3'!D68,"-",'SUMIN -HOJA3'!E68,"-",'SUMIN -HOJA3'!F68,)</f>
        <v>----</v>
      </c>
      <c r="B67" s="4586"/>
      <c r="C67" s="4586"/>
      <c r="D67" s="4586"/>
      <c r="E67" s="4587"/>
      <c r="F67" s="2725">
        <f>+'SUMIN -HOJA3'!G68</f>
        <v>0</v>
      </c>
      <c r="G67" s="2725" t="str">
        <f>+'SUMIN -HOJA3'!H68</f>
        <v/>
      </c>
      <c r="H67" s="3359" t="str">
        <f>+CONCATENATE('SUMIN -HOJA3'!A68,'SUMIN -HOJA3'!B68)</f>
        <v/>
      </c>
      <c r="I67" s="3039" t="str">
        <f>+CONCATENATE('SUMIN -HOJA3'!I68," (",'SUMIN -HOJA3'!K68,")")</f>
        <v xml:space="preserve"> ()</v>
      </c>
      <c r="J67" s="3579">
        <f ca="1">+'SUMIN -HOJA3'!Z68</f>
        <v>0</v>
      </c>
      <c r="K67" s="3579">
        <f ca="1">+'SUMIN -HOJA3'!AA68</f>
        <v>0</v>
      </c>
      <c r="L67" s="3579">
        <f ca="1">+'SUMIN -HOJA3'!AB68</f>
        <v>0</v>
      </c>
      <c r="M67" s="3579">
        <f ca="1">+'SUMIN -HOJA3'!AC68</f>
        <v>0</v>
      </c>
      <c r="N67" s="3579">
        <f ca="1">+'SUMIN -HOJA3'!AD68</f>
        <v>0</v>
      </c>
      <c r="O67" s="3579">
        <f ca="1">+'SUMIN -HOJA3'!AE68</f>
        <v>0</v>
      </c>
      <c r="P67" s="3577">
        <f t="shared" ca="1" si="3"/>
        <v>0</v>
      </c>
      <c r="Q67" s="3577">
        <f t="shared" ca="1" si="4"/>
        <v>0</v>
      </c>
      <c r="R67" s="3577">
        <f t="shared" ca="1" si="5"/>
        <v>0</v>
      </c>
    </row>
    <row r="68" spans="1:18" ht="26.45" customHeight="1" x14ac:dyDescent="0.35">
      <c r="A68" s="4585" t="str">
        <f>+CONCATENATE(+'SUMIN -HOJA3'!A69,'SUMIN -HOJA3'!B69,"-",'SUMIN -HOJA3'!C69,"-",'SUMIN -HOJA3'!D69,"-",'SUMIN -HOJA3'!E69,"-",'SUMIN -HOJA3'!F69,)</f>
        <v>----</v>
      </c>
      <c r="B68" s="4586"/>
      <c r="C68" s="4586"/>
      <c r="D68" s="4586"/>
      <c r="E68" s="4587"/>
      <c r="F68" s="2725">
        <f>+'SUMIN -HOJA3'!G69</f>
        <v>0</v>
      </c>
      <c r="G68" s="2725" t="str">
        <f>+'SUMIN -HOJA3'!H69</f>
        <v/>
      </c>
      <c r="H68" s="3359" t="str">
        <f>+CONCATENATE('SUMIN -HOJA3'!A69,'SUMIN -HOJA3'!B69)</f>
        <v/>
      </c>
      <c r="I68" s="3039" t="str">
        <f>+CONCATENATE('SUMIN -HOJA3'!I69," (",'SUMIN -HOJA3'!K69,")")</f>
        <v xml:space="preserve"> ()</v>
      </c>
      <c r="J68" s="3579">
        <f ca="1">+'SUMIN -HOJA3'!Z69</f>
        <v>0</v>
      </c>
      <c r="K68" s="3579">
        <f ca="1">+'SUMIN -HOJA3'!AA69</f>
        <v>0</v>
      </c>
      <c r="L68" s="3579">
        <f ca="1">+'SUMIN -HOJA3'!AB69</f>
        <v>0</v>
      </c>
      <c r="M68" s="3579">
        <f ca="1">+'SUMIN -HOJA3'!AC69</f>
        <v>0</v>
      </c>
      <c r="N68" s="3579">
        <f ca="1">+'SUMIN -HOJA3'!AD69</f>
        <v>0</v>
      </c>
      <c r="O68" s="3579">
        <f ca="1">+'SUMIN -HOJA3'!AE69</f>
        <v>0</v>
      </c>
      <c r="P68" s="3577">
        <f t="shared" ca="1" si="3"/>
        <v>0</v>
      </c>
      <c r="Q68" s="3577">
        <f t="shared" ca="1" si="4"/>
        <v>0</v>
      </c>
      <c r="R68" s="3577">
        <f t="shared" ca="1" si="5"/>
        <v>0</v>
      </c>
    </row>
    <row r="69" spans="1:18" ht="26.45" customHeight="1" x14ac:dyDescent="0.35">
      <c r="A69" s="4585" t="str">
        <f>+CONCATENATE(+'SUMIN -HOJA3'!A70,'SUMIN -HOJA3'!B70,"-",'SUMIN -HOJA3'!C70,"-",'SUMIN -HOJA3'!D70,"-",'SUMIN -HOJA3'!E70,"-",'SUMIN -HOJA3'!F70,)</f>
        <v>----</v>
      </c>
      <c r="B69" s="4586"/>
      <c r="C69" s="4586"/>
      <c r="D69" s="4586"/>
      <c r="E69" s="4587"/>
      <c r="F69" s="2725">
        <f>+'SUMIN -HOJA3'!G70</f>
        <v>0</v>
      </c>
      <c r="G69" s="2725" t="str">
        <f>+'SUMIN -HOJA3'!H70</f>
        <v/>
      </c>
      <c r="H69" s="3359" t="str">
        <f>+CONCATENATE('SUMIN -HOJA3'!A70,'SUMIN -HOJA3'!B70)</f>
        <v/>
      </c>
      <c r="I69" s="3039" t="str">
        <f>+CONCATENATE('SUMIN -HOJA3'!I70," (",'SUMIN -HOJA3'!K70,")")</f>
        <v xml:space="preserve"> ()</v>
      </c>
      <c r="J69" s="3579">
        <f ca="1">+'SUMIN -HOJA3'!Z70</f>
        <v>0</v>
      </c>
      <c r="K69" s="3579">
        <f ca="1">+'SUMIN -HOJA3'!AA70</f>
        <v>0</v>
      </c>
      <c r="L69" s="3579">
        <f ca="1">+'SUMIN -HOJA3'!AB70</f>
        <v>0</v>
      </c>
      <c r="M69" s="3579">
        <f ca="1">+'SUMIN -HOJA3'!AC70</f>
        <v>0</v>
      </c>
      <c r="N69" s="3579">
        <f ca="1">+'SUMIN -HOJA3'!AD70</f>
        <v>0</v>
      </c>
      <c r="O69" s="3579">
        <f ca="1">+'SUMIN -HOJA3'!AE70</f>
        <v>0</v>
      </c>
      <c r="P69" s="3577">
        <f t="shared" ca="1" si="3"/>
        <v>0</v>
      </c>
      <c r="Q69" s="3577">
        <f t="shared" ca="1" si="4"/>
        <v>0</v>
      </c>
      <c r="R69" s="3577">
        <f t="shared" ca="1" si="5"/>
        <v>0</v>
      </c>
    </row>
    <row r="70" spans="1:18" ht="26.45" customHeight="1" x14ac:dyDescent="0.35">
      <c r="A70" s="4585" t="str">
        <f>+CONCATENATE(+'SUMIN -HOJA3'!A71,'SUMIN -HOJA3'!B71,"-",'SUMIN -HOJA3'!C71,"-",'SUMIN -HOJA3'!D71,"-",'SUMIN -HOJA3'!E71,"-",'SUMIN -HOJA3'!F71,)</f>
        <v>----</v>
      </c>
      <c r="B70" s="4586"/>
      <c r="C70" s="4586"/>
      <c r="D70" s="4586"/>
      <c r="E70" s="4587"/>
      <c r="F70" s="2725">
        <f>+'SUMIN -HOJA3'!G71</f>
        <v>0</v>
      </c>
      <c r="G70" s="2725" t="str">
        <f>+'SUMIN -HOJA3'!H71</f>
        <v/>
      </c>
      <c r="H70" s="3359" t="str">
        <f>+CONCATENATE('SUMIN -HOJA3'!A71,'SUMIN -HOJA3'!B71)</f>
        <v/>
      </c>
      <c r="I70" s="3039" t="str">
        <f>+CONCATENATE('SUMIN -HOJA3'!I71," (",'SUMIN -HOJA3'!K71,")")</f>
        <v xml:space="preserve"> ()</v>
      </c>
      <c r="J70" s="3579">
        <f ca="1">+'SUMIN -HOJA3'!Z71</f>
        <v>0</v>
      </c>
      <c r="K70" s="3579">
        <f ca="1">+'SUMIN -HOJA3'!AA71</f>
        <v>0</v>
      </c>
      <c r="L70" s="3579">
        <f ca="1">+'SUMIN -HOJA3'!AB71</f>
        <v>0</v>
      </c>
      <c r="M70" s="3579">
        <f ca="1">+'SUMIN -HOJA3'!AC71</f>
        <v>0</v>
      </c>
      <c r="N70" s="3579">
        <f ca="1">+'SUMIN -HOJA3'!AD71</f>
        <v>0</v>
      </c>
      <c r="O70" s="3579">
        <f ca="1">+'SUMIN -HOJA3'!AE71</f>
        <v>0</v>
      </c>
      <c r="P70" s="3577">
        <f t="shared" ca="1" si="3"/>
        <v>0</v>
      </c>
      <c r="Q70" s="3577">
        <f t="shared" ca="1" si="4"/>
        <v>0</v>
      </c>
      <c r="R70" s="3577">
        <f t="shared" ca="1" si="5"/>
        <v>0</v>
      </c>
    </row>
    <row r="71" spans="1:18" ht="26.45" customHeight="1" x14ac:dyDescent="0.35">
      <c r="A71" s="4585" t="str">
        <f>+CONCATENATE(+'SUMIN -HOJA3'!A72,'SUMIN -HOJA3'!B72,"-",'SUMIN -HOJA3'!C72,"-",'SUMIN -HOJA3'!D72,"-",'SUMIN -HOJA3'!E72,"-",'SUMIN -HOJA3'!F72,)</f>
        <v>----</v>
      </c>
      <c r="B71" s="4586"/>
      <c r="C71" s="4586"/>
      <c r="D71" s="4586"/>
      <c r="E71" s="4587"/>
      <c r="F71" s="2725">
        <f>+'SUMIN -HOJA3'!G72</f>
        <v>0</v>
      </c>
      <c r="G71" s="2725" t="str">
        <f>+'SUMIN -HOJA3'!H72</f>
        <v/>
      </c>
      <c r="H71" s="3359" t="str">
        <f>+CONCATENATE('SUMIN -HOJA3'!A72,'SUMIN -HOJA3'!B72)</f>
        <v/>
      </c>
      <c r="I71" s="3039" t="str">
        <f>+CONCATENATE('SUMIN -HOJA3'!I72," (",'SUMIN -HOJA3'!K72,")")</f>
        <v xml:space="preserve"> ()</v>
      </c>
      <c r="J71" s="3579">
        <f ca="1">+'SUMIN -HOJA3'!Z72</f>
        <v>0</v>
      </c>
      <c r="K71" s="3579">
        <f ca="1">+'SUMIN -HOJA3'!AA72</f>
        <v>0</v>
      </c>
      <c r="L71" s="3579">
        <f ca="1">+'SUMIN -HOJA3'!AB72</f>
        <v>0</v>
      </c>
      <c r="M71" s="3579">
        <f ca="1">+'SUMIN -HOJA3'!AC72</f>
        <v>0</v>
      </c>
      <c r="N71" s="3579">
        <f ca="1">+'SUMIN -HOJA3'!AD72</f>
        <v>0</v>
      </c>
      <c r="O71" s="3579">
        <f ca="1">+'SUMIN -HOJA3'!AE72</f>
        <v>0</v>
      </c>
      <c r="P71" s="3577">
        <f t="shared" ca="1" si="3"/>
        <v>0</v>
      </c>
      <c r="Q71" s="3577">
        <f t="shared" ca="1" si="4"/>
        <v>0</v>
      </c>
      <c r="R71" s="3577">
        <f t="shared" ca="1" si="5"/>
        <v>0</v>
      </c>
    </row>
    <row r="72" spans="1:18" ht="26.45" customHeight="1" x14ac:dyDescent="0.35">
      <c r="A72" s="4585" t="str">
        <f>+CONCATENATE(+'SUMIN -HOJA3'!A73,'SUMIN -HOJA3'!B73,"-",'SUMIN -HOJA3'!C73,"-",'SUMIN -HOJA3'!D73,"-",'SUMIN -HOJA3'!E73,"-",'SUMIN -HOJA3'!F73,)</f>
        <v>----</v>
      </c>
      <c r="B72" s="4586"/>
      <c r="C72" s="4586"/>
      <c r="D72" s="4586"/>
      <c r="E72" s="4587"/>
      <c r="F72" s="2725">
        <f>+'SUMIN -HOJA3'!G73</f>
        <v>0</v>
      </c>
      <c r="G72" s="2725" t="str">
        <f>+'SUMIN -HOJA3'!H73</f>
        <v/>
      </c>
      <c r="H72" s="3359" t="str">
        <f>+CONCATENATE('SUMIN -HOJA3'!A73,'SUMIN -HOJA3'!B73)</f>
        <v/>
      </c>
      <c r="I72" s="3039" t="str">
        <f>+CONCATENATE('SUMIN -HOJA3'!I73," (",'SUMIN -HOJA3'!K73,")")</f>
        <v xml:space="preserve"> ()</v>
      </c>
      <c r="J72" s="3579">
        <f ca="1">+'SUMIN -HOJA3'!Z73</f>
        <v>0</v>
      </c>
      <c r="K72" s="3579">
        <f ca="1">+'SUMIN -HOJA3'!AA73</f>
        <v>0</v>
      </c>
      <c r="L72" s="3579">
        <f ca="1">+'SUMIN -HOJA3'!AB73</f>
        <v>0</v>
      </c>
      <c r="M72" s="3579">
        <f ca="1">+'SUMIN -HOJA3'!AC73</f>
        <v>0</v>
      </c>
      <c r="N72" s="3579">
        <f ca="1">+'SUMIN -HOJA3'!AD73</f>
        <v>0</v>
      </c>
      <c r="O72" s="3579">
        <f ca="1">+'SUMIN -HOJA3'!AE73</f>
        <v>0</v>
      </c>
      <c r="P72" s="3577">
        <f t="shared" ca="1" si="3"/>
        <v>0</v>
      </c>
      <c r="Q72" s="3577">
        <f t="shared" ca="1" si="4"/>
        <v>0</v>
      </c>
      <c r="R72" s="3577">
        <f t="shared" ca="1" si="5"/>
        <v>0</v>
      </c>
    </row>
    <row r="73" spans="1:18" ht="26.45" customHeight="1" x14ac:dyDescent="0.35">
      <c r="A73" s="4585" t="str">
        <f>+CONCATENATE(+'SUMIN -HOJA3'!A74,'SUMIN -HOJA3'!B74,"-",'SUMIN -HOJA3'!C74,"-",'SUMIN -HOJA3'!D74,"-",'SUMIN -HOJA3'!E74,"-",'SUMIN -HOJA3'!F74,)</f>
        <v>----</v>
      </c>
      <c r="B73" s="4586"/>
      <c r="C73" s="4586"/>
      <c r="D73" s="4586"/>
      <c r="E73" s="4587"/>
      <c r="F73" s="2725">
        <f>+'SUMIN -HOJA3'!G74</f>
        <v>0</v>
      </c>
      <c r="G73" s="2725" t="str">
        <f>+'SUMIN -HOJA3'!H74</f>
        <v/>
      </c>
      <c r="H73" s="3359" t="str">
        <f>+CONCATENATE('SUMIN -HOJA3'!A74,'SUMIN -HOJA3'!B74)</f>
        <v/>
      </c>
      <c r="I73" s="3039" t="str">
        <f>+CONCATENATE('SUMIN -HOJA3'!I74," (",'SUMIN -HOJA3'!K74,")")</f>
        <v xml:space="preserve"> ()</v>
      </c>
      <c r="J73" s="3579">
        <f ca="1">+'SUMIN -HOJA3'!Z74</f>
        <v>0</v>
      </c>
      <c r="K73" s="3579">
        <f ca="1">+'SUMIN -HOJA3'!AA74</f>
        <v>0</v>
      </c>
      <c r="L73" s="3579">
        <f ca="1">+'SUMIN -HOJA3'!AB74</f>
        <v>0</v>
      </c>
      <c r="M73" s="3579">
        <f ca="1">+'SUMIN -HOJA3'!AC74</f>
        <v>0</v>
      </c>
      <c r="N73" s="3579">
        <f ca="1">+'SUMIN -HOJA3'!AD74</f>
        <v>0</v>
      </c>
      <c r="O73" s="3579">
        <f ca="1">+'SUMIN -HOJA3'!AE74</f>
        <v>0</v>
      </c>
      <c r="P73" s="3577">
        <f t="shared" ca="1" si="3"/>
        <v>0</v>
      </c>
      <c r="Q73" s="3577">
        <f t="shared" ca="1" si="4"/>
        <v>0</v>
      </c>
      <c r="R73" s="3577">
        <f t="shared" ca="1" si="5"/>
        <v>0</v>
      </c>
    </row>
    <row r="74" spans="1:18" ht="26.45" customHeight="1" x14ac:dyDescent="0.35">
      <c r="A74" s="4585" t="str">
        <f>+CONCATENATE(+'SUMIN -HOJA3'!A75,'SUMIN -HOJA3'!B75,"-",'SUMIN -HOJA3'!C75,"-",'SUMIN -HOJA3'!D75,"-",'SUMIN -HOJA3'!E75,"-",'SUMIN -HOJA3'!F75,)</f>
        <v>----</v>
      </c>
      <c r="B74" s="4586"/>
      <c r="C74" s="4586"/>
      <c r="D74" s="4586"/>
      <c r="E74" s="4587"/>
      <c r="F74" s="2725">
        <f>+'SUMIN -HOJA3'!G75</f>
        <v>0</v>
      </c>
      <c r="G74" s="2725" t="str">
        <f>+'SUMIN -HOJA3'!H75</f>
        <v/>
      </c>
      <c r="H74" s="3359" t="str">
        <f>+CONCATENATE('SUMIN -HOJA3'!A75,'SUMIN -HOJA3'!B75)</f>
        <v/>
      </c>
      <c r="I74" s="3039" t="str">
        <f>+CONCATENATE('SUMIN -HOJA3'!I75," (",'SUMIN -HOJA3'!K75,")")</f>
        <v xml:space="preserve"> ()</v>
      </c>
      <c r="J74" s="3579">
        <f ca="1">+'SUMIN -HOJA3'!Z75</f>
        <v>0</v>
      </c>
      <c r="K74" s="3579">
        <f ca="1">+'SUMIN -HOJA3'!AA75</f>
        <v>0</v>
      </c>
      <c r="L74" s="3579">
        <f ca="1">+'SUMIN -HOJA3'!AB75</f>
        <v>0</v>
      </c>
      <c r="M74" s="3579">
        <f ca="1">+'SUMIN -HOJA3'!AC75</f>
        <v>0</v>
      </c>
      <c r="N74" s="3579">
        <f ca="1">+'SUMIN -HOJA3'!AD75</f>
        <v>0</v>
      </c>
      <c r="O74" s="3579">
        <f ca="1">+'SUMIN -HOJA3'!AE75</f>
        <v>0</v>
      </c>
      <c r="P74" s="3577">
        <f t="shared" ca="1" si="3"/>
        <v>0</v>
      </c>
      <c r="Q74" s="3577">
        <f t="shared" ca="1" si="4"/>
        <v>0</v>
      </c>
      <c r="R74" s="3577">
        <f t="shared" ca="1" si="5"/>
        <v>0</v>
      </c>
    </row>
    <row r="75" spans="1:18" ht="26.45" customHeight="1" x14ac:dyDescent="0.35">
      <c r="A75" s="4585" t="str">
        <f>+CONCATENATE(+'SUMIN -HOJA3'!A76,'SUMIN -HOJA3'!B76,"-",'SUMIN -HOJA3'!C76,"-",'SUMIN -HOJA3'!D76,"-",'SUMIN -HOJA3'!E76,"-",'SUMIN -HOJA3'!F76,)</f>
        <v>----</v>
      </c>
      <c r="B75" s="4586"/>
      <c r="C75" s="4586"/>
      <c r="D75" s="4586"/>
      <c r="E75" s="4587"/>
      <c r="F75" s="2725">
        <f>+'SUMIN -HOJA3'!G76</f>
        <v>0</v>
      </c>
      <c r="G75" s="2725" t="str">
        <f>+'SUMIN -HOJA3'!H76</f>
        <v/>
      </c>
      <c r="H75" s="3359" t="str">
        <f>+CONCATENATE('SUMIN -HOJA3'!A76,'SUMIN -HOJA3'!B76)</f>
        <v/>
      </c>
      <c r="I75" s="3039" t="str">
        <f>+CONCATENATE('SUMIN -HOJA3'!I76," (",'SUMIN -HOJA3'!K76,")")</f>
        <v xml:space="preserve"> ()</v>
      </c>
      <c r="J75" s="3579">
        <f ca="1">+'SUMIN -HOJA3'!Z76</f>
        <v>0</v>
      </c>
      <c r="K75" s="3579">
        <f ca="1">+'SUMIN -HOJA3'!AA76</f>
        <v>0</v>
      </c>
      <c r="L75" s="3579">
        <f ca="1">+'SUMIN -HOJA3'!AB76</f>
        <v>0</v>
      </c>
      <c r="M75" s="3579">
        <f ca="1">+'SUMIN -HOJA3'!AC76</f>
        <v>0</v>
      </c>
      <c r="N75" s="3579">
        <f ca="1">+'SUMIN -HOJA3'!AD76</f>
        <v>0</v>
      </c>
      <c r="O75" s="3579">
        <f ca="1">+'SUMIN -HOJA3'!AE76</f>
        <v>0</v>
      </c>
      <c r="P75" s="3577">
        <f t="shared" ca="1" si="3"/>
        <v>0</v>
      </c>
      <c r="Q75" s="3577">
        <f t="shared" ca="1" si="4"/>
        <v>0</v>
      </c>
      <c r="R75" s="3577">
        <f t="shared" ca="1" si="5"/>
        <v>0</v>
      </c>
    </row>
    <row r="76" spans="1:18" ht="26.45" customHeight="1" x14ac:dyDescent="0.35">
      <c r="A76" s="4585" t="str">
        <f>+CONCATENATE(+'SUMIN -HOJA3'!A77,'SUMIN -HOJA3'!B77,"-",'SUMIN -HOJA3'!C77,"-",'SUMIN -HOJA3'!D77,"-",'SUMIN -HOJA3'!E77,"-",'SUMIN -HOJA3'!F77,)</f>
        <v>----</v>
      </c>
      <c r="B76" s="4586"/>
      <c r="C76" s="4586"/>
      <c r="D76" s="4586"/>
      <c r="E76" s="4587"/>
      <c r="F76" s="2725">
        <f>+'SUMIN -HOJA3'!G77</f>
        <v>0</v>
      </c>
      <c r="G76" s="2725" t="str">
        <f>+'SUMIN -HOJA3'!H77</f>
        <v/>
      </c>
      <c r="H76" s="3359" t="str">
        <f>+CONCATENATE('SUMIN -HOJA3'!A77,'SUMIN -HOJA3'!B77)</f>
        <v/>
      </c>
      <c r="I76" s="3039" t="str">
        <f>+CONCATENATE('SUMIN -HOJA3'!I77," (",'SUMIN -HOJA3'!K77,")")</f>
        <v xml:space="preserve"> ()</v>
      </c>
      <c r="J76" s="3579">
        <f ca="1">+'SUMIN -HOJA3'!Z77</f>
        <v>0</v>
      </c>
      <c r="K76" s="3579">
        <f ca="1">+'SUMIN -HOJA3'!AA77</f>
        <v>0</v>
      </c>
      <c r="L76" s="3579">
        <f ca="1">+'SUMIN -HOJA3'!AB77</f>
        <v>0</v>
      </c>
      <c r="M76" s="3579">
        <f ca="1">+'SUMIN -HOJA3'!AC77</f>
        <v>0</v>
      </c>
      <c r="N76" s="3579">
        <f ca="1">+'SUMIN -HOJA3'!AD77</f>
        <v>0</v>
      </c>
      <c r="O76" s="3579">
        <f ca="1">+'SUMIN -HOJA3'!AE77</f>
        <v>0</v>
      </c>
      <c r="P76" s="3577">
        <f t="shared" ca="1" si="3"/>
        <v>0</v>
      </c>
      <c r="Q76" s="3577">
        <f t="shared" ca="1" si="4"/>
        <v>0</v>
      </c>
      <c r="R76" s="3577">
        <f t="shared" ca="1" si="5"/>
        <v>0</v>
      </c>
    </row>
    <row r="77" spans="1:18" ht="26.45" customHeight="1" x14ac:dyDescent="0.35">
      <c r="A77" s="4585" t="str">
        <f>+CONCATENATE(+'SUMIN -HOJA3'!A78,'SUMIN -HOJA3'!B78,"-",'SUMIN -HOJA3'!C78,"-",'SUMIN -HOJA3'!D78,"-",'SUMIN -HOJA3'!E78,"-",'SUMIN -HOJA3'!F78,)</f>
        <v>----</v>
      </c>
      <c r="B77" s="4586"/>
      <c r="C77" s="4586"/>
      <c r="D77" s="4586"/>
      <c r="E77" s="4587"/>
      <c r="F77" s="2725">
        <f>+'SUMIN -HOJA3'!G78</f>
        <v>0</v>
      </c>
      <c r="G77" s="2725" t="str">
        <f>+'SUMIN -HOJA3'!H78</f>
        <v/>
      </c>
      <c r="H77" s="3359" t="str">
        <f>+CONCATENATE('SUMIN -HOJA3'!A78,'SUMIN -HOJA3'!B78)</f>
        <v/>
      </c>
      <c r="I77" s="3039" t="str">
        <f>+CONCATENATE('SUMIN -HOJA3'!I78," (",'SUMIN -HOJA3'!K78,")")</f>
        <v xml:space="preserve"> ()</v>
      </c>
      <c r="J77" s="3579">
        <f ca="1">+'SUMIN -HOJA3'!Z78</f>
        <v>0</v>
      </c>
      <c r="K77" s="3579">
        <f ca="1">+'SUMIN -HOJA3'!AA78</f>
        <v>0</v>
      </c>
      <c r="L77" s="3579">
        <f ca="1">+'SUMIN -HOJA3'!AB78</f>
        <v>0</v>
      </c>
      <c r="M77" s="3579">
        <f ca="1">+'SUMIN -HOJA3'!AC78</f>
        <v>0</v>
      </c>
      <c r="N77" s="3579">
        <f ca="1">+'SUMIN -HOJA3'!AD78</f>
        <v>0</v>
      </c>
      <c r="O77" s="3579">
        <f ca="1">+'SUMIN -HOJA3'!AE78</f>
        <v>0</v>
      </c>
      <c r="P77" s="3577">
        <f t="shared" ca="1" si="3"/>
        <v>0</v>
      </c>
      <c r="Q77" s="3577">
        <f t="shared" ca="1" si="4"/>
        <v>0</v>
      </c>
      <c r="R77" s="3577">
        <f t="shared" ca="1" si="5"/>
        <v>0</v>
      </c>
    </row>
    <row r="78" spans="1:18" ht="26.45" customHeight="1" x14ac:dyDescent="0.35">
      <c r="A78" s="4585" t="str">
        <f>+CONCATENATE(+'SUMIN -HOJA3'!A79,'SUMIN -HOJA3'!B79,"-",'SUMIN -HOJA3'!C79,"-",'SUMIN -HOJA3'!D79,"-",'SUMIN -HOJA3'!E79,"-",'SUMIN -HOJA3'!F79,)</f>
        <v>----</v>
      </c>
      <c r="B78" s="4586"/>
      <c r="C78" s="4586"/>
      <c r="D78" s="4586"/>
      <c r="E78" s="4587"/>
      <c r="F78" s="2725">
        <f>+'SUMIN -HOJA3'!G79</f>
        <v>0</v>
      </c>
      <c r="G78" s="2725" t="str">
        <f>+'SUMIN -HOJA3'!H79</f>
        <v/>
      </c>
      <c r="H78" s="3359" t="str">
        <f>+CONCATENATE('SUMIN -HOJA3'!A79,'SUMIN -HOJA3'!B79)</f>
        <v/>
      </c>
      <c r="I78" s="3039" t="str">
        <f>+CONCATENATE('SUMIN -HOJA3'!I79," (",'SUMIN -HOJA3'!K79,")")</f>
        <v xml:space="preserve"> ()</v>
      </c>
      <c r="J78" s="3579">
        <f ca="1">+'SUMIN -HOJA3'!Z79</f>
        <v>0</v>
      </c>
      <c r="K78" s="3579">
        <f ca="1">+'SUMIN -HOJA3'!AA79</f>
        <v>0</v>
      </c>
      <c r="L78" s="3579">
        <f ca="1">+'SUMIN -HOJA3'!AB79</f>
        <v>0</v>
      </c>
      <c r="M78" s="3579">
        <f ca="1">+'SUMIN -HOJA3'!AC79</f>
        <v>0</v>
      </c>
      <c r="N78" s="3579">
        <f ca="1">+'SUMIN -HOJA3'!AD79</f>
        <v>0</v>
      </c>
      <c r="O78" s="3579">
        <f ca="1">+'SUMIN -HOJA3'!AE79</f>
        <v>0</v>
      </c>
      <c r="P78" s="3577">
        <f t="shared" ca="1" si="3"/>
        <v>0</v>
      </c>
      <c r="Q78" s="3577">
        <f t="shared" ca="1" si="4"/>
        <v>0</v>
      </c>
      <c r="R78" s="3577">
        <f t="shared" ca="1" si="5"/>
        <v>0</v>
      </c>
    </row>
    <row r="79" spans="1:18" ht="26.45" customHeight="1" x14ac:dyDescent="0.35">
      <c r="A79" s="4585" t="str">
        <f>+CONCATENATE(+'SUMIN -HOJA3'!A80,'SUMIN -HOJA3'!B80,"-",'SUMIN -HOJA3'!C80,"-",'SUMIN -HOJA3'!D80,"-",'SUMIN -HOJA3'!E80,"-",'SUMIN -HOJA3'!F80,)</f>
        <v>----</v>
      </c>
      <c r="B79" s="4586"/>
      <c r="C79" s="4586"/>
      <c r="D79" s="4586"/>
      <c r="E79" s="4587"/>
      <c r="F79" s="2725">
        <f>+'SUMIN -HOJA3'!G80</f>
        <v>0</v>
      </c>
      <c r="G79" s="2725" t="str">
        <f>+'SUMIN -HOJA3'!H80</f>
        <v/>
      </c>
      <c r="H79" s="3359" t="str">
        <f>+CONCATENATE('SUMIN -HOJA3'!A80,'SUMIN -HOJA3'!B80)</f>
        <v/>
      </c>
      <c r="I79" s="3039" t="str">
        <f>+CONCATENATE('SUMIN -HOJA3'!I80," (",'SUMIN -HOJA3'!K80,")")</f>
        <v xml:space="preserve"> ()</v>
      </c>
      <c r="J79" s="3579">
        <f ca="1">+'SUMIN -HOJA3'!Z80</f>
        <v>0</v>
      </c>
      <c r="K79" s="3579">
        <f ca="1">+'SUMIN -HOJA3'!AA80</f>
        <v>0</v>
      </c>
      <c r="L79" s="3579">
        <f ca="1">+'SUMIN -HOJA3'!AB80</f>
        <v>0</v>
      </c>
      <c r="M79" s="3579">
        <f ca="1">+'SUMIN -HOJA3'!AC80</f>
        <v>0</v>
      </c>
      <c r="N79" s="3579">
        <f ca="1">+'SUMIN -HOJA3'!AD80</f>
        <v>0</v>
      </c>
      <c r="O79" s="3579">
        <f ca="1">+'SUMIN -HOJA3'!AE80</f>
        <v>0</v>
      </c>
      <c r="P79" s="3577">
        <f t="shared" ca="1" si="3"/>
        <v>0</v>
      </c>
      <c r="Q79" s="3577">
        <f t="shared" ca="1" si="4"/>
        <v>0</v>
      </c>
      <c r="R79" s="3577">
        <f t="shared" ca="1" si="5"/>
        <v>0</v>
      </c>
    </row>
    <row r="80" spans="1:18" ht="26.45" customHeight="1" x14ac:dyDescent="0.35">
      <c r="A80" s="4585" t="str">
        <f>+CONCATENATE(+'SUMIN -HOJA3'!A81,'SUMIN -HOJA3'!B81,"-",'SUMIN -HOJA3'!C81,"-",'SUMIN -HOJA3'!D81,"-",'SUMIN -HOJA3'!E81,"-",'SUMIN -HOJA3'!F81,)</f>
        <v>----</v>
      </c>
      <c r="B80" s="4586"/>
      <c r="C80" s="4586"/>
      <c r="D80" s="4586"/>
      <c r="E80" s="4587"/>
      <c r="F80" s="2725">
        <f>+'SUMIN -HOJA3'!G81</f>
        <v>0</v>
      </c>
      <c r="G80" s="2725" t="str">
        <f>+'SUMIN -HOJA3'!H81</f>
        <v/>
      </c>
      <c r="H80" s="3359" t="str">
        <f>+CONCATENATE('SUMIN -HOJA3'!A81,'SUMIN -HOJA3'!B81)</f>
        <v/>
      </c>
      <c r="I80" s="3039" t="str">
        <f>+CONCATENATE('SUMIN -HOJA3'!I81," (",'SUMIN -HOJA3'!K81,")")</f>
        <v xml:space="preserve"> ()</v>
      </c>
      <c r="J80" s="3579">
        <f ca="1">+'SUMIN -HOJA3'!Z81</f>
        <v>0</v>
      </c>
      <c r="K80" s="3579">
        <f ca="1">+'SUMIN -HOJA3'!AA81</f>
        <v>0</v>
      </c>
      <c r="L80" s="3579">
        <f ca="1">+'SUMIN -HOJA3'!AB81</f>
        <v>0</v>
      </c>
      <c r="M80" s="3579">
        <f ca="1">+'SUMIN -HOJA3'!AC81</f>
        <v>0</v>
      </c>
      <c r="N80" s="3579">
        <f ca="1">+'SUMIN -HOJA3'!AD81</f>
        <v>0</v>
      </c>
      <c r="O80" s="3579">
        <f ca="1">+'SUMIN -HOJA3'!AE81</f>
        <v>0</v>
      </c>
      <c r="P80" s="3577">
        <f t="shared" ca="1" si="3"/>
        <v>0</v>
      </c>
      <c r="Q80" s="3577">
        <f t="shared" ca="1" si="4"/>
        <v>0</v>
      </c>
      <c r="R80" s="3577">
        <f t="shared" ca="1" si="5"/>
        <v>0</v>
      </c>
    </row>
    <row r="81" spans="1:18" ht="26.45" customHeight="1" x14ac:dyDescent="0.35">
      <c r="A81" s="4585" t="str">
        <f>+CONCATENATE(+'SUMIN -HOJA3'!A82,'SUMIN -HOJA3'!B82,"-",'SUMIN -HOJA3'!C82,"-",'SUMIN -HOJA3'!D82,"-",'SUMIN -HOJA3'!E82,"-",'SUMIN -HOJA3'!F82,)</f>
        <v>----</v>
      </c>
      <c r="B81" s="4586"/>
      <c r="C81" s="4586"/>
      <c r="D81" s="4586"/>
      <c r="E81" s="4587"/>
      <c r="F81" s="2725">
        <f>+'SUMIN -HOJA3'!G82</f>
        <v>0</v>
      </c>
      <c r="G81" s="2725" t="str">
        <f>+'SUMIN -HOJA3'!H82</f>
        <v/>
      </c>
      <c r="H81" s="3359" t="str">
        <f>+CONCATENATE('SUMIN -HOJA3'!A82,'SUMIN -HOJA3'!B82)</f>
        <v/>
      </c>
      <c r="I81" s="3039" t="str">
        <f>+CONCATENATE('SUMIN -HOJA3'!I82," (",'SUMIN -HOJA3'!K82,")")</f>
        <v xml:space="preserve"> ()</v>
      </c>
      <c r="J81" s="3579">
        <f ca="1">+'SUMIN -HOJA3'!Z82</f>
        <v>0</v>
      </c>
      <c r="K81" s="3579">
        <f ca="1">+'SUMIN -HOJA3'!AA82</f>
        <v>0</v>
      </c>
      <c r="L81" s="3579">
        <f ca="1">+'SUMIN -HOJA3'!AB82</f>
        <v>0</v>
      </c>
      <c r="M81" s="3579">
        <f ca="1">+'SUMIN -HOJA3'!AC82</f>
        <v>0</v>
      </c>
      <c r="N81" s="3579">
        <f ca="1">+'SUMIN -HOJA3'!AD82</f>
        <v>0</v>
      </c>
      <c r="O81" s="3579">
        <f ca="1">+'SUMIN -HOJA3'!AE82</f>
        <v>0</v>
      </c>
      <c r="P81" s="3577">
        <f t="shared" ca="1" si="3"/>
        <v>0</v>
      </c>
      <c r="Q81" s="3577">
        <f t="shared" ca="1" si="4"/>
        <v>0</v>
      </c>
      <c r="R81" s="3577">
        <f t="shared" ca="1" si="5"/>
        <v>0</v>
      </c>
    </row>
    <row r="82" spans="1:18" ht="26.45" customHeight="1" x14ac:dyDescent="0.35">
      <c r="A82" s="4585" t="str">
        <f>+CONCATENATE(+'SUMIN -HOJA3'!A83,'SUMIN -HOJA3'!B83,"-",'SUMIN -HOJA3'!C83,"-",'SUMIN -HOJA3'!D83,"-",'SUMIN -HOJA3'!E83,"-",'SUMIN -HOJA3'!F83,)</f>
        <v>----</v>
      </c>
      <c r="B82" s="4586"/>
      <c r="C82" s="4586"/>
      <c r="D82" s="4586"/>
      <c r="E82" s="4587"/>
      <c r="F82" s="2725">
        <f>+'SUMIN -HOJA3'!G83</f>
        <v>0</v>
      </c>
      <c r="G82" s="2725" t="str">
        <f>+'SUMIN -HOJA3'!H83</f>
        <v/>
      </c>
      <c r="H82" s="3359" t="str">
        <f>+CONCATENATE('SUMIN -HOJA3'!A83,'SUMIN -HOJA3'!B83)</f>
        <v/>
      </c>
      <c r="I82" s="3039" t="str">
        <f>+CONCATENATE('SUMIN -HOJA3'!I83," (",'SUMIN -HOJA3'!K83,")")</f>
        <v xml:space="preserve"> ()</v>
      </c>
      <c r="J82" s="3579">
        <f ca="1">+'SUMIN -HOJA3'!Z83</f>
        <v>0</v>
      </c>
      <c r="K82" s="3579">
        <f ca="1">+'SUMIN -HOJA3'!AA83</f>
        <v>0</v>
      </c>
      <c r="L82" s="3579">
        <f ca="1">+'SUMIN -HOJA3'!AB83</f>
        <v>0</v>
      </c>
      <c r="M82" s="3579">
        <f ca="1">+'SUMIN -HOJA3'!AC83</f>
        <v>0</v>
      </c>
      <c r="N82" s="3579">
        <f ca="1">+'SUMIN -HOJA3'!AD83</f>
        <v>0</v>
      </c>
      <c r="O82" s="3579">
        <f ca="1">+'SUMIN -HOJA3'!AE83</f>
        <v>0</v>
      </c>
      <c r="P82" s="3577">
        <f t="shared" ca="1" si="3"/>
        <v>0</v>
      </c>
      <c r="Q82" s="3577">
        <f t="shared" ca="1" si="4"/>
        <v>0</v>
      </c>
      <c r="R82" s="3577">
        <f t="shared" ca="1" si="5"/>
        <v>0</v>
      </c>
    </row>
    <row r="83" spans="1:18" ht="26.45" customHeight="1" x14ac:dyDescent="0.35">
      <c r="A83" s="4585" t="str">
        <f>+CONCATENATE(+'SUMIN -HOJA3'!A84,'SUMIN -HOJA3'!B84,"-",'SUMIN -HOJA3'!C84,"-",'SUMIN -HOJA3'!D84,"-",'SUMIN -HOJA3'!E84,"-",'SUMIN -HOJA3'!F84,)</f>
        <v>----</v>
      </c>
      <c r="B83" s="4586"/>
      <c r="C83" s="4586"/>
      <c r="D83" s="4586"/>
      <c r="E83" s="4587"/>
      <c r="F83" s="2725">
        <f>+'SUMIN -HOJA3'!G84</f>
        <v>0</v>
      </c>
      <c r="G83" s="2725" t="str">
        <f>+'SUMIN -HOJA3'!H84</f>
        <v/>
      </c>
      <c r="H83" s="3359" t="str">
        <f>+CONCATENATE('SUMIN -HOJA3'!A84,'SUMIN -HOJA3'!B84)</f>
        <v/>
      </c>
      <c r="I83" s="3039" t="str">
        <f>+CONCATENATE('SUMIN -HOJA3'!I84," (",'SUMIN -HOJA3'!K84,")")</f>
        <v xml:space="preserve"> ()</v>
      </c>
      <c r="J83" s="3579">
        <f ca="1">+'SUMIN -HOJA3'!Z84</f>
        <v>0</v>
      </c>
      <c r="K83" s="3579">
        <f ca="1">+'SUMIN -HOJA3'!AA84</f>
        <v>0</v>
      </c>
      <c r="L83" s="3579">
        <f ca="1">+'SUMIN -HOJA3'!AB84</f>
        <v>0</v>
      </c>
      <c r="M83" s="3579">
        <f ca="1">+'SUMIN -HOJA3'!AC84</f>
        <v>0</v>
      </c>
      <c r="N83" s="3579">
        <f ca="1">+'SUMIN -HOJA3'!AD84</f>
        <v>0</v>
      </c>
      <c r="O83" s="3579">
        <f ca="1">+'SUMIN -HOJA3'!AE84</f>
        <v>0</v>
      </c>
      <c r="P83" s="3577">
        <f t="shared" ca="1" si="3"/>
        <v>0</v>
      </c>
      <c r="Q83" s="3577">
        <f t="shared" ca="1" si="4"/>
        <v>0</v>
      </c>
      <c r="R83" s="3577">
        <f t="shared" ca="1" si="5"/>
        <v>0</v>
      </c>
    </row>
    <row r="84" spans="1:18" ht="26.45" customHeight="1" x14ac:dyDescent="0.35">
      <c r="A84" s="4585" t="str">
        <f>+CONCATENATE(+'SUMIN -HOJA3'!A85,'SUMIN -HOJA3'!B85,"-",'SUMIN -HOJA3'!C85,"-",'SUMIN -HOJA3'!D85,"-",'SUMIN -HOJA3'!E85,"-",'SUMIN -HOJA3'!F85,)</f>
        <v>----</v>
      </c>
      <c r="B84" s="4586"/>
      <c r="C84" s="4586"/>
      <c r="D84" s="4586"/>
      <c r="E84" s="4587"/>
      <c r="F84" s="2725">
        <f>+'SUMIN -HOJA3'!G85</f>
        <v>0</v>
      </c>
      <c r="G84" s="2725" t="str">
        <f>+'SUMIN -HOJA3'!H85</f>
        <v/>
      </c>
      <c r="H84" s="3359" t="str">
        <f>+CONCATENATE('SUMIN -HOJA3'!A85,'SUMIN -HOJA3'!B85)</f>
        <v/>
      </c>
      <c r="I84" s="3039" t="str">
        <f>+CONCATENATE('SUMIN -HOJA3'!I85," (",'SUMIN -HOJA3'!K85,")")</f>
        <v xml:space="preserve"> ()</v>
      </c>
      <c r="J84" s="3579">
        <f ca="1">+'SUMIN -HOJA3'!Z85</f>
        <v>0</v>
      </c>
      <c r="K84" s="3579">
        <f ca="1">+'SUMIN -HOJA3'!AA85</f>
        <v>0</v>
      </c>
      <c r="L84" s="3579">
        <f ca="1">+'SUMIN -HOJA3'!AB85</f>
        <v>0</v>
      </c>
      <c r="M84" s="3579">
        <f ca="1">+'SUMIN -HOJA3'!AC85</f>
        <v>0</v>
      </c>
      <c r="N84" s="3579">
        <f ca="1">+'SUMIN -HOJA3'!AD85</f>
        <v>0</v>
      </c>
      <c r="O84" s="3579">
        <f ca="1">+'SUMIN -HOJA3'!AE85</f>
        <v>0</v>
      </c>
      <c r="P84" s="3577">
        <f t="shared" ca="1" si="3"/>
        <v>0</v>
      </c>
      <c r="Q84" s="3577">
        <f t="shared" ca="1" si="4"/>
        <v>0</v>
      </c>
      <c r="R84" s="3577">
        <f t="shared" ca="1" si="5"/>
        <v>0</v>
      </c>
    </row>
    <row r="85" spans="1:18" ht="26.45" customHeight="1" x14ac:dyDescent="0.35">
      <c r="A85" s="4585" t="str">
        <f>+CONCATENATE(+'SUMIN -HOJA3'!A86,'SUMIN -HOJA3'!B86,"-",'SUMIN -HOJA3'!C86,"-",'SUMIN -HOJA3'!D86,"-",'SUMIN -HOJA3'!E86,"-",'SUMIN -HOJA3'!F86,)</f>
        <v>----</v>
      </c>
      <c r="B85" s="4586"/>
      <c r="C85" s="4586"/>
      <c r="D85" s="4586"/>
      <c r="E85" s="4587"/>
      <c r="F85" s="2725">
        <f>+'SUMIN -HOJA3'!G86</f>
        <v>0</v>
      </c>
      <c r="G85" s="2725" t="str">
        <f>+'SUMIN -HOJA3'!H86</f>
        <v/>
      </c>
      <c r="H85" s="3359" t="str">
        <f>+CONCATENATE('SUMIN -HOJA3'!A86,'SUMIN -HOJA3'!B86)</f>
        <v/>
      </c>
      <c r="I85" s="3039" t="str">
        <f>+CONCATENATE('SUMIN -HOJA3'!I86," (",'SUMIN -HOJA3'!K86,")")</f>
        <v xml:space="preserve"> ()</v>
      </c>
      <c r="J85" s="3579">
        <f ca="1">+'SUMIN -HOJA3'!Z86</f>
        <v>0</v>
      </c>
      <c r="K85" s="3579">
        <f ca="1">+'SUMIN -HOJA3'!AA86</f>
        <v>0</v>
      </c>
      <c r="L85" s="3579">
        <f ca="1">+'SUMIN -HOJA3'!AB86</f>
        <v>0</v>
      </c>
      <c r="M85" s="3579">
        <f ca="1">+'SUMIN -HOJA3'!AC86</f>
        <v>0</v>
      </c>
      <c r="N85" s="3579">
        <f ca="1">+'SUMIN -HOJA3'!AD86</f>
        <v>0</v>
      </c>
      <c r="O85" s="3579">
        <f ca="1">+'SUMIN -HOJA3'!AE86</f>
        <v>0</v>
      </c>
      <c r="P85" s="3577">
        <f t="shared" ca="1" si="3"/>
        <v>0</v>
      </c>
      <c r="Q85" s="3577">
        <f t="shared" ca="1" si="4"/>
        <v>0</v>
      </c>
      <c r="R85" s="3577">
        <f t="shared" ca="1" si="5"/>
        <v>0</v>
      </c>
    </row>
    <row r="86" spans="1:18" ht="26.45" customHeight="1" x14ac:dyDescent="0.35">
      <c r="A86" s="4585" t="str">
        <f>+CONCATENATE(+'SUMIN -HOJA3'!A87,'SUMIN -HOJA3'!B87,"-",'SUMIN -HOJA3'!C87,"-",'SUMIN -HOJA3'!D87,"-",'SUMIN -HOJA3'!E87,"-",'SUMIN -HOJA3'!F87,)</f>
        <v>----</v>
      </c>
      <c r="B86" s="4586"/>
      <c r="C86" s="4586"/>
      <c r="D86" s="4586"/>
      <c r="E86" s="4587"/>
      <c r="F86" s="2725">
        <f>+'SUMIN -HOJA3'!G87</f>
        <v>0</v>
      </c>
      <c r="G86" s="2725" t="str">
        <f>+'SUMIN -HOJA3'!H87</f>
        <v/>
      </c>
      <c r="H86" s="3359" t="str">
        <f>+CONCATENATE('SUMIN -HOJA3'!A87,'SUMIN -HOJA3'!B87)</f>
        <v/>
      </c>
      <c r="I86" s="3039" t="str">
        <f>+CONCATENATE('SUMIN -HOJA3'!I87," (",'SUMIN -HOJA3'!K87,")")</f>
        <v xml:space="preserve"> ()</v>
      </c>
      <c r="J86" s="3579">
        <f ca="1">+'SUMIN -HOJA3'!Z87</f>
        <v>0</v>
      </c>
      <c r="K86" s="3579">
        <f ca="1">+'SUMIN -HOJA3'!AA87</f>
        <v>0</v>
      </c>
      <c r="L86" s="3579">
        <f ca="1">+'SUMIN -HOJA3'!AB87</f>
        <v>0</v>
      </c>
      <c r="M86" s="3579">
        <f ca="1">+'SUMIN -HOJA3'!AC87</f>
        <v>0</v>
      </c>
      <c r="N86" s="3579">
        <f ca="1">+'SUMIN -HOJA3'!AD87</f>
        <v>0</v>
      </c>
      <c r="O86" s="3579">
        <f ca="1">+'SUMIN -HOJA3'!AE87</f>
        <v>0</v>
      </c>
      <c r="P86" s="3577">
        <f t="shared" ca="1" si="3"/>
        <v>0</v>
      </c>
      <c r="Q86" s="3577">
        <f t="shared" ca="1" si="4"/>
        <v>0</v>
      </c>
      <c r="R86" s="3577">
        <f t="shared" ca="1" si="5"/>
        <v>0</v>
      </c>
    </row>
    <row r="87" spans="1:18" ht="26.45" customHeight="1" x14ac:dyDescent="0.35">
      <c r="A87" s="4585" t="str">
        <f>+CONCATENATE(+'SUMIN -HOJA3'!A88,'SUMIN -HOJA3'!B88,"-",'SUMIN -HOJA3'!C88,"-",'SUMIN -HOJA3'!D88,"-",'SUMIN -HOJA3'!E88,"-",'SUMIN -HOJA3'!F88,)</f>
        <v>----</v>
      </c>
      <c r="B87" s="4586"/>
      <c r="C87" s="4586"/>
      <c r="D87" s="4586"/>
      <c r="E87" s="4587"/>
      <c r="F87" s="2725">
        <f>+'SUMIN -HOJA3'!G88</f>
        <v>0</v>
      </c>
      <c r="G87" s="2725" t="str">
        <f>+'SUMIN -HOJA3'!H88</f>
        <v/>
      </c>
      <c r="H87" s="3359" t="str">
        <f>+CONCATENATE('SUMIN -HOJA3'!A88,'SUMIN -HOJA3'!B88)</f>
        <v/>
      </c>
      <c r="I87" s="3039" t="str">
        <f>+CONCATENATE('SUMIN -HOJA3'!I88," (",'SUMIN -HOJA3'!K88,")")</f>
        <v xml:space="preserve"> ()</v>
      </c>
      <c r="J87" s="3579">
        <f ca="1">+'SUMIN -HOJA3'!Z88</f>
        <v>0</v>
      </c>
      <c r="K87" s="3579">
        <f ca="1">+'SUMIN -HOJA3'!AA88</f>
        <v>0</v>
      </c>
      <c r="L87" s="3579">
        <f ca="1">+'SUMIN -HOJA3'!AB88</f>
        <v>0</v>
      </c>
      <c r="M87" s="3579">
        <f ca="1">+'SUMIN -HOJA3'!AC88</f>
        <v>0</v>
      </c>
      <c r="N87" s="3579">
        <f ca="1">+'SUMIN -HOJA3'!AD88</f>
        <v>0</v>
      </c>
      <c r="O87" s="3579">
        <f ca="1">+'SUMIN -HOJA3'!AE88</f>
        <v>0</v>
      </c>
      <c r="P87" s="3577">
        <f t="shared" ref="P87:P131" ca="1" si="6">+J87+M87</f>
        <v>0</v>
      </c>
      <c r="Q87" s="3577">
        <f t="shared" ref="Q87:Q131" ca="1" si="7">+K87+N87</f>
        <v>0</v>
      </c>
      <c r="R87" s="3577">
        <f t="shared" ref="R87:R131" ca="1" si="8">+L87+O87</f>
        <v>0</v>
      </c>
    </row>
    <row r="88" spans="1:18" ht="26.45" customHeight="1" x14ac:dyDescent="0.35">
      <c r="A88" s="4585" t="str">
        <f>+CONCATENATE(+'SUMIN -HOJA3'!A89,'SUMIN -HOJA3'!B89,"-",'SUMIN -HOJA3'!C89,"-",'SUMIN -HOJA3'!D89,"-",'SUMIN -HOJA3'!E89,"-",'SUMIN -HOJA3'!F89,)</f>
        <v>----</v>
      </c>
      <c r="B88" s="4586"/>
      <c r="C88" s="4586"/>
      <c r="D88" s="4586"/>
      <c r="E88" s="4587"/>
      <c r="F88" s="2725">
        <f>+'SUMIN -HOJA3'!G89</f>
        <v>0</v>
      </c>
      <c r="G88" s="2725" t="str">
        <f>+'SUMIN -HOJA3'!H89</f>
        <v/>
      </c>
      <c r="H88" s="3359" t="str">
        <f>+CONCATENATE('SUMIN -HOJA3'!A89,'SUMIN -HOJA3'!B89)</f>
        <v/>
      </c>
      <c r="I88" s="3039" t="str">
        <f>+CONCATENATE('SUMIN -HOJA3'!I89," (",'SUMIN -HOJA3'!K89,")")</f>
        <v xml:space="preserve"> ()</v>
      </c>
      <c r="J88" s="3579">
        <f ca="1">+'SUMIN -HOJA3'!Z89</f>
        <v>0</v>
      </c>
      <c r="K88" s="3579">
        <f ca="1">+'SUMIN -HOJA3'!AA89</f>
        <v>0</v>
      </c>
      <c r="L88" s="3579">
        <f ca="1">+'SUMIN -HOJA3'!AB89</f>
        <v>0</v>
      </c>
      <c r="M88" s="3579">
        <f ca="1">+'SUMIN -HOJA3'!AC89</f>
        <v>0</v>
      </c>
      <c r="N88" s="3579">
        <f ca="1">+'SUMIN -HOJA3'!AD89</f>
        <v>0</v>
      </c>
      <c r="O88" s="3579">
        <f ca="1">+'SUMIN -HOJA3'!AE89</f>
        <v>0</v>
      </c>
      <c r="P88" s="3577">
        <f t="shared" ca="1" si="6"/>
        <v>0</v>
      </c>
      <c r="Q88" s="3577">
        <f t="shared" ca="1" si="7"/>
        <v>0</v>
      </c>
      <c r="R88" s="3577">
        <f t="shared" ca="1" si="8"/>
        <v>0</v>
      </c>
    </row>
    <row r="89" spans="1:18" ht="26.45" customHeight="1" x14ac:dyDescent="0.35">
      <c r="A89" s="4585" t="str">
        <f>+CONCATENATE(+'SUMIN -HOJA3'!A90,'SUMIN -HOJA3'!B90,"-",'SUMIN -HOJA3'!C90,"-",'SUMIN -HOJA3'!D90,"-",'SUMIN -HOJA3'!E90,"-",'SUMIN -HOJA3'!F90,)</f>
        <v>----</v>
      </c>
      <c r="B89" s="4586"/>
      <c r="C89" s="4586"/>
      <c r="D89" s="4586"/>
      <c r="E89" s="4587"/>
      <c r="F89" s="2725">
        <f>+'SUMIN -HOJA3'!G90</f>
        <v>0</v>
      </c>
      <c r="G89" s="2725" t="str">
        <f>+'SUMIN -HOJA3'!H90</f>
        <v/>
      </c>
      <c r="H89" s="3359" t="str">
        <f>+CONCATENATE('SUMIN -HOJA3'!A90,'SUMIN -HOJA3'!B90)</f>
        <v/>
      </c>
      <c r="I89" s="3039" t="str">
        <f>+CONCATENATE('SUMIN -HOJA3'!I90," (",'SUMIN -HOJA3'!K90,")")</f>
        <v xml:space="preserve"> ()</v>
      </c>
      <c r="J89" s="3579">
        <f ca="1">+'SUMIN -HOJA3'!Z90</f>
        <v>0</v>
      </c>
      <c r="K89" s="3579">
        <f ca="1">+'SUMIN -HOJA3'!AA90</f>
        <v>0</v>
      </c>
      <c r="L89" s="3579">
        <f ca="1">+'SUMIN -HOJA3'!AB90</f>
        <v>0</v>
      </c>
      <c r="M89" s="3579">
        <f ca="1">+'SUMIN -HOJA3'!AC90</f>
        <v>0</v>
      </c>
      <c r="N89" s="3579">
        <f ca="1">+'SUMIN -HOJA3'!AD90</f>
        <v>0</v>
      </c>
      <c r="O89" s="3579">
        <f ca="1">+'SUMIN -HOJA3'!AE90</f>
        <v>0</v>
      </c>
      <c r="P89" s="3577">
        <f t="shared" ca="1" si="6"/>
        <v>0</v>
      </c>
      <c r="Q89" s="3577">
        <f t="shared" ca="1" si="7"/>
        <v>0</v>
      </c>
      <c r="R89" s="3577">
        <f t="shared" ca="1" si="8"/>
        <v>0</v>
      </c>
    </row>
    <row r="90" spans="1:18" ht="26.45" customHeight="1" x14ac:dyDescent="0.35">
      <c r="A90" s="4585" t="str">
        <f>+CONCATENATE(+'SUMIN -HOJA3'!A91,'SUMIN -HOJA3'!B91,"-",'SUMIN -HOJA3'!C91,"-",'SUMIN -HOJA3'!D91,"-",'SUMIN -HOJA3'!E91,"-",'SUMIN -HOJA3'!F91,)</f>
        <v>----</v>
      </c>
      <c r="B90" s="4586"/>
      <c r="C90" s="4586"/>
      <c r="D90" s="4586"/>
      <c r="E90" s="4587"/>
      <c r="F90" s="2725">
        <f>+'SUMIN -HOJA3'!G91</f>
        <v>0</v>
      </c>
      <c r="G90" s="2725" t="str">
        <f>+'SUMIN -HOJA3'!H91</f>
        <v/>
      </c>
      <c r="H90" s="3359" t="str">
        <f>+CONCATENATE('SUMIN -HOJA3'!A91,'SUMIN -HOJA3'!B91)</f>
        <v/>
      </c>
      <c r="I90" s="3039" t="str">
        <f>+CONCATENATE('SUMIN -HOJA3'!I91," (",'SUMIN -HOJA3'!K91,")")</f>
        <v xml:space="preserve"> ()</v>
      </c>
      <c r="J90" s="3579">
        <f ca="1">+'SUMIN -HOJA3'!Z91</f>
        <v>0</v>
      </c>
      <c r="K90" s="3579">
        <f ca="1">+'SUMIN -HOJA3'!AA91</f>
        <v>0</v>
      </c>
      <c r="L90" s="3579">
        <f ca="1">+'SUMIN -HOJA3'!AB91</f>
        <v>0</v>
      </c>
      <c r="M90" s="3579">
        <f ca="1">+'SUMIN -HOJA3'!AC91</f>
        <v>0</v>
      </c>
      <c r="N90" s="3579">
        <f ca="1">+'SUMIN -HOJA3'!AD91</f>
        <v>0</v>
      </c>
      <c r="O90" s="3579">
        <f ca="1">+'SUMIN -HOJA3'!AE91</f>
        <v>0</v>
      </c>
      <c r="P90" s="3577">
        <f t="shared" ca="1" si="6"/>
        <v>0</v>
      </c>
      <c r="Q90" s="3577">
        <f t="shared" ca="1" si="7"/>
        <v>0</v>
      </c>
      <c r="R90" s="3577">
        <f t="shared" ca="1" si="8"/>
        <v>0</v>
      </c>
    </row>
    <row r="91" spans="1:18" ht="26.45" customHeight="1" x14ac:dyDescent="0.35">
      <c r="A91" s="4585" t="str">
        <f>+CONCATENATE(+'SUMIN -HOJA3'!A92,'SUMIN -HOJA3'!B92,"-",'SUMIN -HOJA3'!C92,"-",'SUMIN -HOJA3'!D92,"-",'SUMIN -HOJA3'!E92,"-",'SUMIN -HOJA3'!F92,)</f>
        <v>----</v>
      </c>
      <c r="B91" s="4586"/>
      <c r="C91" s="4586"/>
      <c r="D91" s="4586"/>
      <c r="E91" s="4587"/>
      <c r="F91" s="2725">
        <f>+'SUMIN -HOJA3'!G92</f>
        <v>0</v>
      </c>
      <c r="G91" s="2725" t="str">
        <f>+'SUMIN -HOJA3'!H92</f>
        <v/>
      </c>
      <c r="H91" s="3359" t="str">
        <f>+CONCATENATE('SUMIN -HOJA3'!A92,'SUMIN -HOJA3'!B92)</f>
        <v/>
      </c>
      <c r="I91" s="3039" t="str">
        <f>+CONCATENATE('SUMIN -HOJA3'!I92," (",'SUMIN -HOJA3'!K92,")")</f>
        <v xml:space="preserve"> ()</v>
      </c>
      <c r="J91" s="3579">
        <f ca="1">+'SUMIN -HOJA3'!Z92</f>
        <v>0</v>
      </c>
      <c r="K91" s="3579">
        <f ca="1">+'SUMIN -HOJA3'!AA92</f>
        <v>0</v>
      </c>
      <c r="L91" s="3579">
        <f ca="1">+'SUMIN -HOJA3'!AB92</f>
        <v>0</v>
      </c>
      <c r="M91" s="3579">
        <f ca="1">+'SUMIN -HOJA3'!AC92</f>
        <v>0</v>
      </c>
      <c r="N91" s="3579">
        <f ca="1">+'SUMIN -HOJA3'!AD92</f>
        <v>0</v>
      </c>
      <c r="O91" s="3579">
        <f ca="1">+'SUMIN -HOJA3'!AE92</f>
        <v>0</v>
      </c>
      <c r="P91" s="3577">
        <f t="shared" ca="1" si="6"/>
        <v>0</v>
      </c>
      <c r="Q91" s="3577">
        <f t="shared" ca="1" si="7"/>
        <v>0</v>
      </c>
      <c r="R91" s="3577">
        <f t="shared" ca="1" si="8"/>
        <v>0</v>
      </c>
    </row>
    <row r="92" spans="1:18" ht="26.45" customHeight="1" x14ac:dyDescent="0.35">
      <c r="A92" s="4585" t="str">
        <f>+CONCATENATE(+'SUMIN -HOJA3'!A93,'SUMIN -HOJA3'!B93,"-",'SUMIN -HOJA3'!C93,"-",'SUMIN -HOJA3'!D93,"-",'SUMIN -HOJA3'!E93,"-",'SUMIN -HOJA3'!F93,)</f>
        <v>----</v>
      </c>
      <c r="B92" s="4586"/>
      <c r="C92" s="4586"/>
      <c r="D92" s="4586"/>
      <c r="E92" s="4587"/>
      <c r="F92" s="2725">
        <f>+'SUMIN -HOJA3'!G93</f>
        <v>0</v>
      </c>
      <c r="G92" s="2725" t="str">
        <f>+'SUMIN -HOJA3'!H93</f>
        <v/>
      </c>
      <c r="H92" s="3359" t="str">
        <f>+CONCATENATE('SUMIN -HOJA3'!A93,'SUMIN -HOJA3'!B93)</f>
        <v/>
      </c>
      <c r="I92" s="3039" t="str">
        <f>+CONCATENATE('SUMIN -HOJA3'!I93," (",'SUMIN -HOJA3'!K93,")")</f>
        <v xml:space="preserve"> ()</v>
      </c>
      <c r="J92" s="3579">
        <f ca="1">+'SUMIN -HOJA3'!Z93</f>
        <v>0</v>
      </c>
      <c r="K92" s="3579">
        <f ca="1">+'SUMIN -HOJA3'!AA93</f>
        <v>0</v>
      </c>
      <c r="L92" s="3579">
        <f ca="1">+'SUMIN -HOJA3'!AB93</f>
        <v>0</v>
      </c>
      <c r="M92" s="3579">
        <f ca="1">+'SUMIN -HOJA3'!AC93</f>
        <v>0</v>
      </c>
      <c r="N92" s="3579">
        <f ca="1">+'SUMIN -HOJA3'!AD93</f>
        <v>0</v>
      </c>
      <c r="O92" s="3579">
        <f ca="1">+'SUMIN -HOJA3'!AE93</f>
        <v>0</v>
      </c>
      <c r="P92" s="3577">
        <f t="shared" ca="1" si="6"/>
        <v>0</v>
      </c>
      <c r="Q92" s="3577">
        <f t="shared" ca="1" si="7"/>
        <v>0</v>
      </c>
      <c r="R92" s="3577">
        <f t="shared" ca="1" si="8"/>
        <v>0</v>
      </c>
    </row>
    <row r="93" spans="1:18" ht="26.45" customHeight="1" x14ac:dyDescent="0.35">
      <c r="A93" s="4585" t="str">
        <f>+CONCATENATE(+'SUMIN -HOJA3'!A94,'SUMIN -HOJA3'!B94,"-",'SUMIN -HOJA3'!C94,"-",'SUMIN -HOJA3'!D94,"-",'SUMIN -HOJA3'!E94,"-",'SUMIN -HOJA3'!F94,)</f>
        <v>----</v>
      </c>
      <c r="B93" s="4586"/>
      <c r="C93" s="4586"/>
      <c r="D93" s="4586"/>
      <c r="E93" s="4587"/>
      <c r="F93" s="2725">
        <f>+'SUMIN -HOJA3'!G94</f>
        <v>0</v>
      </c>
      <c r="G93" s="2725" t="str">
        <f>+'SUMIN -HOJA3'!H94</f>
        <v/>
      </c>
      <c r="H93" s="3359" t="str">
        <f>+CONCATENATE('SUMIN -HOJA3'!A94,'SUMIN -HOJA3'!B94)</f>
        <v/>
      </c>
      <c r="I93" s="3039" t="str">
        <f>+CONCATENATE('SUMIN -HOJA3'!I94," (",'SUMIN -HOJA3'!K94,")")</f>
        <v xml:space="preserve"> ()</v>
      </c>
      <c r="J93" s="3579">
        <f ca="1">+'SUMIN -HOJA3'!Z94</f>
        <v>0</v>
      </c>
      <c r="K93" s="3579">
        <f ca="1">+'SUMIN -HOJA3'!AA94</f>
        <v>0</v>
      </c>
      <c r="L93" s="3579">
        <f ca="1">+'SUMIN -HOJA3'!AB94</f>
        <v>0</v>
      </c>
      <c r="M93" s="3579">
        <f ca="1">+'SUMIN -HOJA3'!AC94</f>
        <v>0</v>
      </c>
      <c r="N93" s="3579">
        <f ca="1">+'SUMIN -HOJA3'!AD94</f>
        <v>0</v>
      </c>
      <c r="O93" s="3579">
        <f ca="1">+'SUMIN -HOJA3'!AE94</f>
        <v>0</v>
      </c>
      <c r="P93" s="3577">
        <f t="shared" ca="1" si="6"/>
        <v>0</v>
      </c>
      <c r="Q93" s="3577">
        <f t="shared" ca="1" si="7"/>
        <v>0</v>
      </c>
      <c r="R93" s="3577">
        <f t="shared" ca="1" si="8"/>
        <v>0</v>
      </c>
    </row>
    <row r="94" spans="1:18" ht="26.45" customHeight="1" x14ac:dyDescent="0.35">
      <c r="A94" s="4585" t="str">
        <f>+CONCATENATE(+'SUMIN -HOJA3'!A95,'SUMIN -HOJA3'!B95,"-",'SUMIN -HOJA3'!C95,"-",'SUMIN -HOJA3'!D95,"-",'SUMIN -HOJA3'!E95,"-",'SUMIN -HOJA3'!F95,)</f>
        <v>----</v>
      </c>
      <c r="B94" s="4586"/>
      <c r="C94" s="4586"/>
      <c r="D94" s="4586"/>
      <c r="E94" s="4587"/>
      <c r="F94" s="2725">
        <f>+'SUMIN -HOJA3'!G95</f>
        <v>0</v>
      </c>
      <c r="G94" s="2725" t="str">
        <f>+'SUMIN -HOJA3'!H95</f>
        <v/>
      </c>
      <c r="H94" s="3359" t="str">
        <f>+CONCATENATE('SUMIN -HOJA3'!A95,'SUMIN -HOJA3'!B95)</f>
        <v/>
      </c>
      <c r="I94" s="3039" t="str">
        <f>+CONCATENATE('SUMIN -HOJA3'!I95," (",'SUMIN -HOJA3'!K95,")")</f>
        <v xml:space="preserve"> ()</v>
      </c>
      <c r="J94" s="3579">
        <f ca="1">+'SUMIN -HOJA3'!Z95</f>
        <v>0</v>
      </c>
      <c r="K94" s="3579">
        <f ca="1">+'SUMIN -HOJA3'!AA95</f>
        <v>0</v>
      </c>
      <c r="L94" s="3579">
        <f ca="1">+'SUMIN -HOJA3'!AB95</f>
        <v>0</v>
      </c>
      <c r="M94" s="3579">
        <f ca="1">+'SUMIN -HOJA3'!AC95</f>
        <v>0</v>
      </c>
      <c r="N94" s="3579">
        <f ca="1">+'SUMIN -HOJA3'!AD95</f>
        <v>0</v>
      </c>
      <c r="O94" s="3579">
        <f ca="1">+'SUMIN -HOJA3'!AE95</f>
        <v>0</v>
      </c>
      <c r="P94" s="3577">
        <f t="shared" ca="1" si="6"/>
        <v>0</v>
      </c>
      <c r="Q94" s="3577">
        <f t="shared" ca="1" si="7"/>
        <v>0</v>
      </c>
      <c r="R94" s="3577">
        <f t="shared" ca="1" si="8"/>
        <v>0</v>
      </c>
    </row>
    <row r="95" spans="1:18" ht="26.45" customHeight="1" x14ac:dyDescent="0.35">
      <c r="A95" s="4585" t="str">
        <f>+CONCATENATE(+'SUMIN -HOJA3'!A96,'SUMIN -HOJA3'!B96,"-",'SUMIN -HOJA3'!C96,"-",'SUMIN -HOJA3'!D96,"-",'SUMIN -HOJA3'!E96,"-",'SUMIN -HOJA3'!F96,)</f>
        <v>----</v>
      </c>
      <c r="B95" s="4586"/>
      <c r="C95" s="4586"/>
      <c r="D95" s="4586"/>
      <c r="E95" s="4587"/>
      <c r="F95" s="2725">
        <f>+'SUMIN -HOJA3'!G96</f>
        <v>0</v>
      </c>
      <c r="G95" s="2725" t="str">
        <f>+'SUMIN -HOJA3'!H96</f>
        <v/>
      </c>
      <c r="H95" s="3359" t="str">
        <f>+CONCATENATE('SUMIN -HOJA3'!A96,'SUMIN -HOJA3'!B96)</f>
        <v/>
      </c>
      <c r="I95" s="3039" t="str">
        <f>+CONCATENATE('SUMIN -HOJA3'!I96," (",'SUMIN -HOJA3'!K96,")")</f>
        <v xml:space="preserve"> ()</v>
      </c>
      <c r="J95" s="3579">
        <f ca="1">+'SUMIN -HOJA3'!Z96</f>
        <v>0</v>
      </c>
      <c r="K95" s="3579">
        <f ca="1">+'SUMIN -HOJA3'!AA96</f>
        <v>0</v>
      </c>
      <c r="L95" s="3579">
        <f ca="1">+'SUMIN -HOJA3'!AB96</f>
        <v>0</v>
      </c>
      <c r="M95" s="3579">
        <f ca="1">+'SUMIN -HOJA3'!AC96</f>
        <v>0</v>
      </c>
      <c r="N95" s="3579">
        <f ca="1">+'SUMIN -HOJA3'!AD96</f>
        <v>0</v>
      </c>
      <c r="O95" s="3579">
        <f ca="1">+'SUMIN -HOJA3'!AE96</f>
        <v>0</v>
      </c>
      <c r="P95" s="3577">
        <f t="shared" ca="1" si="6"/>
        <v>0</v>
      </c>
      <c r="Q95" s="3577">
        <f t="shared" ca="1" si="7"/>
        <v>0</v>
      </c>
      <c r="R95" s="3577">
        <f t="shared" ca="1" si="8"/>
        <v>0</v>
      </c>
    </row>
    <row r="96" spans="1:18" ht="26.45" customHeight="1" x14ac:dyDescent="0.35">
      <c r="A96" s="4585" t="str">
        <f>+CONCATENATE(+'SUMIN -HOJA3'!A97,'SUMIN -HOJA3'!B97,"-",'SUMIN -HOJA3'!C97,"-",'SUMIN -HOJA3'!D97,"-",'SUMIN -HOJA3'!E97,"-",'SUMIN -HOJA3'!F97,)</f>
        <v>----</v>
      </c>
      <c r="B96" s="4586"/>
      <c r="C96" s="4586"/>
      <c r="D96" s="4586"/>
      <c r="E96" s="4587"/>
      <c r="F96" s="2725">
        <f>+'SUMIN -HOJA3'!G97</f>
        <v>0</v>
      </c>
      <c r="G96" s="2725" t="str">
        <f>+'SUMIN -HOJA3'!H97</f>
        <v/>
      </c>
      <c r="H96" s="3359" t="str">
        <f>+CONCATENATE('SUMIN -HOJA3'!A97,'SUMIN -HOJA3'!B97)</f>
        <v/>
      </c>
      <c r="I96" s="3039" t="str">
        <f>+CONCATENATE('SUMIN -HOJA3'!I97," (",'SUMIN -HOJA3'!K97,")")</f>
        <v xml:space="preserve"> ()</v>
      </c>
      <c r="J96" s="3579">
        <f ca="1">+'SUMIN -HOJA3'!Z97</f>
        <v>0</v>
      </c>
      <c r="K96" s="3579">
        <f ca="1">+'SUMIN -HOJA3'!AA97</f>
        <v>0</v>
      </c>
      <c r="L96" s="3579">
        <f ca="1">+'SUMIN -HOJA3'!AB97</f>
        <v>0</v>
      </c>
      <c r="M96" s="3579">
        <f ca="1">+'SUMIN -HOJA3'!AC97</f>
        <v>0</v>
      </c>
      <c r="N96" s="3579">
        <f ca="1">+'SUMIN -HOJA3'!AD97</f>
        <v>0</v>
      </c>
      <c r="O96" s="3579">
        <f ca="1">+'SUMIN -HOJA3'!AE97</f>
        <v>0</v>
      </c>
      <c r="P96" s="3577">
        <f t="shared" ca="1" si="6"/>
        <v>0</v>
      </c>
      <c r="Q96" s="3577">
        <f t="shared" ca="1" si="7"/>
        <v>0</v>
      </c>
      <c r="R96" s="3577">
        <f t="shared" ca="1" si="8"/>
        <v>0</v>
      </c>
    </row>
    <row r="97" spans="1:18" ht="26.45" customHeight="1" x14ac:dyDescent="0.35">
      <c r="A97" s="4585" t="str">
        <f>+CONCATENATE(+'SUMIN -HOJA3'!A98,'SUMIN -HOJA3'!B98,"-",'SUMIN -HOJA3'!C98,"-",'SUMIN -HOJA3'!D98,"-",'SUMIN -HOJA3'!E98,"-",'SUMIN -HOJA3'!F98,)</f>
        <v>----</v>
      </c>
      <c r="B97" s="4586"/>
      <c r="C97" s="4586"/>
      <c r="D97" s="4586"/>
      <c r="E97" s="4587"/>
      <c r="F97" s="2725">
        <f>+'SUMIN -HOJA3'!G98</f>
        <v>0</v>
      </c>
      <c r="G97" s="2725" t="str">
        <f>+'SUMIN -HOJA3'!H98</f>
        <v/>
      </c>
      <c r="H97" s="3359" t="str">
        <f>+CONCATENATE('SUMIN -HOJA3'!A98,'SUMIN -HOJA3'!B98)</f>
        <v/>
      </c>
      <c r="I97" s="3039" t="str">
        <f>+CONCATENATE('SUMIN -HOJA3'!I98," (",'SUMIN -HOJA3'!K98,")")</f>
        <v xml:space="preserve"> ()</v>
      </c>
      <c r="J97" s="3579">
        <f ca="1">+'SUMIN -HOJA3'!Z98</f>
        <v>0</v>
      </c>
      <c r="K97" s="3579">
        <f ca="1">+'SUMIN -HOJA3'!AA98</f>
        <v>0</v>
      </c>
      <c r="L97" s="3579">
        <f ca="1">+'SUMIN -HOJA3'!AB98</f>
        <v>0</v>
      </c>
      <c r="M97" s="3579">
        <f ca="1">+'SUMIN -HOJA3'!AC98</f>
        <v>0</v>
      </c>
      <c r="N97" s="3579">
        <f ca="1">+'SUMIN -HOJA3'!AD98</f>
        <v>0</v>
      </c>
      <c r="O97" s="3579">
        <f ca="1">+'SUMIN -HOJA3'!AE98</f>
        <v>0</v>
      </c>
      <c r="P97" s="3577">
        <f t="shared" ca="1" si="6"/>
        <v>0</v>
      </c>
      <c r="Q97" s="3577">
        <f t="shared" ca="1" si="7"/>
        <v>0</v>
      </c>
      <c r="R97" s="3577">
        <f t="shared" ca="1" si="8"/>
        <v>0</v>
      </c>
    </row>
    <row r="98" spans="1:18" ht="26.45" customHeight="1" x14ac:dyDescent="0.35">
      <c r="A98" s="4585" t="str">
        <f>+CONCATENATE(+'SUMIN -HOJA3'!A99,'SUMIN -HOJA3'!B99,"-",'SUMIN -HOJA3'!C99,"-",'SUMIN -HOJA3'!D99,"-",'SUMIN -HOJA3'!E99,"-",'SUMIN -HOJA3'!F99,)</f>
        <v>----</v>
      </c>
      <c r="B98" s="4586"/>
      <c r="C98" s="4586"/>
      <c r="D98" s="4586"/>
      <c r="E98" s="4587"/>
      <c r="F98" s="2725">
        <f>+'SUMIN -HOJA3'!G99</f>
        <v>0</v>
      </c>
      <c r="G98" s="2725" t="str">
        <f>+'SUMIN -HOJA3'!H99</f>
        <v/>
      </c>
      <c r="H98" s="3359" t="str">
        <f>+CONCATENATE('SUMIN -HOJA3'!A99,'SUMIN -HOJA3'!B99)</f>
        <v/>
      </c>
      <c r="I98" s="3039" t="str">
        <f>+CONCATENATE('SUMIN -HOJA3'!I99," (",'SUMIN -HOJA3'!K99,")")</f>
        <v xml:space="preserve"> ()</v>
      </c>
      <c r="J98" s="3579">
        <f ca="1">+'SUMIN -HOJA3'!Z99</f>
        <v>0</v>
      </c>
      <c r="K98" s="3579">
        <f ca="1">+'SUMIN -HOJA3'!AA99</f>
        <v>0</v>
      </c>
      <c r="L98" s="3579">
        <f ca="1">+'SUMIN -HOJA3'!AB99</f>
        <v>0</v>
      </c>
      <c r="M98" s="3579">
        <f ca="1">+'SUMIN -HOJA3'!AC99</f>
        <v>0</v>
      </c>
      <c r="N98" s="3579">
        <f ca="1">+'SUMIN -HOJA3'!AD99</f>
        <v>0</v>
      </c>
      <c r="O98" s="3579">
        <f ca="1">+'SUMIN -HOJA3'!AE99</f>
        <v>0</v>
      </c>
      <c r="P98" s="3577">
        <f t="shared" ca="1" si="6"/>
        <v>0</v>
      </c>
      <c r="Q98" s="3577">
        <f t="shared" ca="1" si="7"/>
        <v>0</v>
      </c>
      <c r="R98" s="3577">
        <f t="shared" ca="1" si="8"/>
        <v>0</v>
      </c>
    </row>
    <row r="99" spans="1:18" ht="26.45" customHeight="1" x14ac:dyDescent="0.35">
      <c r="A99" s="4585" t="str">
        <f>+CONCATENATE(+'SUMIN -HOJA3'!A100,'SUMIN -HOJA3'!B100,"-",'SUMIN -HOJA3'!C100,"-",'SUMIN -HOJA3'!D100,"-",'SUMIN -HOJA3'!E100,"-",'SUMIN -HOJA3'!F100,)</f>
        <v>----</v>
      </c>
      <c r="B99" s="4586"/>
      <c r="C99" s="4586"/>
      <c r="D99" s="4586"/>
      <c r="E99" s="4587"/>
      <c r="F99" s="2725">
        <f>+'SUMIN -HOJA3'!G100</f>
        <v>0</v>
      </c>
      <c r="G99" s="2725" t="str">
        <f>+'SUMIN -HOJA3'!H100</f>
        <v/>
      </c>
      <c r="H99" s="3359" t="str">
        <f>+CONCATENATE('SUMIN -HOJA3'!A100,'SUMIN -HOJA3'!B100)</f>
        <v/>
      </c>
      <c r="I99" s="3039" t="str">
        <f>+CONCATENATE('SUMIN -HOJA3'!I100," (",'SUMIN -HOJA3'!K100,")")</f>
        <v xml:space="preserve"> ()</v>
      </c>
      <c r="J99" s="3579">
        <f ca="1">+'SUMIN -HOJA3'!Z100</f>
        <v>0</v>
      </c>
      <c r="K99" s="3579">
        <f ca="1">+'SUMIN -HOJA3'!AA100</f>
        <v>0</v>
      </c>
      <c r="L99" s="3579">
        <f ca="1">+'SUMIN -HOJA3'!AB100</f>
        <v>0</v>
      </c>
      <c r="M99" s="3579">
        <f ca="1">+'SUMIN -HOJA3'!AC100</f>
        <v>0</v>
      </c>
      <c r="N99" s="3579">
        <f ca="1">+'SUMIN -HOJA3'!AD100</f>
        <v>0</v>
      </c>
      <c r="O99" s="3579">
        <f ca="1">+'SUMIN -HOJA3'!AE100</f>
        <v>0</v>
      </c>
      <c r="P99" s="3577">
        <f t="shared" ca="1" si="6"/>
        <v>0</v>
      </c>
      <c r="Q99" s="3577">
        <f t="shared" ca="1" si="7"/>
        <v>0</v>
      </c>
      <c r="R99" s="3577">
        <f t="shared" ca="1" si="8"/>
        <v>0</v>
      </c>
    </row>
    <row r="100" spans="1:18" ht="26.45" customHeight="1" x14ac:dyDescent="0.35">
      <c r="A100" s="4585" t="str">
        <f>+CONCATENATE(+'SUMIN -HOJA3'!A101,'SUMIN -HOJA3'!B101,"-",'SUMIN -HOJA3'!C101,"-",'SUMIN -HOJA3'!D101,"-",'SUMIN -HOJA3'!E101,"-",'SUMIN -HOJA3'!F101,)</f>
        <v>----</v>
      </c>
      <c r="B100" s="4586"/>
      <c r="C100" s="4586"/>
      <c r="D100" s="4586"/>
      <c r="E100" s="4587"/>
      <c r="F100" s="2725">
        <f>+'SUMIN -HOJA3'!G101</f>
        <v>0</v>
      </c>
      <c r="G100" s="2725" t="str">
        <f>+'SUMIN -HOJA3'!H101</f>
        <v/>
      </c>
      <c r="H100" s="3359" t="str">
        <f>+CONCATENATE('SUMIN -HOJA3'!A101,'SUMIN -HOJA3'!B101)</f>
        <v/>
      </c>
      <c r="I100" s="3039" t="str">
        <f>+CONCATENATE('SUMIN -HOJA3'!I101," (",'SUMIN -HOJA3'!K101,")")</f>
        <v xml:space="preserve"> ()</v>
      </c>
      <c r="J100" s="3579">
        <f ca="1">+'SUMIN -HOJA3'!Z101</f>
        <v>0</v>
      </c>
      <c r="K100" s="3579">
        <f ca="1">+'SUMIN -HOJA3'!AA101</f>
        <v>0</v>
      </c>
      <c r="L100" s="3579">
        <f ca="1">+'SUMIN -HOJA3'!AB101</f>
        <v>0</v>
      </c>
      <c r="M100" s="3579">
        <f ca="1">+'SUMIN -HOJA3'!AC101</f>
        <v>0</v>
      </c>
      <c r="N100" s="3579">
        <f ca="1">+'SUMIN -HOJA3'!AD101</f>
        <v>0</v>
      </c>
      <c r="O100" s="3579">
        <f ca="1">+'SUMIN -HOJA3'!AE101</f>
        <v>0</v>
      </c>
      <c r="P100" s="3577">
        <f t="shared" ca="1" si="6"/>
        <v>0</v>
      </c>
      <c r="Q100" s="3577">
        <f t="shared" ca="1" si="7"/>
        <v>0</v>
      </c>
      <c r="R100" s="3577">
        <f t="shared" ca="1" si="8"/>
        <v>0</v>
      </c>
    </row>
    <row r="101" spans="1:18" ht="26.45" customHeight="1" x14ac:dyDescent="0.35">
      <c r="A101" s="4585" t="str">
        <f>+CONCATENATE(+'SUMIN -HOJA3'!A102,'SUMIN -HOJA3'!B102,"-",'SUMIN -HOJA3'!C102,"-",'SUMIN -HOJA3'!D102,"-",'SUMIN -HOJA3'!E102,"-",'SUMIN -HOJA3'!F102,)</f>
        <v>----</v>
      </c>
      <c r="B101" s="4586"/>
      <c r="C101" s="4586"/>
      <c r="D101" s="4586"/>
      <c r="E101" s="4587"/>
      <c r="F101" s="2725">
        <f>+'SUMIN -HOJA3'!G102</f>
        <v>0</v>
      </c>
      <c r="G101" s="2725" t="str">
        <f>+'SUMIN -HOJA3'!H102</f>
        <v/>
      </c>
      <c r="H101" s="3359" t="str">
        <f>+CONCATENATE('SUMIN -HOJA3'!A102,'SUMIN -HOJA3'!B102)</f>
        <v/>
      </c>
      <c r="I101" s="3039" t="str">
        <f>+CONCATENATE('SUMIN -HOJA3'!I102," (",'SUMIN -HOJA3'!K102,")")</f>
        <v xml:space="preserve"> ()</v>
      </c>
      <c r="J101" s="3579">
        <f ca="1">+'SUMIN -HOJA3'!Z102</f>
        <v>0</v>
      </c>
      <c r="K101" s="3579">
        <f ca="1">+'SUMIN -HOJA3'!AA102</f>
        <v>0</v>
      </c>
      <c r="L101" s="3579">
        <f ca="1">+'SUMIN -HOJA3'!AB102</f>
        <v>0</v>
      </c>
      <c r="M101" s="3579">
        <f ca="1">+'SUMIN -HOJA3'!AC102</f>
        <v>0</v>
      </c>
      <c r="N101" s="3579">
        <f ca="1">+'SUMIN -HOJA3'!AD102</f>
        <v>0</v>
      </c>
      <c r="O101" s="3579">
        <f ca="1">+'SUMIN -HOJA3'!AE102</f>
        <v>0</v>
      </c>
      <c r="P101" s="3577">
        <f t="shared" ca="1" si="6"/>
        <v>0</v>
      </c>
      <c r="Q101" s="3577">
        <f t="shared" ca="1" si="7"/>
        <v>0</v>
      </c>
      <c r="R101" s="3577">
        <f t="shared" ca="1" si="8"/>
        <v>0</v>
      </c>
    </row>
    <row r="102" spans="1:18" ht="26.45" customHeight="1" x14ac:dyDescent="0.35">
      <c r="A102" s="4585" t="str">
        <f>+CONCATENATE(+'SUMIN -HOJA3'!A103,'SUMIN -HOJA3'!B103,"-",'SUMIN -HOJA3'!C103,"-",'SUMIN -HOJA3'!D103,"-",'SUMIN -HOJA3'!E103,"-",'SUMIN -HOJA3'!F103,)</f>
        <v>----</v>
      </c>
      <c r="B102" s="4586"/>
      <c r="C102" s="4586"/>
      <c r="D102" s="4586"/>
      <c r="E102" s="4587"/>
      <c r="F102" s="2725">
        <f>+'SUMIN -HOJA3'!G103</f>
        <v>0</v>
      </c>
      <c r="G102" s="2725" t="str">
        <f>+'SUMIN -HOJA3'!H103</f>
        <v/>
      </c>
      <c r="H102" s="3359" t="str">
        <f>+CONCATENATE('SUMIN -HOJA3'!A103,'SUMIN -HOJA3'!B103)</f>
        <v/>
      </c>
      <c r="I102" s="3039" t="str">
        <f>+CONCATENATE('SUMIN -HOJA3'!I103," (",'SUMIN -HOJA3'!K103,")")</f>
        <v xml:space="preserve"> ()</v>
      </c>
      <c r="J102" s="3579">
        <f ca="1">+'SUMIN -HOJA3'!Z103</f>
        <v>0</v>
      </c>
      <c r="K102" s="3579">
        <f ca="1">+'SUMIN -HOJA3'!AA103</f>
        <v>0</v>
      </c>
      <c r="L102" s="3579">
        <f ca="1">+'SUMIN -HOJA3'!AB103</f>
        <v>0</v>
      </c>
      <c r="M102" s="3579">
        <f ca="1">+'SUMIN -HOJA3'!AC103</f>
        <v>0</v>
      </c>
      <c r="N102" s="3579">
        <f ca="1">+'SUMIN -HOJA3'!AD103</f>
        <v>0</v>
      </c>
      <c r="O102" s="3579">
        <f ca="1">+'SUMIN -HOJA3'!AE103</f>
        <v>0</v>
      </c>
      <c r="P102" s="3577">
        <f t="shared" ca="1" si="6"/>
        <v>0</v>
      </c>
      <c r="Q102" s="3577">
        <f t="shared" ca="1" si="7"/>
        <v>0</v>
      </c>
      <c r="R102" s="3577">
        <f t="shared" ca="1" si="8"/>
        <v>0</v>
      </c>
    </row>
    <row r="103" spans="1:18" ht="26.45" customHeight="1" x14ac:dyDescent="0.35">
      <c r="A103" s="4585" t="str">
        <f>+CONCATENATE(+'SUMIN -HOJA3'!A104,'SUMIN -HOJA3'!B104,"-",'SUMIN -HOJA3'!C104,"-",'SUMIN -HOJA3'!D104,"-",'SUMIN -HOJA3'!E104,"-",'SUMIN -HOJA3'!F104,)</f>
        <v>----</v>
      </c>
      <c r="B103" s="4586"/>
      <c r="C103" s="4586"/>
      <c r="D103" s="4586"/>
      <c r="E103" s="4587"/>
      <c r="F103" s="2725">
        <f>+'SUMIN -HOJA3'!G104</f>
        <v>0</v>
      </c>
      <c r="G103" s="2725" t="str">
        <f>+'SUMIN -HOJA3'!H104</f>
        <v/>
      </c>
      <c r="H103" s="3359" t="str">
        <f>+CONCATENATE('SUMIN -HOJA3'!A104,'SUMIN -HOJA3'!B104)</f>
        <v/>
      </c>
      <c r="I103" s="3039" t="str">
        <f>+CONCATENATE('SUMIN -HOJA3'!I104," (",'SUMIN -HOJA3'!K104,")")</f>
        <v xml:space="preserve"> ()</v>
      </c>
      <c r="J103" s="3579">
        <f ca="1">+'SUMIN -HOJA3'!Z104</f>
        <v>0</v>
      </c>
      <c r="K103" s="3579">
        <f ca="1">+'SUMIN -HOJA3'!AA104</f>
        <v>0</v>
      </c>
      <c r="L103" s="3579">
        <f ca="1">+'SUMIN -HOJA3'!AB104</f>
        <v>0</v>
      </c>
      <c r="M103" s="3579">
        <f ca="1">+'SUMIN -HOJA3'!AC104</f>
        <v>0</v>
      </c>
      <c r="N103" s="3579">
        <f ca="1">+'SUMIN -HOJA3'!AD104</f>
        <v>0</v>
      </c>
      <c r="O103" s="3579">
        <f ca="1">+'SUMIN -HOJA3'!AE104</f>
        <v>0</v>
      </c>
      <c r="P103" s="3577">
        <f t="shared" ca="1" si="6"/>
        <v>0</v>
      </c>
      <c r="Q103" s="3577">
        <f t="shared" ca="1" si="7"/>
        <v>0</v>
      </c>
      <c r="R103" s="3577">
        <f t="shared" ca="1" si="8"/>
        <v>0</v>
      </c>
    </row>
    <row r="104" spans="1:18" ht="26.45" customHeight="1" x14ac:dyDescent="0.35">
      <c r="A104" s="4585" t="str">
        <f>+CONCATENATE(+'SUMIN -HOJA3'!A105,'SUMIN -HOJA3'!B105,"-",'SUMIN -HOJA3'!C105,"-",'SUMIN -HOJA3'!D105,"-",'SUMIN -HOJA3'!E105,"-",'SUMIN -HOJA3'!F105,)</f>
        <v>----</v>
      </c>
      <c r="B104" s="4586"/>
      <c r="C104" s="4586"/>
      <c r="D104" s="4586"/>
      <c r="E104" s="4587"/>
      <c r="F104" s="2725">
        <f>+'SUMIN -HOJA3'!G105</f>
        <v>0</v>
      </c>
      <c r="G104" s="2725" t="str">
        <f>+'SUMIN -HOJA3'!H105</f>
        <v/>
      </c>
      <c r="H104" s="3359" t="str">
        <f>+CONCATENATE('SUMIN -HOJA3'!A105,'SUMIN -HOJA3'!B105)</f>
        <v/>
      </c>
      <c r="I104" s="3039" t="str">
        <f>+CONCATENATE('SUMIN -HOJA3'!I105," (",'SUMIN -HOJA3'!K105,")")</f>
        <v xml:space="preserve"> ()</v>
      </c>
      <c r="J104" s="3579">
        <f ca="1">+'SUMIN -HOJA3'!Z105</f>
        <v>0</v>
      </c>
      <c r="K104" s="3579">
        <f ca="1">+'SUMIN -HOJA3'!AA105</f>
        <v>0</v>
      </c>
      <c r="L104" s="3579">
        <f ca="1">+'SUMIN -HOJA3'!AB105</f>
        <v>0</v>
      </c>
      <c r="M104" s="3579">
        <f ca="1">+'SUMIN -HOJA3'!AC105</f>
        <v>0</v>
      </c>
      <c r="N104" s="3579">
        <f ca="1">+'SUMIN -HOJA3'!AD105</f>
        <v>0</v>
      </c>
      <c r="O104" s="3579">
        <f ca="1">+'SUMIN -HOJA3'!AE105</f>
        <v>0</v>
      </c>
      <c r="P104" s="3577">
        <f t="shared" ca="1" si="6"/>
        <v>0</v>
      </c>
      <c r="Q104" s="3577">
        <f t="shared" ca="1" si="7"/>
        <v>0</v>
      </c>
      <c r="R104" s="3577">
        <f t="shared" ca="1" si="8"/>
        <v>0</v>
      </c>
    </row>
    <row r="105" spans="1:18" ht="26.45" customHeight="1" x14ac:dyDescent="0.35">
      <c r="A105" s="4585" t="str">
        <f>+CONCATENATE(+'SUMIN -HOJA3'!A106,'SUMIN -HOJA3'!B106,"-",'SUMIN -HOJA3'!C106,"-",'SUMIN -HOJA3'!D106,"-",'SUMIN -HOJA3'!E106,"-",'SUMIN -HOJA3'!F106,)</f>
        <v>----</v>
      </c>
      <c r="B105" s="4586"/>
      <c r="C105" s="4586"/>
      <c r="D105" s="4586"/>
      <c r="E105" s="4587"/>
      <c r="F105" s="2725">
        <f>+'SUMIN -HOJA3'!G106</f>
        <v>0</v>
      </c>
      <c r="G105" s="2725" t="str">
        <f>+'SUMIN -HOJA3'!H106</f>
        <v/>
      </c>
      <c r="H105" s="3359" t="str">
        <f>+CONCATENATE('SUMIN -HOJA3'!A106,'SUMIN -HOJA3'!B106)</f>
        <v/>
      </c>
      <c r="I105" s="3039" t="str">
        <f>+CONCATENATE('SUMIN -HOJA3'!I106," (",'SUMIN -HOJA3'!K106,")")</f>
        <v xml:space="preserve"> ()</v>
      </c>
      <c r="J105" s="3579">
        <f ca="1">+'SUMIN -HOJA3'!Z106</f>
        <v>0</v>
      </c>
      <c r="K105" s="3579">
        <f ca="1">+'SUMIN -HOJA3'!AA106</f>
        <v>0</v>
      </c>
      <c r="L105" s="3579">
        <f ca="1">+'SUMIN -HOJA3'!AB106</f>
        <v>0</v>
      </c>
      <c r="M105" s="3579">
        <f ca="1">+'SUMIN -HOJA3'!AC106</f>
        <v>0</v>
      </c>
      <c r="N105" s="3579">
        <f ca="1">+'SUMIN -HOJA3'!AD106</f>
        <v>0</v>
      </c>
      <c r="O105" s="3579">
        <f ca="1">+'SUMIN -HOJA3'!AE106</f>
        <v>0</v>
      </c>
      <c r="P105" s="3577">
        <f t="shared" ca="1" si="6"/>
        <v>0</v>
      </c>
      <c r="Q105" s="3577">
        <f t="shared" ca="1" si="7"/>
        <v>0</v>
      </c>
      <c r="R105" s="3577">
        <f t="shared" ca="1" si="8"/>
        <v>0</v>
      </c>
    </row>
    <row r="106" spans="1:18" ht="26.45" customHeight="1" x14ac:dyDescent="0.35">
      <c r="A106" s="4585" t="str">
        <f>+CONCATENATE(+'SUMIN -HOJA3'!A107,'SUMIN -HOJA3'!B107,"-",'SUMIN -HOJA3'!C107,"-",'SUMIN -HOJA3'!D107,"-",'SUMIN -HOJA3'!E107,"-",'SUMIN -HOJA3'!F107,)</f>
        <v>----</v>
      </c>
      <c r="B106" s="4586"/>
      <c r="C106" s="4586"/>
      <c r="D106" s="4586"/>
      <c r="E106" s="4587"/>
      <c r="F106" s="2725">
        <f>+'SUMIN -HOJA3'!G107</f>
        <v>0</v>
      </c>
      <c r="G106" s="2725" t="str">
        <f>+'SUMIN -HOJA3'!H107</f>
        <v/>
      </c>
      <c r="H106" s="3359" t="str">
        <f>+CONCATENATE('SUMIN -HOJA3'!A107,'SUMIN -HOJA3'!B107)</f>
        <v/>
      </c>
      <c r="I106" s="3039" t="str">
        <f>+CONCATENATE('SUMIN -HOJA3'!I107," (",'SUMIN -HOJA3'!K107,")")</f>
        <v xml:space="preserve"> ()</v>
      </c>
      <c r="J106" s="3579">
        <f ca="1">+'SUMIN -HOJA3'!Z107</f>
        <v>0</v>
      </c>
      <c r="K106" s="3579">
        <f ca="1">+'SUMIN -HOJA3'!AA107</f>
        <v>0</v>
      </c>
      <c r="L106" s="3579">
        <f ca="1">+'SUMIN -HOJA3'!AB107</f>
        <v>0</v>
      </c>
      <c r="M106" s="3579">
        <f ca="1">+'SUMIN -HOJA3'!AC107</f>
        <v>0</v>
      </c>
      <c r="N106" s="3579">
        <f ca="1">+'SUMIN -HOJA3'!AD107</f>
        <v>0</v>
      </c>
      <c r="O106" s="3579">
        <f ca="1">+'SUMIN -HOJA3'!AE107</f>
        <v>0</v>
      </c>
      <c r="P106" s="3577">
        <f t="shared" ca="1" si="6"/>
        <v>0</v>
      </c>
      <c r="Q106" s="3577">
        <f t="shared" ca="1" si="7"/>
        <v>0</v>
      </c>
      <c r="R106" s="3577">
        <f t="shared" ca="1" si="8"/>
        <v>0</v>
      </c>
    </row>
    <row r="107" spans="1:18" ht="26.45" customHeight="1" x14ac:dyDescent="0.35">
      <c r="A107" s="4585" t="str">
        <f>+CONCATENATE(+'SUMIN -HOJA3'!A108,'SUMIN -HOJA3'!B108,"-",'SUMIN -HOJA3'!C108,"-",'SUMIN -HOJA3'!D108,"-",'SUMIN -HOJA3'!E108,"-",'SUMIN -HOJA3'!F108,)</f>
        <v>----</v>
      </c>
      <c r="B107" s="4586"/>
      <c r="C107" s="4586"/>
      <c r="D107" s="4586"/>
      <c r="E107" s="4587"/>
      <c r="F107" s="2725">
        <f>+'SUMIN -HOJA3'!G108</f>
        <v>0</v>
      </c>
      <c r="G107" s="2725" t="str">
        <f>+'SUMIN -HOJA3'!H108</f>
        <v/>
      </c>
      <c r="H107" s="3359" t="str">
        <f>+CONCATENATE('SUMIN -HOJA3'!A108,'SUMIN -HOJA3'!B108)</f>
        <v/>
      </c>
      <c r="I107" s="3039" t="str">
        <f>+CONCATENATE('SUMIN -HOJA3'!I108," (",'SUMIN -HOJA3'!K108,")")</f>
        <v xml:space="preserve"> ()</v>
      </c>
      <c r="J107" s="3579">
        <f ca="1">+'SUMIN -HOJA3'!Z108</f>
        <v>0</v>
      </c>
      <c r="K107" s="3579">
        <f ca="1">+'SUMIN -HOJA3'!AA108</f>
        <v>0</v>
      </c>
      <c r="L107" s="3579">
        <f ca="1">+'SUMIN -HOJA3'!AB108</f>
        <v>0</v>
      </c>
      <c r="M107" s="3579">
        <f ca="1">+'SUMIN -HOJA3'!AC108</f>
        <v>0</v>
      </c>
      <c r="N107" s="3579">
        <f ca="1">+'SUMIN -HOJA3'!AD108</f>
        <v>0</v>
      </c>
      <c r="O107" s="3579">
        <f ca="1">+'SUMIN -HOJA3'!AE108</f>
        <v>0</v>
      </c>
      <c r="P107" s="3577">
        <f t="shared" ca="1" si="6"/>
        <v>0</v>
      </c>
      <c r="Q107" s="3577">
        <f t="shared" ca="1" si="7"/>
        <v>0</v>
      </c>
      <c r="R107" s="3577">
        <f t="shared" ca="1" si="8"/>
        <v>0</v>
      </c>
    </row>
    <row r="108" spans="1:18" ht="26.45" customHeight="1" x14ac:dyDescent="0.35">
      <c r="A108" s="4585" t="str">
        <f>+CONCATENATE(+'SUMIN -HOJA3'!A109,'SUMIN -HOJA3'!B109,"-",'SUMIN -HOJA3'!C109,"-",'SUMIN -HOJA3'!D109,"-",'SUMIN -HOJA3'!E109,"-",'SUMIN -HOJA3'!F109,)</f>
        <v>----</v>
      </c>
      <c r="B108" s="4586"/>
      <c r="C108" s="4586"/>
      <c r="D108" s="4586"/>
      <c r="E108" s="4587"/>
      <c r="F108" s="2725">
        <f>+'SUMIN -HOJA3'!G109</f>
        <v>0</v>
      </c>
      <c r="G108" s="2725" t="str">
        <f>+'SUMIN -HOJA3'!H109</f>
        <v/>
      </c>
      <c r="H108" s="3359" t="str">
        <f>+CONCATENATE('SUMIN -HOJA3'!A109,'SUMIN -HOJA3'!B109)</f>
        <v/>
      </c>
      <c r="I108" s="3039" t="str">
        <f>+CONCATENATE('SUMIN -HOJA3'!I109," (",'SUMIN -HOJA3'!K109,")")</f>
        <v xml:space="preserve"> ()</v>
      </c>
      <c r="J108" s="3579">
        <f ca="1">+'SUMIN -HOJA3'!Z109</f>
        <v>0</v>
      </c>
      <c r="K108" s="3579">
        <f ca="1">+'SUMIN -HOJA3'!AA109</f>
        <v>0</v>
      </c>
      <c r="L108" s="3579">
        <f ca="1">+'SUMIN -HOJA3'!AB109</f>
        <v>0</v>
      </c>
      <c r="M108" s="3579">
        <f ca="1">+'SUMIN -HOJA3'!AC109</f>
        <v>0</v>
      </c>
      <c r="N108" s="3579">
        <f ca="1">+'SUMIN -HOJA3'!AD109</f>
        <v>0</v>
      </c>
      <c r="O108" s="3579">
        <f ca="1">+'SUMIN -HOJA3'!AE109</f>
        <v>0</v>
      </c>
      <c r="P108" s="3577">
        <f t="shared" ca="1" si="6"/>
        <v>0</v>
      </c>
      <c r="Q108" s="3577">
        <f t="shared" ca="1" si="7"/>
        <v>0</v>
      </c>
      <c r="R108" s="3577">
        <f t="shared" ca="1" si="8"/>
        <v>0</v>
      </c>
    </row>
    <row r="109" spans="1:18" ht="26.45" customHeight="1" x14ac:dyDescent="0.35">
      <c r="A109" s="4585" t="str">
        <f>+CONCATENATE(+'SUMIN -HOJA3'!A110,'SUMIN -HOJA3'!B110,"-",'SUMIN -HOJA3'!C110,"-",'SUMIN -HOJA3'!D110,"-",'SUMIN -HOJA3'!E110,"-",'SUMIN -HOJA3'!F110,)</f>
        <v>----</v>
      </c>
      <c r="B109" s="4586"/>
      <c r="C109" s="4586"/>
      <c r="D109" s="4586"/>
      <c r="E109" s="4587"/>
      <c r="F109" s="2725">
        <f>+'SUMIN -HOJA3'!G110</f>
        <v>0</v>
      </c>
      <c r="G109" s="2725" t="str">
        <f>+'SUMIN -HOJA3'!H110</f>
        <v/>
      </c>
      <c r="H109" s="3359" t="str">
        <f>+CONCATENATE('SUMIN -HOJA3'!A110,'SUMIN -HOJA3'!B110)</f>
        <v/>
      </c>
      <c r="I109" s="3039" t="str">
        <f>+CONCATENATE('SUMIN -HOJA3'!I110," (",'SUMIN -HOJA3'!K110,")")</f>
        <v xml:space="preserve"> ()</v>
      </c>
      <c r="J109" s="3579">
        <f ca="1">+'SUMIN -HOJA3'!Z110</f>
        <v>0</v>
      </c>
      <c r="K109" s="3579">
        <f ca="1">+'SUMIN -HOJA3'!AA110</f>
        <v>0</v>
      </c>
      <c r="L109" s="3579">
        <f ca="1">+'SUMIN -HOJA3'!AB110</f>
        <v>0</v>
      </c>
      <c r="M109" s="3579">
        <f ca="1">+'SUMIN -HOJA3'!AC110</f>
        <v>0</v>
      </c>
      <c r="N109" s="3579">
        <f ca="1">+'SUMIN -HOJA3'!AD110</f>
        <v>0</v>
      </c>
      <c r="O109" s="3579">
        <f ca="1">+'SUMIN -HOJA3'!AE110</f>
        <v>0</v>
      </c>
      <c r="P109" s="3577">
        <f t="shared" ca="1" si="6"/>
        <v>0</v>
      </c>
      <c r="Q109" s="3577">
        <f t="shared" ca="1" si="7"/>
        <v>0</v>
      </c>
      <c r="R109" s="3577">
        <f t="shared" ca="1" si="8"/>
        <v>0</v>
      </c>
    </row>
    <row r="110" spans="1:18" ht="26.45" customHeight="1" x14ac:dyDescent="0.35">
      <c r="A110" s="4585" t="str">
        <f>+CONCATENATE(+'SUMIN -HOJA3'!A111,'SUMIN -HOJA3'!B111,"-",'SUMIN -HOJA3'!C111,"-",'SUMIN -HOJA3'!D111,"-",'SUMIN -HOJA3'!E111,"-",'SUMIN -HOJA3'!F111,)</f>
        <v>----</v>
      </c>
      <c r="B110" s="4586"/>
      <c r="C110" s="4586"/>
      <c r="D110" s="4586"/>
      <c r="E110" s="4587"/>
      <c r="F110" s="2725">
        <f>+'SUMIN -HOJA3'!G111</f>
        <v>0</v>
      </c>
      <c r="G110" s="2725" t="str">
        <f>+'SUMIN -HOJA3'!H111</f>
        <v/>
      </c>
      <c r="H110" s="3359" t="str">
        <f>+CONCATENATE('SUMIN -HOJA3'!A111,'SUMIN -HOJA3'!B111)</f>
        <v/>
      </c>
      <c r="I110" s="3039" t="str">
        <f>+CONCATENATE('SUMIN -HOJA3'!I111," (",'SUMIN -HOJA3'!K111,")")</f>
        <v xml:space="preserve"> ()</v>
      </c>
      <c r="J110" s="3579">
        <f ca="1">+'SUMIN -HOJA3'!Z111</f>
        <v>0</v>
      </c>
      <c r="K110" s="3579">
        <f ca="1">+'SUMIN -HOJA3'!AA111</f>
        <v>0</v>
      </c>
      <c r="L110" s="3579">
        <f ca="1">+'SUMIN -HOJA3'!AB111</f>
        <v>0</v>
      </c>
      <c r="M110" s="3579">
        <f ca="1">+'SUMIN -HOJA3'!AC111</f>
        <v>0</v>
      </c>
      <c r="N110" s="3579">
        <f ca="1">+'SUMIN -HOJA3'!AD111</f>
        <v>0</v>
      </c>
      <c r="O110" s="3579">
        <f ca="1">+'SUMIN -HOJA3'!AE111</f>
        <v>0</v>
      </c>
      <c r="P110" s="3577">
        <f t="shared" ca="1" si="6"/>
        <v>0</v>
      </c>
      <c r="Q110" s="3577">
        <f t="shared" ca="1" si="7"/>
        <v>0</v>
      </c>
      <c r="R110" s="3577">
        <f t="shared" ca="1" si="8"/>
        <v>0</v>
      </c>
    </row>
    <row r="111" spans="1:18" ht="26.45" customHeight="1" x14ac:dyDescent="0.35">
      <c r="A111" s="4585" t="str">
        <f>+CONCATENATE(+'SUMIN -HOJA3'!A112,'SUMIN -HOJA3'!B112,"-",'SUMIN -HOJA3'!C112,"-",'SUMIN -HOJA3'!D112,"-",'SUMIN -HOJA3'!E112,"-",'SUMIN -HOJA3'!F112,)</f>
        <v>----</v>
      </c>
      <c r="B111" s="4586"/>
      <c r="C111" s="4586"/>
      <c r="D111" s="4586"/>
      <c r="E111" s="4587"/>
      <c r="F111" s="2725">
        <f>+'SUMIN -HOJA3'!G112</f>
        <v>0</v>
      </c>
      <c r="G111" s="2725" t="str">
        <f>+'SUMIN -HOJA3'!H112</f>
        <v/>
      </c>
      <c r="H111" s="3359" t="str">
        <f>+CONCATENATE('SUMIN -HOJA3'!A112,'SUMIN -HOJA3'!B112)</f>
        <v/>
      </c>
      <c r="I111" s="3039" t="str">
        <f>+CONCATENATE('SUMIN -HOJA3'!I112," (",'SUMIN -HOJA3'!K112,")")</f>
        <v xml:space="preserve"> ()</v>
      </c>
      <c r="J111" s="3579">
        <f ca="1">+'SUMIN -HOJA3'!Z112</f>
        <v>0</v>
      </c>
      <c r="K111" s="3579">
        <f ca="1">+'SUMIN -HOJA3'!AA112</f>
        <v>0</v>
      </c>
      <c r="L111" s="3579">
        <f ca="1">+'SUMIN -HOJA3'!AB112</f>
        <v>0</v>
      </c>
      <c r="M111" s="3579">
        <f ca="1">+'SUMIN -HOJA3'!AC112</f>
        <v>0</v>
      </c>
      <c r="N111" s="3579">
        <f ca="1">+'SUMIN -HOJA3'!AD112</f>
        <v>0</v>
      </c>
      <c r="O111" s="3579">
        <f ca="1">+'SUMIN -HOJA3'!AE112</f>
        <v>0</v>
      </c>
      <c r="P111" s="3577">
        <f t="shared" ca="1" si="6"/>
        <v>0</v>
      </c>
      <c r="Q111" s="3577">
        <f t="shared" ca="1" si="7"/>
        <v>0</v>
      </c>
      <c r="R111" s="3577">
        <f t="shared" ca="1" si="8"/>
        <v>0</v>
      </c>
    </row>
    <row r="112" spans="1:18" ht="26.45" customHeight="1" x14ac:dyDescent="0.35">
      <c r="A112" s="4585" t="str">
        <f>+CONCATENATE(+'SUMIN -HOJA3'!A113,'SUMIN -HOJA3'!B113,"-",'SUMIN -HOJA3'!C113,"-",'SUMIN -HOJA3'!D113,"-",'SUMIN -HOJA3'!E113,"-",'SUMIN -HOJA3'!F113,)</f>
        <v>----</v>
      </c>
      <c r="B112" s="4586"/>
      <c r="C112" s="4586"/>
      <c r="D112" s="4586"/>
      <c r="E112" s="4587"/>
      <c r="F112" s="2725">
        <f>+'SUMIN -HOJA3'!G113</f>
        <v>0</v>
      </c>
      <c r="G112" s="2725" t="str">
        <f>+'SUMIN -HOJA3'!H113</f>
        <v/>
      </c>
      <c r="H112" s="3359" t="str">
        <f>+CONCATENATE('SUMIN -HOJA3'!A113,'SUMIN -HOJA3'!B113)</f>
        <v/>
      </c>
      <c r="I112" s="3039" t="str">
        <f>+CONCATENATE('SUMIN -HOJA3'!I113," (",'SUMIN -HOJA3'!K113,")")</f>
        <v xml:space="preserve"> ()</v>
      </c>
      <c r="J112" s="3579">
        <f ca="1">+'SUMIN -HOJA3'!Z113</f>
        <v>0</v>
      </c>
      <c r="K112" s="3579">
        <f ca="1">+'SUMIN -HOJA3'!AA113</f>
        <v>0</v>
      </c>
      <c r="L112" s="3579">
        <f ca="1">+'SUMIN -HOJA3'!AB113</f>
        <v>0</v>
      </c>
      <c r="M112" s="3579">
        <f ca="1">+'SUMIN -HOJA3'!AC113</f>
        <v>0</v>
      </c>
      <c r="N112" s="3579">
        <f ca="1">+'SUMIN -HOJA3'!AD113</f>
        <v>0</v>
      </c>
      <c r="O112" s="3579">
        <f ca="1">+'SUMIN -HOJA3'!AE113</f>
        <v>0</v>
      </c>
      <c r="P112" s="3577">
        <f t="shared" ca="1" si="6"/>
        <v>0</v>
      </c>
      <c r="Q112" s="3577">
        <f t="shared" ca="1" si="7"/>
        <v>0</v>
      </c>
      <c r="R112" s="3577">
        <f t="shared" ca="1" si="8"/>
        <v>0</v>
      </c>
    </row>
    <row r="113" spans="1:18" ht="26.45" customHeight="1" x14ac:dyDescent="0.35">
      <c r="A113" s="4585" t="str">
        <f>+CONCATENATE(+'SUMIN -HOJA3'!A114,'SUMIN -HOJA3'!B114,"-",'SUMIN -HOJA3'!C114,"-",'SUMIN -HOJA3'!D114,"-",'SUMIN -HOJA3'!E114,"-",'SUMIN -HOJA3'!F114,)</f>
        <v>----</v>
      </c>
      <c r="B113" s="4586"/>
      <c r="C113" s="4586"/>
      <c r="D113" s="4586"/>
      <c r="E113" s="4587"/>
      <c r="F113" s="2725">
        <f>+'SUMIN -HOJA3'!G114</f>
        <v>0</v>
      </c>
      <c r="G113" s="2725" t="str">
        <f>+'SUMIN -HOJA3'!H114</f>
        <v/>
      </c>
      <c r="H113" s="3359" t="str">
        <f>+CONCATENATE('SUMIN -HOJA3'!A114,'SUMIN -HOJA3'!B114)</f>
        <v/>
      </c>
      <c r="I113" s="3039" t="str">
        <f>+CONCATENATE('SUMIN -HOJA3'!I114," (",'SUMIN -HOJA3'!K114,")")</f>
        <v xml:space="preserve"> ()</v>
      </c>
      <c r="J113" s="3579">
        <f ca="1">+'SUMIN -HOJA3'!Z114</f>
        <v>0</v>
      </c>
      <c r="K113" s="3579">
        <f ca="1">+'SUMIN -HOJA3'!AA114</f>
        <v>0</v>
      </c>
      <c r="L113" s="3579">
        <f ca="1">+'SUMIN -HOJA3'!AB114</f>
        <v>0</v>
      </c>
      <c r="M113" s="3579">
        <f ca="1">+'SUMIN -HOJA3'!AC114</f>
        <v>0</v>
      </c>
      <c r="N113" s="3579">
        <f ca="1">+'SUMIN -HOJA3'!AD114</f>
        <v>0</v>
      </c>
      <c r="O113" s="3579">
        <f ca="1">+'SUMIN -HOJA3'!AE114</f>
        <v>0</v>
      </c>
      <c r="P113" s="3577">
        <f t="shared" ca="1" si="6"/>
        <v>0</v>
      </c>
      <c r="Q113" s="3577">
        <f t="shared" ca="1" si="7"/>
        <v>0</v>
      </c>
      <c r="R113" s="3577">
        <f t="shared" ca="1" si="8"/>
        <v>0</v>
      </c>
    </row>
    <row r="114" spans="1:18" ht="26.45" customHeight="1" x14ac:dyDescent="0.35">
      <c r="A114" s="4585" t="str">
        <f>+CONCATENATE(+'SUMIN -HOJA3'!A115,'SUMIN -HOJA3'!B115,"-",'SUMIN -HOJA3'!C115,"-",'SUMIN -HOJA3'!D115,"-",'SUMIN -HOJA3'!E115,"-",'SUMIN -HOJA3'!F115,)</f>
        <v>----</v>
      </c>
      <c r="B114" s="4586"/>
      <c r="C114" s="4586"/>
      <c r="D114" s="4586"/>
      <c r="E114" s="4587"/>
      <c r="F114" s="2725">
        <f>+'SUMIN -HOJA3'!G115</f>
        <v>0</v>
      </c>
      <c r="G114" s="2725" t="str">
        <f>+'SUMIN -HOJA3'!H115</f>
        <v/>
      </c>
      <c r="H114" s="3359" t="str">
        <f>+CONCATENATE('SUMIN -HOJA3'!A115,'SUMIN -HOJA3'!B115)</f>
        <v/>
      </c>
      <c r="I114" s="3039" t="str">
        <f>+CONCATENATE('SUMIN -HOJA3'!I115," (",'SUMIN -HOJA3'!K115,")")</f>
        <v xml:space="preserve"> ()</v>
      </c>
      <c r="J114" s="3579">
        <f ca="1">+'SUMIN -HOJA3'!Z115</f>
        <v>0</v>
      </c>
      <c r="K114" s="3579">
        <f ca="1">+'SUMIN -HOJA3'!AA115</f>
        <v>0</v>
      </c>
      <c r="L114" s="3579">
        <f ca="1">+'SUMIN -HOJA3'!AB115</f>
        <v>0</v>
      </c>
      <c r="M114" s="3579">
        <f ca="1">+'SUMIN -HOJA3'!AC115</f>
        <v>0</v>
      </c>
      <c r="N114" s="3579">
        <f ca="1">+'SUMIN -HOJA3'!AD115</f>
        <v>0</v>
      </c>
      <c r="O114" s="3579">
        <f ca="1">+'SUMIN -HOJA3'!AE115</f>
        <v>0</v>
      </c>
      <c r="P114" s="3577">
        <f t="shared" ca="1" si="6"/>
        <v>0</v>
      </c>
      <c r="Q114" s="3577">
        <f t="shared" ca="1" si="7"/>
        <v>0</v>
      </c>
      <c r="R114" s="3577">
        <f t="shared" ca="1" si="8"/>
        <v>0</v>
      </c>
    </row>
    <row r="115" spans="1:18" ht="26.45" customHeight="1" x14ac:dyDescent="0.35">
      <c r="A115" s="4585" t="str">
        <f>+CONCATENATE(+'SUMIN -HOJA3'!A116,'SUMIN -HOJA3'!B116,"-",'SUMIN -HOJA3'!C116,"-",'SUMIN -HOJA3'!D116,"-",'SUMIN -HOJA3'!E116,"-",'SUMIN -HOJA3'!F116,)</f>
        <v>----</v>
      </c>
      <c r="B115" s="4586"/>
      <c r="C115" s="4586"/>
      <c r="D115" s="4586"/>
      <c r="E115" s="4587"/>
      <c r="F115" s="2725">
        <f>+'SUMIN -HOJA3'!G116</f>
        <v>0</v>
      </c>
      <c r="G115" s="2725" t="str">
        <f>+'SUMIN -HOJA3'!H116</f>
        <v/>
      </c>
      <c r="H115" s="3359" t="str">
        <f>+CONCATENATE('SUMIN -HOJA3'!A116,'SUMIN -HOJA3'!B116)</f>
        <v/>
      </c>
      <c r="I115" s="3039" t="str">
        <f>+CONCATENATE('SUMIN -HOJA3'!I116," (",'SUMIN -HOJA3'!K116,")")</f>
        <v xml:space="preserve"> ()</v>
      </c>
      <c r="J115" s="3579">
        <f ca="1">+'SUMIN -HOJA3'!Z116</f>
        <v>0</v>
      </c>
      <c r="K115" s="3579">
        <f ca="1">+'SUMIN -HOJA3'!AA116</f>
        <v>0</v>
      </c>
      <c r="L115" s="3579">
        <f ca="1">+'SUMIN -HOJA3'!AB116</f>
        <v>0</v>
      </c>
      <c r="M115" s="3579">
        <f ca="1">+'SUMIN -HOJA3'!AC116</f>
        <v>0</v>
      </c>
      <c r="N115" s="3579">
        <f ca="1">+'SUMIN -HOJA3'!AD116</f>
        <v>0</v>
      </c>
      <c r="O115" s="3579">
        <f ca="1">+'SUMIN -HOJA3'!AE116</f>
        <v>0</v>
      </c>
      <c r="P115" s="3577">
        <f t="shared" ca="1" si="6"/>
        <v>0</v>
      </c>
      <c r="Q115" s="3577">
        <f t="shared" ca="1" si="7"/>
        <v>0</v>
      </c>
      <c r="R115" s="3577">
        <f t="shared" ca="1" si="8"/>
        <v>0</v>
      </c>
    </row>
    <row r="116" spans="1:18" ht="26.45" customHeight="1" x14ac:dyDescent="0.35">
      <c r="A116" s="4585" t="str">
        <f>+CONCATENATE(+'SUMIN -HOJA3'!A117,'SUMIN -HOJA3'!B117,"-",'SUMIN -HOJA3'!C117,"-",'SUMIN -HOJA3'!D117,"-",'SUMIN -HOJA3'!E117,"-",'SUMIN -HOJA3'!F117,)</f>
        <v>----</v>
      </c>
      <c r="B116" s="4586"/>
      <c r="C116" s="4586"/>
      <c r="D116" s="4586"/>
      <c r="E116" s="4587"/>
      <c r="F116" s="2725">
        <f>+'SUMIN -HOJA3'!G117</f>
        <v>0</v>
      </c>
      <c r="G116" s="2725" t="str">
        <f>+'SUMIN -HOJA3'!H117</f>
        <v/>
      </c>
      <c r="H116" s="3359" t="str">
        <f>+CONCATENATE('SUMIN -HOJA3'!A117,'SUMIN -HOJA3'!B117)</f>
        <v/>
      </c>
      <c r="I116" s="3039" t="str">
        <f>+CONCATENATE('SUMIN -HOJA3'!I117," (",'SUMIN -HOJA3'!K117,")")</f>
        <v xml:space="preserve"> ()</v>
      </c>
      <c r="J116" s="3579">
        <f ca="1">+'SUMIN -HOJA3'!Z117</f>
        <v>0</v>
      </c>
      <c r="K116" s="3579">
        <f ca="1">+'SUMIN -HOJA3'!AA117</f>
        <v>0</v>
      </c>
      <c r="L116" s="3579">
        <f ca="1">+'SUMIN -HOJA3'!AB117</f>
        <v>0</v>
      </c>
      <c r="M116" s="3579">
        <f ca="1">+'SUMIN -HOJA3'!AC117</f>
        <v>0</v>
      </c>
      <c r="N116" s="3579">
        <f ca="1">+'SUMIN -HOJA3'!AD117</f>
        <v>0</v>
      </c>
      <c r="O116" s="3579">
        <f ca="1">+'SUMIN -HOJA3'!AE117</f>
        <v>0</v>
      </c>
      <c r="P116" s="3577">
        <f t="shared" ca="1" si="6"/>
        <v>0</v>
      </c>
      <c r="Q116" s="3577">
        <f t="shared" ca="1" si="7"/>
        <v>0</v>
      </c>
      <c r="R116" s="3577">
        <f t="shared" ca="1" si="8"/>
        <v>0</v>
      </c>
    </row>
    <row r="117" spans="1:18" ht="26.45" customHeight="1" x14ac:dyDescent="0.35">
      <c r="A117" s="4585" t="str">
        <f>+CONCATENATE(+'SUMIN -HOJA3'!A118,'SUMIN -HOJA3'!B118,"-",'SUMIN -HOJA3'!C118,"-",'SUMIN -HOJA3'!D118,"-",'SUMIN -HOJA3'!E118,"-",'SUMIN -HOJA3'!F118,)</f>
        <v>----</v>
      </c>
      <c r="B117" s="4586"/>
      <c r="C117" s="4586"/>
      <c r="D117" s="4586"/>
      <c r="E117" s="4587"/>
      <c r="F117" s="2725">
        <f>+'SUMIN -HOJA3'!G118</f>
        <v>0</v>
      </c>
      <c r="G117" s="2725" t="str">
        <f>+'SUMIN -HOJA3'!H118</f>
        <v/>
      </c>
      <c r="H117" s="3359" t="str">
        <f>+CONCATENATE('SUMIN -HOJA3'!A118,'SUMIN -HOJA3'!B118)</f>
        <v/>
      </c>
      <c r="I117" s="3039" t="str">
        <f>+CONCATENATE('SUMIN -HOJA3'!I118," (",'SUMIN -HOJA3'!K118,")")</f>
        <v xml:space="preserve"> ()</v>
      </c>
      <c r="J117" s="3579">
        <f ca="1">+'SUMIN -HOJA3'!Z118</f>
        <v>0</v>
      </c>
      <c r="K117" s="3579">
        <f ca="1">+'SUMIN -HOJA3'!AA118</f>
        <v>0</v>
      </c>
      <c r="L117" s="3579">
        <f ca="1">+'SUMIN -HOJA3'!AB118</f>
        <v>0</v>
      </c>
      <c r="M117" s="3579">
        <f ca="1">+'SUMIN -HOJA3'!AC118</f>
        <v>0</v>
      </c>
      <c r="N117" s="3579">
        <f ca="1">+'SUMIN -HOJA3'!AD118</f>
        <v>0</v>
      </c>
      <c r="O117" s="3579">
        <f ca="1">+'SUMIN -HOJA3'!AE118</f>
        <v>0</v>
      </c>
      <c r="P117" s="3577">
        <f t="shared" ca="1" si="6"/>
        <v>0</v>
      </c>
      <c r="Q117" s="3577">
        <f t="shared" ca="1" si="7"/>
        <v>0</v>
      </c>
      <c r="R117" s="3577">
        <f t="shared" ca="1" si="8"/>
        <v>0</v>
      </c>
    </row>
    <row r="118" spans="1:18" ht="26.45" customHeight="1" x14ac:dyDescent="0.35">
      <c r="A118" s="4585" t="str">
        <f>+CONCATENATE(+'SUMIN -HOJA3'!A119,'SUMIN -HOJA3'!B119,"-",'SUMIN -HOJA3'!C119,"-",'SUMIN -HOJA3'!D119,"-",'SUMIN -HOJA3'!E119,"-",'SUMIN -HOJA3'!F119,)</f>
        <v>----</v>
      </c>
      <c r="B118" s="4586"/>
      <c r="C118" s="4586"/>
      <c r="D118" s="4586"/>
      <c r="E118" s="4587"/>
      <c r="F118" s="2725">
        <f>+'SUMIN -HOJA3'!G119</f>
        <v>0</v>
      </c>
      <c r="G118" s="2725" t="str">
        <f>+'SUMIN -HOJA3'!H119</f>
        <v/>
      </c>
      <c r="H118" s="3359" t="str">
        <f>+CONCATENATE('SUMIN -HOJA3'!A119,'SUMIN -HOJA3'!B119)</f>
        <v/>
      </c>
      <c r="I118" s="3039" t="str">
        <f>+CONCATENATE('SUMIN -HOJA3'!I119," (",'SUMIN -HOJA3'!K119,")")</f>
        <v xml:space="preserve"> ()</v>
      </c>
      <c r="J118" s="3579">
        <f ca="1">+'SUMIN -HOJA3'!Z119</f>
        <v>0</v>
      </c>
      <c r="K118" s="3579">
        <f ca="1">+'SUMIN -HOJA3'!AA119</f>
        <v>0</v>
      </c>
      <c r="L118" s="3579">
        <f ca="1">+'SUMIN -HOJA3'!AB119</f>
        <v>0</v>
      </c>
      <c r="M118" s="3579">
        <f ca="1">+'SUMIN -HOJA3'!AC119</f>
        <v>0</v>
      </c>
      <c r="N118" s="3579">
        <f ca="1">+'SUMIN -HOJA3'!AD119</f>
        <v>0</v>
      </c>
      <c r="O118" s="3579">
        <f ca="1">+'SUMIN -HOJA3'!AE119</f>
        <v>0</v>
      </c>
      <c r="P118" s="3577">
        <f t="shared" ca="1" si="6"/>
        <v>0</v>
      </c>
      <c r="Q118" s="3577">
        <f t="shared" ca="1" si="7"/>
        <v>0</v>
      </c>
      <c r="R118" s="3577">
        <f t="shared" ca="1" si="8"/>
        <v>0</v>
      </c>
    </row>
    <row r="119" spans="1:18" ht="26.45" customHeight="1" x14ac:dyDescent="0.35">
      <c r="A119" s="4585" t="str">
        <f>+CONCATENATE(+'SUMIN -HOJA3'!A120,'SUMIN -HOJA3'!B120,"-",'SUMIN -HOJA3'!C120,"-",'SUMIN -HOJA3'!D120,"-",'SUMIN -HOJA3'!E120,"-",'SUMIN -HOJA3'!F120,)</f>
        <v>----</v>
      </c>
      <c r="B119" s="4586"/>
      <c r="C119" s="4586"/>
      <c r="D119" s="4586"/>
      <c r="E119" s="4587"/>
      <c r="F119" s="2725">
        <f>+'SUMIN -HOJA3'!G120</f>
        <v>0</v>
      </c>
      <c r="G119" s="2725" t="str">
        <f>+'SUMIN -HOJA3'!H120</f>
        <v/>
      </c>
      <c r="H119" s="3359" t="str">
        <f>+CONCATENATE('SUMIN -HOJA3'!A120,'SUMIN -HOJA3'!B120)</f>
        <v/>
      </c>
      <c r="I119" s="3039" t="str">
        <f>+CONCATENATE('SUMIN -HOJA3'!I120," (",'SUMIN -HOJA3'!K120,")")</f>
        <v xml:space="preserve"> ()</v>
      </c>
      <c r="J119" s="3579">
        <f ca="1">+'SUMIN -HOJA3'!Z120</f>
        <v>0</v>
      </c>
      <c r="K119" s="3579">
        <f ca="1">+'SUMIN -HOJA3'!AA120</f>
        <v>0</v>
      </c>
      <c r="L119" s="3579">
        <f ca="1">+'SUMIN -HOJA3'!AB120</f>
        <v>0</v>
      </c>
      <c r="M119" s="3579">
        <f ca="1">+'SUMIN -HOJA3'!AC120</f>
        <v>0</v>
      </c>
      <c r="N119" s="3579">
        <f ca="1">+'SUMIN -HOJA3'!AD120</f>
        <v>0</v>
      </c>
      <c r="O119" s="3579">
        <f ca="1">+'SUMIN -HOJA3'!AE120</f>
        <v>0</v>
      </c>
      <c r="P119" s="3577">
        <f t="shared" ca="1" si="6"/>
        <v>0</v>
      </c>
      <c r="Q119" s="3577">
        <f t="shared" ca="1" si="7"/>
        <v>0</v>
      </c>
      <c r="R119" s="3577">
        <f t="shared" ca="1" si="8"/>
        <v>0</v>
      </c>
    </row>
    <row r="120" spans="1:18" ht="26.45" customHeight="1" x14ac:dyDescent="0.35">
      <c r="A120" s="4585" t="str">
        <f>+CONCATENATE(+'SUMIN -HOJA3'!A121,'SUMIN -HOJA3'!B121,"-",'SUMIN -HOJA3'!C121,"-",'SUMIN -HOJA3'!D121,"-",'SUMIN -HOJA3'!E121,"-",'SUMIN -HOJA3'!F121,)</f>
        <v>----</v>
      </c>
      <c r="B120" s="4586"/>
      <c r="C120" s="4586"/>
      <c r="D120" s="4586"/>
      <c r="E120" s="4587"/>
      <c r="F120" s="2725">
        <f>+'SUMIN -HOJA3'!G121</f>
        <v>0</v>
      </c>
      <c r="G120" s="2725" t="str">
        <f>+'SUMIN -HOJA3'!H121</f>
        <v/>
      </c>
      <c r="H120" s="3359" t="str">
        <f>+CONCATENATE('SUMIN -HOJA3'!A121,'SUMIN -HOJA3'!B121)</f>
        <v/>
      </c>
      <c r="I120" s="3039" t="str">
        <f>+CONCATENATE('SUMIN -HOJA3'!I121," (",'SUMIN -HOJA3'!K121,")")</f>
        <v xml:space="preserve"> ()</v>
      </c>
      <c r="J120" s="3579">
        <f ca="1">+'SUMIN -HOJA3'!Z121</f>
        <v>0</v>
      </c>
      <c r="K120" s="3579">
        <f ca="1">+'SUMIN -HOJA3'!AA121</f>
        <v>0</v>
      </c>
      <c r="L120" s="3579">
        <f ca="1">+'SUMIN -HOJA3'!AB121</f>
        <v>0</v>
      </c>
      <c r="M120" s="3579">
        <f ca="1">+'SUMIN -HOJA3'!AC121</f>
        <v>0</v>
      </c>
      <c r="N120" s="3579">
        <f ca="1">+'SUMIN -HOJA3'!AD121</f>
        <v>0</v>
      </c>
      <c r="O120" s="3579">
        <f ca="1">+'SUMIN -HOJA3'!AE121</f>
        <v>0</v>
      </c>
      <c r="P120" s="3577">
        <f t="shared" ca="1" si="6"/>
        <v>0</v>
      </c>
      <c r="Q120" s="3577">
        <f t="shared" ca="1" si="7"/>
        <v>0</v>
      </c>
      <c r="R120" s="3577">
        <f t="shared" ca="1" si="8"/>
        <v>0</v>
      </c>
    </row>
    <row r="121" spans="1:18" ht="26.45" customHeight="1" x14ac:dyDescent="0.35">
      <c r="A121" s="4585" t="str">
        <f>+CONCATENATE(+'SUMIN -HOJA3'!A122,'SUMIN -HOJA3'!B122,"-",'SUMIN -HOJA3'!C122,"-",'SUMIN -HOJA3'!D122,"-",'SUMIN -HOJA3'!E122,"-",'SUMIN -HOJA3'!F122,)</f>
        <v>----</v>
      </c>
      <c r="B121" s="4586"/>
      <c r="C121" s="4586"/>
      <c r="D121" s="4586"/>
      <c r="E121" s="4587"/>
      <c r="F121" s="2725">
        <f>+'SUMIN -HOJA3'!G122</f>
        <v>0</v>
      </c>
      <c r="G121" s="2725" t="str">
        <f>+'SUMIN -HOJA3'!H122</f>
        <v/>
      </c>
      <c r="H121" s="3359" t="str">
        <f>+CONCATENATE('SUMIN -HOJA3'!A122,'SUMIN -HOJA3'!B122)</f>
        <v/>
      </c>
      <c r="I121" s="3039" t="str">
        <f>+CONCATENATE('SUMIN -HOJA3'!I122," (",'SUMIN -HOJA3'!K122,")")</f>
        <v xml:space="preserve"> ()</v>
      </c>
      <c r="J121" s="3579">
        <f ca="1">+'SUMIN -HOJA3'!Z122</f>
        <v>0</v>
      </c>
      <c r="K121" s="3579">
        <f ca="1">+'SUMIN -HOJA3'!AA122</f>
        <v>0</v>
      </c>
      <c r="L121" s="3579">
        <f ca="1">+'SUMIN -HOJA3'!AB122</f>
        <v>0</v>
      </c>
      <c r="M121" s="3579">
        <f ca="1">+'SUMIN -HOJA3'!AC122</f>
        <v>0</v>
      </c>
      <c r="N121" s="3579">
        <f ca="1">+'SUMIN -HOJA3'!AD122</f>
        <v>0</v>
      </c>
      <c r="O121" s="3579">
        <f ca="1">+'SUMIN -HOJA3'!AE122</f>
        <v>0</v>
      </c>
      <c r="P121" s="3577">
        <f t="shared" ca="1" si="6"/>
        <v>0</v>
      </c>
      <c r="Q121" s="3577">
        <f t="shared" ca="1" si="7"/>
        <v>0</v>
      </c>
      <c r="R121" s="3577">
        <f t="shared" ca="1" si="8"/>
        <v>0</v>
      </c>
    </row>
    <row r="122" spans="1:18" ht="26.45" customHeight="1" x14ac:dyDescent="0.35">
      <c r="A122" s="4585" t="str">
        <f>+CONCATENATE(+'SUMIN -HOJA3'!A123,'SUMIN -HOJA3'!B123,"-",'SUMIN -HOJA3'!C123,"-",'SUMIN -HOJA3'!D123,"-",'SUMIN -HOJA3'!E123,"-",'SUMIN -HOJA3'!F123,)</f>
        <v>----</v>
      </c>
      <c r="B122" s="4586"/>
      <c r="C122" s="4586"/>
      <c r="D122" s="4586"/>
      <c r="E122" s="4587"/>
      <c r="F122" s="2725">
        <f>+'SUMIN -HOJA3'!G123</f>
        <v>0</v>
      </c>
      <c r="G122" s="2725" t="str">
        <f>+'SUMIN -HOJA3'!H123</f>
        <v/>
      </c>
      <c r="H122" s="3359" t="str">
        <f>+CONCATENATE('SUMIN -HOJA3'!A123,'SUMIN -HOJA3'!B123)</f>
        <v/>
      </c>
      <c r="I122" s="3039" t="str">
        <f>+CONCATENATE('SUMIN -HOJA3'!I123," (",'SUMIN -HOJA3'!K123,")")</f>
        <v xml:space="preserve"> ()</v>
      </c>
      <c r="J122" s="3579">
        <f ca="1">+'SUMIN -HOJA3'!Z123</f>
        <v>0</v>
      </c>
      <c r="K122" s="3579">
        <f ca="1">+'SUMIN -HOJA3'!AA123</f>
        <v>0</v>
      </c>
      <c r="L122" s="3579">
        <f ca="1">+'SUMIN -HOJA3'!AB123</f>
        <v>0</v>
      </c>
      <c r="M122" s="3579">
        <f ca="1">+'SUMIN -HOJA3'!AC123</f>
        <v>0</v>
      </c>
      <c r="N122" s="3579">
        <f ca="1">+'SUMIN -HOJA3'!AD123</f>
        <v>0</v>
      </c>
      <c r="O122" s="3579">
        <f ca="1">+'SUMIN -HOJA3'!AE123</f>
        <v>0</v>
      </c>
      <c r="P122" s="3577">
        <f t="shared" ca="1" si="6"/>
        <v>0</v>
      </c>
      <c r="Q122" s="3577">
        <f t="shared" ca="1" si="7"/>
        <v>0</v>
      </c>
      <c r="R122" s="3577">
        <f t="shared" ca="1" si="8"/>
        <v>0</v>
      </c>
    </row>
    <row r="123" spans="1:18" ht="26.45" customHeight="1" x14ac:dyDescent="0.35">
      <c r="A123" s="4585" t="str">
        <f>+CONCATENATE(+'SUMIN -HOJA3'!A124,'SUMIN -HOJA3'!B124,"-",'SUMIN -HOJA3'!C124,"-",'SUMIN -HOJA3'!D124,"-",'SUMIN -HOJA3'!E124,"-",'SUMIN -HOJA3'!F124,)</f>
        <v>----</v>
      </c>
      <c r="B123" s="4586"/>
      <c r="C123" s="4586"/>
      <c r="D123" s="4586"/>
      <c r="E123" s="4587"/>
      <c r="F123" s="2725">
        <f>+'SUMIN -HOJA3'!G124</f>
        <v>0</v>
      </c>
      <c r="G123" s="2725" t="str">
        <f>+'SUMIN -HOJA3'!H124</f>
        <v/>
      </c>
      <c r="H123" s="3359" t="str">
        <f>+CONCATENATE('SUMIN -HOJA3'!A124,'SUMIN -HOJA3'!B124)</f>
        <v/>
      </c>
      <c r="I123" s="3039" t="str">
        <f>+CONCATENATE('SUMIN -HOJA3'!I124," (",'SUMIN -HOJA3'!K124,")")</f>
        <v xml:space="preserve"> ()</v>
      </c>
      <c r="J123" s="3579">
        <f ca="1">+'SUMIN -HOJA3'!Z124</f>
        <v>0</v>
      </c>
      <c r="K123" s="3579">
        <f ca="1">+'SUMIN -HOJA3'!AA124</f>
        <v>0</v>
      </c>
      <c r="L123" s="3579">
        <f ca="1">+'SUMIN -HOJA3'!AB124</f>
        <v>0</v>
      </c>
      <c r="M123" s="3579">
        <f ca="1">+'SUMIN -HOJA3'!AC124</f>
        <v>0</v>
      </c>
      <c r="N123" s="3579">
        <f ca="1">+'SUMIN -HOJA3'!AD124</f>
        <v>0</v>
      </c>
      <c r="O123" s="3579">
        <f ca="1">+'SUMIN -HOJA3'!AE124</f>
        <v>0</v>
      </c>
      <c r="P123" s="3577">
        <f t="shared" ca="1" si="6"/>
        <v>0</v>
      </c>
      <c r="Q123" s="3577">
        <f t="shared" ca="1" si="7"/>
        <v>0</v>
      </c>
      <c r="R123" s="3577">
        <f t="shared" ca="1" si="8"/>
        <v>0</v>
      </c>
    </row>
    <row r="124" spans="1:18" ht="26.45" customHeight="1" x14ac:dyDescent="0.35">
      <c r="A124" s="4585" t="str">
        <f>+CONCATENATE(+'SUMIN -HOJA3'!A125,'SUMIN -HOJA3'!B125,"-",'SUMIN -HOJA3'!C125,"-",'SUMIN -HOJA3'!D125,"-",'SUMIN -HOJA3'!E125,"-",'SUMIN -HOJA3'!F125,)</f>
        <v>----</v>
      </c>
      <c r="B124" s="4586"/>
      <c r="C124" s="4586"/>
      <c r="D124" s="4586"/>
      <c r="E124" s="4587"/>
      <c r="F124" s="2725">
        <f>+'SUMIN -HOJA3'!G125</f>
        <v>0</v>
      </c>
      <c r="G124" s="2725" t="str">
        <f>+'SUMIN -HOJA3'!H125</f>
        <v/>
      </c>
      <c r="H124" s="3359" t="str">
        <f>+CONCATENATE('SUMIN -HOJA3'!A125,'SUMIN -HOJA3'!B125)</f>
        <v/>
      </c>
      <c r="I124" s="3039" t="str">
        <f>+CONCATENATE('SUMIN -HOJA3'!I125," (",'SUMIN -HOJA3'!K125,")")</f>
        <v xml:space="preserve"> ()</v>
      </c>
      <c r="J124" s="3579">
        <f ca="1">+'SUMIN -HOJA3'!Z125</f>
        <v>0</v>
      </c>
      <c r="K124" s="3579">
        <f ca="1">+'SUMIN -HOJA3'!AA125</f>
        <v>0</v>
      </c>
      <c r="L124" s="3579">
        <f ca="1">+'SUMIN -HOJA3'!AB125</f>
        <v>0</v>
      </c>
      <c r="M124" s="3579">
        <f ca="1">+'SUMIN -HOJA3'!AC125</f>
        <v>0</v>
      </c>
      <c r="N124" s="3579">
        <f ca="1">+'SUMIN -HOJA3'!AD125</f>
        <v>0</v>
      </c>
      <c r="O124" s="3579">
        <f ca="1">+'SUMIN -HOJA3'!AE125</f>
        <v>0</v>
      </c>
      <c r="P124" s="3577">
        <f t="shared" ca="1" si="6"/>
        <v>0</v>
      </c>
      <c r="Q124" s="3577">
        <f t="shared" ca="1" si="7"/>
        <v>0</v>
      </c>
      <c r="R124" s="3577">
        <f t="shared" ca="1" si="8"/>
        <v>0</v>
      </c>
    </row>
    <row r="125" spans="1:18" ht="26.45" customHeight="1" x14ac:dyDescent="0.35">
      <c r="A125" s="4585" t="str">
        <f>+CONCATENATE(+'SUMIN -HOJA3'!A126,'SUMIN -HOJA3'!B126,"-",'SUMIN -HOJA3'!C126,"-",'SUMIN -HOJA3'!D126,"-",'SUMIN -HOJA3'!E126,"-",'SUMIN -HOJA3'!F126,)</f>
        <v>----</v>
      </c>
      <c r="B125" s="4586"/>
      <c r="C125" s="4586"/>
      <c r="D125" s="4586"/>
      <c r="E125" s="4587"/>
      <c r="F125" s="2725">
        <f>+'SUMIN -HOJA3'!G126</f>
        <v>0</v>
      </c>
      <c r="G125" s="2725" t="str">
        <f>+'SUMIN -HOJA3'!H126</f>
        <v/>
      </c>
      <c r="H125" s="3359" t="str">
        <f>+CONCATENATE('SUMIN -HOJA3'!A126,'SUMIN -HOJA3'!B126)</f>
        <v/>
      </c>
      <c r="I125" s="3039" t="str">
        <f>+CONCATENATE('SUMIN -HOJA3'!I126," (",'SUMIN -HOJA3'!K126,")")</f>
        <v xml:space="preserve"> ()</v>
      </c>
      <c r="J125" s="3579">
        <f ca="1">+'SUMIN -HOJA3'!Z126</f>
        <v>0</v>
      </c>
      <c r="K125" s="3579">
        <f ca="1">+'SUMIN -HOJA3'!AA126</f>
        <v>0</v>
      </c>
      <c r="L125" s="3579">
        <f ca="1">+'SUMIN -HOJA3'!AB126</f>
        <v>0</v>
      </c>
      <c r="M125" s="3579">
        <f ca="1">+'SUMIN -HOJA3'!AC126</f>
        <v>0</v>
      </c>
      <c r="N125" s="3579">
        <f ca="1">+'SUMIN -HOJA3'!AD126</f>
        <v>0</v>
      </c>
      <c r="O125" s="3579">
        <f ca="1">+'SUMIN -HOJA3'!AE126</f>
        <v>0</v>
      </c>
      <c r="P125" s="3577">
        <f t="shared" ca="1" si="6"/>
        <v>0</v>
      </c>
      <c r="Q125" s="3577">
        <f t="shared" ca="1" si="7"/>
        <v>0</v>
      </c>
      <c r="R125" s="3577">
        <f t="shared" ca="1" si="8"/>
        <v>0</v>
      </c>
    </row>
    <row r="126" spans="1:18" ht="26.45" customHeight="1" x14ac:dyDescent="0.35">
      <c r="A126" s="4585" t="str">
        <f>+CONCATENATE(+'SUMIN -HOJA3'!A127,'SUMIN -HOJA3'!B127,"-",'SUMIN -HOJA3'!C127,"-",'SUMIN -HOJA3'!D127,"-",'SUMIN -HOJA3'!E127,"-",'SUMIN -HOJA3'!F127,)</f>
        <v>----</v>
      </c>
      <c r="B126" s="4586"/>
      <c r="C126" s="4586"/>
      <c r="D126" s="4586"/>
      <c r="E126" s="4587"/>
      <c r="F126" s="2725">
        <f>+'SUMIN -HOJA3'!G127</f>
        <v>0</v>
      </c>
      <c r="G126" s="2725" t="str">
        <f>+'SUMIN -HOJA3'!H127</f>
        <v/>
      </c>
      <c r="H126" s="3359" t="str">
        <f>+CONCATENATE('SUMIN -HOJA3'!A127,'SUMIN -HOJA3'!B127)</f>
        <v/>
      </c>
      <c r="I126" s="3039" t="str">
        <f>+CONCATENATE('SUMIN -HOJA3'!I127," (",'SUMIN -HOJA3'!K127,")")</f>
        <v xml:space="preserve"> ()</v>
      </c>
      <c r="J126" s="3579">
        <f ca="1">+'SUMIN -HOJA3'!Z127</f>
        <v>0</v>
      </c>
      <c r="K126" s="3579">
        <f ca="1">+'SUMIN -HOJA3'!AA127</f>
        <v>0</v>
      </c>
      <c r="L126" s="3579">
        <f ca="1">+'SUMIN -HOJA3'!AB127</f>
        <v>0</v>
      </c>
      <c r="M126" s="3579">
        <f ca="1">+'SUMIN -HOJA3'!AC127</f>
        <v>0</v>
      </c>
      <c r="N126" s="3579">
        <f ca="1">+'SUMIN -HOJA3'!AD127</f>
        <v>0</v>
      </c>
      <c r="O126" s="3579">
        <f ca="1">+'SUMIN -HOJA3'!AE127</f>
        <v>0</v>
      </c>
      <c r="P126" s="3577">
        <f t="shared" ca="1" si="6"/>
        <v>0</v>
      </c>
      <c r="Q126" s="3577">
        <f t="shared" ca="1" si="7"/>
        <v>0</v>
      </c>
      <c r="R126" s="3577">
        <f t="shared" ca="1" si="8"/>
        <v>0</v>
      </c>
    </row>
    <row r="127" spans="1:18" ht="26.45" customHeight="1" x14ac:dyDescent="0.35">
      <c r="A127" s="4585" t="str">
        <f>+CONCATENATE(+'SUMIN -HOJA3'!A128,'SUMIN -HOJA3'!B128,"-",'SUMIN -HOJA3'!C128,"-",'SUMIN -HOJA3'!D128,"-",'SUMIN -HOJA3'!E128,"-",'SUMIN -HOJA3'!F128,)</f>
        <v>----</v>
      </c>
      <c r="B127" s="4586"/>
      <c r="C127" s="4586"/>
      <c r="D127" s="4586"/>
      <c r="E127" s="4587"/>
      <c r="F127" s="2725">
        <f>+'SUMIN -HOJA3'!G128</f>
        <v>0</v>
      </c>
      <c r="G127" s="2725" t="str">
        <f>+'SUMIN -HOJA3'!H128</f>
        <v/>
      </c>
      <c r="H127" s="3359" t="str">
        <f>+CONCATENATE('SUMIN -HOJA3'!A128,'SUMIN -HOJA3'!B128)</f>
        <v/>
      </c>
      <c r="I127" s="3039" t="str">
        <f>+CONCATENATE('SUMIN -HOJA3'!I128," (",'SUMIN -HOJA3'!K128,")")</f>
        <v xml:space="preserve"> ()</v>
      </c>
      <c r="J127" s="3579">
        <f ca="1">+'SUMIN -HOJA3'!Z128</f>
        <v>0</v>
      </c>
      <c r="K127" s="3579">
        <f ca="1">+'SUMIN -HOJA3'!AA128</f>
        <v>0</v>
      </c>
      <c r="L127" s="3579">
        <f ca="1">+'SUMIN -HOJA3'!AB128</f>
        <v>0</v>
      </c>
      <c r="M127" s="3579">
        <f ca="1">+'SUMIN -HOJA3'!AC128</f>
        <v>0</v>
      </c>
      <c r="N127" s="3579">
        <f ca="1">+'SUMIN -HOJA3'!AD128</f>
        <v>0</v>
      </c>
      <c r="O127" s="3579">
        <f ca="1">+'SUMIN -HOJA3'!AE128</f>
        <v>0</v>
      </c>
      <c r="P127" s="3577">
        <f t="shared" ca="1" si="6"/>
        <v>0</v>
      </c>
      <c r="Q127" s="3577">
        <f t="shared" ca="1" si="7"/>
        <v>0</v>
      </c>
      <c r="R127" s="3577">
        <f t="shared" ca="1" si="8"/>
        <v>0</v>
      </c>
    </row>
    <row r="128" spans="1:18" ht="26.45" customHeight="1" x14ac:dyDescent="0.35">
      <c r="A128" s="4585" t="str">
        <f>+CONCATENATE(+'SUMIN -HOJA3'!A129,'SUMIN -HOJA3'!B129,"-",'SUMIN -HOJA3'!C129,"-",'SUMIN -HOJA3'!D129,"-",'SUMIN -HOJA3'!E129,"-",'SUMIN -HOJA3'!F129,)</f>
        <v>----</v>
      </c>
      <c r="B128" s="4586"/>
      <c r="C128" s="4586"/>
      <c r="D128" s="4586"/>
      <c r="E128" s="4587"/>
      <c r="F128" s="2725">
        <f>+'SUMIN -HOJA3'!G129</f>
        <v>0</v>
      </c>
      <c r="G128" s="2725" t="str">
        <f>+'SUMIN -HOJA3'!H129</f>
        <v/>
      </c>
      <c r="H128" s="3359" t="str">
        <f>+CONCATENATE('SUMIN -HOJA3'!A129,'SUMIN -HOJA3'!B129)</f>
        <v/>
      </c>
      <c r="I128" s="3039" t="str">
        <f>+CONCATENATE('SUMIN -HOJA3'!I129," (",'SUMIN -HOJA3'!K129,")")</f>
        <v xml:space="preserve"> ()</v>
      </c>
      <c r="J128" s="3579">
        <f ca="1">+'SUMIN -HOJA3'!Z129</f>
        <v>0</v>
      </c>
      <c r="K128" s="3579">
        <f ca="1">+'SUMIN -HOJA3'!AA129</f>
        <v>0</v>
      </c>
      <c r="L128" s="3579">
        <f ca="1">+'SUMIN -HOJA3'!AB129</f>
        <v>0</v>
      </c>
      <c r="M128" s="3579">
        <f ca="1">+'SUMIN -HOJA3'!AC129</f>
        <v>0</v>
      </c>
      <c r="N128" s="3579">
        <f ca="1">+'SUMIN -HOJA3'!AD129</f>
        <v>0</v>
      </c>
      <c r="O128" s="3579">
        <f ca="1">+'SUMIN -HOJA3'!AE129</f>
        <v>0</v>
      </c>
      <c r="P128" s="3577">
        <f t="shared" ca="1" si="6"/>
        <v>0</v>
      </c>
      <c r="Q128" s="3577">
        <f t="shared" ca="1" si="7"/>
        <v>0</v>
      </c>
      <c r="R128" s="3577">
        <f t="shared" ca="1" si="8"/>
        <v>0</v>
      </c>
    </row>
    <row r="129" spans="1:18" ht="26.45" customHeight="1" x14ac:dyDescent="0.35">
      <c r="A129" s="4585" t="str">
        <f>+CONCATENATE(+'SUMIN -HOJA3'!A130,'SUMIN -HOJA3'!B130,"-",'SUMIN -HOJA3'!C130,"-",'SUMIN -HOJA3'!D130,"-",'SUMIN -HOJA3'!E130,"-",'SUMIN -HOJA3'!F130,)</f>
        <v>----</v>
      </c>
      <c r="B129" s="4586"/>
      <c r="C129" s="4586"/>
      <c r="D129" s="4586"/>
      <c r="E129" s="4587"/>
      <c r="F129" s="2725">
        <f>+'SUMIN -HOJA3'!G130</f>
        <v>0</v>
      </c>
      <c r="G129" s="2725" t="str">
        <f>+'SUMIN -HOJA3'!H130</f>
        <v/>
      </c>
      <c r="H129" s="3359" t="str">
        <f>+CONCATENATE('SUMIN -HOJA3'!A130,'SUMIN -HOJA3'!B130)</f>
        <v/>
      </c>
      <c r="I129" s="3039" t="str">
        <f>+CONCATENATE('SUMIN -HOJA3'!I130," (",'SUMIN -HOJA3'!K130,")")</f>
        <v xml:space="preserve"> ()</v>
      </c>
      <c r="J129" s="3579">
        <f ca="1">+'SUMIN -HOJA3'!Z130</f>
        <v>0</v>
      </c>
      <c r="K129" s="3579">
        <f ca="1">+'SUMIN -HOJA3'!AA130</f>
        <v>0</v>
      </c>
      <c r="L129" s="3579">
        <f ca="1">+'SUMIN -HOJA3'!AB130</f>
        <v>0</v>
      </c>
      <c r="M129" s="3579">
        <f ca="1">+'SUMIN -HOJA3'!AC130</f>
        <v>0</v>
      </c>
      <c r="N129" s="3579">
        <f ca="1">+'SUMIN -HOJA3'!AD130</f>
        <v>0</v>
      </c>
      <c r="O129" s="3579">
        <f ca="1">+'SUMIN -HOJA3'!AE130</f>
        <v>0</v>
      </c>
      <c r="P129" s="3577">
        <f t="shared" ca="1" si="6"/>
        <v>0</v>
      </c>
      <c r="Q129" s="3577">
        <f t="shared" ca="1" si="7"/>
        <v>0</v>
      </c>
      <c r="R129" s="3577">
        <f t="shared" ca="1" si="8"/>
        <v>0</v>
      </c>
    </row>
    <row r="130" spans="1:18" ht="26.45" customHeight="1" x14ac:dyDescent="0.35">
      <c r="A130" s="4585" t="str">
        <f>+CONCATENATE(+'SUMIN -HOJA3'!A131,'SUMIN -HOJA3'!B131,"-",'SUMIN -HOJA3'!C131,"-",'SUMIN -HOJA3'!D131,"-",'SUMIN -HOJA3'!E131,"-",'SUMIN -HOJA3'!F131,)</f>
        <v>----</v>
      </c>
      <c r="B130" s="4586"/>
      <c r="C130" s="4586"/>
      <c r="D130" s="4586"/>
      <c r="E130" s="4587"/>
      <c r="F130" s="2725">
        <f>+'SUMIN -HOJA3'!G131</f>
        <v>0</v>
      </c>
      <c r="G130" s="2725" t="str">
        <f>+'SUMIN -HOJA3'!H131</f>
        <v/>
      </c>
      <c r="H130" s="3359" t="str">
        <f>+CONCATENATE('SUMIN -HOJA3'!A131,'SUMIN -HOJA3'!B131)</f>
        <v/>
      </c>
      <c r="I130" s="3039" t="str">
        <f>+CONCATENATE('SUMIN -HOJA3'!I131," (",'SUMIN -HOJA3'!K131,")")</f>
        <v xml:space="preserve"> ()</v>
      </c>
      <c r="J130" s="3579">
        <f ca="1">+'SUMIN -HOJA3'!Z131</f>
        <v>0</v>
      </c>
      <c r="K130" s="3579">
        <f ca="1">+'SUMIN -HOJA3'!AA131</f>
        <v>0</v>
      </c>
      <c r="L130" s="3579">
        <f ca="1">+'SUMIN -HOJA3'!AB131</f>
        <v>0</v>
      </c>
      <c r="M130" s="3579">
        <f ca="1">+'SUMIN -HOJA3'!AC131</f>
        <v>0</v>
      </c>
      <c r="N130" s="3579">
        <f ca="1">+'SUMIN -HOJA3'!AD131</f>
        <v>0</v>
      </c>
      <c r="O130" s="3579">
        <f ca="1">+'SUMIN -HOJA3'!AE131</f>
        <v>0</v>
      </c>
      <c r="P130" s="3577">
        <f t="shared" ca="1" si="6"/>
        <v>0</v>
      </c>
      <c r="Q130" s="3577">
        <f t="shared" ca="1" si="7"/>
        <v>0</v>
      </c>
      <c r="R130" s="3577">
        <f t="shared" ca="1" si="8"/>
        <v>0</v>
      </c>
    </row>
    <row r="131" spans="1:18" ht="26.45" customHeight="1" x14ac:dyDescent="0.35">
      <c r="A131" s="4585" t="str">
        <f>+CONCATENATE(+'SUMIN -HOJA3'!A132,'SUMIN -HOJA3'!B132,"-",'SUMIN -HOJA3'!C132,"-",'SUMIN -HOJA3'!D132,"-",'SUMIN -HOJA3'!E132,"-",'SUMIN -HOJA3'!F132,)</f>
        <v>----</v>
      </c>
      <c r="B131" s="4586"/>
      <c r="C131" s="4586"/>
      <c r="D131" s="4586"/>
      <c r="E131" s="4587"/>
      <c r="F131" s="2725">
        <f>+'SUMIN -HOJA3'!G132</f>
        <v>0</v>
      </c>
      <c r="G131" s="2725" t="str">
        <f>+'SUMIN -HOJA3'!H132</f>
        <v/>
      </c>
      <c r="H131" s="3359" t="str">
        <f>+CONCATENATE('SUMIN -HOJA3'!A132,'SUMIN -HOJA3'!B132)</f>
        <v/>
      </c>
      <c r="I131" s="3039" t="str">
        <f>+CONCATENATE('SUMIN -HOJA3'!I132," (",'SUMIN -HOJA3'!K132,")")</f>
        <v xml:space="preserve"> ()</v>
      </c>
      <c r="J131" s="3579">
        <f ca="1">+'SUMIN -HOJA3'!Z132</f>
        <v>0</v>
      </c>
      <c r="K131" s="3579">
        <f ca="1">+'SUMIN -HOJA3'!AA132</f>
        <v>0</v>
      </c>
      <c r="L131" s="3579">
        <f ca="1">+'SUMIN -HOJA3'!AB132</f>
        <v>0</v>
      </c>
      <c r="M131" s="3579">
        <f ca="1">+'SUMIN -HOJA3'!AC132</f>
        <v>0</v>
      </c>
      <c r="N131" s="3579">
        <f ca="1">+'SUMIN -HOJA3'!AD132</f>
        <v>0</v>
      </c>
      <c r="O131" s="3579">
        <f ca="1">+'SUMIN -HOJA3'!AE132</f>
        <v>0</v>
      </c>
      <c r="P131" s="3577">
        <f t="shared" ca="1" si="6"/>
        <v>0</v>
      </c>
      <c r="Q131" s="3577">
        <f t="shared" ca="1" si="7"/>
        <v>0</v>
      </c>
      <c r="R131" s="3577">
        <f t="shared" ca="1" si="8"/>
        <v>0</v>
      </c>
    </row>
    <row r="132" spans="1:18" ht="23.25" x14ac:dyDescent="0.35">
      <c r="J132" s="3040">
        <f ca="1">SUM(J22:J131)</f>
        <v>0</v>
      </c>
      <c r="K132" s="3040">
        <f t="shared" ref="K132:R132" ca="1" si="9">SUM(K22:K131)</f>
        <v>0</v>
      </c>
      <c r="L132" s="3040">
        <f t="shared" ca="1" si="9"/>
        <v>0</v>
      </c>
      <c r="M132" s="3040">
        <f t="shared" ca="1" si="9"/>
        <v>0</v>
      </c>
      <c r="N132" s="3040">
        <f t="shared" ca="1" si="9"/>
        <v>0</v>
      </c>
      <c r="O132" s="3040">
        <f t="shared" ca="1" si="9"/>
        <v>0</v>
      </c>
      <c r="P132" s="3040">
        <f t="shared" ca="1" si="9"/>
        <v>0</v>
      </c>
      <c r="Q132" s="3040">
        <f t="shared" ca="1" si="9"/>
        <v>0</v>
      </c>
      <c r="R132" s="3040">
        <f t="shared" ca="1" si="9"/>
        <v>0</v>
      </c>
    </row>
    <row r="133" spans="1:18" hidden="1" x14ac:dyDescent="0.25"/>
    <row r="134" spans="1:18" ht="15.75" hidden="1" thickBot="1" x14ac:dyDescent="0.3"/>
    <row r="135" spans="1:18" hidden="1" x14ac:dyDescent="0.25">
      <c r="F135" s="3186"/>
      <c r="G135" s="3142"/>
      <c r="H135" s="3142"/>
      <c r="I135" s="3142"/>
      <c r="J135" s="4167" t="s">
        <v>304</v>
      </c>
      <c r="K135" s="4168"/>
      <c r="L135" s="4168"/>
      <c r="M135" s="4167" t="s">
        <v>305</v>
      </c>
      <c r="N135" s="4168"/>
      <c r="O135" s="4168"/>
      <c r="P135" s="4167" t="s">
        <v>318</v>
      </c>
      <c r="Q135" s="4168"/>
      <c r="R135" s="4169"/>
    </row>
    <row r="136" spans="1:18" ht="15.75" hidden="1" x14ac:dyDescent="0.25">
      <c r="F136" s="3187"/>
      <c r="G136" s="488"/>
      <c r="H136" s="488"/>
      <c r="I136" s="488"/>
      <c r="J136" s="2723" t="s">
        <v>287</v>
      </c>
      <c r="K136" s="2723" t="s">
        <v>289</v>
      </c>
      <c r="L136" s="2723" t="s">
        <v>288</v>
      </c>
      <c r="M136" s="2723" t="s">
        <v>287</v>
      </c>
      <c r="N136" s="2723" t="s">
        <v>289</v>
      </c>
      <c r="O136" s="2723" t="s">
        <v>288</v>
      </c>
      <c r="P136" s="2723" t="s">
        <v>287</v>
      </c>
      <c r="Q136" s="2723" t="s">
        <v>289</v>
      </c>
      <c r="R136" s="3580" t="s">
        <v>288</v>
      </c>
    </row>
    <row r="137" spans="1:18" hidden="1" x14ac:dyDescent="0.25">
      <c r="F137" s="3187" t="s">
        <v>321</v>
      </c>
      <c r="G137" s="3130" t="s">
        <v>25</v>
      </c>
      <c r="H137" s="3130"/>
      <c r="I137" s="3130" t="s">
        <v>26</v>
      </c>
      <c r="J137" s="488"/>
      <c r="K137" s="488"/>
      <c r="L137" s="488"/>
      <c r="M137" s="488"/>
      <c r="N137" s="488"/>
      <c r="O137" s="488"/>
      <c r="P137" s="488"/>
      <c r="Q137" s="488"/>
      <c r="R137" s="3195"/>
    </row>
    <row r="138" spans="1:18" hidden="1" x14ac:dyDescent="0.25">
      <c r="F138" s="3188" t="str">
        <f>+'SUMIN -HOJA3'!R138</f>
        <v>Residencial (UR1)</v>
      </c>
      <c r="G138" s="2696">
        <f ca="1">+'SUMIN -HOJA3'!X138</f>
        <v>0</v>
      </c>
      <c r="H138" s="2696"/>
      <c r="I138" s="2696">
        <f>+'SUMIN -HOJA3'!Y138</f>
        <v>0</v>
      </c>
      <c r="J138" s="488">
        <f ca="1">+'SUMIN -HOJA3'!Z138</f>
        <v>0</v>
      </c>
      <c r="K138" s="488">
        <f ca="1">+'SUMIN -HOJA3'!AA138</f>
        <v>0</v>
      </c>
      <c r="L138" s="488">
        <f ca="1">+'SUMIN -HOJA3'!AB138</f>
        <v>0</v>
      </c>
      <c r="M138" s="488">
        <f ca="1">+'SUMIN -HOJA3'!AC138</f>
        <v>0</v>
      </c>
      <c r="N138" s="488">
        <f ca="1">+'SUMIN -HOJA3'!AD138</f>
        <v>0</v>
      </c>
      <c r="O138" s="488">
        <f ca="1">+'SUMIN -HOJA3'!AE138</f>
        <v>0</v>
      </c>
      <c r="P138" s="488">
        <f ca="1">+'SUMIN -HOJA3'!AF138</f>
        <v>0</v>
      </c>
      <c r="Q138" s="488">
        <f ca="1">+'SUMIN -HOJA3'!AG138</f>
        <v>0</v>
      </c>
      <c r="R138" s="488">
        <f ca="1">+'SUMIN -HOJA3'!AH138</f>
        <v>0</v>
      </c>
    </row>
    <row r="139" spans="1:18" hidden="1" x14ac:dyDescent="0.25">
      <c r="F139" s="3188" t="str">
        <f>+'SUMIN -HOJA3'!R139</f>
        <v>Residencial (UR2)</v>
      </c>
      <c r="G139" s="2696">
        <f ca="1">+'SUMIN -HOJA3'!X139</f>
        <v>0</v>
      </c>
      <c r="H139" s="2696"/>
      <c r="I139" s="2696">
        <f>+'SUMIN -HOJA3'!Y139</f>
        <v>0</v>
      </c>
      <c r="J139" s="488">
        <f ca="1">+'SUMIN -HOJA3'!Z139</f>
        <v>0</v>
      </c>
      <c r="K139" s="488">
        <f ca="1">+'SUMIN -HOJA3'!AA139</f>
        <v>0</v>
      </c>
      <c r="L139" s="488">
        <f ca="1">+'SUMIN -HOJA3'!AB139</f>
        <v>0</v>
      </c>
      <c r="M139" s="488">
        <f ca="1">+'SUMIN -HOJA3'!AC139</f>
        <v>0</v>
      </c>
      <c r="N139" s="488">
        <f ca="1">+'SUMIN -HOJA3'!AD139</f>
        <v>0</v>
      </c>
      <c r="O139" s="488">
        <f ca="1">+'SUMIN -HOJA3'!AE139</f>
        <v>0</v>
      </c>
      <c r="P139" s="488">
        <f ca="1">+'SUMIN -HOJA3'!AF139</f>
        <v>0</v>
      </c>
      <c r="Q139" s="488">
        <f ca="1">+'SUMIN -HOJA3'!AG139</f>
        <v>0</v>
      </c>
      <c r="R139" s="488">
        <f ca="1">+'SUMIN -HOJA3'!AH139</f>
        <v>0</v>
      </c>
    </row>
    <row r="140" spans="1:18" hidden="1" x14ac:dyDescent="0.25">
      <c r="F140" s="3188" t="str">
        <f>+'SUMIN -HOJA3'!R140</f>
        <v>Residencial (UR3)</v>
      </c>
      <c r="G140" s="2696">
        <f ca="1">+'SUMIN -HOJA3'!X140</f>
        <v>0</v>
      </c>
      <c r="H140" s="2696"/>
      <c r="I140" s="2696">
        <f>+'SUMIN -HOJA3'!Y140</f>
        <v>0</v>
      </c>
      <c r="J140" s="488">
        <f ca="1">+'SUMIN -HOJA3'!Z140</f>
        <v>0</v>
      </c>
      <c r="K140" s="488">
        <f ca="1">+'SUMIN -HOJA3'!AA140</f>
        <v>0</v>
      </c>
      <c r="L140" s="488">
        <f ca="1">+'SUMIN -HOJA3'!AB140</f>
        <v>0</v>
      </c>
      <c r="M140" s="488">
        <f ca="1">+'SUMIN -HOJA3'!AC140</f>
        <v>0</v>
      </c>
      <c r="N140" s="488">
        <f ca="1">+'SUMIN -HOJA3'!AD140</f>
        <v>0</v>
      </c>
      <c r="O140" s="488">
        <f ca="1">+'SUMIN -HOJA3'!AE140</f>
        <v>0</v>
      </c>
      <c r="P140" s="488">
        <f ca="1">+'SUMIN -HOJA3'!AF140</f>
        <v>0</v>
      </c>
      <c r="Q140" s="488">
        <f ca="1">+'SUMIN -HOJA3'!AG140</f>
        <v>0</v>
      </c>
      <c r="R140" s="488">
        <f ca="1">+'SUMIN -HOJA3'!AH140</f>
        <v>0</v>
      </c>
    </row>
    <row r="141" spans="1:18" hidden="1" x14ac:dyDescent="0.25">
      <c r="F141" s="3188" t="str">
        <f>+'SUMIN -HOJA3'!R141</f>
        <v>Residencial (UR4)</v>
      </c>
      <c r="G141" s="2696">
        <f ca="1">+'SUMIN -HOJA3'!X141</f>
        <v>0</v>
      </c>
      <c r="H141" s="2696"/>
      <c r="I141" s="2696">
        <f>+'SUMIN -HOJA3'!Y141</f>
        <v>0</v>
      </c>
      <c r="J141" s="488">
        <f ca="1">+'SUMIN -HOJA3'!Z141</f>
        <v>0</v>
      </c>
      <c r="K141" s="488">
        <f ca="1">+'SUMIN -HOJA3'!AA141</f>
        <v>0</v>
      </c>
      <c r="L141" s="488">
        <f ca="1">+'SUMIN -HOJA3'!AB141</f>
        <v>0</v>
      </c>
      <c r="M141" s="488">
        <f ca="1">+'SUMIN -HOJA3'!AC141</f>
        <v>0</v>
      </c>
      <c r="N141" s="488">
        <f ca="1">+'SUMIN -HOJA3'!AD141</f>
        <v>0</v>
      </c>
      <c r="O141" s="488">
        <f ca="1">+'SUMIN -HOJA3'!AE141</f>
        <v>0</v>
      </c>
      <c r="P141" s="488">
        <f ca="1">+'SUMIN -HOJA3'!AF141</f>
        <v>0</v>
      </c>
      <c r="Q141" s="488">
        <f ca="1">+'SUMIN -HOJA3'!AG141</f>
        <v>0</v>
      </c>
      <c r="R141" s="488">
        <f ca="1">+'SUMIN -HOJA3'!AH141</f>
        <v>0</v>
      </c>
    </row>
    <row r="142" spans="1:18" hidden="1" x14ac:dyDescent="0.25">
      <c r="F142" s="3188" t="str">
        <f>+'SUMIN -HOJA3'!R142</f>
        <v>Residencial (UR5)</v>
      </c>
      <c r="G142" s="2696">
        <f ca="1">+'SUMIN -HOJA3'!X142</f>
        <v>0</v>
      </c>
      <c r="H142" s="2696"/>
      <c r="I142" s="2696">
        <f>+'SUMIN -HOJA3'!Y142</f>
        <v>0</v>
      </c>
      <c r="J142" s="488">
        <f ca="1">+'SUMIN -HOJA3'!Z142</f>
        <v>0</v>
      </c>
      <c r="K142" s="488">
        <f ca="1">+'SUMIN -HOJA3'!AA142</f>
        <v>0</v>
      </c>
      <c r="L142" s="488">
        <f ca="1">+'SUMIN -HOJA3'!AB142</f>
        <v>0</v>
      </c>
      <c r="M142" s="488">
        <f ca="1">+'SUMIN -HOJA3'!AC142</f>
        <v>0</v>
      </c>
      <c r="N142" s="488">
        <f ca="1">+'SUMIN -HOJA3'!AD142</f>
        <v>0</v>
      </c>
      <c r="O142" s="488">
        <f ca="1">+'SUMIN -HOJA3'!AE142</f>
        <v>0</v>
      </c>
      <c r="P142" s="488">
        <f ca="1">+'SUMIN -HOJA3'!AF142</f>
        <v>0</v>
      </c>
      <c r="Q142" s="488">
        <f ca="1">+'SUMIN -HOJA3'!AG142</f>
        <v>0</v>
      </c>
      <c r="R142" s="488">
        <f ca="1">+'SUMIN -HOJA3'!AH142</f>
        <v>0</v>
      </c>
    </row>
    <row r="143" spans="1:18" hidden="1" x14ac:dyDescent="0.25">
      <c r="F143" s="3188" t="str">
        <f>+'SUMIN -HOJA3'!R143</f>
        <v>No Residencial (NR1)</v>
      </c>
      <c r="G143" s="2696">
        <f ca="1">+'SUMIN -HOJA3'!X143</f>
        <v>0</v>
      </c>
      <c r="H143" s="2696"/>
      <c r="I143" s="2696">
        <f>+'SUMIN -HOJA3'!Y143</f>
        <v>0</v>
      </c>
      <c r="J143" s="488">
        <f ca="1">+'SUMIN -HOJA3'!Z143</f>
        <v>0</v>
      </c>
      <c r="K143" s="488">
        <f ca="1">+'SUMIN -HOJA3'!AA143</f>
        <v>0</v>
      </c>
      <c r="L143" s="488">
        <f ca="1">+'SUMIN -HOJA3'!AB143</f>
        <v>0</v>
      </c>
      <c r="M143" s="488">
        <f ca="1">+'SUMIN -HOJA3'!AC143</f>
        <v>0</v>
      </c>
      <c r="N143" s="488">
        <f ca="1">+'SUMIN -HOJA3'!AD143</f>
        <v>0</v>
      </c>
      <c r="O143" s="488">
        <f ca="1">+'SUMIN -HOJA3'!AE143</f>
        <v>0</v>
      </c>
      <c r="P143" s="488">
        <f ca="1">+'SUMIN -HOJA3'!AF143</f>
        <v>0</v>
      </c>
      <c r="Q143" s="488">
        <f ca="1">+'SUMIN -HOJA3'!AG143</f>
        <v>0</v>
      </c>
      <c r="R143" s="488">
        <f ca="1">+'SUMIN -HOJA3'!AH143</f>
        <v>0</v>
      </c>
    </row>
    <row r="144" spans="1:18" hidden="1" x14ac:dyDescent="0.25">
      <c r="F144" s="3188" t="str">
        <f>+'SUMIN -HOJA3'!R144</f>
        <v>No Residencial (NR2)</v>
      </c>
      <c r="G144" s="2696">
        <f ca="1">+'SUMIN -HOJA3'!X144</f>
        <v>0</v>
      </c>
      <c r="H144" s="2696"/>
      <c r="I144" s="2696">
        <f>+'SUMIN -HOJA3'!Y144</f>
        <v>0</v>
      </c>
      <c r="J144" s="488">
        <f ca="1">+'SUMIN -HOJA3'!Z144</f>
        <v>0</v>
      </c>
      <c r="K144" s="488">
        <f ca="1">+'SUMIN -HOJA3'!AA144</f>
        <v>0</v>
      </c>
      <c r="L144" s="488">
        <f ca="1">+'SUMIN -HOJA3'!AB144</f>
        <v>0</v>
      </c>
      <c r="M144" s="488">
        <f ca="1">+'SUMIN -HOJA3'!AC144</f>
        <v>0</v>
      </c>
      <c r="N144" s="488">
        <f ca="1">+'SUMIN -HOJA3'!AD144</f>
        <v>0</v>
      </c>
      <c r="O144" s="488">
        <f ca="1">+'SUMIN -HOJA3'!AE144</f>
        <v>0</v>
      </c>
      <c r="P144" s="488">
        <f ca="1">+'SUMIN -HOJA3'!AF144</f>
        <v>0</v>
      </c>
      <c r="Q144" s="488">
        <f ca="1">+'SUMIN -HOJA3'!AG144</f>
        <v>0</v>
      </c>
      <c r="R144" s="488">
        <f ca="1">+'SUMIN -HOJA3'!AH144</f>
        <v>0</v>
      </c>
    </row>
    <row r="145" spans="6:18" hidden="1" x14ac:dyDescent="0.25">
      <c r="F145" s="3188" t="str">
        <f>+'SUMIN -HOJA3'!R145</f>
        <v>No Residencial (U30)</v>
      </c>
      <c r="G145" s="2696">
        <f ca="1">+'SUMIN -HOJA3'!X145</f>
        <v>0</v>
      </c>
      <c r="H145" s="2696"/>
      <c r="I145" s="2696">
        <f>+'SUMIN -HOJA3'!Y145</f>
        <v>0</v>
      </c>
      <c r="J145" s="488">
        <f ca="1">+'SUMIN -HOJA3'!Z145</f>
        <v>0</v>
      </c>
      <c r="K145" s="488">
        <f ca="1">+'SUMIN -HOJA3'!AA145</f>
        <v>0</v>
      </c>
      <c r="L145" s="488">
        <f ca="1">+'SUMIN -HOJA3'!AB145</f>
        <v>0</v>
      </c>
      <c r="M145" s="488">
        <f ca="1">+'SUMIN -HOJA3'!AC145</f>
        <v>0</v>
      </c>
      <c r="N145" s="488">
        <f ca="1">+'SUMIN -HOJA3'!AD145</f>
        <v>0</v>
      </c>
      <c r="O145" s="488">
        <f ca="1">+'SUMIN -HOJA3'!AE145</f>
        <v>0</v>
      </c>
      <c r="P145" s="488">
        <f ca="1">+'SUMIN -HOJA3'!AF145</f>
        <v>0</v>
      </c>
      <c r="Q145" s="488">
        <f ca="1">+'SUMIN -HOJA3'!AG145</f>
        <v>0</v>
      </c>
      <c r="R145" s="488">
        <f ca="1">+'SUMIN -HOJA3'!AH145</f>
        <v>0</v>
      </c>
    </row>
    <row r="146" spans="6:18" hidden="1" x14ac:dyDescent="0.25">
      <c r="F146" s="3188" t="str">
        <f>+'SUMIN -HOJA3'!R146</f>
        <v>No Residencial (Gud)</v>
      </c>
      <c r="G146" s="2696">
        <f ca="1">+'SUMIN -HOJA3'!X146</f>
        <v>0</v>
      </c>
      <c r="H146" s="2696"/>
      <c r="I146" s="2696">
        <f>+'SUMIN -HOJA3'!Y146</f>
        <v>0</v>
      </c>
      <c r="J146" s="488">
        <f ca="1">+'SUMIN -HOJA3'!Z146</f>
        <v>0</v>
      </c>
      <c r="K146" s="488">
        <f ca="1">+'SUMIN -HOJA3'!AA146</f>
        <v>0</v>
      </c>
      <c r="L146" s="488">
        <f ca="1">+'SUMIN -HOJA3'!AB146</f>
        <v>0</v>
      </c>
      <c r="M146" s="488">
        <f ca="1">+'SUMIN -HOJA3'!AC146</f>
        <v>0</v>
      </c>
      <c r="N146" s="488">
        <f ca="1">+'SUMIN -HOJA3'!AD146</f>
        <v>0</v>
      </c>
      <c r="O146" s="488">
        <f ca="1">+'SUMIN -HOJA3'!AE146</f>
        <v>0</v>
      </c>
      <c r="P146" s="488">
        <f ca="1">+'SUMIN -HOJA3'!AF146</f>
        <v>0</v>
      </c>
      <c r="Q146" s="488">
        <f ca="1">+'SUMIN -HOJA3'!AG146</f>
        <v>0</v>
      </c>
      <c r="R146" s="488">
        <f ca="1">+'SUMIN -HOJA3'!AH146</f>
        <v>0</v>
      </c>
    </row>
    <row r="147" spans="6:18" hidden="1" x14ac:dyDescent="0.25">
      <c r="F147" s="3188"/>
      <c r="G147" s="488"/>
      <c r="H147" s="488"/>
      <c r="I147" s="488"/>
      <c r="J147" s="488"/>
      <c r="K147" s="488"/>
      <c r="L147" s="488"/>
      <c r="M147" s="488"/>
      <c r="N147" s="488"/>
      <c r="O147" s="488"/>
      <c r="P147" s="488"/>
      <c r="Q147" s="488"/>
      <c r="R147" s="488"/>
    </row>
    <row r="148" spans="6:18" s="1906" customFormat="1" ht="13.5" hidden="1" thickBot="1" x14ac:dyDescent="0.25">
      <c r="F148" s="3189" t="s">
        <v>4</v>
      </c>
      <c r="G148" s="3190">
        <f ca="1">SUM(G138:G147)</f>
        <v>0</v>
      </c>
      <c r="H148" s="3190"/>
      <c r="I148" s="3190">
        <f>SUM(I138:I147)</f>
        <v>0</v>
      </c>
      <c r="J148" s="3190">
        <f ca="1">SUM(J138:J147)</f>
        <v>0</v>
      </c>
      <c r="K148" s="3190">
        <f t="shared" ref="K148:O148" ca="1" si="10">SUM(K138:K147)</f>
        <v>0</v>
      </c>
      <c r="L148" s="3190">
        <f t="shared" ca="1" si="10"/>
        <v>0</v>
      </c>
      <c r="M148" s="3190">
        <f t="shared" ca="1" si="10"/>
        <v>0</v>
      </c>
      <c r="N148" s="3190">
        <f t="shared" ca="1" si="10"/>
        <v>0</v>
      </c>
      <c r="O148" s="3190">
        <f t="shared" ca="1" si="10"/>
        <v>0</v>
      </c>
      <c r="P148" s="3190">
        <f t="shared" ref="P148" ca="1" si="11">+J148+M148</f>
        <v>0</v>
      </c>
      <c r="Q148" s="3190">
        <f t="shared" ref="Q148:R148" ca="1" si="12">+K148+N148</f>
        <v>0</v>
      </c>
      <c r="R148" s="3191">
        <f t="shared" ca="1" si="12"/>
        <v>0</v>
      </c>
    </row>
    <row r="149" spans="6:18" hidden="1" x14ac:dyDescent="0.25"/>
    <row r="150" spans="6:18" ht="15.75" hidden="1" thickBot="1" x14ac:dyDescent="0.3"/>
    <row r="151" spans="6:18" hidden="1" x14ac:dyDescent="0.25">
      <c r="F151" s="3186"/>
      <c r="G151" s="3142"/>
      <c r="H151" s="3142"/>
      <c r="I151" s="3142"/>
      <c r="J151" s="4167" t="s">
        <v>304</v>
      </c>
      <c r="K151" s="4168"/>
      <c r="L151" s="4168"/>
      <c r="M151" s="4167" t="s">
        <v>305</v>
      </c>
      <c r="N151" s="4168"/>
      <c r="O151" s="4168"/>
      <c r="P151" s="4167" t="s">
        <v>318</v>
      </c>
      <c r="Q151" s="4168"/>
      <c r="R151" s="4169"/>
    </row>
    <row r="152" spans="6:18" ht="15.75" hidden="1" x14ac:dyDescent="0.25">
      <c r="F152" s="3187"/>
      <c r="G152" s="488"/>
      <c r="H152" s="488"/>
      <c r="I152" s="488"/>
      <c r="J152" s="2723" t="s">
        <v>287</v>
      </c>
      <c r="K152" s="2723" t="s">
        <v>289</v>
      </c>
      <c r="L152" s="2723" t="s">
        <v>288</v>
      </c>
      <c r="M152" s="2723" t="s">
        <v>287</v>
      </c>
      <c r="N152" s="2723" t="s">
        <v>289</v>
      </c>
      <c r="O152" s="2723" t="s">
        <v>288</v>
      </c>
      <c r="P152" s="2723" t="s">
        <v>287</v>
      </c>
      <c r="Q152" s="2723" t="s">
        <v>289</v>
      </c>
      <c r="R152" s="3580" t="s">
        <v>288</v>
      </c>
    </row>
    <row r="153" spans="6:18" hidden="1" x14ac:dyDescent="0.25">
      <c r="F153" s="3187" t="s">
        <v>321</v>
      </c>
      <c r="G153" s="3130" t="s">
        <v>25</v>
      </c>
      <c r="H153" s="3130"/>
      <c r="I153" s="3130" t="s">
        <v>26</v>
      </c>
      <c r="J153" s="488"/>
      <c r="K153" s="488"/>
      <c r="L153" s="488"/>
      <c r="M153" s="488"/>
      <c r="N153" s="488"/>
      <c r="O153" s="488"/>
      <c r="P153" s="488"/>
      <c r="Q153" s="488"/>
      <c r="R153" s="3195"/>
    </row>
    <row r="154" spans="6:18" hidden="1" x14ac:dyDescent="0.25">
      <c r="F154" s="3194" t="str">
        <f>+CONCATENATE('SUMIN -HOJA3'!Q155," (",'SUMIN -HOJA3'!W155,")",)</f>
        <v>Electrod.-B.Volunt.-Residencial (6000-UR1)</v>
      </c>
      <c r="G154" s="2726">
        <f ca="1">+'SUMIN -HOJA3'!X155</f>
        <v>0</v>
      </c>
      <c r="H154" s="2726"/>
      <c r="I154" s="2726">
        <f>+'SUMIN -HOJA3'!V155</f>
        <v>0</v>
      </c>
      <c r="J154" s="488">
        <f ca="1">+'SUMIN -HOJA3'!Z155</f>
        <v>0</v>
      </c>
      <c r="K154" s="488">
        <f ca="1">+'SUMIN -HOJA3'!AA155</f>
        <v>0</v>
      </c>
      <c r="L154" s="488">
        <f ca="1">+'SUMIN -HOJA3'!AB155</f>
        <v>0</v>
      </c>
      <c r="M154" s="488">
        <f ca="1">+'SUMIN -HOJA3'!AC155</f>
        <v>0</v>
      </c>
      <c r="N154" s="488">
        <f ca="1">+'SUMIN -HOJA3'!AD155</f>
        <v>0</v>
      </c>
      <c r="O154" s="488">
        <f ca="1">+'SUMIN -HOJA3'!AE155</f>
        <v>0</v>
      </c>
      <c r="P154" s="488">
        <f ca="1">+'SUMIN -HOJA3'!AF155</f>
        <v>0</v>
      </c>
      <c r="Q154" s="488">
        <f ca="1">+'SUMIN -HOJA3'!AG155</f>
        <v>0</v>
      </c>
      <c r="R154" s="3195">
        <f ca="1">+'SUMIN -HOJA3'!AH155</f>
        <v>0</v>
      </c>
    </row>
    <row r="155" spans="6:18" hidden="1" x14ac:dyDescent="0.25">
      <c r="F155" s="3194" t="str">
        <f>+CONCATENATE('SUMIN -HOJA3'!Q156," (",'SUMIN -HOJA3'!W156,")",)</f>
        <v>Electrod.-B.Volunt.-Residencial (6000-UR2)</v>
      </c>
      <c r="G155" s="2726">
        <f ca="1">+'SUMIN -HOJA3'!X156</f>
        <v>0</v>
      </c>
      <c r="H155" s="2726"/>
      <c r="I155" s="2726">
        <f>+'SUMIN -HOJA3'!V156</f>
        <v>0</v>
      </c>
      <c r="J155" s="488">
        <f ca="1">+'SUMIN -HOJA3'!Z156</f>
        <v>0</v>
      </c>
      <c r="K155" s="488">
        <f ca="1">+'SUMIN -HOJA3'!AA156</f>
        <v>0</v>
      </c>
      <c r="L155" s="488">
        <f ca="1">+'SUMIN -HOJA3'!AB156</f>
        <v>0</v>
      </c>
      <c r="M155" s="488">
        <f ca="1">+'SUMIN -HOJA3'!AC156</f>
        <v>0</v>
      </c>
      <c r="N155" s="488">
        <f ca="1">+'SUMIN -HOJA3'!AD156</f>
        <v>0</v>
      </c>
      <c r="O155" s="488">
        <f ca="1">+'SUMIN -HOJA3'!AE156</f>
        <v>0</v>
      </c>
      <c r="P155" s="488">
        <f ca="1">+'SUMIN -HOJA3'!AF156</f>
        <v>0</v>
      </c>
      <c r="Q155" s="488">
        <f ca="1">+'SUMIN -HOJA3'!AG156</f>
        <v>0</v>
      </c>
      <c r="R155" s="3195">
        <f ca="1">+'SUMIN -HOJA3'!AH156</f>
        <v>0</v>
      </c>
    </row>
    <row r="156" spans="6:18" hidden="1" x14ac:dyDescent="0.25">
      <c r="F156" s="3194" t="str">
        <f>+CONCATENATE('SUMIN -HOJA3'!Q157," (",'SUMIN -HOJA3'!W157,")",)</f>
        <v>Electrod.-B.Volunt.-Residencial (6000-UR3)</v>
      </c>
      <c r="G156" s="2726">
        <f ca="1">+'SUMIN -HOJA3'!X157</f>
        <v>0</v>
      </c>
      <c r="H156" s="2726"/>
      <c r="I156" s="2726">
        <f>+'SUMIN -HOJA3'!V157</f>
        <v>0</v>
      </c>
      <c r="J156" s="488">
        <f ca="1">+'SUMIN -HOJA3'!Z157</f>
        <v>0</v>
      </c>
      <c r="K156" s="488">
        <f ca="1">+'SUMIN -HOJA3'!AA157</f>
        <v>0</v>
      </c>
      <c r="L156" s="488">
        <f ca="1">+'SUMIN -HOJA3'!AB157</f>
        <v>0</v>
      </c>
      <c r="M156" s="488">
        <f ca="1">+'SUMIN -HOJA3'!AC157</f>
        <v>0</v>
      </c>
      <c r="N156" s="488">
        <f ca="1">+'SUMIN -HOJA3'!AD157</f>
        <v>0</v>
      </c>
      <c r="O156" s="488">
        <f ca="1">+'SUMIN -HOJA3'!AE157</f>
        <v>0</v>
      </c>
      <c r="P156" s="488">
        <f ca="1">+'SUMIN -HOJA3'!AF157</f>
        <v>0</v>
      </c>
      <c r="Q156" s="488">
        <f ca="1">+'SUMIN -HOJA3'!AG157</f>
        <v>0</v>
      </c>
      <c r="R156" s="3195">
        <f ca="1">+'SUMIN -HOJA3'!AH157</f>
        <v>0</v>
      </c>
    </row>
    <row r="157" spans="6:18" hidden="1" x14ac:dyDescent="0.25">
      <c r="F157" s="3194" t="str">
        <f>+CONCATENATE('SUMIN -HOJA3'!Q158," (",'SUMIN -HOJA3'!W158,")",)</f>
        <v>Electrod.-B.Volunt.-Residencial (6000-UR4)</v>
      </c>
      <c r="G157" s="2726">
        <f ca="1">+'SUMIN -HOJA3'!X158</f>
        <v>0</v>
      </c>
      <c r="H157" s="2726"/>
      <c r="I157" s="2726">
        <f>+'SUMIN -HOJA3'!V158</f>
        <v>0</v>
      </c>
      <c r="J157" s="488">
        <f ca="1">+'SUMIN -HOJA3'!Z158</f>
        <v>0</v>
      </c>
      <c r="K157" s="488">
        <f ca="1">+'SUMIN -HOJA3'!AA158</f>
        <v>0</v>
      </c>
      <c r="L157" s="488">
        <f ca="1">+'SUMIN -HOJA3'!AB158</f>
        <v>0</v>
      </c>
      <c r="M157" s="488">
        <f ca="1">+'SUMIN -HOJA3'!AC158</f>
        <v>0</v>
      </c>
      <c r="N157" s="488">
        <f ca="1">+'SUMIN -HOJA3'!AD158</f>
        <v>0</v>
      </c>
      <c r="O157" s="488">
        <f ca="1">+'SUMIN -HOJA3'!AE158</f>
        <v>0</v>
      </c>
      <c r="P157" s="488">
        <f ca="1">+'SUMIN -HOJA3'!AF158</f>
        <v>0</v>
      </c>
      <c r="Q157" s="488">
        <f ca="1">+'SUMIN -HOJA3'!AG158</f>
        <v>0</v>
      </c>
      <c r="R157" s="3195">
        <f ca="1">+'SUMIN -HOJA3'!AH158</f>
        <v>0</v>
      </c>
    </row>
    <row r="158" spans="6:18" hidden="1" x14ac:dyDescent="0.25">
      <c r="F158" s="3194" t="str">
        <f>+CONCATENATE('SUMIN -HOJA3'!Q159," (",'SUMIN -HOJA3'!W159,")",)</f>
        <v>Electrod.-B.Volunt.-Residencial (6000-UR5)</v>
      </c>
      <c r="G158" s="2726">
        <f ca="1">+'SUMIN -HOJA3'!X159</f>
        <v>0</v>
      </c>
      <c r="H158" s="2726"/>
      <c r="I158" s="2726">
        <f>+'SUMIN -HOJA3'!V159</f>
        <v>0</v>
      </c>
      <c r="J158" s="488">
        <f ca="1">+'SUMIN -HOJA3'!Z159</f>
        <v>0</v>
      </c>
      <c r="K158" s="488">
        <f ca="1">+'SUMIN -HOJA3'!AA159</f>
        <v>0</v>
      </c>
      <c r="L158" s="488">
        <f ca="1">+'SUMIN -HOJA3'!AB159</f>
        <v>0</v>
      </c>
      <c r="M158" s="488">
        <f ca="1">+'SUMIN -HOJA3'!AC159</f>
        <v>0</v>
      </c>
      <c r="N158" s="488">
        <f ca="1">+'SUMIN -HOJA3'!AD159</f>
        <v>0</v>
      </c>
      <c r="O158" s="488">
        <f ca="1">+'SUMIN -HOJA3'!AE159</f>
        <v>0</v>
      </c>
      <c r="P158" s="488">
        <f ca="1">+'SUMIN -HOJA3'!AF159</f>
        <v>0</v>
      </c>
      <c r="Q158" s="488">
        <f ca="1">+'SUMIN -HOJA3'!AG159</f>
        <v>0</v>
      </c>
      <c r="R158" s="3195">
        <f ca="1">+'SUMIN -HOJA3'!AH159</f>
        <v>0</v>
      </c>
    </row>
    <row r="159" spans="6:18" hidden="1" x14ac:dyDescent="0.25">
      <c r="F159" s="3194" t="str">
        <f>+CONCATENATE('SUMIN -HOJA3'!Q160," (",'SUMIN -HOJA3'!W160,")",)</f>
        <v>Club-Ent. B. Pub.-Residencial (6500-UR1)</v>
      </c>
      <c r="G159" s="2726">
        <f ca="1">+'SUMIN -HOJA3'!X160</f>
        <v>0</v>
      </c>
      <c r="H159" s="2726"/>
      <c r="I159" s="2726">
        <f>+'SUMIN -HOJA3'!V160</f>
        <v>0</v>
      </c>
      <c r="J159" s="488">
        <f ca="1">+'SUMIN -HOJA3'!Z160</f>
        <v>0</v>
      </c>
      <c r="K159" s="488">
        <f ca="1">+'SUMIN -HOJA3'!AA160</f>
        <v>0</v>
      </c>
      <c r="L159" s="488">
        <f ca="1">+'SUMIN -HOJA3'!AB160</f>
        <v>0</v>
      </c>
      <c r="M159" s="488">
        <f ca="1">+'SUMIN -HOJA3'!AC160</f>
        <v>0</v>
      </c>
      <c r="N159" s="488">
        <f ca="1">+'SUMIN -HOJA3'!AD160</f>
        <v>0</v>
      </c>
      <c r="O159" s="488">
        <f ca="1">+'SUMIN -HOJA3'!AE160</f>
        <v>0</v>
      </c>
      <c r="P159" s="488">
        <f ca="1">+'SUMIN -HOJA3'!AF160</f>
        <v>0</v>
      </c>
      <c r="Q159" s="488">
        <f ca="1">+'SUMIN -HOJA3'!AG160</f>
        <v>0</v>
      </c>
      <c r="R159" s="3195">
        <f ca="1">+'SUMIN -HOJA3'!AH160</f>
        <v>0</v>
      </c>
    </row>
    <row r="160" spans="6:18" hidden="1" x14ac:dyDescent="0.25">
      <c r="F160" s="3194" t="str">
        <f>+CONCATENATE('SUMIN -HOJA3'!Q161," (",'SUMIN -HOJA3'!W161,")",)</f>
        <v>Club-Ent. B. Pub.-Residencial (6500-UR2)</v>
      </c>
      <c r="G160" s="2726">
        <f ca="1">+'SUMIN -HOJA3'!X161</f>
        <v>0</v>
      </c>
      <c r="H160" s="2726"/>
      <c r="I160" s="2726">
        <f>+'SUMIN -HOJA3'!V161</f>
        <v>0</v>
      </c>
      <c r="J160" s="488">
        <f ca="1">+'SUMIN -HOJA3'!Z161</f>
        <v>0</v>
      </c>
      <c r="K160" s="488">
        <f ca="1">+'SUMIN -HOJA3'!AA161</f>
        <v>0</v>
      </c>
      <c r="L160" s="488">
        <f ca="1">+'SUMIN -HOJA3'!AB161</f>
        <v>0</v>
      </c>
      <c r="M160" s="488">
        <f ca="1">+'SUMIN -HOJA3'!AC161</f>
        <v>0</v>
      </c>
      <c r="N160" s="488">
        <f ca="1">+'SUMIN -HOJA3'!AD161</f>
        <v>0</v>
      </c>
      <c r="O160" s="488">
        <f ca="1">+'SUMIN -HOJA3'!AE161</f>
        <v>0</v>
      </c>
      <c r="P160" s="488">
        <f ca="1">+'SUMIN -HOJA3'!AF161</f>
        <v>0</v>
      </c>
      <c r="Q160" s="488">
        <f ca="1">+'SUMIN -HOJA3'!AG161</f>
        <v>0</v>
      </c>
      <c r="R160" s="3195">
        <f ca="1">+'SUMIN -HOJA3'!AH161</f>
        <v>0</v>
      </c>
    </row>
    <row r="161" spans="6:18" hidden="1" x14ac:dyDescent="0.25">
      <c r="F161" s="3194" t="str">
        <f>+CONCATENATE('SUMIN -HOJA3'!Q162," (",'SUMIN -HOJA3'!W162,")",)</f>
        <v>Club-Ent. B. Pub.-Residencial (6500-UR3)</v>
      </c>
      <c r="G161" s="2726">
        <f ca="1">+'SUMIN -HOJA3'!X162</f>
        <v>0</v>
      </c>
      <c r="H161" s="2726"/>
      <c r="I161" s="2726">
        <f>+'SUMIN -HOJA3'!V162</f>
        <v>0</v>
      </c>
      <c r="J161" s="488">
        <f ca="1">+'SUMIN -HOJA3'!Z162</f>
        <v>0</v>
      </c>
      <c r="K161" s="488">
        <f ca="1">+'SUMIN -HOJA3'!AA162</f>
        <v>0</v>
      </c>
      <c r="L161" s="488">
        <f ca="1">+'SUMIN -HOJA3'!AB162</f>
        <v>0</v>
      </c>
      <c r="M161" s="488">
        <f ca="1">+'SUMIN -HOJA3'!AC162</f>
        <v>0</v>
      </c>
      <c r="N161" s="488">
        <f ca="1">+'SUMIN -HOJA3'!AD162</f>
        <v>0</v>
      </c>
      <c r="O161" s="488">
        <f ca="1">+'SUMIN -HOJA3'!AE162</f>
        <v>0</v>
      </c>
      <c r="P161" s="488">
        <f ca="1">+'SUMIN -HOJA3'!AF162</f>
        <v>0</v>
      </c>
      <c r="Q161" s="488">
        <f ca="1">+'SUMIN -HOJA3'!AG162</f>
        <v>0</v>
      </c>
      <c r="R161" s="3195">
        <f ca="1">+'SUMIN -HOJA3'!AH162</f>
        <v>0</v>
      </c>
    </row>
    <row r="162" spans="6:18" hidden="1" x14ac:dyDescent="0.25">
      <c r="F162" s="3194" t="str">
        <f>+CONCATENATE('SUMIN -HOJA3'!Q163," (",'SUMIN -HOJA3'!W163,")",)</f>
        <v>Club-Ent. B. Pub.-Residencial (6500-UR4)</v>
      </c>
      <c r="G162" s="2726">
        <f ca="1">+'SUMIN -HOJA3'!X163</f>
        <v>0</v>
      </c>
      <c r="H162" s="2726"/>
      <c r="I162" s="2726">
        <f>+'SUMIN -HOJA3'!V163</f>
        <v>0</v>
      </c>
      <c r="J162" s="488">
        <f ca="1">+'SUMIN -HOJA3'!Z163</f>
        <v>0</v>
      </c>
      <c r="K162" s="488">
        <f ca="1">+'SUMIN -HOJA3'!AA163</f>
        <v>0</v>
      </c>
      <c r="L162" s="488">
        <f ca="1">+'SUMIN -HOJA3'!AB163</f>
        <v>0</v>
      </c>
      <c r="M162" s="488">
        <f ca="1">+'SUMIN -HOJA3'!AC163</f>
        <v>0</v>
      </c>
      <c r="N162" s="488">
        <f ca="1">+'SUMIN -HOJA3'!AD163</f>
        <v>0</v>
      </c>
      <c r="O162" s="488">
        <f ca="1">+'SUMIN -HOJA3'!AE163</f>
        <v>0</v>
      </c>
      <c r="P162" s="488">
        <f ca="1">+'SUMIN -HOJA3'!AF163</f>
        <v>0</v>
      </c>
      <c r="Q162" s="488">
        <f ca="1">+'SUMIN -HOJA3'!AG163</f>
        <v>0</v>
      </c>
      <c r="R162" s="3195">
        <f ca="1">+'SUMIN -HOJA3'!AH163</f>
        <v>0</v>
      </c>
    </row>
    <row r="163" spans="6:18" hidden="1" x14ac:dyDescent="0.25">
      <c r="F163" s="3194" t="str">
        <f>+CONCATENATE('SUMIN -HOJA3'!Q164," (",'SUMIN -HOJA3'!W164,")",)</f>
        <v>Club-Ent. B. Pub.-Residencial (6500-UR5)</v>
      </c>
      <c r="G163" s="2726">
        <f ca="1">+'SUMIN -HOJA3'!X164</f>
        <v>0</v>
      </c>
      <c r="H163" s="2726"/>
      <c r="I163" s="2726">
        <f>+'SUMIN -HOJA3'!V164</f>
        <v>0</v>
      </c>
      <c r="J163" s="488">
        <f ca="1">+'SUMIN -HOJA3'!Z164</f>
        <v>0</v>
      </c>
      <c r="K163" s="488">
        <f ca="1">+'SUMIN -HOJA3'!AA164</f>
        <v>0</v>
      </c>
      <c r="L163" s="488">
        <f ca="1">+'SUMIN -HOJA3'!AB164</f>
        <v>0</v>
      </c>
      <c r="M163" s="488">
        <f ca="1">+'SUMIN -HOJA3'!AC164</f>
        <v>0</v>
      </c>
      <c r="N163" s="488">
        <f ca="1">+'SUMIN -HOJA3'!AD164</f>
        <v>0</v>
      </c>
      <c r="O163" s="488">
        <f ca="1">+'SUMIN -HOJA3'!AE164</f>
        <v>0</v>
      </c>
      <c r="P163" s="488">
        <f ca="1">+'SUMIN -HOJA3'!AF164</f>
        <v>0</v>
      </c>
      <c r="Q163" s="488">
        <f ca="1">+'SUMIN -HOJA3'!AG164</f>
        <v>0</v>
      </c>
      <c r="R163" s="3195">
        <f ca="1">+'SUMIN -HOJA3'!AH164</f>
        <v>0</v>
      </c>
    </row>
    <row r="164" spans="6:18" hidden="1" x14ac:dyDescent="0.25">
      <c r="F164" s="3194" t="str">
        <f>+CONCATENATE('SUMIN -HOJA3'!Q165," (",'SUMIN -HOJA3'!W165,")",)</f>
        <v>Club-Ent. B. Pub.-No Residencial (6500-NR1)</v>
      </c>
      <c r="G164" s="2726">
        <f ca="1">+'SUMIN -HOJA3'!X165</f>
        <v>0</v>
      </c>
      <c r="H164" s="2726"/>
      <c r="I164" s="2726">
        <f>+'SUMIN -HOJA3'!V165</f>
        <v>0</v>
      </c>
      <c r="J164" s="488">
        <f ca="1">+'SUMIN -HOJA3'!Z165</f>
        <v>0</v>
      </c>
      <c r="K164" s="488">
        <f ca="1">+'SUMIN -HOJA3'!AA165</f>
        <v>0</v>
      </c>
      <c r="L164" s="488">
        <f ca="1">+'SUMIN -HOJA3'!AB165</f>
        <v>0</v>
      </c>
      <c r="M164" s="488">
        <f ca="1">+'SUMIN -HOJA3'!AC165</f>
        <v>0</v>
      </c>
      <c r="N164" s="488">
        <f ca="1">+'SUMIN -HOJA3'!AD165</f>
        <v>0</v>
      </c>
      <c r="O164" s="488">
        <f ca="1">+'SUMIN -HOJA3'!AE165</f>
        <v>0</v>
      </c>
      <c r="P164" s="488">
        <f ca="1">+'SUMIN -HOJA3'!AF165</f>
        <v>0</v>
      </c>
      <c r="Q164" s="488">
        <f ca="1">+'SUMIN -HOJA3'!AG165</f>
        <v>0</v>
      </c>
      <c r="R164" s="3195">
        <f ca="1">+'SUMIN -HOJA3'!AH165</f>
        <v>0</v>
      </c>
    </row>
    <row r="165" spans="6:18" hidden="1" x14ac:dyDescent="0.25">
      <c r="F165" s="3194" t="str">
        <f>+CONCATENATE('SUMIN -HOJA3'!Q166," (",'SUMIN -HOJA3'!W166,")",)</f>
        <v>Club-Ent. B. Pub.-No Residencial (6500-NR2)</v>
      </c>
      <c r="G165" s="2726">
        <f ca="1">+'SUMIN -HOJA3'!X166</f>
        <v>0</v>
      </c>
      <c r="H165" s="2726"/>
      <c r="I165" s="2726">
        <f>+'SUMIN -HOJA3'!V166</f>
        <v>0</v>
      </c>
      <c r="J165" s="488">
        <f ca="1">+'SUMIN -HOJA3'!Z166</f>
        <v>0</v>
      </c>
      <c r="K165" s="488">
        <f ca="1">+'SUMIN -HOJA3'!AA166</f>
        <v>0</v>
      </c>
      <c r="L165" s="488">
        <f ca="1">+'SUMIN -HOJA3'!AB166</f>
        <v>0</v>
      </c>
      <c r="M165" s="488">
        <f ca="1">+'SUMIN -HOJA3'!AC166</f>
        <v>0</v>
      </c>
      <c r="N165" s="488">
        <f ca="1">+'SUMIN -HOJA3'!AD166</f>
        <v>0</v>
      </c>
      <c r="O165" s="488">
        <f ca="1">+'SUMIN -HOJA3'!AE166</f>
        <v>0</v>
      </c>
      <c r="P165" s="488">
        <f ca="1">+'SUMIN -HOJA3'!AF166</f>
        <v>0</v>
      </c>
      <c r="Q165" s="488">
        <f ca="1">+'SUMIN -HOJA3'!AG166</f>
        <v>0</v>
      </c>
      <c r="R165" s="3195">
        <f ca="1">+'SUMIN -HOJA3'!AH166</f>
        <v>0</v>
      </c>
    </row>
    <row r="166" spans="6:18" hidden="1" x14ac:dyDescent="0.25">
      <c r="F166" s="3194" t="str">
        <f>+CONCATENATE('SUMIN -HOJA3'!Q167," (",'SUMIN -HOJA3'!W167,")",)</f>
        <v>Club-Ent. B. Pub.-No Residencial (6500-U30)</v>
      </c>
      <c r="G166" s="2726">
        <f ca="1">+'SUMIN -HOJA3'!X167</f>
        <v>0</v>
      </c>
      <c r="H166" s="2726"/>
      <c r="I166" s="2726">
        <f>+'SUMIN -HOJA3'!V167</f>
        <v>0</v>
      </c>
      <c r="J166" s="488">
        <f ca="1">+'SUMIN -HOJA3'!Z167</f>
        <v>0</v>
      </c>
      <c r="K166" s="488">
        <f ca="1">+'SUMIN -HOJA3'!AA167</f>
        <v>0</v>
      </c>
      <c r="L166" s="488">
        <f ca="1">+'SUMIN -HOJA3'!AB167</f>
        <v>0</v>
      </c>
      <c r="M166" s="488">
        <f ca="1">+'SUMIN -HOJA3'!AC167</f>
        <v>0</v>
      </c>
      <c r="N166" s="488">
        <f ca="1">+'SUMIN -HOJA3'!AD167</f>
        <v>0</v>
      </c>
      <c r="O166" s="488">
        <f ca="1">+'SUMIN -HOJA3'!AE167</f>
        <v>0</v>
      </c>
      <c r="P166" s="488">
        <f ca="1">+'SUMIN -HOJA3'!AF167</f>
        <v>0</v>
      </c>
      <c r="Q166" s="488">
        <f ca="1">+'SUMIN -HOJA3'!AG167</f>
        <v>0</v>
      </c>
      <c r="R166" s="3195">
        <f ca="1">+'SUMIN -HOJA3'!AH167</f>
        <v>0</v>
      </c>
    </row>
    <row r="167" spans="6:18" hidden="1" x14ac:dyDescent="0.25">
      <c r="F167" s="3194" t="str">
        <f>+CONCATENATE('SUMIN -HOJA3'!Q168," (",'SUMIN -HOJA3'!W168,")",)</f>
        <v>Club-Ent. B. Pub.-No Residencial (6500-Gud)</v>
      </c>
      <c r="G167" s="2726">
        <f ca="1">+'SUMIN -HOJA3'!X168</f>
        <v>0</v>
      </c>
      <c r="H167" s="2726"/>
      <c r="I167" s="2726">
        <f>+'SUMIN -HOJA3'!V168</f>
        <v>0</v>
      </c>
      <c r="J167" s="488">
        <f ca="1">+'SUMIN -HOJA3'!Z168</f>
        <v>0</v>
      </c>
      <c r="K167" s="488">
        <f ca="1">+'SUMIN -HOJA3'!AA168</f>
        <v>0</v>
      </c>
      <c r="L167" s="488">
        <f ca="1">+'SUMIN -HOJA3'!AB168</f>
        <v>0</v>
      </c>
      <c r="M167" s="488">
        <f ca="1">+'SUMIN -HOJA3'!AC168</f>
        <v>0</v>
      </c>
      <c r="N167" s="488">
        <f ca="1">+'SUMIN -HOJA3'!AD168</f>
        <v>0</v>
      </c>
      <c r="O167" s="488">
        <f ca="1">+'SUMIN -HOJA3'!AE168</f>
        <v>0</v>
      </c>
      <c r="P167" s="488">
        <f ca="1">+'SUMIN -HOJA3'!AF168</f>
        <v>0</v>
      </c>
      <c r="Q167" s="488">
        <f ca="1">+'SUMIN -HOJA3'!AG168</f>
        <v>0</v>
      </c>
      <c r="R167" s="3195">
        <f ca="1">+'SUMIN -HOJA3'!AH168</f>
        <v>0</v>
      </c>
    </row>
    <row r="168" spans="6:18" hidden="1" x14ac:dyDescent="0.25">
      <c r="F168" s="3194" t="str">
        <f>+CONCATENATE('SUMIN -HOJA3'!Q170," (",'SUMIN -HOJA3'!W170,")",)</f>
        <v>Med. Comun.-Asent. Res-Residencial (N2-UR2)</v>
      </c>
      <c r="G168" s="2726">
        <f ca="1">+'SUMIN -HOJA3'!X170</f>
        <v>0</v>
      </c>
      <c r="H168" s="2726"/>
      <c r="I168" s="2726">
        <f>+'SUMIN -HOJA3'!V170</f>
        <v>0</v>
      </c>
      <c r="J168" s="488">
        <f ca="1">+'SUMIN -HOJA3'!Z170</f>
        <v>0</v>
      </c>
      <c r="K168" s="488">
        <f ca="1">+'SUMIN -HOJA3'!AA170</f>
        <v>0</v>
      </c>
      <c r="L168" s="488">
        <f ca="1">+'SUMIN -HOJA3'!AB170</f>
        <v>0</v>
      </c>
      <c r="M168" s="488">
        <f ca="1">+'SUMIN -HOJA3'!AC170</f>
        <v>0</v>
      </c>
      <c r="N168" s="488">
        <f ca="1">+'SUMIN -HOJA3'!AD170</f>
        <v>0</v>
      </c>
      <c r="O168" s="488">
        <f ca="1">+'SUMIN -HOJA3'!AE170</f>
        <v>0</v>
      </c>
      <c r="P168" s="488">
        <f ca="1">+'SUMIN -HOJA3'!AF170</f>
        <v>0</v>
      </c>
      <c r="Q168" s="488">
        <f ca="1">+'SUMIN -HOJA3'!AG170</f>
        <v>0</v>
      </c>
      <c r="R168" s="3195">
        <f ca="1">+'SUMIN -HOJA3'!AH170</f>
        <v>0</v>
      </c>
    </row>
    <row r="169" spans="6:18" hidden="1" x14ac:dyDescent="0.25">
      <c r="F169" s="3194" t="str">
        <f>+CONCATENATE('SUMIN -HOJA3'!Q171," (",'SUMIN -HOJA3'!W171,")",)</f>
        <v>Med. Comun.-Asent. Res-Residencial (N2-UR3)</v>
      </c>
      <c r="G169" s="2726">
        <f ca="1">+'SUMIN -HOJA3'!X171</f>
        <v>0</v>
      </c>
      <c r="H169" s="2726"/>
      <c r="I169" s="2726">
        <f>+'SUMIN -HOJA3'!V171</f>
        <v>0</v>
      </c>
      <c r="J169" s="488">
        <f ca="1">+'SUMIN -HOJA3'!Z171</f>
        <v>0</v>
      </c>
      <c r="K169" s="488">
        <f ca="1">+'SUMIN -HOJA3'!AA171</f>
        <v>0</v>
      </c>
      <c r="L169" s="488">
        <f ca="1">+'SUMIN -HOJA3'!AB171</f>
        <v>0</v>
      </c>
      <c r="M169" s="488">
        <f ca="1">+'SUMIN -HOJA3'!AC171</f>
        <v>0</v>
      </c>
      <c r="N169" s="488">
        <f ca="1">+'SUMIN -HOJA3'!AD171</f>
        <v>0</v>
      </c>
      <c r="O169" s="488">
        <f ca="1">+'SUMIN -HOJA3'!AE171</f>
        <v>0</v>
      </c>
      <c r="P169" s="488">
        <f ca="1">+'SUMIN -HOJA3'!AF171</f>
        <v>0</v>
      </c>
      <c r="Q169" s="488">
        <f ca="1">+'SUMIN -HOJA3'!AG171</f>
        <v>0</v>
      </c>
      <c r="R169" s="3195">
        <f ca="1">+'SUMIN -HOJA3'!AH171</f>
        <v>0</v>
      </c>
    </row>
    <row r="170" spans="6:18" hidden="1" x14ac:dyDescent="0.25">
      <c r="F170" s="3194" t="str">
        <f>+CONCATENATE('SUMIN -HOJA3'!Q172," (",'SUMIN -HOJA3'!W172,")",)</f>
        <v>Med. Comun.-Asent. Res-Residencial (N2-UR4)</v>
      </c>
      <c r="G170" s="2726">
        <f ca="1">+'SUMIN -HOJA3'!X172</f>
        <v>0</v>
      </c>
      <c r="H170" s="2726"/>
      <c r="I170" s="2726">
        <f>+'SUMIN -HOJA3'!V172</f>
        <v>0</v>
      </c>
      <c r="J170" s="488">
        <f ca="1">+'SUMIN -HOJA3'!Z172</f>
        <v>0</v>
      </c>
      <c r="K170" s="488">
        <f ca="1">+'SUMIN -HOJA3'!AA172</f>
        <v>0</v>
      </c>
      <c r="L170" s="488">
        <f ca="1">+'SUMIN -HOJA3'!AB172</f>
        <v>0</v>
      </c>
      <c r="M170" s="488">
        <f ca="1">+'SUMIN -HOJA3'!AC172</f>
        <v>0</v>
      </c>
      <c r="N170" s="488">
        <f ca="1">+'SUMIN -HOJA3'!AD172</f>
        <v>0</v>
      </c>
      <c r="O170" s="488">
        <f ca="1">+'SUMIN -HOJA3'!AE172</f>
        <v>0</v>
      </c>
      <c r="P170" s="488">
        <f ca="1">+'SUMIN -HOJA3'!AF172</f>
        <v>0</v>
      </c>
      <c r="Q170" s="488">
        <f ca="1">+'SUMIN -HOJA3'!AG172</f>
        <v>0</v>
      </c>
      <c r="R170" s="3195">
        <f ca="1">+'SUMIN -HOJA3'!AH172</f>
        <v>0</v>
      </c>
    </row>
    <row r="171" spans="6:18" hidden="1" x14ac:dyDescent="0.25">
      <c r="F171" s="3194" t="str">
        <f>+CONCATENATE('SUMIN -HOJA3'!Q173," (",'SUMIN -HOJA3'!W173,")",)</f>
        <v>Med. Comun.-Asent. Res-Residencial (N2-UR5)</v>
      </c>
      <c r="G171" s="2726">
        <f ca="1">+'SUMIN -HOJA3'!X173</f>
        <v>0</v>
      </c>
      <c r="H171" s="2726"/>
      <c r="I171" s="2726">
        <f>+'SUMIN -HOJA3'!V173</f>
        <v>0</v>
      </c>
      <c r="J171" s="488">
        <f ca="1">+'SUMIN -HOJA3'!Z173</f>
        <v>0</v>
      </c>
      <c r="K171" s="488">
        <f ca="1">+'SUMIN -HOJA3'!AA173</f>
        <v>0</v>
      </c>
      <c r="L171" s="488">
        <f ca="1">+'SUMIN -HOJA3'!AB173</f>
        <v>0</v>
      </c>
      <c r="M171" s="488">
        <f ca="1">+'SUMIN -HOJA3'!AC173</f>
        <v>0</v>
      </c>
      <c r="N171" s="488">
        <f ca="1">+'SUMIN -HOJA3'!AD173</f>
        <v>0</v>
      </c>
      <c r="O171" s="488">
        <f ca="1">+'SUMIN -HOJA3'!AE173</f>
        <v>0</v>
      </c>
      <c r="P171" s="488">
        <f ca="1">+'SUMIN -HOJA3'!AF173</f>
        <v>0</v>
      </c>
      <c r="Q171" s="488">
        <f ca="1">+'SUMIN -HOJA3'!AG173</f>
        <v>0</v>
      </c>
      <c r="R171" s="3195">
        <f ca="1">+'SUMIN -HOJA3'!AH173</f>
        <v>0</v>
      </c>
    </row>
    <row r="172" spans="6:18" hidden="1" x14ac:dyDescent="0.25">
      <c r="F172" s="3194"/>
      <c r="G172" s="2726"/>
      <c r="H172" s="2726"/>
      <c r="I172" s="2726"/>
      <c r="J172" s="488"/>
      <c r="K172" s="488"/>
      <c r="L172" s="488"/>
      <c r="M172" s="488"/>
      <c r="N172" s="488"/>
      <c r="O172" s="488"/>
      <c r="P172" s="488"/>
      <c r="Q172" s="488"/>
      <c r="R172" s="3195"/>
    </row>
    <row r="173" spans="6:18" ht="15.75" hidden="1" thickBot="1" x14ac:dyDescent="0.3">
      <c r="F173" s="3196" t="s">
        <v>4</v>
      </c>
      <c r="G173" s="3197">
        <f ca="1">+'SUMIN -HOJA3'!X175</f>
        <v>0</v>
      </c>
      <c r="H173" s="3197"/>
      <c r="I173" s="3197">
        <f>+'SUMIN -HOJA3'!V175</f>
        <v>0</v>
      </c>
      <c r="J173" s="3198">
        <f ca="1">+'SUMIN -HOJA3'!Z175</f>
        <v>0</v>
      </c>
      <c r="K173" s="3198">
        <f ca="1">+'SUMIN -HOJA3'!AA175</f>
        <v>0</v>
      </c>
      <c r="L173" s="3198">
        <f ca="1">+'SUMIN -HOJA3'!AB175</f>
        <v>0</v>
      </c>
      <c r="M173" s="3198">
        <f ca="1">+'SUMIN -HOJA3'!AC175</f>
        <v>0</v>
      </c>
      <c r="N173" s="3198">
        <f ca="1">+'SUMIN -HOJA3'!AD175</f>
        <v>0</v>
      </c>
      <c r="O173" s="3198">
        <f ca="1">+'SUMIN -HOJA3'!AE175</f>
        <v>0</v>
      </c>
      <c r="P173" s="3198">
        <f ca="1">+'SUMIN -HOJA3'!AF175</f>
        <v>0</v>
      </c>
      <c r="Q173" s="3198">
        <f ca="1">+'SUMIN -HOJA3'!AG175</f>
        <v>0</v>
      </c>
      <c r="R173" s="3199">
        <f ca="1">+'SUMIN -HOJA3'!AH175</f>
        <v>0</v>
      </c>
    </row>
    <row r="174" spans="6:18" hidden="1" x14ac:dyDescent="0.25"/>
    <row r="175" spans="6:18" hidden="1" x14ac:dyDescent="0.25"/>
    <row r="176" spans="6:18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</sheetData>
  <sheetProtection algorithmName="SHA-512" hashValue="+MbNiQphugKyUrz/a81Zf2R3IDu/bLgcNOl9f/t3pych7e6oC+lxB3qV/csU/lZkQCLW73+jFk+K99OfT0abLw==" saltValue="pCbVmG6EU/0WAc2QQ4hoOg==" spinCount="100000" sheet="1" objects="1" scenarios="1"/>
  <mergeCells count="126">
    <mergeCell ref="J135:L135"/>
    <mergeCell ref="M135:O135"/>
    <mergeCell ref="P135:R135"/>
    <mergeCell ref="J151:L151"/>
    <mergeCell ref="M151:O151"/>
    <mergeCell ref="P151:R151"/>
    <mergeCell ref="A42:E42"/>
    <mergeCell ref="A43:E43"/>
    <mergeCell ref="A1:I1"/>
    <mergeCell ref="A21:E21"/>
    <mergeCell ref="A27:E27"/>
    <mergeCell ref="A28:E28"/>
    <mergeCell ref="A29:E29"/>
    <mergeCell ref="A30:E30"/>
    <mergeCell ref="A31:E31"/>
    <mergeCell ref="A32:E32"/>
    <mergeCell ref="A33:E33"/>
    <mergeCell ref="A20:I20"/>
    <mergeCell ref="A36:E36"/>
    <mergeCell ref="A37:E37"/>
    <mergeCell ref="A38:E38"/>
    <mergeCell ref="A39:E39"/>
    <mergeCell ref="A40:E40"/>
    <mergeCell ref="A41:E41"/>
    <mergeCell ref="A34:E34"/>
    <mergeCell ref="A35:E35"/>
    <mergeCell ref="A22:E22"/>
    <mergeCell ref="A23:E23"/>
    <mergeCell ref="A24:E24"/>
    <mergeCell ref="A25:E25"/>
    <mergeCell ref="A26:E26"/>
    <mergeCell ref="A48:E48"/>
    <mergeCell ref="A49:E49"/>
    <mergeCell ref="A50:E50"/>
    <mergeCell ref="A51:E51"/>
    <mergeCell ref="A52:E52"/>
    <mergeCell ref="A53:E53"/>
    <mergeCell ref="A44:E44"/>
    <mergeCell ref="A45:E45"/>
    <mergeCell ref="A46:E46"/>
    <mergeCell ref="A47:E47"/>
    <mergeCell ref="A60:E60"/>
    <mergeCell ref="A61:E61"/>
    <mergeCell ref="A62:E62"/>
    <mergeCell ref="A63:E63"/>
    <mergeCell ref="A64:E64"/>
    <mergeCell ref="A65:E65"/>
    <mergeCell ref="A54:E54"/>
    <mergeCell ref="A55:E55"/>
    <mergeCell ref="A56:E56"/>
    <mergeCell ref="A57:E57"/>
    <mergeCell ref="A58:E58"/>
    <mergeCell ref="A59:E59"/>
    <mergeCell ref="A72:E72"/>
    <mergeCell ref="A73:E73"/>
    <mergeCell ref="A74:E74"/>
    <mergeCell ref="A75:E75"/>
    <mergeCell ref="A76:E76"/>
    <mergeCell ref="A77:E77"/>
    <mergeCell ref="A66:E66"/>
    <mergeCell ref="A67:E67"/>
    <mergeCell ref="A68:E68"/>
    <mergeCell ref="A69:E69"/>
    <mergeCell ref="A70:E70"/>
    <mergeCell ref="A71:E71"/>
    <mergeCell ref="A84:E84"/>
    <mergeCell ref="A85:E85"/>
    <mergeCell ref="A86:E86"/>
    <mergeCell ref="A87:E87"/>
    <mergeCell ref="A88:E88"/>
    <mergeCell ref="A89:E89"/>
    <mergeCell ref="A78:E78"/>
    <mergeCell ref="A79:E79"/>
    <mergeCell ref="A80:E80"/>
    <mergeCell ref="A81:E81"/>
    <mergeCell ref="A82:E82"/>
    <mergeCell ref="A83:E83"/>
    <mergeCell ref="A96:E96"/>
    <mergeCell ref="A97:E97"/>
    <mergeCell ref="A98:E98"/>
    <mergeCell ref="A99:E99"/>
    <mergeCell ref="A100:E100"/>
    <mergeCell ref="A101:E101"/>
    <mergeCell ref="A90:E90"/>
    <mergeCell ref="A91:E91"/>
    <mergeCell ref="A92:E92"/>
    <mergeCell ref="A93:E93"/>
    <mergeCell ref="A94:E94"/>
    <mergeCell ref="A95:E95"/>
    <mergeCell ref="A105:E105"/>
    <mergeCell ref="A128:E128"/>
    <mergeCell ref="A129:E129"/>
    <mergeCell ref="A130:E130"/>
    <mergeCell ref="A131:E131"/>
    <mergeCell ref="A120:E120"/>
    <mergeCell ref="A121:E121"/>
    <mergeCell ref="A122:E122"/>
    <mergeCell ref="A123:E123"/>
    <mergeCell ref="A124:E124"/>
    <mergeCell ref="A125:E125"/>
    <mergeCell ref="A106:E106"/>
    <mergeCell ref="A107:E107"/>
    <mergeCell ref="J15:L15"/>
    <mergeCell ref="J20:L20"/>
    <mergeCell ref="M20:O20"/>
    <mergeCell ref="P20:R20"/>
    <mergeCell ref="J12:L12"/>
    <mergeCell ref="M12:O12"/>
    <mergeCell ref="P12:R12"/>
    <mergeCell ref="A126:E126"/>
    <mergeCell ref="A127:E127"/>
    <mergeCell ref="A114:E114"/>
    <mergeCell ref="A115:E115"/>
    <mergeCell ref="A116:E116"/>
    <mergeCell ref="A117:E117"/>
    <mergeCell ref="A118:E118"/>
    <mergeCell ref="A119:E119"/>
    <mergeCell ref="A108:E108"/>
    <mergeCell ref="A109:E109"/>
    <mergeCell ref="A110:E110"/>
    <mergeCell ref="A111:E111"/>
    <mergeCell ref="A112:E112"/>
    <mergeCell ref="A113:E113"/>
    <mergeCell ref="A102:E102"/>
    <mergeCell ref="A103:E103"/>
    <mergeCell ref="A104:E104"/>
  </mergeCells>
  <pageMargins left="0.70866141732283472" right="0.70866141732283472" top="0.74803149606299213" bottom="0.74803149606299213" header="0.31496062992125984" footer="0.31496062992125984"/>
  <pageSetup scale="12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N1014"/>
  <sheetViews>
    <sheetView topLeftCell="C436" zoomScale="54" zoomScaleNormal="54" workbookViewId="0">
      <selection activeCell="G444" sqref="G444"/>
    </sheetView>
  </sheetViews>
  <sheetFormatPr baseColWidth="10" defaultColWidth="12.5703125" defaultRowHeight="12.75" x14ac:dyDescent="0.2"/>
  <cols>
    <col min="1" max="1" width="18.5703125" style="9" customWidth="1"/>
    <col min="2" max="2" width="21.5703125" style="9" customWidth="1"/>
    <col min="3" max="3" width="53.42578125" style="9" customWidth="1"/>
    <col min="4" max="4" width="43.5703125" style="9" customWidth="1"/>
    <col min="5" max="5" width="90.5703125" style="9" bestFit="1" customWidth="1"/>
    <col min="6" max="6" width="55.42578125" style="9" customWidth="1"/>
    <col min="7" max="7" width="37.85546875" style="9" customWidth="1"/>
    <col min="8" max="8" width="31.85546875" style="9" customWidth="1"/>
    <col min="9" max="11" width="32.5703125" style="9" customWidth="1"/>
    <col min="12" max="12" width="32" style="9" customWidth="1"/>
    <col min="13" max="13" width="43.5703125" style="9" customWidth="1"/>
    <col min="14" max="14" width="28.42578125" style="9" customWidth="1"/>
    <col min="15" max="15" width="28.5703125" style="9" customWidth="1"/>
    <col min="16" max="16" width="26.42578125" style="9" customWidth="1"/>
    <col min="17" max="17" width="29.42578125" style="9" customWidth="1"/>
    <col min="18" max="18" width="25.5703125" style="9" customWidth="1"/>
    <col min="19" max="19" width="25" style="9" hidden="1" customWidth="1"/>
    <col min="20" max="20" width="23.42578125" style="9" hidden="1" customWidth="1"/>
    <col min="21" max="21" width="20" style="9" hidden="1" customWidth="1"/>
    <col min="22" max="22" width="17.42578125" style="9" hidden="1" customWidth="1"/>
    <col min="23" max="23" width="22" style="9" hidden="1" customWidth="1"/>
    <col min="24" max="26" width="11.42578125" style="9" hidden="1" customWidth="1"/>
    <col min="27" max="27" width="17.5703125" style="9" hidden="1" customWidth="1"/>
    <col min="28" max="28" width="18.42578125" style="9" hidden="1" customWidth="1"/>
    <col min="29" max="29" width="19.42578125" style="9" hidden="1" customWidth="1"/>
    <col min="30" max="54" width="11.42578125" style="9" hidden="1" customWidth="1"/>
    <col min="55" max="55" width="185.42578125" style="9" hidden="1" customWidth="1"/>
    <col min="56" max="67" width="12.5703125" style="9" hidden="1" customWidth="1"/>
    <col min="68" max="68" width="21.5703125" style="9" hidden="1" customWidth="1"/>
    <col min="69" max="124" width="12.5703125" style="9" hidden="1" customWidth="1"/>
    <col min="125" max="16384" width="12.5703125" style="9"/>
  </cols>
  <sheetData>
    <row r="1" spans="1:67" ht="207" customHeight="1" thickBot="1" x14ac:dyDescent="0.25">
      <c r="A1" s="3835" t="s">
        <v>495</v>
      </c>
      <c r="B1" s="3836"/>
      <c r="C1" s="3836"/>
      <c r="D1" s="3836"/>
      <c r="E1" s="3836"/>
      <c r="F1" s="3836"/>
      <c r="G1" s="3836"/>
      <c r="H1" s="3836"/>
      <c r="I1" s="3836"/>
      <c r="J1" s="3836"/>
      <c r="K1" s="3836"/>
      <c r="AA1" s="3832" t="s">
        <v>75</v>
      </c>
      <c r="AB1" s="3833"/>
      <c r="AC1" s="3833"/>
      <c r="AD1" s="3834"/>
    </row>
    <row r="2" spans="1:67" ht="24" customHeight="1" thickBot="1" x14ac:dyDescent="0.45">
      <c r="A2" s="536"/>
      <c r="B2" s="537" t="s">
        <v>76</v>
      </c>
      <c r="C2" s="8"/>
      <c r="D2" s="3847"/>
      <c r="E2" s="3848"/>
      <c r="F2" s="3848"/>
      <c r="G2" s="3848"/>
      <c r="H2" s="3849"/>
      <c r="I2" s="538"/>
      <c r="J2" s="539"/>
      <c r="AA2" s="2123"/>
      <c r="AB2" s="540"/>
      <c r="AC2" s="540"/>
      <c r="AD2" s="540"/>
      <c r="AG2" s="541" t="s">
        <v>23</v>
      </c>
      <c r="AH2" s="541">
        <v>1.4800000000000001E-2</v>
      </c>
      <c r="AI2" s="541">
        <v>4.2799999999999998E-2</v>
      </c>
      <c r="BI2" s="1956" t="s">
        <v>77</v>
      </c>
    </row>
    <row r="3" spans="1:67" ht="27.75" customHeight="1" thickBot="1" x14ac:dyDescent="0.45">
      <c r="A3" s="536"/>
      <c r="B3" s="537" t="s">
        <v>78</v>
      </c>
      <c r="C3" s="8"/>
      <c r="D3" s="3867"/>
      <c r="E3" s="3868"/>
      <c r="F3" s="3868"/>
      <c r="G3" s="3868"/>
      <c r="H3" s="3869"/>
      <c r="AA3" s="2123"/>
      <c r="AB3" s="540"/>
      <c r="AC3" s="540"/>
      <c r="AD3" s="540"/>
      <c r="AG3" s="541" t="s">
        <v>24</v>
      </c>
      <c r="AH3" s="541">
        <v>6.7799999999999999E-2</v>
      </c>
      <c r="AI3" s="541">
        <v>9.7299999999999998E-2</v>
      </c>
      <c r="BI3" s="1956" t="s">
        <v>79</v>
      </c>
      <c r="BL3" s="542" t="s">
        <v>23</v>
      </c>
      <c r="BM3" s="9" t="s">
        <v>23</v>
      </c>
      <c r="BN3" s="9">
        <v>1.4800000000000001E-2</v>
      </c>
      <c r="BO3" s="9">
        <v>4.2799999999999998E-2</v>
      </c>
    </row>
    <row r="4" spans="1:67" ht="26.25" customHeight="1" thickBot="1" x14ac:dyDescent="0.45">
      <c r="A4" s="536"/>
      <c r="B4" s="537" t="s">
        <v>80</v>
      </c>
      <c r="C4" s="543"/>
      <c r="D4" s="543"/>
      <c r="E4" s="543"/>
      <c r="F4" s="4850">
        <f>+'Compra -HOJA1'!F4</f>
        <v>45536</v>
      </c>
      <c r="G4" s="4851"/>
      <c r="H4" s="4852"/>
      <c r="I4" s="10"/>
      <c r="J4" s="10"/>
      <c r="K4" s="10"/>
      <c r="L4" s="10"/>
      <c r="M4" s="10"/>
      <c r="N4" s="10"/>
      <c r="O4" s="10"/>
      <c r="P4" s="10"/>
      <c r="Q4" s="10"/>
      <c r="Y4" s="544">
        <v>37987</v>
      </c>
      <c r="Z4" s="9">
        <v>31</v>
      </c>
      <c r="AA4" s="2123"/>
      <c r="AB4" s="540"/>
      <c r="AC4" s="540"/>
      <c r="AD4" s="540"/>
      <c r="BI4" s="1956" t="s">
        <v>81</v>
      </c>
      <c r="BL4" s="542" t="s">
        <v>82</v>
      </c>
      <c r="BM4" s="9" t="s">
        <v>24</v>
      </c>
      <c r="BN4" s="9">
        <v>6.7799999999999999E-2</v>
      </c>
      <c r="BO4" s="9">
        <v>9.7299999999999998E-2</v>
      </c>
    </row>
    <row r="5" spans="1:67" ht="18" customHeight="1" x14ac:dyDescent="0.2">
      <c r="A5" s="536"/>
      <c r="B5" s="8"/>
      <c r="C5" s="543"/>
      <c r="D5" s="543"/>
      <c r="E5" s="543"/>
      <c r="F5" s="543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Y5" s="544">
        <v>38018</v>
      </c>
      <c r="Z5" s="9">
        <v>29</v>
      </c>
      <c r="AA5" s="2123"/>
      <c r="AB5" s="540"/>
      <c r="AC5" s="540"/>
      <c r="AD5" s="540"/>
      <c r="BI5" s="1956" t="s">
        <v>83</v>
      </c>
    </row>
    <row r="6" spans="1:67" ht="60" customHeight="1" x14ac:dyDescent="0.4">
      <c r="A6" s="536"/>
      <c r="B6" s="537"/>
      <c r="C6" s="543"/>
      <c r="D6" s="543"/>
      <c r="E6" s="543"/>
      <c r="F6" s="3826" t="s">
        <v>84</v>
      </c>
      <c r="G6" s="3826"/>
      <c r="H6" s="3826"/>
      <c r="I6" s="2616" t="str">
        <f>+'Compra -HOJA1'!I6</f>
        <v>MT</v>
      </c>
      <c r="M6" s="10"/>
      <c r="N6" s="10"/>
      <c r="O6" s="10"/>
      <c r="P6" s="10"/>
      <c r="Q6" s="10"/>
      <c r="S6" s="3861" t="s">
        <v>85</v>
      </c>
      <c r="T6" s="3862"/>
      <c r="U6" s="3862"/>
      <c r="V6" s="3862"/>
      <c r="Y6" s="544">
        <v>38047</v>
      </c>
      <c r="Z6" s="9">
        <v>31</v>
      </c>
      <c r="AA6" s="2123"/>
      <c r="AB6" s="540"/>
      <c r="AC6" s="540"/>
      <c r="AD6" s="540"/>
    </row>
    <row r="7" spans="1:67" ht="20.25" customHeight="1" thickBot="1" x14ac:dyDescent="0.25">
      <c r="A7" s="536"/>
      <c r="B7" s="8"/>
      <c r="C7" s="543"/>
      <c r="D7" s="543"/>
      <c r="E7" s="543"/>
      <c r="F7" s="543"/>
      <c r="G7" s="10"/>
      <c r="H7" s="10"/>
      <c r="I7" s="10"/>
      <c r="M7" s="10"/>
      <c r="N7" s="10"/>
      <c r="O7" s="10"/>
      <c r="P7" s="10"/>
      <c r="Q7" s="10"/>
      <c r="S7" s="540" t="s">
        <v>5</v>
      </c>
      <c r="T7" s="540" t="s">
        <v>6</v>
      </c>
      <c r="U7" s="540" t="s">
        <v>7</v>
      </c>
      <c r="V7" s="33"/>
      <c r="Y7" s="544">
        <v>38078</v>
      </c>
      <c r="Z7" s="9">
        <v>30</v>
      </c>
      <c r="AA7" s="2123"/>
      <c r="AB7" s="540"/>
      <c r="AC7" s="540"/>
      <c r="AD7" s="540"/>
    </row>
    <row r="8" spans="1:67" ht="18" customHeight="1" thickBot="1" x14ac:dyDescent="0.35">
      <c r="A8" s="536"/>
      <c r="B8" s="547"/>
      <c r="C8" s="3827" t="s">
        <v>86</v>
      </c>
      <c r="D8" s="3827"/>
      <c r="E8" s="3827"/>
      <c r="F8" s="3823" t="s">
        <v>87</v>
      </c>
      <c r="G8" s="3824"/>
      <c r="H8" s="3824"/>
      <c r="I8" s="3825"/>
      <c r="J8" s="548"/>
      <c r="K8" s="548"/>
      <c r="L8" s="548"/>
      <c r="M8" s="548"/>
      <c r="N8" s="548"/>
      <c r="O8" s="548"/>
      <c r="P8" s="548"/>
      <c r="Q8" s="548"/>
      <c r="Y8" s="544">
        <v>38108</v>
      </c>
      <c r="Z8" s="9">
        <v>31</v>
      </c>
      <c r="AA8" s="2123"/>
      <c r="AB8" s="540"/>
      <c r="AC8" s="540"/>
      <c r="AD8" s="540"/>
    </row>
    <row r="9" spans="1:67" ht="20.25" x14ac:dyDescent="0.3">
      <c r="A9" s="536"/>
      <c r="B9" s="547"/>
      <c r="C9" s="3828"/>
      <c r="D9" s="3828"/>
      <c r="E9" s="3828"/>
      <c r="F9" s="549" t="s">
        <v>4</v>
      </c>
      <c r="G9" s="550" t="s">
        <v>5</v>
      </c>
      <c r="H9" s="550" t="s">
        <v>6</v>
      </c>
      <c r="I9" s="550" t="s">
        <v>7</v>
      </c>
      <c r="J9" s="548"/>
      <c r="K9" s="548"/>
      <c r="L9" s="548"/>
      <c r="M9" s="548"/>
      <c r="N9" s="548"/>
      <c r="O9" s="548"/>
      <c r="P9" s="548"/>
      <c r="Q9" s="548"/>
      <c r="S9" s="84" t="s">
        <v>89</v>
      </c>
      <c r="T9" s="84" t="s">
        <v>90</v>
      </c>
      <c r="U9" s="84" t="s">
        <v>91</v>
      </c>
      <c r="Y9" s="544">
        <v>38139</v>
      </c>
      <c r="Z9" s="9">
        <v>30</v>
      </c>
      <c r="AA9" s="2123"/>
      <c r="AB9" s="540"/>
      <c r="AC9" s="540"/>
      <c r="AD9" s="540"/>
    </row>
    <row r="10" spans="1:67" ht="36.75" customHeight="1" x14ac:dyDescent="0.4">
      <c r="A10" s="536"/>
      <c r="B10" s="551" t="s">
        <v>77</v>
      </c>
      <c r="C10" s="3842" t="s">
        <v>92</v>
      </c>
      <c r="D10" s="3843"/>
      <c r="E10" s="3844"/>
      <c r="F10" s="552">
        <f>SUM(G10:I10)</f>
        <v>0</v>
      </c>
      <c r="G10" s="2617">
        <f>+'Compra -HOJA1'!G10</f>
        <v>0</v>
      </c>
      <c r="H10" s="2617">
        <f>+'Compra -HOJA1'!H10</f>
        <v>0</v>
      </c>
      <c r="I10" s="2617">
        <f>+'Compra -HOJA1'!I10</f>
        <v>0</v>
      </c>
      <c r="J10" s="553"/>
      <c r="K10" s="553"/>
      <c r="L10" s="553"/>
      <c r="M10" s="553"/>
      <c r="N10" s="553"/>
      <c r="O10" s="553"/>
      <c r="P10" s="553"/>
      <c r="Q10" s="553"/>
      <c r="S10" s="44" t="e">
        <f>(G10/SUM(G10:I10))</f>
        <v>#DIV/0!</v>
      </c>
      <c r="T10" s="44" t="e">
        <f>H10/(SUM(G10:I10))</f>
        <v>#DIV/0!</v>
      </c>
      <c r="U10" s="44" t="e">
        <f>I10/(SUM(G10:I10))</f>
        <v>#DIV/0!</v>
      </c>
      <c r="Y10" s="544">
        <v>38169</v>
      </c>
      <c r="Z10" s="9">
        <v>31</v>
      </c>
      <c r="AA10" s="2123"/>
      <c r="AB10" s="540"/>
      <c r="AC10" s="540"/>
      <c r="AD10" s="540"/>
    </row>
    <row r="11" spans="1:67" ht="20.25" x14ac:dyDescent="0.3">
      <c r="A11" s="536"/>
      <c r="B11" s="554"/>
      <c r="C11" s="555"/>
      <c r="D11" s="555"/>
      <c r="E11" s="556"/>
      <c r="F11" s="556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Y11" s="544">
        <v>38200</v>
      </c>
      <c r="Z11" s="9">
        <v>31</v>
      </c>
      <c r="AA11" s="2123"/>
      <c r="AB11" s="540"/>
      <c r="AC11" s="540"/>
      <c r="AD11" s="540"/>
    </row>
    <row r="12" spans="1:67" ht="20.25" customHeight="1" x14ac:dyDescent="0.2">
      <c r="A12" s="536"/>
      <c r="B12" s="557"/>
      <c r="C12" s="3827" t="s">
        <v>93</v>
      </c>
      <c r="D12" s="3827"/>
      <c r="E12" s="3827"/>
      <c r="F12" s="558"/>
      <c r="G12" s="3871" t="s">
        <v>94</v>
      </c>
      <c r="H12" s="3717"/>
      <c r="I12" s="3717"/>
      <c r="J12" s="548"/>
      <c r="K12" s="548"/>
      <c r="L12" s="548"/>
      <c r="M12" s="548"/>
      <c r="N12" s="548"/>
      <c r="O12" s="548"/>
      <c r="P12" s="548"/>
      <c r="Q12" s="548"/>
      <c r="Y12" s="544">
        <v>38231</v>
      </c>
      <c r="Z12" s="9">
        <v>30</v>
      </c>
      <c r="AA12" s="540" t="s">
        <v>5</v>
      </c>
      <c r="AB12" s="540" t="s">
        <v>6</v>
      </c>
      <c r="AC12" s="540" t="s">
        <v>7</v>
      </c>
      <c r="AD12" s="33"/>
    </row>
    <row r="13" spans="1:67" ht="20.25" x14ac:dyDescent="0.2">
      <c r="A13" s="536"/>
      <c r="B13" s="557"/>
      <c r="C13" s="3828"/>
      <c r="D13" s="3828"/>
      <c r="E13" s="3828"/>
      <c r="F13" s="558"/>
      <c r="G13" s="560" t="s">
        <v>5</v>
      </c>
      <c r="H13" s="561" t="s">
        <v>6</v>
      </c>
      <c r="I13" s="561" t="s">
        <v>7</v>
      </c>
      <c r="J13" s="548"/>
      <c r="K13" s="548"/>
      <c r="L13" s="548"/>
      <c r="M13" s="548"/>
      <c r="N13" s="548"/>
      <c r="O13" s="548"/>
      <c r="P13" s="548"/>
      <c r="Q13" s="548"/>
      <c r="Y13" s="544">
        <v>38261</v>
      </c>
      <c r="Z13" s="9">
        <v>31</v>
      </c>
      <c r="AA13" s="562" t="e">
        <f>(G10-G14-G52-#REF!-G53-#REF!-G67-#REF!-G68-#REF!-#REF!)</f>
        <v>#REF!</v>
      </c>
      <c r="AB13" s="562" t="e">
        <f>(H10-H14-H52-#REF!-H53-#REF!-H67-#REF!-H68-#REF!-#REF!)</f>
        <v>#REF!</v>
      </c>
      <c r="AC13" s="562" t="e">
        <f>(I10-I14-I52-#REF!-I53-#REF!-I67-#REF!-I68-#REF!-#REF!)</f>
        <v>#REF!</v>
      </c>
      <c r="AD13" s="10"/>
    </row>
    <row r="14" spans="1:67" ht="36" customHeight="1" x14ac:dyDescent="0.3">
      <c r="A14" s="536"/>
      <c r="B14" s="551" t="s">
        <v>79</v>
      </c>
      <c r="C14" s="3842" t="s">
        <v>95</v>
      </c>
      <c r="D14" s="3843"/>
      <c r="E14" s="3844"/>
      <c r="F14" s="563">
        <f>SUM(G14:I14)</f>
        <v>0</v>
      </c>
      <c r="G14" s="2618">
        <f>+'Compra -HOJA1'!G14</f>
        <v>0</v>
      </c>
      <c r="H14" s="2618">
        <f>+'Compra -HOJA1'!H14</f>
        <v>0</v>
      </c>
      <c r="I14" s="2618">
        <f>+'Compra -HOJA1'!I14</f>
        <v>0</v>
      </c>
      <c r="J14" s="12"/>
      <c r="K14" s="12"/>
      <c r="L14" s="12"/>
      <c r="M14" s="12"/>
      <c r="N14" s="12"/>
      <c r="O14" s="12"/>
      <c r="P14" s="12"/>
      <c r="Q14" s="12"/>
      <c r="Y14" s="544">
        <v>38292</v>
      </c>
      <c r="Z14" s="9">
        <v>30</v>
      </c>
      <c r="AA14" s="3861" t="s">
        <v>96</v>
      </c>
      <c r="AB14" s="3862"/>
      <c r="AC14" s="3862"/>
      <c r="AD14" s="3862"/>
    </row>
    <row r="15" spans="1:67" ht="15" x14ac:dyDescent="0.2">
      <c r="A15" s="536"/>
      <c r="B15" s="564"/>
      <c r="C15" s="556"/>
      <c r="D15" s="556"/>
      <c r="E15" s="556"/>
      <c r="F15" s="565"/>
      <c r="G15" s="3870"/>
      <c r="H15" s="3870"/>
      <c r="I15" s="565"/>
      <c r="J15" s="233"/>
      <c r="K15" s="12"/>
      <c r="L15" s="12"/>
      <c r="M15" s="12"/>
      <c r="N15" s="12"/>
      <c r="O15" s="12"/>
      <c r="P15" s="12"/>
      <c r="Q15" s="12"/>
      <c r="Y15" s="544">
        <v>38322</v>
      </c>
      <c r="Z15" s="9">
        <v>31</v>
      </c>
      <c r="AA15" s="540" t="s">
        <v>5</v>
      </c>
      <c r="AB15" s="540" t="s">
        <v>6</v>
      </c>
      <c r="AC15" s="540" t="s">
        <v>7</v>
      </c>
      <c r="AD15" s="33"/>
    </row>
    <row r="16" spans="1:67" ht="15" x14ac:dyDescent="0.2">
      <c r="A16" s="536"/>
      <c r="B16" s="564"/>
      <c r="C16" s="556"/>
      <c r="D16" s="556"/>
      <c r="E16" s="556"/>
      <c r="F16" s="566"/>
      <c r="G16" s="566"/>
      <c r="H16" s="566"/>
      <c r="I16" s="566"/>
      <c r="J16" s="566"/>
      <c r="K16" s="12"/>
      <c r="L16" s="12"/>
      <c r="M16" s="12"/>
      <c r="N16" s="12"/>
      <c r="O16" s="12"/>
      <c r="P16" s="12"/>
      <c r="Q16" s="12"/>
      <c r="Y16" s="544"/>
      <c r="AA16" s="540"/>
      <c r="AB16" s="540"/>
      <c r="AC16" s="540"/>
    </row>
    <row r="17" spans="1:29" ht="54" hidden="1" customHeight="1" x14ac:dyDescent="0.2">
      <c r="A17" s="536"/>
      <c r="B17" s="567">
        <v>1</v>
      </c>
      <c r="C17" s="4826" t="s">
        <v>496</v>
      </c>
      <c r="D17" s="4827"/>
      <c r="E17" s="568" t="s">
        <v>497</v>
      </c>
      <c r="F17" s="569"/>
      <c r="G17" s="569"/>
      <c r="H17" s="569"/>
      <c r="I17" s="569"/>
      <c r="J17" s="12"/>
      <c r="K17" s="12"/>
      <c r="L17" s="12"/>
      <c r="M17" s="12"/>
      <c r="N17" s="12"/>
      <c r="O17" s="12"/>
      <c r="P17" s="12"/>
      <c r="Q17" s="12"/>
      <c r="Y17" s="544"/>
      <c r="AA17" s="540"/>
      <c r="AB17" s="540"/>
      <c r="AC17" s="540"/>
    </row>
    <row r="18" spans="1:29" ht="54" hidden="1" customHeight="1" x14ac:dyDescent="0.2">
      <c r="A18" s="536"/>
      <c r="B18" s="567">
        <v>2</v>
      </c>
      <c r="C18" s="4828"/>
      <c r="D18" s="4829"/>
      <c r="E18" s="568" t="s">
        <v>498</v>
      </c>
      <c r="F18" s="569"/>
      <c r="G18" s="569"/>
      <c r="H18" s="569"/>
      <c r="I18" s="569"/>
      <c r="J18" s="12"/>
      <c r="K18" s="12"/>
      <c r="L18" s="12"/>
      <c r="M18" s="12"/>
      <c r="N18" s="12"/>
      <c r="O18" s="12"/>
      <c r="P18" s="12"/>
      <c r="Q18" s="12"/>
      <c r="Y18" s="544"/>
      <c r="AA18" s="540"/>
      <c r="AB18" s="540"/>
      <c r="AC18" s="540"/>
    </row>
    <row r="19" spans="1:29" ht="54" hidden="1" customHeight="1" x14ac:dyDescent="0.2">
      <c r="A19" s="536"/>
      <c r="B19" s="567">
        <v>3</v>
      </c>
      <c r="C19" s="4828"/>
      <c r="D19" s="4829"/>
      <c r="E19" s="568"/>
      <c r="F19" s="569"/>
      <c r="G19" s="569"/>
      <c r="H19" s="569"/>
      <c r="I19" s="569"/>
      <c r="J19" s="12"/>
      <c r="K19" s="12"/>
      <c r="L19" s="12"/>
      <c r="M19" s="12"/>
      <c r="N19" s="12"/>
      <c r="O19" s="12"/>
      <c r="P19" s="12"/>
      <c r="Q19" s="12"/>
      <c r="Y19" s="544"/>
      <c r="AA19" s="540"/>
      <c r="AB19" s="540"/>
      <c r="AC19" s="540"/>
    </row>
    <row r="20" spans="1:29" ht="54" hidden="1" customHeight="1" x14ac:dyDescent="0.2">
      <c r="A20" s="536"/>
      <c r="B20" s="567">
        <v>4</v>
      </c>
      <c r="C20" s="4828"/>
      <c r="D20" s="4829"/>
      <c r="E20" s="568"/>
      <c r="F20" s="569"/>
      <c r="G20" s="569"/>
      <c r="H20" s="569"/>
      <c r="I20" s="569"/>
      <c r="J20" s="12"/>
      <c r="K20" s="12"/>
      <c r="L20" s="12"/>
      <c r="M20" s="12"/>
      <c r="N20" s="12"/>
      <c r="O20" s="12"/>
      <c r="P20" s="12"/>
      <c r="Q20" s="12"/>
      <c r="Y20" s="544"/>
      <c r="AA20" s="540"/>
      <c r="AB20" s="540"/>
      <c r="AC20" s="540"/>
    </row>
    <row r="21" spans="1:29" ht="54" hidden="1" customHeight="1" x14ac:dyDescent="0.2">
      <c r="A21" s="536"/>
      <c r="B21" s="567">
        <v>5</v>
      </c>
      <c r="C21" s="4828"/>
      <c r="D21" s="4829"/>
      <c r="E21" s="568"/>
      <c r="F21" s="569"/>
      <c r="G21" s="569"/>
      <c r="H21" s="569"/>
      <c r="I21" s="569"/>
      <c r="J21" s="12"/>
      <c r="K21" s="12"/>
      <c r="L21" s="12"/>
      <c r="M21" s="12"/>
      <c r="N21" s="12"/>
      <c r="O21" s="12"/>
      <c r="P21" s="12"/>
      <c r="Q21" s="12"/>
      <c r="Y21" s="544"/>
      <c r="AA21" s="540"/>
      <c r="AB21" s="540"/>
      <c r="AC21" s="540"/>
    </row>
    <row r="22" spans="1:29" ht="54" hidden="1" customHeight="1" x14ac:dyDescent="0.2">
      <c r="A22" s="536"/>
      <c r="B22" s="567">
        <v>6</v>
      </c>
      <c r="C22" s="4828"/>
      <c r="D22" s="4829"/>
      <c r="E22" s="568"/>
      <c r="F22" s="569"/>
      <c r="G22" s="569"/>
      <c r="H22" s="569"/>
      <c r="I22" s="569"/>
      <c r="J22" s="12"/>
      <c r="K22" s="12"/>
      <c r="L22" s="12"/>
      <c r="M22" s="12"/>
      <c r="N22" s="12"/>
      <c r="O22" s="12"/>
      <c r="P22" s="12"/>
      <c r="Q22" s="12"/>
      <c r="Y22" s="544"/>
      <c r="AA22" s="540"/>
      <c r="AB22" s="540"/>
      <c r="AC22" s="540"/>
    </row>
    <row r="23" spans="1:29" ht="54" hidden="1" customHeight="1" x14ac:dyDescent="0.2">
      <c r="A23" s="536"/>
      <c r="B23" s="567">
        <v>7</v>
      </c>
      <c r="C23" s="4828"/>
      <c r="D23" s="4829"/>
      <c r="E23" s="568"/>
      <c r="F23" s="569"/>
      <c r="G23" s="569"/>
      <c r="H23" s="569"/>
      <c r="I23" s="569"/>
      <c r="J23" s="12"/>
      <c r="K23" s="12"/>
      <c r="L23" s="12"/>
      <c r="M23" s="12"/>
      <c r="N23" s="12"/>
      <c r="O23" s="12"/>
      <c r="P23" s="12"/>
      <c r="Q23" s="12"/>
      <c r="Y23" s="544"/>
      <c r="AA23" s="540"/>
      <c r="AB23" s="540"/>
      <c r="AC23" s="540"/>
    </row>
    <row r="24" spans="1:29" ht="54" hidden="1" customHeight="1" x14ac:dyDescent="0.2">
      <c r="A24" s="536"/>
      <c r="B24" s="567">
        <v>8</v>
      </c>
      <c r="C24" s="4828"/>
      <c r="D24" s="4829"/>
      <c r="E24" s="568"/>
      <c r="F24" s="569"/>
      <c r="G24" s="569"/>
      <c r="H24" s="569"/>
      <c r="I24" s="569"/>
      <c r="J24" s="12"/>
      <c r="K24" s="12"/>
      <c r="L24" s="12"/>
      <c r="M24" s="12"/>
      <c r="N24" s="12"/>
      <c r="O24" s="12"/>
      <c r="P24" s="12"/>
      <c r="Q24" s="12"/>
      <c r="Y24" s="544"/>
      <c r="AA24" s="540"/>
      <c r="AB24" s="540"/>
      <c r="AC24" s="540"/>
    </row>
    <row r="25" spans="1:29" ht="54" hidden="1" customHeight="1" x14ac:dyDescent="0.2">
      <c r="A25" s="536"/>
      <c r="B25" s="567">
        <v>9</v>
      </c>
      <c r="C25" s="4828"/>
      <c r="D25" s="4829"/>
      <c r="E25" s="568"/>
      <c r="F25" s="569"/>
      <c r="G25" s="569"/>
      <c r="H25" s="569"/>
      <c r="I25" s="569"/>
      <c r="J25" s="12"/>
      <c r="K25" s="12"/>
      <c r="L25" s="12"/>
      <c r="M25" s="12"/>
      <c r="N25" s="12"/>
      <c r="O25" s="12"/>
      <c r="P25" s="12"/>
      <c r="Q25" s="12"/>
      <c r="Y25" s="544"/>
      <c r="AA25" s="540"/>
      <c r="AB25" s="540"/>
      <c r="AC25" s="540"/>
    </row>
    <row r="26" spans="1:29" ht="54" hidden="1" customHeight="1" thickBot="1" x14ac:dyDescent="0.25">
      <c r="A26" s="536"/>
      <c r="B26" s="567">
        <v>10</v>
      </c>
      <c r="C26" s="4830"/>
      <c r="D26" s="4831"/>
      <c r="E26" s="568"/>
      <c r="F26" s="569"/>
      <c r="G26" s="569"/>
      <c r="H26" s="569"/>
      <c r="I26" s="569"/>
      <c r="J26" s="12"/>
      <c r="K26" s="12"/>
      <c r="L26" s="12"/>
      <c r="M26" s="12"/>
      <c r="N26" s="12"/>
      <c r="O26" s="12"/>
      <c r="P26" s="12"/>
      <c r="Q26" s="12"/>
      <c r="Y26" s="544"/>
      <c r="AA26" s="540"/>
      <c r="AB26" s="540"/>
      <c r="AC26" s="540"/>
    </row>
    <row r="27" spans="1:29" ht="54" hidden="1" customHeight="1" x14ac:dyDescent="0.2">
      <c r="A27" s="536"/>
      <c r="B27" s="564"/>
      <c r="C27" s="570"/>
      <c r="D27" s="570"/>
      <c r="E27" s="571"/>
      <c r="F27" s="4832" t="s">
        <v>499</v>
      </c>
      <c r="G27" s="4833"/>
      <c r="H27" s="233"/>
      <c r="I27" s="233"/>
      <c r="J27" s="12"/>
      <c r="K27" s="12"/>
      <c r="L27" s="12"/>
      <c r="M27" s="12"/>
      <c r="N27" s="12"/>
      <c r="O27" s="12"/>
      <c r="P27" s="12"/>
      <c r="Q27" s="12"/>
      <c r="Y27" s="544"/>
      <c r="AA27" s="540"/>
      <c r="AB27" s="540"/>
      <c r="AC27" s="540"/>
    </row>
    <row r="28" spans="1:29" ht="54" hidden="1" customHeight="1" x14ac:dyDescent="0.2">
      <c r="A28" s="536"/>
      <c r="B28" s="564"/>
      <c r="C28" s="4834" t="s">
        <v>500</v>
      </c>
      <c r="D28" s="4835"/>
      <c r="E28" s="572" t="s">
        <v>501</v>
      </c>
      <c r="F28" s="572" t="s">
        <v>502</v>
      </c>
      <c r="G28" s="572" t="s">
        <v>503</v>
      </c>
      <c r="H28" s="572" t="s">
        <v>504</v>
      </c>
      <c r="I28" s="572" t="s">
        <v>505</v>
      </c>
      <c r="J28" s="12"/>
      <c r="K28" s="12"/>
      <c r="L28" s="12"/>
      <c r="M28" s="12"/>
      <c r="N28" s="12"/>
      <c r="O28" s="12"/>
      <c r="P28" s="12"/>
      <c r="Q28" s="12"/>
      <c r="Y28" s="544"/>
      <c r="AA28" s="540"/>
      <c r="AB28" s="540"/>
      <c r="AC28" s="540"/>
    </row>
    <row r="29" spans="1:29" ht="54" hidden="1" customHeight="1" x14ac:dyDescent="0.2">
      <c r="A29" s="536"/>
      <c r="B29" s="573">
        <v>1</v>
      </c>
      <c r="C29" s="4836"/>
      <c r="D29" s="4837"/>
      <c r="E29" s="574"/>
      <c r="F29" s="575"/>
      <c r="G29" s="575"/>
      <c r="H29" s="575"/>
      <c r="I29" s="575"/>
      <c r="J29" s="12"/>
      <c r="K29" s="12"/>
      <c r="L29" s="12"/>
      <c r="M29" s="12"/>
      <c r="N29" s="12"/>
      <c r="O29" s="12"/>
      <c r="P29" s="12"/>
      <c r="Q29" s="12"/>
      <c r="Y29" s="544"/>
      <c r="AA29" s="540"/>
      <c r="AB29" s="540"/>
      <c r="AC29" s="540"/>
    </row>
    <row r="30" spans="1:29" ht="54" hidden="1" customHeight="1" x14ac:dyDescent="0.2">
      <c r="A30" s="536"/>
      <c r="B30" s="573">
        <v>2</v>
      </c>
      <c r="C30" s="4836"/>
      <c r="D30" s="4837"/>
      <c r="E30" s="574"/>
      <c r="F30" s="575"/>
      <c r="G30" s="575"/>
      <c r="H30" s="575"/>
      <c r="I30" s="575"/>
      <c r="J30" s="12"/>
      <c r="K30" s="12"/>
      <c r="L30" s="12"/>
      <c r="M30" s="12"/>
      <c r="N30" s="12"/>
      <c r="O30" s="12"/>
      <c r="P30" s="12"/>
      <c r="Q30" s="12"/>
      <c r="Y30" s="544"/>
      <c r="AA30" s="540"/>
      <c r="AB30" s="540"/>
      <c r="AC30" s="540"/>
    </row>
    <row r="31" spans="1:29" ht="54" hidden="1" customHeight="1" x14ac:dyDescent="0.2">
      <c r="A31" s="536"/>
      <c r="B31" s="573">
        <v>3</v>
      </c>
      <c r="C31" s="4836"/>
      <c r="D31" s="4837"/>
      <c r="E31" s="574"/>
      <c r="F31" s="575"/>
      <c r="G31" s="575"/>
      <c r="H31" s="575"/>
      <c r="I31" s="575"/>
      <c r="J31" s="12"/>
      <c r="K31" s="12"/>
      <c r="L31" s="12"/>
      <c r="M31" s="12"/>
      <c r="N31" s="12"/>
      <c r="O31" s="12"/>
      <c r="P31" s="12"/>
      <c r="Q31" s="12"/>
      <c r="Y31" s="544"/>
      <c r="AA31" s="540"/>
      <c r="AB31" s="540"/>
      <c r="AC31" s="540"/>
    </row>
    <row r="32" spans="1:29" ht="54" hidden="1" customHeight="1" x14ac:dyDescent="0.2">
      <c r="A32" s="536"/>
      <c r="B32" s="573">
        <v>4</v>
      </c>
      <c r="C32" s="4836"/>
      <c r="D32" s="4837"/>
      <c r="E32" s="574"/>
      <c r="F32" s="575"/>
      <c r="G32" s="575"/>
      <c r="H32" s="575"/>
      <c r="I32" s="575"/>
      <c r="J32" s="12"/>
      <c r="K32" s="12"/>
      <c r="L32" s="12"/>
      <c r="M32" s="12"/>
      <c r="N32" s="12"/>
      <c r="O32" s="12"/>
      <c r="P32" s="12"/>
      <c r="Q32" s="12"/>
      <c r="Y32" s="544"/>
      <c r="AA32" s="540"/>
      <c r="AB32" s="540"/>
      <c r="AC32" s="540"/>
    </row>
    <row r="33" spans="1:29" ht="54" hidden="1" customHeight="1" x14ac:dyDescent="0.2">
      <c r="A33" s="536"/>
      <c r="B33" s="573">
        <v>5</v>
      </c>
      <c r="C33" s="4836"/>
      <c r="D33" s="4837"/>
      <c r="E33" s="574"/>
      <c r="F33" s="575"/>
      <c r="G33" s="575"/>
      <c r="H33" s="575"/>
      <c r="I33" s="575"/>
      <c r="J33" s="12"/>
      <c r="K33" s="12"/>
      <c r="L33" s="12"/>
      <c r="M33" s="12"/>
      <c r="N33" s="12"/>
      <c r="O33" s="12"/>
      <c r="P33" s="12"/>
      <c r="Q33" s="12"/>
      <c r="Y33" s="544"/>
      <c r="AA33" s="540"/>
      <c r="AB33" s="540"/>
      <c r="AC33" s="540"/>
    </row>
    <row r="34" spans="1:29" ht="54" hidden="1" customHeight="1" x14ac:dyDescent="0.2">
      <c r="A34" s="536"/>
      <c r="B34" s="573">
        <v>6</v>
      </c>
      <c r="C34" s="4836"/>
      <c r="D34" s="4837"/>
      <c r="E34" s="574"/>
      <c r="F34" s="575"/>
      <c r="G34" s="575"/>
      <c r="H34" s="575"/>
      <c r="I34" s="575"/>
      <c r="J34" s="12"/>
      <c r="K34" s="12"/>
      <c r="L34" s="12"/>
      <c r="M34" s="12"/>
      <c r="N34" s="12"/>
      <c r="O34" s="12"/>
      <c r="P34" s="12"/>
      <c r="Q34" s="12"/>
      <c r="Y34" s="544"/>
      <c r="AA34" s="540"/>
      <c r="AB34" s="540"/>
      <c r="AC34" s="540"/>
    </row>
    <row r="35" spans="1:29" ht="54" hidden="1" customHeight="1" x14ac:dyDescent="0.2">
      <c r="A35" s="536"/>
      <c r="B35" s="573">
        <v>7</v>
      </c>
      <c r="C35" s="4836"/>
      <c r="D35" s="4837"/>
      <c r="E35" s="574"/>
      <c r="F35" s="575"/>
      <c r="G35" s="575"/>
      <c r="H35" s="575"/>
      <c r="I35" s="575"/>
      <c r="J35" s="12"/>
      <c r="K35" s="12"/>
      <c r="L35" s="12"/>
      <c r="M35" s="12"/>
      <c r="N35" s="12"/>
      <c r="O35" s="12"/>
      <c r="P35" s="12"/>
      <c r="Q35" s="12"/>
      <c r="Y35" s="544"/>
      <c r="AA35" s="540"/>
      <c r="AB35" s="540"/>
      <c r="AC35" s="540"/>
    </row>
    <row r="36" spans="1:29" ht="54" hidden="1" customHeight="1" x14ac:dyDescent="0.2">
      <c r="A36" s="536"/>
      <c r="B36" s="573">
        <v>8</v>
      </c>
      <c r="C36" s="4836"/>
      <c r="D36" s="4837"/>
      <c r="E36" s="574"/>
      <c r="F36" s="575"/>
      <c r="G36" s="575"/>
      <c r="H36" s="575"/>
      <c r="I36" s="575"/>
      <c r="J36" s="12"/>
      <c r="K36" s="12"/>
      <c r="L36" s="12"/>
      <c r="M36" s="12"/>
      <c r="N36" s="12"/>
      <c r="O36" s="12"/>
      <c r="P36" s="12"/>
      <c r="Q36" s="12"/>
      <c r="Y36" s="544"/>
      <c r="AA36" s="540"/>
      <c r="AB36" s="540"/>
      <c r="AC36" s="540"/>
    </row>
    <row r="37" spans="1:29" ht="54" hidden="1" customHeight="1" x14ac:dyDescent="0.2">
      <c r="A37" s="536"/>
      <c r="B37" s="573">
        <v>9</v>
      </c>
      <c r="C37" s="4836"/>
      <c r="D37" s="4837"/>
      <c r="E37" s="574"/>
      <c r="F37" s="575"/>
      <c r="G37" s="575"/>
      <c r="H37" s="575"/>
      <c r="I37" s="575"/>
      <c r="J37" s="12"/>
      <c r="K37" s="12"/>
      <c r="L37" s="12"/>
      <c r="M37" s="12"/>
      <c r="N37" s="12"/>
      <c r="O37" s="12"/>
      <c r="P37" s="12"/>
      <c r="Q37" s="12"/>
      <c r="Y37" s="544"/>
      <c r="AA37" s="540"/>
      <c r="AB37" s="540"/>
      <c r="AC37" s="540"/>
    </row>
    <row r="38" spans="1:29" ht="54" hidden="1" customHeight="1" x14ac:dyDescent="0.2">
      <c r="A38" s="536"/>
      <c r="B38" s="573">
        <v>10</v>
      </c>
      <c r="C38" s="4838"/>
      <c r="D38" s="4839"/>
      <c r="E38" s="574"/>
      <c r="F38" s="575"/>
      <c r="G38" s="575"/>
      <c r="H38" s="575"/>
      <c r="I38" s="575"/>
      <c r="J38" s="12"/>
      <c r="K38" s="12"/>
      <c r="L38" s="12"/>
      <c r="M38" s="12"/>
      <c r="N38" s="12"/>
      <c r="O38" s="12"/>
      <c r="P38" s="12"/>
      <c r="Q38" s="12"/>
      <c r="Y38" s="544"/>
      <c r="AA38" s="540"/>
      <c r="AB38" s="540"/>
      <c r="AC38" s="540"/>
    </row>
    <row r="39" spans="1:29" s="105" customFormat="1" ht="54" hidden="1" customHeight="1" x14ac:dyDescent="0.2">
      <c r="A39" s="576"/>
      <c r="B39" s="577"/>
      <c r="C39" s="578"/>
      <c r="D39" s="578"/>
      <c r="E39" s="579"/>
      <c r="F39" s="579"/>
      <c r="G39" s="579"/>
      <c r="H39" s="579"/>
      <c r="I39" s="579"/>
      <c r="J39" s="154"/>
      <c r="K39" s="154"/>
      <c r="L39" s="530" t="s">
        <v>97</v>
      </c>
      <c r="M39" s="530"/>
      <c r="N39" s="154"/>
      <c r="O39" s="154"/>
      <c r="P39" s="154"/>
      <c r="Q39" s="154"/>
      <c r="Y39" s="580"/>
      <c r="AA39" s="581"/>
      <c r="AB39" s="581"/>
      <c r="AC39" s="581"/>
    </row>
    <row r="40" spans="1:29" s="105" customFormat="1" ht="54" hidden="1" customHeight="1" x14ac:dyDescent="0.2">
      <c r="A40" s="576"/>
      <c r="B40" s="577"/>
      <c r="C40" s="578"/>
      <c r="D40" s="578"/>
      <c r="E40" s="579"/>
      <c r="F40" s="579"/>
      <c r="G40" s="579"/>
      <c r="H40" s="579"/>
      <c r="I40" s="579"/>
      <c r="J40" s="154"/>
      <c r="K40" s="154"/>
      <c r="L40" s="2123" t="s">
        <v>23</v>
      </c>
      <c r="M40" s="582">
        <f>+IF(I$6="MT",AH2,AI2)</f>
        <v>1.4800000000000001E-2</v>
      </c>
      <c r="N40" s="2123"/>
      <c r="O40" s="154"/>
      <c r="P40" s="154"/>
      <c r="Q40" s="154"/>
      <c r="Y40" s="580"/>
      <c r="AA40" s="581"/>
      <c r="AB40" s="581"/>
      <c r="AC40" s="581"/>
    </row>
    <row r="41" spans="1:29" s="105" customFormat="1" ht="54" hidden="1" customHeight="1" thickBot="1" x14ac:dyDescent="0.25">
      <c r="A41" s="576"/>
      <c r="B41" s="577"/>
      <c r="C41" s="578"/>
      <c r="D41" s="578"/>
      <c r="E41" s="579"/>
      <c r="F41" s="579"/>
      <c r="G41" s="579"/>
      <c r="H41" s="579"/>
      <c r="I41" s="579"/>
      <c r="J41" s="154"/>
      <c r="K41" s="154"/>
      <c r="L41" s="2126" t="s">
        <v>24</v>
      </c>
      <c r="M41" s="582">
        <f>+IF(I$6="MT",AH3,AI3)</f>
        <v>6.7799999999999999E-2</v>
      </c>
      <c r="N41" s="1940"/>
      <c r="O41" s="154"/>
      <c r="P41" s="154"/>
      <c r="Q41" s="154"/>
      <c r="Y41" s="580"/>
      <c r="AA41" s="581"/>
      <c r="AB41" s="581"/>
      <c r="AC41" s="581"/>
    </row>
    <row r="42" spans="1:29" s="105" customFormat="1" ht="54" hidden="1" customHeight="1" x14ac:dyDescent="0.2">
      <c r="A42" s="4755" t="s">
        <v>506</v>
      </c>
      <c r="B42" s="4756"/>
      <c r="C42" s="4756"/>
      <c r="D42" s="4756"/>
      <c r="E42" s="4840"/>
      <c r="F42" s="4843" t="s">
        <v>507</v>
      </c>
      <c r="G42" s="4821" t="s">
        <v>94</v>
      </c>
      <c r="H42" s="4821"/>
      <c r="I42" s="4845"/>
      <c r="J42" s="4846" t="s">
        <v>143</v>
      </c>
      <c r="K42" s="4848" t="s">
        <v>101</v>
      </c>
      <c r="L42" s="4821" t="s">
        <v>97</v>
      </c>
      <c r="M42" s="4821"/>
      <c r="N42" s="4821"/>
      <c r="O42" s="3933" t="s">
        <v>102</v>
      </c>
      <c r="P42" s="3934"/>
      <c r="Q42" s="3934"/>
      <c r="R42" s="4822"/>
      <c r="Y42" s="580"/>
      <c r="AA42" s="581"/>
      <c r="AB42" s="581"/>
      <c r="AC42" s="581"/>
    </row>
    <row r="43" spans="1:29" ht="54" hidden="1" customHeight="1" thickBot="1" x14ac:dyDescent="0.25">
      <c r="A43" s="4841"/>
      <c r="B43" s="4768"/>
      <c r="C43" s="4768"/>
      <c r="D43" s="4768"/>
      <c r="E43" s="4842"/>
      <c r="F43" s="4844"/>
      <c r="G43" s="104" t="s">
        <v>5</v>
      </c>
      <c r="H43" s="104" t="s">
        <v>6</v>
      </c>
      <c r="I43" s="583" t="s">
        <v>7</v>
      </c>
      <c r="J43" s="4847"/>
      <c r="K43" s="4849"/>
      <c r="L43" s="585" t="s">
        <v>5</v>
      </c>
      <c r="M43" s="585" t="s">
        <v>6</v>
      </c>
      <c r="N43" s="585" t="s">
        <v>7</v>
      </c>
      <c r="O43" s="585" t="s">
        <v>5</v>
      </c>
      <c r="P43" s="585" t="s">
        <v>6</v>
      </c>
      <c r="Q43" s="585" t="s">
        <v>7</v>
      </c>
      <c r="R43" s="586" t="s">
        <v>4</v>
      </c>
      <c r="Y43" s="544"/>
      <c r="AA43" s="540"/>
      <c r="AB43" s="540"/>
      <c r="AC43" s="540"/>
    </row>
    <row r="44" spans="1:29" ht="54" hidden="1" customHeight="1" x14ac:dyDescent="0.25">
      <c r="A44" s="4823" t="s">
        <v>508</v>
      </c>
      <c r="B44" s="587" t="s">
        <v>81</v>
      </c>
      <c r="C44" s="4824" t="s">
        <v>509</v>
      </c>
      <c r="D44" s="4824"/>
      <c r="E44" s="588" t="s">
        <v>510</v>
      </c>
      <c r="F44" s="589">
        <f>SUM(G44:I44)</f>
        <v>0</v>
      </c>
      <c r="G44" s="590"/>
      <c r="H44" s="590"/>
      <c r="I44" s="590"/>
      <c r="J44" s="591"/>
      <c r="K44" s="591"/>
      <c r="L44" s="592">
        <f>G44*$M$40</f>
        <v>0</v>
      </c>
      <c r="M44" s="592">
        <f>H44*$M$40</f>
        <v>0</v>
      </c>
      <c r="N44" s="592">
        <f>I44*$M$40</f>
        <v>0</v>
      </c>
      <c r="O44" s="592">
        <f t="shared" ref="O44:Q45" si="0">L44+G44</f>
        <v>0</v>
      </c>
      <c r="P44" s="592">
        <f t="shared" si="0"/>
        <v>0</v>
      </c>
      <c r="Q44" s="592">
        <f t="shared" si="0"/>
        <v>0</v>
      </c>
      <c r="R44" s="593">
        <f>SUM(O44:Q44)</f>
        <v>0</v>
      </c>
      <c r="Y44" s="544"/>
      <c r="AA44" s="540"/>
      <c r="AB44" s="540"/>
      <c r="AC44" s="540"/>
    </row>
    <row r="45" spans="1:29" ht="54" hidden="1" customHeight="1" thickBot="1" x14ac:dyDescent="0.3">
      <c r="A45" s="4823"/>
      <c r="B45" s="587" t="s">
        <v>106</v>
      </c>
      <c r="C45" s="4797" t="s">
        <v>511</v>
      </c>
      <c r="D45" s="4799"/>
      <c r="E45" s="588" t="s">
        <v>512</v>
      </c>
      <c r="F45" s="594">
        <f>SUM(G45:I45)</f>
        <v>0</v>
      </c>
      <c r="G45" s="595"/>
      <c r="H45" s="595"/>
      <c r="I45" s="595"/>
      <c r="J45" s="591"/>
      <c r="K45" s="591"/>
      <c r="L45" s="592">
        <f>G45*$M$41</f>
        <v>0</v>
      </c>
      <c r="M45" s="592">
        <f>H45*$M$41</f>
        <v>0</v>
      </c>
      <c r="N45" s="592">
        <f>I45*$M$41</f>
        <v>0</v>
      </c>
      <c r="O45" s="592">
        <f t="shared" si="0"/>
        <v>0</v>
      </c>
      <c r="P45" s="592">
        <f t="shared" si="0"/>
        <v>0</v>
      </c>
      <c r="Q45" s="592">
        <f t="shared" si="0"/>
        <v>0</v>
      </c>
      <c r="R45" s="593">
        <f>SUM(O45:Q45)</f>
        <v>0</v>
      </c>
      <c r="Y45" s="544"/>
      <c r="AA45" s="540"/>
      <c r="AB45" s="540"/>
      <c r="AC45" s="540"/>
    </row>
    <row r="46" spans="1:29" ht="54" hidden="1" customHeight="1" thickBot="1" x14ac:dyDescent="0.25">
      <c r="A46" s="596"/>
      <c r="B46" s="597"/>
      <c r="C46" s="4825" t="s">
        <v>513</v>
      </c>
      <c r="D46" s="4825"/>
      <c r="E46" s="4825"/>
      <c r="F46" s="598">
        <f>SUM(F44:F45)</f>
        <v>0</v>
      </c>
      <c r="G46" s="599">
        <f>SUM(G44:G45)</f>
        <v>0</v>
      </c>
      <c r="H46" s="599">
        <f>SUM(H44:H45)</f>
        <v>0</v>
      </c>
      <c r="I46" s="599">
        <f>SUM(I44:I45)</f>
        <v>0</v>
      </c>
      <c r="J46" s="599">
        <f t="shared" ref="J46:R46" si="1">SUM(J44:J45)</f>
        <v>0</v>
      </c>
      <c r="K46" s="599">
        <f t="shared" si="1"/>
        <v>0</v>
      </c>
      <c r="L46" s="599">
        <f t="shared" si="1"/>
        <v>0</v>
      </c>
      <c r="M46" s="599">
        <f t="shared" si="1"/>
        <v>0</v>
      </c>
      <c r="N46" s="599">
        <f t="shared" si="1"/>
        <v>0</v>
      </c>
      <c r="O46" s="599">
        <f t="shared" si="1"/>
        <v>0</v>
      </c>
      <c r="P46" s="599">
        <f t="shared" si="1"/>
        <v>0</v>
      </c>
      <c r="Q46" s="599">
        <f t="shared" si="1"/>
        <v>0</v>
      </c>
      <c r="R46" s="600">
        <f t="shared" si="1"/>
        <v>0</v>
      </c>
      <c r="Y46" s="544"/>
      <c r="AA46" s="540"/>
      <c r="AB46" s="540"/>
      <c r="AC46" s="540"/>
    </row>
    <row r="47" spans="1:29" s="606" customFormat="1" ht="36" customHeight="1" thickBot="1" x14ac:dyDescent="0.25">
      <c r="A47" s="601"/>
      <c r="B47" s="602"/>
      <c r="C47" s="603"/>
      <c r="D47" s="603"/>
      <c r="E47" s="604"/>
      <c r="F47" s="605"/>
      <c r="G47" s="605"/>
      <c r="H47" s="605"/>
      <c r="I47" s="605"/>
      <c r="L47" s="607" t="s">
        <v>97</v>
      </c>
      <c r="M47" s="607"/>
      <c r="N47" s="531"/>
      <c r="O47" s="531"/>
      <c r="P47" s="531"/>
      <c r="Q47" s="531"/>
      <c r="R47" s="531"/>
      <c r="Y47" s="608"/>
      <c r="AA47" s="609"/>
      <c r="AB47" s="609"/>
      <c r="AC47" s="609"/>
    </row>
    <row r="48" spans="1:29" ht="36.75" customHeight="1" x14ac:dyDescent="0.2">
      <c r="A48" s="4755" t="s">
        <v>98</v>
      </c>
      <c r="B48" s="4756"/>
      <c r="C48" s="4756"/>
      <c r="D48" s="4756"/>
      <c r="E48" s="4756"/>
      <c r="F48" s="4756"/>
      <c r="G48" s="4756"/>
      <c r="H48" s="4756"/>
      <c r="I48" s="4757"/>
      <c r="J48" s="145"/>
      <c r="K48" s="145"/>
      <c r="L48" s="2127" t="s">
        <v>23</v>
      </c>
      <c r="M48" s="610">
        <f>+M40</f>
        <v>1.4800000000000001E-2</v>
      </c>
      <c r="N48" s="611"/>
      <c r="O48" s="611"/>
      <c r="P48" s="611"/>
      <c r="Q48" s="611"/>
      <c r="R48" s="612"/>
      <c r="Y48" s="544"/>
      <c r="AA48" s="540"/>
      <c r="AB48" s="540"/>
      <c r="AC48" s="540"/>
    </row>
    <row r="49" spans="1:30" ht="36.75" customHeight="1" thickBot="1" x14ac:dyDescent="0.25">
      <c r="A49" s="4803"/>
      <c r="B49" s="4740"/>
      <c r="C49" s="4740"/>
      <c r="D49" s="4740"/>
      <c r="E49" s="4740"/>
      <c r="F49" s="4740"/>
      <c r="G49" s="4740"/>
      <c r="H49" s="4740"/>
      <c r="I49" s="4741"/>
      <c r="L49" s="2126" t="s">
        <v>24</v>
      </c>
      <c r="M49" s="613">
        <f>+M41</f>
        <v>6.7799999999999999E-2</v>
      </c>
      <c r="N49" s="12"/>
      <c r="O49" s="12"/>
      <c r="P49" s="12"/>
      <c r="Q49" s="12"/>
      <c r="R49" s="157"/>
      <c r="Y49" s="544"/>
      <c r="AA49" s="540"/>
      <c r="AB49" s="540"/>
      <c r="AC49" s="540"/>
    </row>
    <row r="50" spans="1:30" ht="30.75" customHeight="1" x14ac:dyDescent="0.2">
      <c r="A50" s="614"/>
      <c r="B50" s="564"/>
      <c r="C50" s="3716" t="s">
        <v>99</v>
      </c>
      <c r="D50" s="3716"/>
      <c r="E50" s="11"/>
      <c r="F50" s="558"/>
      <c r="G50" s="3866" t="s">
        <v>94</v>
      </c>
      <c r="H50" s="3866"/>
      <c r="I50" s="3866"/>
      <c r="J50" s="4811" t="s">
        <v>100</v>
      </c>
      <c r="K50" s="3883" t="s">
        <v>101</v>
      </c>
      <c r="L50" s="2206" t="s">
        <v>97</v>
      </c>
      <c r="M50" s="2184"/>
      <c r="N50" s="2184"/>
      <c r="O50" s="2355" t="s">
        <v>102</v>
      </c>
      <c r="P50" s="2356"/>
      <c r="Q50" s="2206"/>
      <c r="R50" s="2337"/>
      <c r="S50" s="10"/>
      <c r="T50" s="10"/>
      <c r="U50" s="10"/>
      <c r="V50" s="10"/>
      <c r="W50" s="10"/>
      <c r="X50" s="10"/>
      <c r="Y50" s="10"/>
      <c r="Z50" s="10"/>
      <c r="AA50" s="540"/>
      <c r="AB50" s="540"/>
      <c r="AC50" s="540"/>
    </row>
    <row r="51" spans="1:30" ht="25.5" customHeight="1" thickBot="1" x14ac:dyDescent="0.25">
      <c r="A51" s="614"/>
      <c r="B51" s="564"/>
      <c r="C51" s="4628"/>
      <c r="D51" s="4628"/>
      <c r="E51" s="616"/>
      <c r="F51" s="104"/>
      <c r="G51" s="2357" t="s">
        <v>5</v>
      </c>
      <c r="H51" s="2358" t="s">
        <v>6</v>
      </c>
      <c r="I51" s="2358" t="s">
        <v>7</v>
      </c>
      <c r="J51" s="3837"/>
      <c r="K51" s="3883"/>
      <c r="L51" s="2357" t="s">
        <v>5</v>
      </c>
      <c r="M51" s="2358" t="s">
        <v>6</v>
      </c>
      <c r="N51" s="2358" t="s">
        <v>7</v>
      </c>
      <c r="O51" s="2358" t="s">
        <v>5</v>
      </c>
      <c r="P51" s="2358" t="s">
        <v>6</v>
      </c>
      <c r="Q51" s="2358" t="s">
        <v>7</v>
      </c>
      <c r="R51" s="2359" t="s">
        <v>4</v>
      </c>
      <c r="S51" s="10"/>
      <c r="T51" s="10"/>
      <c r="U51" s="10"/>
      <c r="V51" s="10"/>
      <c r="W51" s="10"/>
      <c r="X51" s="10"/>
      <c r="Y51" s="10"/>
      <c r="Z51" s="10"/>
      <c r="AA51" s="540"/>
      <c r="AB51" s="540"/>
      <c r="AC51" s="540"/>
    </row>
    <row r="52" spans="1:30" ht="32.25" customHeight="1" x14ac:dyDescent="0.25">
      <c r="A52" s="3852" t="s">
        <v>103</v>
      </c>
      <c r="B52" s="618" t="s">
        <v>81</v>
      </c>
      <c r="C52" s="3897" t="s">
        <v>104</v>
      </c>
      <c r="D52" s="3898"/>
      <c r="E52" s="619"/>
      <c r="F52" s="2330">
        <f t="shared" ref="F52:F62" si="2">SUM(G52:I52)</f>
        <v>0</v>
      </c>
      <c r="G52" s="2186">
        <f>H715</f>
        <v>0</v>
      </c>
      <c r="H52" s="2186">
        <f>I715</f>
        <v>0</v>
      </c>
      <c r="I52" s="2185">
        <f>J715</f>
        <v>0</v>
      </c>
      <c r="J52" s="592">
        <f>G715</f>
        <v>0</v>
      </c>
      <c r="K52" s="592">
        <f>G717</f>
        <v>0</v>
      </c>
      <c r="L52" s="2204">
        <f t="shared" ref="L52:N62" si="3">G52*$M$48</f>
        <v>0</v>
      </c>
      <c r="M52" s="2204">
        <f t="shared" si="3"/>
        <v>0</v>
      </c>
      <c r="N52" s="2204">
        <f t="shared" si="3"/>
        <v>0</v>
      </c>
      <c r="O52" s="2331">
        <f t="shared" ref="O52:Q62" si="4">L52+G52</f>
        <v>0</v>
      </c>
      <c r="P52" s="2331">
        <f t="shared" si="4"/>
        <v>0</v>
      </c>
      <c r="Q52" s="2331">
        <f t="shared" si="4"/>
        <v>0</v>
      </c>
      <c r="R52" s="2332">
        <f>SUM(O52:Q52)</f>
        <v>0</v>
      </c>
      <c r="S52" s="10"/>
      <c r="T52" s="10"/>
      <c r="U52" s="10"/>
      <c r="V52" s="10"/>
      <c r="W52" s="10"/>
      <c r="X52" s="10"/>
      <c r="Y52" s="10"/>
      <c r="Z52" s="10"/>
      <c r="AA52" s="540"/>
      <c r="AB52" s="540"/>
      <c r="AC52" s="540"/>
    </row>
    <row r="53" spans="1:30" ht="9" hidden="1" customHeight="1" x14ac:dyDescent="0.25">
      <c r="A53" s="3853"/>
      <c r="B53" s="620" t="s">
        <v>514</v>
      </c>
      <c r="C53" s="4812" t="s">
        <v>515</v>
      </c>
      <c r="D53" s="4813"/>
      <c r="E53" s="621" t="str">
        <f>E$17</f>
        <v>642020   Servicios de comunicación por medio de teléfono, telégrafo y téfex f"J</v>
      </c>
      <c r="F53" s="2333">
        <f t="shared" si="2"/>
        <v>0</v>
      </c>
      <c r="G53" s="647">
        <f t="shared" ref="G53:I61" si="5">F745</f>
        <v>0</v>
      </c>
      <c r="H53" s="647">
        <f t="shared" si="5"/>
        <v>0</v>
      </c>
      <c r="I53" s="2241">
        <f t="shared" si="5"/>
        <v>0</v>
      </c>
      <c r="J53" s="592">
        <f>E745</f>
        <v>0</v>
      </c>
      <c r="K53" s="592">
        <f>D745</f>
        <v>0</v>
      </c>
      <c r="L53" s="2184">
        <f t="shared" si="3"/>
        <v>0</v>
      </c>
      <c r="M53" s="2184">
        <f t="shared" si="3"/>
        <v>0</v>
      </c>
      <c r="N53" s="2184">
        <f t="shared" si="3"/>
        <v>0</v>
      </c>
      <c r="O53" s="2334">
        <f t="shared" si="4"/>
        <v>0</v>
      </c>
      <c r="P53" s="2334">
        <f t="shared" si="4"/>
        <v>0</v>
      </c>
      <c r="Q53" s="2334">
        <f t="shared" si="4"/>
        <v>0</v>
      </c>
      <c r="R53" s="593">
        <f t="shared" ref="R53:R62" si="6">SUM(O53:Q53)</f>
        <v>0</v>
      </c>
      <c r="S53" s="10"/>
      <c r="T53" s="10"/>
      <c r="U53" s="10"/>
      <c r="V53" s="10"/>
      <c r="W53" s="10"/>
      <c r="X53" s="10"/>
      <c r="Y53" s="10"/>
      <c r="Z53" s="10"/>
      <c r="AA53" s="540"/>
      <c r="AB53" s="540"/>
      <c r="AC53" s="540"/>
    </row>
    <row r="54" spans="1:30" ht="9" hidden="1" customHeight="1" x14ac:dyDescent="0.25">
      <c r="A54" s="3853"/>
      <c r="B54" s="620" t="s">
        <v>514</v>
      </c>
      <c r="C54" s="4814"/>
      <c r="D54" s="4815"/>
      <c r="E54" s="621" t="str">
        <f>E$18</f>
        <v>652130   Servicios de la banca minorista</v>
      </c>
      <c r="F54" s="2333">
        <f t="shared" si="2"/>
        <v>0</v>
      </c>
      <c r="G54" s="647">
        <f t="shared" si="5"/>
        <v>0</v>
      </c>
      <c r="H54" s="647">
        <f t="shared" si="5"/>
        <v>0</v>
      </c>
      <c r="I54" s="2241">
        <f t="shared" si="5"/>
        <v>0</v>
      </c>
      <c r="J54" s="592">
        <f t="shared" ref="J54:J62" si="7">E746</f>
        <v>0</v>
      </c>
      <c r="K54" s="592">
        <f t="shared" ref="K54:K62" si="8">D746</f>
        <v>0</v>
      </c>
      <c r="L54" s="2184">
        <f t="shared" si="3"/>
        <v>0</v>
      </c>
      <c r="M54" s="2184">
        <f t="shared" si="3"/>
        <v>0</v>
      </c>
      <c r="N54" s="2184">
        <f t="shared" si="3"/>
        <v>0</v>
      </c>
      <c r="O54" s="2334">
        <f t="shared" si="4"/>
        <v>0</v>
      </c>
      <c r="P54" s="2334">
        <f t="shared" si="4"/>
        <v>0</v>
      </c>
      <c r="Q54" s="2334">
        <f t="shared" si="4"/>
        <v>0</v>
      </c>
      <c r="R54" s="593">
        <f t="shared" si="6"/>
        <v>0</v>
      </c>
      <c r="S54" s="10"/>
      <c r="T54" s="10"/>
      <c r="U54" s="10"/>
      <c r="V54" s="10"/>
      <c r="W54" s="10"/>
      <c r="X54" s="10"/>
      <c r="Y54" s="10"/>
      <c r="Z54" s="10"/>
      <c r="AA54" s="622"/>
      <c r="AB54" s="622"/>
      <c r="AC54" s="622"/>
      <c r="AD54" s="10"/>
    </row>
    <row r="55" spans="1:30" ht="9" hidden="1" customHeight="1" x14ac:dyDescent="0.25">
      <c r="A55" s="3853"/>
      <c r="B55" s="620" t="s">
        <v>514</v>
      </c>
      <c r="C55" s="4814"/>
      <c r="D55" s="4815"/>
      <c r="E55" s="621">
        <f>E$19</f>
        <v>0</v>
      </c>
      <c r="F55" s="2333">
        <f t="shared" si="2"/>
        <v>0</v>
      </c>
      <c r="G55" s="647">
        <f t="shared" si="5"/>
        <v>0</v>
      </c>
      <c r="H55" s="647">
        <f t="shared" si="5"/>
        <v>0</v>
      </c>
      <c r="I55" s="2241">
        <f t="shared" si="5"/>
        <v>0</v>
      </c>
      <c r="J55" s="592">
        <f t="shared" si="7"/>
        <v>0</v>
      </c>
      <c r="K55" s="592">
        <f t="shared" si="8"/>
        <v>0</v>
      </c>
      <c r="L55" s="2184">
        <f t="shared" si="3"/>
        <v>0</v>
      </c>
      <c r="M55" s="2184">
        <f t="shared" si="3"/>
        <v>0</v>
      </c>
      <c r="N55" s="2184">
        <f t="shared" si="3"/>
        <v>0</v>
      </c>
      <c r="O55" s="2334">
        <f t="shared" si="4"/>
        <v>0</v>
      </c>
      <c r="P55" s="2334">
        <f t="shared" si="4"/>
        <v>0</v>
      </c>
      <c r="Q55" s="2334">
        <f t="shared" si="4"/>
        <v>0</v>
      </c>
      <c r="R55" s="593">
        <f t="shared" si="6"/>
        <v>0</v>
      </c>
      <c r="S55" s="10"/>
      <c r="T55" s="10"/>
      <c r="U55" s="10"/>
      <c r="V55" s="10"/>
      <c r="W55" s="10"/>
      <c r="X55" s="10"/>
      <c r="Y55" s="10"/>
      <c r="Z55" s="10"/>
      <c r="AA55" s="622"/>
      <c r="AB55" s="622"/>
      <c r="AC55" s="622"/>
      <c r="AD55" s="10"/>
    </row>
    <row r="56" spans="1:30" ht="9" hidden="1" customHeight="1" x14ac:dyDescent="0.25">
      <c r="A56" s="3853"/>
      <c r="B56" s="620" t="s">
        <v>514</v>
      </c>
      <c r="C56" s="4814"/>
      <c r="D56" s="4815"/>
      <c r="E56" s="621">
        <f>E$20</f>
        <v>0</v>
      </c>
      <c r="F56" s="2333">
        <f t="shared" si="2"/>
        <v>0</v>
      </c>
      <c r="G56" s="647">
        <f t="shared" si="5"/>
        <v>0</v>
      </c>
      <c r="H56" s="647">
        <f t="shared" si="5"/>
        <v>0</v>
      </c>
      <c r="I56" s="2241">
        <f t="shared" si="5"/>
        <v>0</v>
      </c>
      <c r="J56" s="592">
        <f t="shared" si="7"/>
        <v>0</v>
      </c>
      <c r="K56" s="592">
        <f t="shared" si="8"/>
        <v>0</v>
      </c>
      <c r="L56" s="2184">
        <f t="shared" si="3"/>
        <v>0</v>
      </c>
      <c r="M56" s="2184">
        <f t="shared" si="3"/>
        <v>0</v>
      </c>
      <c r="N56" s="2184">
        <f t="shared" si="3"/>
        <v>0</v>
      </c>
      <c r="O56" s="2334">
        <f t="shared" si="4"/>
        <v>0</v>
      </c>
      <c r="P56" s="2334">
        <f t="shared" si="4"/>
        <v>0</v>
      </c>
      <c r="Q56" s="2334">
        <f t="shared" si="4"/>
        <v>0</v>
      </c>
      <c r="R56" s="593">
        <f t="shared" si="6"/>
        <v>0</v>
      </c>
      <c r="S56" s="10"/>
      <c r="T56" s="10"/>
      <c r="U56" s="10"/>
      <c r="V56" s="10"/>
      <c r="W56" s="10"/>
      <c r="X56" s="10"/>
      <c r="Y56" s="10"/>
      <c r="Z56" s="10"/>
      <c r="AA56" s="622"/>
      <c r="AB56" s="622"/>
      <c r="AC56" s="622"/>
      <c r="AD56" s="10"/>
    </row>
    <row r="57" spans="1:30" ht="9" hidden="1" customHeight="1" x14ac:dyDescent="0.25">
      <c r="A57" s="3853"/>
      <c r="B57" s="620" t="s">
        <v>514</v>
      </c>
      <c r="C57" s="4814"/>
      <c r="D57" s="4815"/>
      <c r="E57" s="621">
        <f>E$21</f>
        <v>0</v>
      </c>
      <c r="F57" s="2333">
        <f t="shared" si="2"/>
        <v>0</v>
      </c>
      <c r="G57" s="647">
        <f t="shared" si="5"/>
        <v>0</v>
      </c>
      <c r="H57" s="647">
        <f t="shared" si="5"/>
        <v>0</v>
      </c>
      <c r="I57" s="2241">
        <f t="shared" si="5"/>
        <v>0</v>
      </c>
      <c r="J57" s="592">
        <f t="shared" si="7"/>
        <v>0</v>
      </c>
      <c r="K57" s="592">
        <f t="shared" si="8"/>
        <v>0</v>
      </c>
      <c r="L57" s="2184">
        <f t="shared" si="3"/>
        <v>0</v>
      </c>
      <c r="M57" s="2184">
        <f t="shared" si="3"/>
        <v>0</v>
      </c>
      <c r="N57" s="2184">
        <f t="shared" si="3"/>
        <v>0</v>
      </c>
      <c r="O57" s="2334">
        <f t="shared" si="4"/>
        <v>0</v>
      </c>
      <c r="P57" s="2334">
        <f t="shared" si="4"/>
        <v>0</v>
      </c>
      <c r="Q57" s="2334">
        <f t="shared" si="4"/>
        <v>0</v>
      </c>
      <c r="R57" s="593">
        <f t="shared" si="6"/>
        <v>0</v>
      </c>
      <c r="S57" s="10"/>
      <c r="T57" s="10"/>
      <c r="U57" s="10"/>
      <c r="V57" s="10"/>
      <c r="W57" s="10"/>
      <c r="X57" s="10"/>
      <c r="Y57" s="10"/>
      <c r="Z57" s="10"/>
      <c r="AA57" s="622"/>
      <c r="AB57" s="622"/>
      <c r="AC57" s="622"/>
      <c r="AD57" s="10"/>
    </row>
    <row r="58" spans="1:30" ht="9" hidden="1" customHeight="1" x14ac:dyDescent="0.25">
      <c r="A58" s="3853"/>
      <c r="B58" s="620" t="s">
        <v>514</v>
      </c>
      <c r="C58" s="4814"/>
      <c r="D58" s="4815"/>
      <c r="E58" s="621">
        <f>E$22</f>
        <v>0</v>
      </c>
      <c r="F58" s="2333">
        <f t="shared" si="2"/>
        <v>0</v>
      </c>
      <c r="G58" s="647">
        <f t="shared" si="5"/>
        <v>0</v>
      </c>
      <c r="H58" s="647">
        <f t="shared" si="5"/>
        <v>0</v>
      </c>
      <c r="I58" s="2241">
        <f t="shared" si="5"/>
        <v>0</v>
      </c>
      <c r="J58" s="592">
        <f t="shared" si="7"/>
        <v>0</v>
      </c>
      <c r="K58" s="592">
        <f t="shared" si="8"/>
        <v>0</v>
      </c>
      <c r="L58" s="2184">
        <f t="shared" si="3"/>
        <v>0</v>
      </c>
      <c r="M58" s="2184">
        <f t="shared" si="3"/>
        <v>0</v>
      </c>
      <c r="N58" s="2184">
        <f t="shared" si="3"/>
        <v>0</v>
      </c>
      <c r="O58" s="2334">
        <f t="shared" si="4"/>
        <v>0</v>
      </c>
      <c r="P58" s="2334">
        <f t="shared" si="4"/>
        <v>0</v>
      </c>
      <c r="Q58" s="2334">
        <f t="shared" si="4"/>
        <v>0</v>
      </c>
      <c r="R58" s="593">
        <f t="shared" si="6"/>
        <v>0</v>
      </c>
      <c r="S58" s="10"/>
      <c r="T58" s="10"/>
      <c r="U58" s="10"/>
      <c r="V58" s="10"/>
      <c r="W58" s="10"/>
      <c r="X58" s="10"/>
      <c r="Y58" s="10"/>
      <c r="Z58" s="10"/>
      <c r="AA58" s="622"/>
      <c r="AB58" s="622"/>
      <c r="AC58" s="622"/>
      <c r="AD58" s="10"/>
    </row>
    <row r="59" spans="1:30" ht="9" hidden="1" customHeight="1" x14ac:dyDescent="0.25">
      <c r="A59" s="3853"/>
      <c r="B59" s="620" t="s">
        <v>514</v>
      </c>
      <c r="C59" s="4814"/>
      <c r="D59" s="4815"/>
      <c r="E59" s="621">
        <f>E$23</f>
        <v>0</v>
      </c>
      <c r="F59" s="2333">
        <f t="shared" si="2"/>
        <v>0</v>
      </c>
      <c r="G59" s="647">
        <f t="shared" si="5"/>
        <v>0</v>
      </c>
      <c r="H59" s="647">
        <f t="shared" si="5"/>
        <v>0</v>
      </c>
      <c r="I59" s="2241">
        <f t="shared" si="5"/>
        <v>0</v>
      </c>
      <c r="J59" s="592">
        <f t="shared" si="7"/>
        <v>0</v>
      </c>
      <c r="K59" s="592">
        <f t="shared" si="8"/>
        <v>0</v>
      </c>
      <c r="L59" s="2184">
        <f t="shared" si="3"/>
        <v>0</v>
      </c>
      <c r="M59" s="2184">
        <f t="shared" si="3"/>
        <v>0</v>
      </c>
      <c r="N59" s="2184">
        <f t="shared" si="3"/>
        <v>0</v>
      </c>
      <c r="O59" s="2334">
        <f t="shared" si="4"/>
        <v>0</v>
      </c>
      <c r="P59" s="2334">
        <f t="shared" si="4"/>
        <v>0</v>
      </c>
      <c r="Q59" s="2334">
        <f t="shared" si="4"/>
        <v>0</v>
      </c>
      <c r="R59" s="593">
        <f t="shared" si="6"/>
        <v>0</v>
      </c>
      <c r="S59" s="10"/>
      <c r="T59" s="10"/>
      <c r="U59" s="10"/>
      <c r="V59" s="10"/>
      <c r="W59" s="10"/>
      <c r="X59" s="10"/>
      <c r="Y59" s="10"/>
      <c r="Z59" s="10"/>
      <c r="AA59" s="622"/>
      <c r="AB59" s="622"/>
      <c r="AC59" s="622"/>
      <c r="AD59" s="10"/>
    </row>
    <row r="60" spans="1:30" ht="9" hidden="1" customHeight="1" x14ac:dyDescent="0.25">
      <c r="A60" s="3853"/>
      <c r="B60" s="620" t="s">
        <v>514</v>
      </c>
      <c r="C60" s="4814"/>
      <c r="D60" s="4815"/>
      <c r="E60" s="621">
        <f>E$24</f>
        <v>0</v>
      </c>
      <c r="F60" s="2333">
        <f t="shared" si="2"/>
        <v>0</v>
      </c>
      <c r="G60" s="647">
        <f t="shared" si="5"/>
        <v>0</v>
      </c>
      <c r="H60" s="647">
        <f t="shared" si="5"/>
        <v>0</v>
      </c>
      <c r="I60" s="2241">
        <f t="shared" si="5"/>
        <v>0</v>
      </c>
      <c r="J60" s="592">
        <f t="shared" si="7"/>
        <v>0</v>
      </c>
      <c r="K60" s="592">
        <f t="shared" si="8"/>
        <v>0</v>
      </c>
      <c r="L60" s="2184">
        <f t="shared" si="3"/>
        <v>0</v>
      </c>
      <c r="M60" s="2184">
        <f t="shared" si="3"/>
        <v>0</v>
      </c>
      <c r="N60" s="2184">
        <f t="shared" si="3"/>
        <v>0</v>
      </c>
      <c r="O60" s="2334">
        <f t="shared" si="4"/>
        <v>0</v>
      </c>
      <c r="P60" s="2334">
        <f t="shared" si="4"/>
        <v>0</v>
      </c>
      <c r="Q60" s="2334">
        <f t="shared" si="4"/>
        <v>0</v>
      </c>
      <c r="R60" s="593">
        <f t="shared" si="6"/>
        <v>0</v>
      </c>
      <c r="S60" s="10"/>
      <c r="T60" s="10"/>
      <c r="U60" s="10"/>
      <c r="V60" s="10"/>
      <c r="W60" s="10"/>
      <c r="X60" s="10"/>
      <c r="Y60" s="10"/>
      <c r="Z60" s="10"/>
      <c r="AA60" s="622"/>
      <c r="AB60" s="622"/>
      <c r="AC60" s="622"/>
      <c r="AD60" s="10"/>
    </row>
    <row r="61" spans="1:30" ht="9" hidden="1" customHeight="1" x14ac:dyDescent="0.25">
      <c r="A61" s="3853"/>
      <c r="B61" s="620" t="s">
        <v>514</v>
      </c>
      <c r="C61" s="4814"/>
      <c r="D61" s="4815"/>
      <c r="E61" s="621">
        <f>E$25</f>
        <v>0</v>
      </c>
      <c r="F61" s="2333">
        <f t="shared" si="2"/>
        <v>0</v>
      </c>
      <c r="G61" s="647">
        <f t="shared" si="5"/>
        <v>0</v>
      </c>
      <c r="H61" s="647">
        <f t="shared" si="5"/>
        <v>0</v>
      </c>
      <c r="I61" s="2241">
        <f t="shared" si="5"/>
        <v>0</v>
      </c>
      <c r="J61" s="592">
        <f t="shared" si="7"/>
        <v>0</v>
      </c>
      <c r="K61" s="592">
        <f t="shared" si="8"/>
        <v>0</v>
      </c>
      <c r="L61" s="2184">
        <f t="shared" si="3"/>
        <v>0</v>
      </c>
      <c r="M61" s="2184">
        <f t="shared" si="3"/>
        <v>0</v>
      </c>
      <c r="N61" s="2184">
        <f t="shared" si="3"/>
        <v>0</v>
      </c>
      <c r="O61" s="2334">
        <f t="shared" si="4"/>
        <v>0</v>
      </c>
      <c r="P61" s="2334">
        <f t="shared" si="4"/>
        <v>0</v>
      </c>
      <c r="Q61" s="2334">
        <f t="shared" si="4"/>
        <v>0</v>
      </c>
      <c r="R61" s="593">
        <f t="shared" si="6"/>
        <v>0</v>
      </c>
      <c r="S61" s="10"/>
      <c r="T61" s="10"/>
      <c r="U61" s="10"/>
      <c r="V61" s="10"/>
      <c r="W61" s="10"/>
      <c r="X61" s="10"/>
      <c r="Y61" s="10"/>
      <c r="Z61" s="10"/>
      <c r="AA61" s="622"/>
      <c r="AB61" s="622"/>
      <c r="AC61" s="622"/>
      <c r="AD61" s="10"/>
    </row>
    <row r="62" spans="1:30" ht="3.75" hidden="1" customHeight="1" x14ac:dyDescent="0.25">
      <c r="A62" s="3853"/>
      <c r="B62" s="620" t="s">
        <v>514</v>
      </c>
      <c r="C62" s="4816"/>
      <c r="D62" s="4817"/>
      <c r="E62" s="621">
        <f>E$26</f>
        <v>0</v>
      </c>
      <c r="F62" s="2333">
        <f t="shared" si="2"/>
        <v>0</v>
      </c>
      <c r="G62" s="647">
        <f>F750</f>
        <v>0</v>
      </c>
      <c r="H62" s="647">
        <f>G750</f>
        <v>0</v>
      </c>
      <c r="I62" s="2241">
        <f>H750</f>
        <v>0</v>
      </c>
      <c r="J62" s="592">
        <f t="shared" si="7"/>
        <v>0</v>
      </c>
      <c r="K62" s="592">
        <f t="shared" si="8"/>
        <v>0</v>
      </c>
      <c r="L62" s="2184">
        <f t="shared" si="3"/>
        <v>0</v>
      </c>
      <c r="M62" s="2184">
        <f t="shared" si="3"/>
        <v>0</v>
      </c>
      <c r="N62" s="2184">
        <f t="shared" si="3"/>
        <v>0</v>
      </c>
      <c r="O62" s="2334">
        <f t="shared" si="4"/>
        <v>0</v>
      </c>
      <c r="P62" s="2334">
        <f t="shared" si="4"/>
        <v>0</v>
      </c>
      <c r="Q62" s="2334">
        <f t="shared" si="4"/>
        <v>0</v>
      </c>
      <c r="R62" s="593">
        <f t="shared" si="6"/>
        <v>0</v>
      </c>
      <c r="S62" s="10"/>
      <c r="T62" s="10"/>
      <c r="U62" s="10"/>
      <c r="V62" s="10"/>
      <c r="W62" s="10"/>
      <c r="X62" s="10"/>
      <c r="Y62" s="10"/>
      <c r="Z62" s="10"/>
      <c r="AA62" s="622"/>
      <c r="AB62" s="622"/>
      <c r="AC62" s="622"/>
      <c r="AD62" s="10"/>
    </row>
    <row r="63" spans="1:30" ht="22.5" hidden="1" customHeight="1" x14ac:dyDescent="0.2">
      <c r="A63" s="3853"/>
      <c r="B63" s="623"/>
      <c r="C63" s="624"/>
      <c r="D63" s="625"/>
      <c r="E63" s="626" t="s">
        <v>516</v>
      </c>
      <c r="F63" s="2335">
        <f>SUM(F52:F62)</f>
        <v>0</v>
      </c>
      <c r="G63" s="2336">
        <f t="shared" ref="G63:Q63" si="9">G52</f>
        <v>0</v>
      </c>
      <c r="H63" s="2336">
        <f t="shared" si="9"/>
        <v>0</v>
      </c>
      <c r="I63" s="2336">
        <f t="shared" si="9"/>
        <v>0</v>
      </c>
      <c r="J63" s="2336">
        <f t="shared" si="9"/>
        <v>0</v>
      </c>
      <c r="K63" s="2184">
        <f t="shared" si="9"/>
        <v>0</v>
      </c>
      <c r="L63" s="2336">
        <f t="shared" si="9"/>
        <v>0</v>
      </c>
      <c r="M63" s="2336">
        <f t="shared" si="9"/>
        <v>0</v>
      </c>
      <c r="N63" s="2336">
        <f t="shared" si="9"/>
        <v>0</v>
      </c>
      <c r="O63" s="2336">
        <f t="shared" si="9"/>
        <v>0</v>
      </c>
      <c r="P63" s="2336">
        <f t="shared" si="9"/>
        <v>0</v>
      </c>
      <c r="Q63" s="2336">
        <f t="shared" si="9"/>
        <v>0</v>
      </c>
      <c r="R63" s="2337">
        <f>SUM(O63:Q63)</f>
        <v>0</v>
      </c>
      <c r="S63" s="10"/>
      <c r="T63" s="10"/>
      <c r="U63" s="10"/>
      <c r="V63" s="10"/>
      <c r="W63" s="10"/>
      <c r="X63" s="10"/>
      <c r="Y63" s="10"/>
      <c r="Z63" s="10"/>
      <c r="AA63" s="622"/>
      <c r="AB63" s="622"/>
      <c r="AC63" s="622"/>
      <c r="AD63" s="10"/>
    </row>
    <row r="64" spans="1:30" ht="20.25" hidden="1" customHeight="1" x14ac:dyDescent="0.2">
      <c r="A64" s="3853"/>
      <c r="B64" s="623"/>
      <c r="C64" s="624"/>
      <c r="D64" s="625"/>
      <c r="E64" s="626" t="s">
        <v>517</v>
      </c>
      <c r="F64" s="2335">
        <f>SUM(F54:F61)</f>
        <v>0</v>
      </c>
      <c r="G64" s="647">
        <f t="shared" ref="G64:R64" si="10">SUM(G53:G62)</f>
        <v>0</v>
      </c>
      <c r="H64" s="647">
        <f t="shared" si="10"/>
        <v>0</v>
      </c>
      <c r="I64" s="647">
        <f t="shared" si="10"/>
        <v>0</v>
      </c>
      <c r="J64" s="647">
        <f t="shared" si="10"/>
        <v>0</v>
      </c>
      <c r="K64" s="647">
        <f t="shared" si="10"/>
        <v>0</v>
      </c>
      <c r="L64" s="647">
        <f t="shared" si="10"/>
        <v>0</v>
      </c>
      <c r="M64" s="647">
        <f t="shared" si="10"/>
        <v>0</v>
      </c>
      <c r="N64" s="647">
        <f t="shared" si="10"/>
        <v>0</v>
      </c>
      <c r="O64" s="647">
        <f t="shared" si="10"/>
        <v>0</v>
      </c>
      <c r="P64" s="647">
        <f t="shared" si="10"/>
        <v>0</v>
      </c>
      <c r="Q64" s="647">
        <f t="shared" si="10"/>
        <v>0</v>
      </c>
      <c r="R64" s="648">
        <f t="shared" si="10"/>
        <v>0</v>
      </c>
      <c r="S64" s="10"/>
      <c r="T64" s="10"/>
      <c r="U64" s="10"/>
      <c r="V64" s="10"/>
      <c r="W64" s="10"/>
      <c r="X64" s="10"/>
      <c r="Y64" s="10"/>
      <c r="Z64" s="10"/>
      <c r="AA64" s="622"/>
      <c r="AB64" s="622"/>
      <c r="AC64" s="622"/>
      <c r="AD64" s="10"/>
    </row>
    <row r="65" spans="1:30" ht="26.25" customHeight="1" thickBot="1" x14ac:dyDescent="0.25">
      <c r="A65" s="3853"/>
      <c r="B65" s="628"/>
      <c r="C65" s="629"/>
      <c r="D65" s="630"/>
      <c r="E65" s="631" t="s">
        <v>105</v>
      </c>
      <c r="F65" s="2338">
        <f t="shared" ref="F65:R65" si="11">F64+F63</f>
        <v>0</v>
      </c>
      <c r="G65" s="632">
        <f t="shared" si="11"/>
        <v>0</v>
      </c>
      <c r="H65" s="632">
        <f t="shared" si="11"/>
        <v>0</v>
      </c>
      <c r="I65" s="632">
        <f t="shared" si="11"/>
        <v>0</v>
      </c>
      <c r="J65" s="633">
        <f t="shared" si="11"/>
        <v>0</v>
      </c>
      <c r="K65" s="633">
        <f t="shared" si="11"/>
        <v>0</v>
      </c>
      <c r="L65" s="632">
        <f t="shared" si="11"/>
        <v>0</v>
      </c>
      <c r="M65" s="632">
        <f t="shared" si="11"/>
        <v>0</v>
      </c>
      <c r="N65" s="632">
        <f t="shared" si="11"/>
        <v>0</v>
      </c>
      <c r="O65" s="634">
        <f t="shared" si="11"/>
        <v>0</v>
      </c>
      <c r="P65" s="634">
        <f t="shared" si="11"/>
        <v>0</v>
      </c>
      <c r="Q65" s="634">
        <f t="shared" si="11"/>
        <v>0</v>
      </c>
      <c r="R65" s="635">
        <f t="shared" si="11"/>
        <v>0</v>
      </c>
      <c r="S65" s="10"/>
      <c r="T65" s="10"/>
      <c r="U65" s="10"/>
      <c r="V65" s="10"/>
      <c r="W65" s="10"/>
      <c r="X65" s="10"/>
      <c r="Y65" s="10"/>
      <c r="Z65" s="10"/>
      <c r="AA65" s="622"/>
      <c r="AB65" s="622"/>
      <c r="AC65" s="622"/>
      <c r="AD65" s="10"/>
    </row>
    <row r="66" spans="1:30" ht="15" customHeight="1" x14ac:dyDescent="0.25">
      <c r="A66" s="3853"/>
      <c r="B66" s="636"/>
      <c r="C66" s="637"/>
      <c r="D66" s="638"/>
      <c r="E66" s="639"/>
      <c r="F66" s="2339"/>
      <c r="G66" s="640"/>
      <c r="H66" s="640"/>
      <c r="I66" s="640"/>
      <c r="J66" s="592"/>
      <c r="K66" s="592"/>
      <c r="L66" s="2340"/>
      <c r="M66" s="2341"/>
      <c r="N66" s="2341"/>
      <c r="O66" s="2341"/>
      <c r="P66" s="2341"/>
      <c r="Q66" s="2341"/>
      <c r="R66" s="2337"/>
      <c r="S66" s="10"/>
      <c r="T66" s="10"/>
      <c r="U66" s="10"/>
      <c r="V66" s="10"/>
      <c r="W66" s="10"/>
      <c r="X66" s="10"/>
      <c r="Y66" s="10"/>
      <c r="Z66" s="10"/>
      <c r="AA66" s="622"/>
      <c r="AB66" s="622"/>
      <c r="AC66" s="622"/>
      <c r="AD66" s="10"/>
    </row>
    <row r="67" spans="1:30" ht="27.75" customHeight="1" x14ac:dyDescent="0.25">
      <c r="A67" s="3853"/>
      <c r="B67" s="587" t="s">
        <v>106</v>
      </c>
      <c r="C67" s="3840" t="s">
        <v>107</v>
      </c>
      <c r="D67" s="3841"/>
      <c r="E67" s="643"/>
      <c r="F67" s="2333">
        <f t="shared" ref="F67:F82" si="12">SUM(G67:I67)</f>
        <v>0</v>
      </c>
      <c r="G67" s="647">
        <f>H716</f>
        <v>0</v>
      </c>
      <c r="H67" s="647">
        <f>I716</f>
        <v>0</v>
      </c>
      <c r="I67" s="647">
        <f>J716</f>
        <v>0</v>
      </c>
      <c r="J67" s="592">
        <f>G716</f>
        <v>0</v>
      </c>
      <c r="K67" s="592">
        <f>G718</f>
        <v>0</v>
      </c>
      <c r="L67" s="2206">
        <f t="shared" ref="L67:N77" si="13">G67*$M$49</f>
        <v>0</v>
      </c>
      <c r="M67" s="2184">
        <f t="shared" si="13"/>
        <v>0</v>
      </c>
      <c r="N67" s="2184">
        <f t="shared" si="13"/>
        <v>0</v>
      </c>
      <c r="O67" s="2184">
        <f t="shared" ref="O67:Q77" si="14">L67+G67</f>
        <v>0</v>
      </c>
      <c r="P67" s="2184">
        <f t="shared" si="14"/>
        <v>0</v>
      </c>
      <c r="Q67" s="2184">
        <f t="shared" si="14"/>
        <v>0</v>
      </c>
      <c r="R67" s="593">
        <f>SUM(O67:Q67)</f>
        <v>0</v>
      </c>
      <c r="S67" s="10"/>
      <c r="T67" s="10"/>
      <c r="U67" s="10"/>
      <c r="V67" s="10"/>
      <c r="W67" s="10"/>
      <c r="X67" s="10"/>
      <c r="Y67" s="10"/>
      <c r="Z67" s="10"/>
      <c r="AA67" s="10"/>
      <c r="AB67" s="10"/>
    </row>
    <row r="68" spans="1:30" ht="9" hidden="1" customHeight="1" x14ac:dyDescent="0.25">
      <c r="A68" s="3853"/>
      <c r="B68" s="644" t="s">
        <v>518</v>
      </c>
      <c r="C68" s="4818" t="s">
        <v>519</v>
      </c>
      <c r="D68" s="4813"/>
      <c r="E68" s="621" t="str">
        <f>E$17</f>
        <v>642020   Servicios de comunicación por medio de teléfono, telégrafo y téfex f"J</v>
      </c>
      <c r="F68" s="2333">
        <f t="shared" si="12"/>
        <v>0</v>
      </c>
      <c r="G68" s="647">
        <f t="shared" ref="G68:I77" si="15">F779</f>
        <v>0</v>
      </c>
      <c r="H68" s="647">
        <f>I738</f>
        <v>0</v>
      </c>
      <c r="I68" s="647">
        <f>J738</f>
        <v>0</v>
      </c>
      <c r="J68" s="592">
        <f>E779</f>
        <v>0</v>
      </c>
      <c r="K68" s="592">
        <f>D779</f>
        <v>0</v>
      </c>
      <c r="L68" s="2206">
        <f t="shared" si="13"/>
        <v>0</v>
      </c>
      <c r="M68" s="2184">
        <f t="shared" si="13"/>
        <v>0</v>
      </c>
      <c r="N68" s="2184">
        <f t="shared" si="13"/>
        <v>0</v>
      </c>
      <c r="O68" s="2184">
        <f t="shared" si="14"/>
        <v>0</v>
      </c>
      <c r="P68" s="2184">
        <f t="shared" si="14"/>
        <v>0</v>
      </c>
      <c r="Q68" s="2184">
        <f t="shared" si="14"/>
        <v>0</v>
      </c>
      <c r="R68" s="593">
        <f t="shared" ref="R68:R77" si="16">SUM(O68:Q68)</f>
        <v>0</v>
      </c>
      <c r="S68" s="10"/>
      <c r="T68" s="10"/>
      <c r="U68" s="10"/>
      <c r="V68" s="10"/>
      <c r="W68" s="10"/>
      <c r="X68" s="10"/>
      <c r="Y68" s="10"/>
      <c r="Z68" s="10"/>
      <c r="AA68" s="10"/>
      <c r="AB68" s="10"/>
    </row>
    <row r="69" spans="1:30" ht="9" hidden="1" customHeight="1" x14ac:dyDescent="0.25">
      <c r="A69" s="3853"/>
      <c r="B69" s="644" t="s">
        <v>518</v>
      </c>
      <c r="C69" s="4819"/>
      <c r="D69" s="4815"/>
      <c r="E69" s="621" t="str">
        <f>E$18</f>
        <v>652130   Servicios de la banca minorista</v>
      </c>
      <c r="F69" s="2333">
        <f t="shared" si="12"/>
        <v>0</v>
      </c>
      <c r="G69" s="647">
        <f t="shared" si="15"/>
        <v>0</v>
      </c>
      <c r="H69" s="647">
        <f t="shared" si="15"/>
        <v>0</v>
      </c>
      <c r="I69" s="647">
        <f t="shared" si="15"/>
        <v>0</v>
      </c>
      <c r="J69" s="592">
        <f t="shared" ref="J69:J77" si="17">E780</f>
        <v>0</v>
      </c>
      <c r="K69" s="592">
        <f t="shared" ref="K69:K77" si="18">D780</f>
        <v>0</v>
      </c>
      <c r="L69" s="2206">
        <f t="shared" si="13"/>
        <v>0</v>
      </c>
      <c r="M69" s="2184">
        <f t="shared" si="13"/>
        <v>0</v>
      </c>
      <c r="N69" s="2184">
        <f t="shared" si="13"/>
        <v>0</v>
      </c>
      <c r="O69" s="2184">
        <f t="shared" si="14"/>
        <v>0</v>
      </c>
      <c r="P69" s="2184">
        <f t="shared" si="14"/>
        <v>0</v>
      </c>
      <c r="Q69" s="2184">
        <f t="shared" si="14"/>
        <v>0</v>
      </c>
      <c r="R69" s="593">
        <f t="shared" si="16"/>
        <v>0</v>
      </c>
      <c r="S69" s="645"/>
      <c r="T69" s="569"/>
      <c r="U69" s="10"/>
      <c r="V69" s="10"/>
      <c r="W69" s="10"/>
      <c r="X69" s="10"/>
      <c r="Y69" s="10"/>
      <c r="Z69" s="10"/>
      <c r="AA69" s="10"/>
      <c r="AB69" s="10"/>
    </row>
    <row r="70" spans="1:30" ht="9" hidden="1" customHeight="1" x14ac:dyDescent="0.25">
      <c r="A70" s="3853"/>
      <c r="B70" s="644" t="s">
        <v>518</v>
      </c>
      <c r="C70" s="4819"/>
      <c r="D70" s="4815"/>
      <c r="E70" s="621">
        <f>E$19</f>
        <v>0</v>
      </c>
      <c r="F70" s="2333">
        <f t="shared" si="12"/>
        <v>0</v>
      </c>
      <c r="G70" s="647">
        <f t="shared" si="15"/>
        <v>0</v>
      </c>
      <c r="H70" s="647">
        <f t="shared" si="15"/>
        <v>0</v>
      </c>
      <c r="I70" s="647">
        <f t="shared" si="15"/>
        <v>0</v>
      </c>
      <c r="J70" s="592">
        <f t="shared" si="17"/>
        <v>0</v>
      </c>
      <c r="K70" s="592">
        <f t="shared" si="18"/>
        <v>0</v>
      </c>
      <c r="L70" s="2206">
        <f t="shared" si="13"/>
        <v>0</v>
      </c>
      <c r="M70" s="2184">
        <f t="shared" si="13"/>
        <v>0</v>
      </c>
      <c r="N70" s="2184">
        <f t="shared" si="13"/>
        <v>0</v>
      </c>
      <c r="O70" s="2184">
        <f t="shared" si="14"/>
        <v>0</v>
      </c>
      <c r="P70" s="2184">
        <f t="shared" si="14"/>
        <v>0</v>
      </c>
      <c r="Q70" s="2184">
        <f t="shared" si="14"/>
        <v>0</v>
      </c>
      <c r="R70" s="593">
        <f t="shared" si="16"/>
        <v>0</v>
      </c>
      <c r="S70" s="645"/>
      <c r="T70" s="569"/>
      <c r="U70" s="10"/>
      <c r="V70" s="10"/>
      <c r="W70" s="10"/>
      <c r="X70" s="10"/>
      <c r="Y70" s="10"/>
      <c r="Z70" s="10"/>
      <c r="AA70" s="10"/>
      <c r="AB70" s="10"/>
    </row>
    <row r="71" spans="1:30" ht="9" hidden="1" customHeight="1" x14ac:dyDescent="0.25">
      <c r="A71" s="3853"/>
      <c r="B71" s="644" t="s">
        <v>518</v>
      </c>
      <c r="C71" s="4819"/>
      <c r="D71" s="4815"/>
      <c r="E71" s="621">
        <f>E$20</f>
        <v>0</v>
      </c>
      <c r="F71" s="2333">
        <f t="shared" si="12"/>
        <v>0</v>
      </c>
      <c r="G71" s="647">
        <f t="shared" si="15"/>
        <v>0</v>
      </c>
      <c r="H71" s="647">
        <f t="shared" si="15"/>
        <v>0</v>
      </c>
      <c r="I71" s="647">
        <f t="shared" si="15"/>
        <v>0</v>
      </c>
      <c r="J71" s="592">
        <f t="shared" si="17"/>
        <v>0</v>
      </c>
      <c r="K71" s="592">
        <f t="shared" si="18"/>
        <v>0</v>
      </c>
      <c r="L71" s="2206">
        <f t="shared" si="13"/>
        <v>0</v>
      </c>
      <c r="M71" s="2184">
        <f t="shared" si="13"/>
        <v>0</v>
      </c>
      <c r="N71" s="2184">
        <f t="shared" si="13"/>
        <v>0</v>
      </c>
      <c r="O71" s="2184">
        <f t="shared" si="14"/>
        <v>0</v>
      </c>
      <c r="P71" s="2184">
        <f t="shared" si="14"/>
        <v>0</v>
      </c>
      <c r="Q71" s="2184">
        <f t="shared" si="14"/>
        <v>0</v>
      </c>
      <c r="R71" s="593">
        <f t="shared" si="16"/>
        <v>0</v>
      </c>
      <c r="S71" s="645"/>
      <c r="T71" s="569"/>
      <c r="U71" s="10"/>
      <c r="V71" s="10"/>
      <c r="W71" s="10"/>
      <c r="X71" s="10"/>
      <c r="Y71" s="10"/>
      <c r="Z71" s="10"/>
      <c r="AA71" s="10"/>
      <c r="AB71" s="10"/>
    </row>
    <row r="72" spans="1:30" ht="9" hidden="1" customHeight="1" x14ac:dyDescent="0.25">
      <c r="A72" s="3853"/>
      <c r="B72" s="644" t="s">
        <v>518</v>
      </c>
      <c r="C72" s="4819"/>
      <c r="D72" s="4815"/>
      <c r="E72" s="621">
        <f>E$21</f>
        <v>0</v>
      </c>
      <c r="F72" s="2333">
        <f t="shared" si="12"/>
        <v>0</v>
      </c>
      <c r="G72" s="647">
        <f t="shared" si="15"/>
        <v>0</v>
      </c>
      <c r="H72" s="647">
        <f t="shared" si="15"/>
        <v>0</v>
      </c>
      <c r="I72" s="647">
        <f t="shared" si="15"/>
        <v>0</v>
      </c>
      <c r="J72" s="592">
        <f t="shared" si="17"/>
        <v>0</v>
      </c>
      <c r="K72" s="592">
        <f t="shared" si="18"/>
        <v>0</v>
      </c>
      <c r="L72" s="2206">
        <f t="shared" si="13"/>
        <v>0</v>
      </c>
      <c r="M72" s="2184">
        <f t="shared" si="13"/>
        <v>0</v>
      </c>
      <c r="N72" s="2184">
        <f t="shared" si="13"/>
        <v>0</v>
      </c>
      <c r="O72" s="2184">
        <f t="shared" si="14"/>
        <v>0</v>
      </c>
      <c r="P72" s="2184">
        <f t="shared" si="14"/>
        <v>0</v>
      </c>
      <c r="Q72" s="2184">
        <f t="shared" si="14"/>
        <v>0</v>
      </c>
      <c r="R72" s="593">
        <f t="shared" si="16"/>
        <v>0</v>
      </c>
      <c r="S72" s="645"/>
      <c r="T72" s="569"/>
      <c r="U72" s="10"/>
      <c r="V72" s="10"/>
      <c r="W72" s="10"/>
      <c r="X72" s="10"/>
      <c r="Y72" s="10"/>
      <c r="Z72" s="10"/>
      <c r="AA72" s="10"/>
      <c r="AB72" s="10"/>
    </row>
    <row r="73" spans="1:30" ht="9" hidden="1" customHeight="1" x14ac:dyDescent="0.25">
      <c r="A73" s="3853"/>
      <c r="B73" s="644" t="s">
        <v>518</v>
      </c>
      <c r="C73" s="4819"/>
      <c r="D73" s="4815"/>
      <c r="E73" s="621">
        <f>E$22</f>
        <v>0</v>
      </c>
      <c r="F73" s="2333">
        <f t="shared" si="12"/>
        <v>0</v>
      </c>
      <c r="G73" s="647">
        <f t="shared" si="15"/>
        <v>0</v>
      </c>
      <c r="H73" s="647">
        <f t="shared" si="15"/>
        <v>0</v>
      </c>
      <c r="I73" s="647">
        <f t="shared" si="15"/>
        <v>0</v>
      </c>
      <c r="J73" s="592">
        <f t="shared" si="17"/>
        <v>0</v>
      </c>
      <c r="K73" s="592">
        <f t="shared" si="18"/>
        <v>0</v>
      </c>
      <c r="L73" s="2206">
        <f t="shared" si="13"/>
        <v>0</v>
      </c>
      <c r="M73" s="2184">
        <f t="shared" si="13"/>
        <v>0</v>
      </c>
      <c r="N73" s="2184">
        <f t="shared" si="13"/>
        <v>0</v>
      </c>
      <c r="O73" s="2184">
        <f t="shared" si="14"/>
        <v>0</v>
      </c>
      <c r="P73" s="2184">
        <f t="shared" si="14"/>
        <v>0</v>
      </c>
      <c r="Q73" s="2184">
        <f t="shared" si="14"/>
        <v>0</v>
      </c>
      <c r="R73" s="593">
        <f t="shared" si="16"/>
        <v>0</v>
      </c>
      <c r="S73" s="645"/>
      <c r="T73" s="569"/>
      <c r="U73" s="10"/>
      <c r="V73" s="10"/>
      <c r="W73" s="10"/>
      <c r="X73" s="10"/>
      <c r="Y73" s="10"/>
      <c r="Z73" s="10"/>
      <c r="AA73" s="10"/>
      <c r="AB73" s="10"/>
    </row>
    <row r="74" spans="1:30" ht="9" hidden="1" customHeight="1" x14ac:dyDescent="0.25">
      <c r="A74" s="3853"/>
      <c r="B74" s="644" t="s">
        <v>518</v>
      </c>
      <c r="C74" s="4819"/>
      <c r="D74" s="4815"/>
      <c r="E74" s="621">
        <f>E$23</f>
        <v>0</v>
      </c>
      <c r="F74" s="2333">
        <f t="shared" si="12"/>
        <v>0</v>
      </c>
      <c r="G74" s="647">
        <f t="shared" si="15"/>
        <v>0</v>
      </c>
      <c r="H74" s="647">
        <f t="shared" si="15"/>
        <v>0</v>
      </c>
      <c r="I74" s="647">
        <f t="shared" si="15"/>
        <v>0</v>
      </c>
      <c r="J74" s="592">
        <f t="shared" si="17"/>
        <v>0</v>
      </c>
      <c r="K74" s="592">
        <f t="shared" si="18"/>
        <v>0</v>
      </c>
      <c r="L74" s="2206">
        <f t="shared" si="13"/>
        <v>0</v>
      </c>
      <c r="M74" s="2184">
        <f t="shared" si="13"/>
        <v>0</v>
      </c>
      <c r="N74" s="2184">
        <f t="shared" si="13"/>
        <v>0</v>
      </c>
      <c r="O74" s="2184">
        <f t="shared" si="14"/>
        <v>0</v>
      </c>
      <c r="P74" s="2184">
        <f t="shared" si="14"/>
        <v>0</v>
      </c>
      <c r="Q74" s="2184">
        <f t="shared" si="14"/>
        <v>0</v>
      </c>
      <c r="R74" s="593">
        <f t="shared" si="16"/>
        <v>0</v>
      </c>
      <c r="S74" s="645"/>
      <c r="T74" s="569"/>
      <c r="U74" s="10"/>
      <c r="V74" s="10"/>
      <c r="W74" s="10"/>
      <c r="X74" s="10"/>
      <c r="Y74" s="10"/>
      <c r="Z74" s="10"/>
      <c r="AA74" s="10"/>
      <c r="AB74" s="10"/>
    </row>
    <row r="75" spans="1:30" ht="9" hidden="1" customHeight="1" x14ac:dyDescent="0.25">
      <c r="A75" s="3853"/>
      <c r="B75" s="644" t="s">
        <v>518</v>
      </c>
      <c r="C75" s="4819"/>
      <c r="D75" s="4815"/>
      <c r="E75" s="621">
        <f>E$24</f>
        <v>0</v>
      </c>
      <c r="F75" s="2333">
        <f t="shared" si="12"/>
        <v>0</v>
      </c>
      <c r="G75" s="2206">
        <f t="shared" si="15"/>
        <v>0</v>
      </c>
      <c r="H75" s="2206">
        <f t="shared" si="15"/>
        <v>0</v>
      </c>
      <c r="I75" s="2206">
        <f t="shared" si="15"/>
        <v>0</v>
      </c>
      <c r="J75" s="592">
        <f t="shared" si="17"/>
        <v>0</v>
      </c>
      <c r="K75" s="592">
        <f t="shared" si="18"/>
        <v>0</v>
      </c>
      <c r="L75" s="2206">
        <f t="shared" si="13"/>
        <v>0</v>
      </c>
      <c r="M75" s="2184">
        <f t="shared" si="13"/>
        <v>0</v>
      </c>
      <c r="N75" s="2184">
        <f t="shared" si="13"/>
        <v>0</v>
      </c>
      <c r="O75" s="2184">
        <f t="shared" si="14"/>
        <v>0</v>
      </c>
      <c r="P75" s="2184">
        <f t="shared" si="14"/>
        <v>0</v>
      </c>
      <c r="Q75" s="2184">
        <f t="shared" si="14"/>
        <v>0</v>
      </c>
      <c r="R75" s="593">
        <f t="shared" si="16"/>
        <v>0</v>
      </c>
      <c r="S75" s="645"/>
      <c r="T75" s="569"/>
      <c r="U75" s="10"/>
      <c r="V75" s="10"/>
      <c r="W75" s="10"/>
      <c r="X75" s="10"/>
      <c r="Y75" s="10"/>
      <c r="Z75" s="10"/>
      <c r="AA75" s="10"/>
      <c r="AB75" s="10"/>
    </row>
    <row r="76" spans="1:30" ht="9" hidden="1" customHeight="1" x14ac:dyDescent="0.25">
      <c r="A76" s="3853"/>
      <c r="B76" s="644" t="s">
        <v>518</v>
      </c>
      <c r="C76" s="4819"/>
      <c r="D76" s="4815"/>
      <c r="E76" s="621">
        <f>E$25</f>
        <v>0</v>
      </c>
      <c r="F76" s="2333">
        <f t="shared" si="12"/>
        <v>0</v>
      </c>
      <c r="G76" s="2206">
        <f t="shared" si="15"/>
        <v>0</v>
      </c>
      <c r="H76" s="2206">
        <f t="shared" si="15"/>
        <v>0</v>
      </c>
      <c r="I76" s="2206">
        <f t="shared" si="15"/>
        <v>0</v>
      </c>
      <c r="J76" s="592">
        <f t="shared" si="17"/>
        <v>0</v>
      </c>
      <c r="K76" s="592">
        <f t="shared" si="18"/>
        <v>0</v>
      </c>
      <c r="L76" s="2206">
        <f t="shared" si="13"/>
        <v>0</v>
      </c>
      <c r="M76" s="2184">
        <f t="shared" si="13"/>
        <v>0</v>
      </c>
      <c r="N76" s="2184">
        <f t="shared" si="13"/>
        <v>0</v>
      </c>
      <c r="O76" s="2184">
        <f t="shared" si="14"/>
        <v>0</v>
      </c>
      <c r="P76" s="2184">
        <f t="shared" si="14"/>
        <v>0</v>
      </c>
      <c r="Q76" s="2184">
        <f t="shared" si="14"/>
        <v>0</v>
      </c>
      <c r="R76" s="593">
        <f t="shared" si="16"/>
        <v>0</v>
      </c>
      <c r="S76" s="645"/>
      <c r="T76" s="569"/>
      <c r="U76" s="10"/>
      <c r="V76" s="10"/>
      <c r="W76" s="10"/>
      <c r="X76" s="10"/>
      <c r="Y76" s="10"/>
      <c r="Z76" s="10"/>
      <c r="AA76" s="10"/>
      <c r="AB76" s="10"/>
    </row>
    <row r="77" spans="1:30" ht="9" hidden="1" customHeight="1" x14ac:dyDescent="0.25">
      <c r="A77" s="3853"/>
      <c r="B77" s="644" t="s">
        <v>518</v>
      </c>
      <c r="C77" s="4820"/>
      <c r="D77" s="4817"/>
      <c r="E77" s="621">
        <f>E$26</f>
        <v>0</v>
      </c>
      <c r="F77" s="2333">
        <f t="shared" si="12"/>
        <v>0</v>
      </c>
      <c r="G77" s="647">
        <f t="shared" si="15"/>
        <v>0</v>
      </c>
      <c r="H77" s="647">
        <f t="shared" si="15"/>
        <v>0</v>
      </c>
      <c r="I77" s="647">
        <f t="shared" si="15"/>
        <v>0</v>
      </c>
      <c r="J77" s="592">
        <f t="shared" si="17"/>
        <v>0</v>
      </c>
      <c r="K77" s="592">
        <f t="shared" si="18"/>
        <v>0</v>
      </c>
      <c r="L77" s="2206">
        <f t="shared" si="13"/>
        <v>0</v>
      </c>
      <c r="M77" s="2184">
        <f t="shared" si="13"/>
        <v>0</v>
      </c>
      <c r="N77" s="2184">
        <f t="shared" si="13"/>
        <v>0</v>
      </c>
      <c r="O77" s="2184">
        <f t="shared" si="14"/>
        <v>0</v>
      </c>
      <c r="P77" s="2184">
        <f t="shared" si="14"/>
        <v>0</v>
      </c>
      <c r="Q77" s="2184">
        <f t="shared" si="14"/>
        <v>0</v>
      </c>
      <c r="R77" s="593">
        <f t="shared" si="16"/>
        <v>0</v>
      </c>
      <c r="S77" s="645"/>
      <c r="T77" s="569"/>
      <c r="U77" s="10"/>
      <c r="V77" s="10"/>
      <c r="W77" s="10"/>
      <c r="X77" s="10"/>
      <c r="Y77" s="10"/>
      <c r="Z77" s="10"/>
      <c r="AA77" s="10"/>
      <c r="AB77" s="10"/>
    </row>
    <row r="78" spans="1:30" ht="15" hidden="1" customHeight="1" x14ac:dyDescent="0.25">
      <c r="A78" s="3853"/>
      <c r="B78" s="646"/>
      <c r="C78" s="641"/>
      <c r="D78" s="642"/>
      <c r="E78" s="626" t="s">
        <v>520</v>
      </c>
      <c r="F78" s="2333">
        <f t="shared" si="12"/>
        <v>0</v>
      </c>
      <c r="G78" s="647">
        <f t="shared" ref="G78:R78" si="19">G67</f>
        <v>0</v>
      </c>
      <c r="H78" s="647">
        <f t="shared" si="19"/>
        <v>0</v>
      </c>
      <c r="I78" s="647">
        <f t="shared" si="19"/>
        <v>0</v>
      </c>
      <c r="J78" s="647">
        <f t="shared" si="19"/>
        <v>0</v>
      </c>
      <c r="K78" s="647">
        <f t="shared" si="19"/>
        <v>0</v>
      </c>
      <c r="L78" s="647">
        <f t="shared" si="19"/>
        <v>0</v>
      </c>
      <c r="M78" s="647">
        <f t="shared" si="19"/>
        <v>0</v>
      </c>
      <c r="N78" s="647">
        <f t="shared" si="19"/>
        <v>0</v>
      </c>
      <c r="O78" s="647">
        <f t="shared" si="19"/>
        <v>0</v>
      </c>
      <c r="P78" s="647">
        <f t="shared" si="19"/>
        <v>0</v>
      </c>
      <c r="Q78" s="647">
        <f t="shared" si="19"/>
        <v>0</v>
      </c>
      <c r="R78" s="648">
        <f t="shared" si="19"/>
        <v>0</v>
      </c>
      <c r="S78" s="645"/>
      <c r="T78" s="569"/>
      <c r="U78" s="10"/>
      <c r="V78" s="10"/>
      <c r="W78" s="10"/>
      <c r="X78" s="10"/>
      <c r="Y78" s="10"/>
      <c r="Z78" s="10"/>
      <c r="AA78" s="10"/>
      <c r="AB78" s="10"/>
    </row>
    <row r="79" spans="1:30" ht="15" hidden="1" customHeight="1" x14ac:dyDescent="0.25">
      <c r="A79" s="3853"/>
      <c r="B79" s="646"/>
      <c r="C79" s="641"/>
      <c r="D79" s="642"/>
      <c r="E79" s="626" t="s">
        <v>517</v>
      </c>
      <c r="F79" s="2333">
        <f t="shared" si="12"/>
        <v>0</v>
      </c>
      <c r="G79" s="2206">
        <f t="shared" ref="G79:R79" si="20">SUM(G68:G77)</f>
        <v>0</v>
      </c>
      <c r="H79" s="2206">
        <f t="shared" si="20"/>
        <v>0</v>
      </c>
      <c r="I79" s="2206">
        <f t="shared" si="20"/>
        <v>0</v>
      </c>
      <c r="J79" s="2206">
        <f t="shared" si="20"/>
        <v>0</v>
      </c>
      <c r="K79" s="2206">
        <f t="shared" si="20"/>
        <v>0</v>
      </c>
      <c r="L79" s="2206">
        <f t="shared" si="20"/>
        <v>0</v>
      </c>
      <c r="M79" s="2206">
        <f t="shared" si="20"/>
        <v>0</v>
      </c>
      <c r="N79" s="2206">
        <f t="shared" si="20"/>
        <v>0</v>
      </c>
      <c r="O79" s="2206">
        <f t="shared" si="20"/>
        <v>0</v>
      </c>
      <c r="P79" s="2206">
        <f t="shared" si="20"/>
        <v>0</v>
      </c>
      <c r="Q79" s="2206">
        <f t="shared" si="20"/>
        <v>0</v>
      </c>
      <c r="R79" s="2342">
        <f t="shared" si="20"/>
        <v>0</v>
      </c>
      <c r="S79" s="645"/>
      <c r="T79" s="569"/>
      <c r="U79" s="10"/>
      <c r="V79" s="10"/>
      <c r="W79" s="10"/>
      <c r="X79" s="10"/>
      <c r="Y79" s="10"/>
      <c r="Z79" s="10"/>
      <c r="AA79" s="10"/>
      <c r="AB79" s="10"/>
    </row>
    <row r="80" spans="1:30" ht="33.75" customHeight="1" x14ac:dyDescent="0.2">
      <c r="A80" s="3853"/>
      <c r="B80" s="646"/>
      <c r="C80" s="641"/>
      <c r="D80" s="642"/>
      <c r="E80" s="639" t="s">
        <v>108</v>
      </c>
      <c r="F80" s="2338">
        <f t="shared" si="12"/>
        <v>0</v>
      </c>
      <c r="G80" s="640">
        <f t="shared" ref="G80:R80" si="21">G79+G78</f>
        <v>0</v>
      </c>
      <c r="H80" s="640">
        <f t="shared" si="21"/>
        <v>0</v>
      </c>
      <c r="I80" s="640">
        <f t="shared" si="21"/>
        <v>0</v>
      </c>
      <c r="J80" s="640">
        <f t="shared" si="21"/>
        <v>0</v>
      </c>
      <c r="K80" s="640">
        <f t="shared" si="21"/>
        <v>0</v>
      </c>
      <c r="L80" s="649">
        <f t="shared" si="21"/>
        <v>0</v>
      </c>
      <c r="M80" s="649">
        <f t="shared" si="21"/>
        <v>0</v>
      </c>
      <c r="N80" s="649">
        <f t="shared" si="21"/>
        <v>0</v>
      </c>
      <c r="O80" s="649">
        <f t="shared" si="21"/>
        <v>0</v>
      </c>
      <c r="P80" s="649">
        <f t="shared" si="21"/>
        <v>0</v>
      </c>
      <c r="Q80" s="649">
        <f t="shared" si="21"/>
        <v>0</v>
      </c>
      <c r="R80" s="650">
        <f t="shared" si="21"/>
        <v>0</v>
      </c>
      <c r="S80" s="645"/>
      <c r="T80" s="569"/>
      <c r="U80" s="10"/>
      <c r="V80" s="10"/>
      <c r="W80" s="10"/>
      <c r="X80" s="10"/>
      <c r="Y80" s="10"/>
      <c r="Z80" s="10"/>
      <c r="AA80" s="10"/>
      <c r="AB80" s="10"/>
    </row>
    <row r="81" spans="1:28" ht="35.25" customHeight="1" x14ac:dyDescent="0.25">
      <c r="A81" s="3853"/>
      <c r="B81" s="651" t="s">
        <v>521</v>
      </c>
      <c r="C81" s="4797" t="s">
        <v>522</v>
      </c>
      <c r="D81" s="4798"/>
      <c r="E81" s="4799"/>
      <c r="F81" s="2333">
        <f t="shared" si="12"/>
        <v>0</v>
      </c>
      <c r="G81" s="585">
        <f t="shared" ref="G81:R81" si="22">G78+G63</f>
        <v>0</v>
      </c>
      <c r="H81" s="585">
        <f t="shared" si="22"/>
        <v>0</v>
      </c>
      <c r="I81" s="585">
        <f t="shared" si="22"/>
        <v>0</v>
      </c>
      <c r="J81" s="585">
        <f t="shared" si="22"/>
        <v>0</v>
      </c>
      <c r="K81" s="585">
        <f t="shared" si="22"/>
        <v>0</v>
      </c>
      <c r="L81" s="585">
        <f t="shared" si="22"/>
        <v>0</v>
      </c>
      <c r="M81" s="585">
        <f t="shared" si="22"/>
        <v>0</v>
      </c>
      <c r="N81" s="585">
        <f t="shared" si="22"/>
        <v>0</v>
      </c>
      <c r="O81" s="585">
        <f t="shared" si="22"/>
        <v>0</v>
      </c>
      <c r="P81" s="585">
        <f t="shared" si="22"/>
        <v>0</v>
      </c>
      <c r="Q81" s="585">
        <f t="shared" si="22"/>
        <v>0</v>
      </c>
      <c r="R81" s="586">
        <f t="shared" si="22"/>
        <v>0</v>
      </c>
      <c r="S81" s="652"/>
      <c r="T81" s="653"/>
      <c r="U81" s="10"/>
      <c r="V81" s="10"/>
      <c r="W81" s="10"/>
      <c r="X81" s="10"/>
      <c r="Y81" s="10"/>
      <c r="Z81" s="10"/>
      <c r="AA81" s="10"/>
      <c r="AB81" s="10"/>
    </row>
    <row r="82" spans="1:28" ht="39" customHeight="1" x14ac:dyDescent="0.25">
      <c r="A82" s="3853"/>
      <c r="B82" s="646" t="s">
        <v>523</v>
      </c>
      <c r="C82" s="4797" t="s">
        <v>524</v>
      </c>
      <c r="D82" s="4798"/>
      <c r="E82" s="4799"/>
      <c r="F82" s="2333">
        <f t="shared" si="12"/>
        <v>0</v>
      </c>
      <c r="G82" s="585">
        <f t="shared" ref="G82:R82" si="23">G64+G79</f>
        <v>0</v>
      </c>
      <c r="H82" s="585">
        <f t="shared" si="23"/>
        <v>0</v>
      </c>
      <c r="I82" s="585">
        <f t="shared" si="23"/>
        <v>0</v>
      </c>
      <c r="J82" s="585">
        <f t="shared" si="23"/>
        <v>0</v>
      </c>
      <c r="K82" s="585">
        <f t="shared" si="23"/>
        <v>0</v>
      </c>
      <c r="L82" s="585">
        <f t="shared" si="23"/>
        <v>0</v>
      </c>
      <c r="M82" s="585">
        <f t="shared" si="23"/>
        <v>0</v>
      </c>
      <c r="N82" s="585">
        <f t="shared" si="23"/>
        <v>0</v>
      </c>
      <c r="O82" s="585">
        <f t="shared" si="23"/>
        <v>0</v>
      </c>
      <c r="P82" s="585">
        <f t="shared" si="23"/>
        <v>0</v>
      </c>
      <c r="Q82" s="585">
        <f t="shared" si="23"/>
        <v>0</v>
      </c>
      <c r="R82" s="586">
        <f t="shared" si="23"/>
        <v>0</v>
      </c>
      <c r="S82" s="652"/>
      <c r="T82" s="653"/>
      <c r="U82" s="10"/>
      <c r="V82" s="10"/>
      <c r="W82" s="10"/>
      <c r="X82" s="10"/>
      <c r="Y82" s="10"/>
      <c r="Z82" s="10"/>
      <c r="AA82" s="10"/>
      <c r="AB82" s="10"/>
    </row>
    <row r="83" spans="1:28" ht="42" customHeight="1" thickBot="1" x14ac:dyDescent="0.45">
      <c r="A83" s="3854"/>
      <c r="B83" s="654"/>
      <c r="C83" s="4800" t="s">
        <v>109</v>
      </c>
      <c r="D83" s="4801"/>
      <c r="E83" s="4802"/>
      <c r="F83" s="2062">
        <f>SUM(F81:F82)</f>
        <v>0</v>
      </c>
      <c r="G83" s="2343">
        <f t="shared" ref="G83:R83" si="24">G82+G81</f>
        <v>0</v>
      </c>
      <c r="H83" s="2343">
        <f t="shared" si="24"/>
        <v>0</v>
      </c>
      <c r="I83" s="2343">
        <f t="shared" si="24"/>
        <v>0</v>
      </c>
      <c r="J83" s="2343">
        <f t="shared" si="24"/>
        <v>0</v>
      </c>
      <c r="K83" s="2343">
        <f t="shared" si="24"/>
        <v>0</v>
      </c>
      <c r="L83" s="2343">
        <f t="shared" si="24"/>
        <v>0</v>
      </c>
      <c r="M83" s="2343">
        <f t="shared" si="24"/>
        <v>0</v>
      </c>
      <c r="N83" s="2343">
        <f t="shared" si="24"/>
        <v>0</v>
      </c>
      <c r="O83" s="2344">
        <f t="shared" si="24"/>
        <v>0</v>
      </c>
      <c r="P83" s="2344">
        <f t="shared" si="24"/>
        <v>0</v>
      </c>
      <c r="Q83" s="2344">
        <f t="shared" si="24"/>
        <v>0</v>
      </c>
      <c r="R83" s="2345">
        <f t="shared" si="24"/>
        <v>0</v>
      </c>
      <c r="S83" s="656"/>
      <c r="T83" s="653"/>
      <c r="U83" s="10"/>
      <c r="V83" s="10"/>
      <c r="W83" s="10"/>
      <c r="X83" s="10"/>
      <c r="Y83" s="10"/>
      <c r="Z83" s="10"/>
      <c r="AA83" s="10"/>
      <c r="AB83" s="10"/>
    </row>
    <row r="84" spans="1:28" s="606" customFormat="1" ht="18" customHeight="1" x14ac:dyDescent="0.3">
      <c r="A84" s="657"/>
      <c r="B84" s="2128"/>
      <c r="C84" s="2129"/>
      <c r="D84" s="2129"/>
      <c r="E84" s="2129"/>
      <c r="F84" s="658"/>
      <c r="G84" s="658"/>
      <c r="H84" s="658"/>
      <c r="I84" s="658"/>
      <c r="L84" s="658"/>
      <c r="M84" s="658"/>
      <c r="N84" s="658"/>
      <c r="O84" s="659"/>
      <c r="Q84" s="660"/>
      <c r="R84" s="660"/>
      <c r="S84" s="660"/>
      <c r="T84" s="661"/>
      <c r="U84" s="605"/>
      <c r="V84" s="605"/>
      <c r="W84" s="605"/>
      <c r="X84" s="605"/>
      <c r="Y84" s="605"/>
      <c r="Z84" s="605"/>
      <c r="AA84" s="605"/>
      <c r="AB84" s="605"/>
    </row>
    <row r="85" spans="1:28" s="606" customFormat="1" ht="18" customHeight="1" thickBot="1" x14ac:dyDescent="0.35">
      <c r="A85" s="657"/>
      <c r="B85" s="2128"/>
      <c r="C85" s="2129"/>
      <c r="D85" s="2129"/>
      <c r="E85" s="2129"/>
      <c r="F85" s="658"/>
      <c r="G85" s="658"/>
      <c r="H85" s="658"/>
      <c r="I85" s="658"/>
      <c r="L85" s="658"/>
      <c r="M85" s="658"/>
      <c r="N85" s="658"/>
      <c r="O85" s="659"/>
      <c r="Q85" s="660"/>
      <c r="R85" s="660"/>
      <c r="S85" s="660"/>
      <c r="T85" s="661"/>
      <c r="U85" s="605"/>
      <c r="V85" s="605"/>
      <c r="W85" s="605"/>
      <c r="X85" s="605"/>
      <c r="Y85" s="605"/>
      <c r="Z85" s="605"/>
      <c r="AA85" s="605"/>
      <c r="AB85" s="605"/>
    </row>
    <row r="86" spans="1:28" ht="18" customHeight="1" x14ac:dyDescent="0.2">
      <c r="A86" s="4755" t="s">
        <v>110</v>
      </c>
      <c r="B86" s="4756"/>
      <c r="C86" s="4756"/>
      <c r="D86" s="4756"/>
      <c r="E86" s="4756"/>
      <c r="F86" s="4756"/>
      <c r="G86" s="4756"/>
      <c r="H86" s="4756"/>
      <c r="I86" s="4756"/>
      <c r="J86" s="4756"/>
      <c r="K86" s="4756"/>
      <c r="L86" s="4756"/>
      <c r="M86" s="4756"/>
      <c r="N86" s="4756"/>
      <c r="O86" s="4756"/>
      <c r="P86" s="4756"/>
      <c r="Q86" s="4756"/>
      <c r="R86" s="4757"/>
      <c r="S86" s="656"/>
      <c r="T86" s="653"/>
      <c r="U86" s="10"/>
      <c r="V86" s="10"/>
      <c r="W86" s="10"/>
      <c r="X86" s="10"/>
      <c r="Y86" s="10"/>
      <c r="Z86" s="10"/>
      <c r="AA86" s="10"/>
      <c r="AB86" s="10"/>
    </row>
    <row r="87" spans="1:28" ht="21.75" customHeight="1" thickBot="1" x14ac:dyDescent="0.25">
      <c r="A87" s="4803"/>
      <c r="B87" s="4740"/>
      <c r="C87" s="4740"/>
      <c r="D87" s="4740"/>
      <c r="E87" s="4740"/>
      <c r="F87" s="4740"/>
      <c r="G87" s="4740"/>
      <c r="H87" s="4740"/>
      <c r="I87" s="4740"/>
      <c r="J87" s="4740"/>
      <c r="K87" s="4740"/>
      <c r="L87" s="4740"/>
      <c r="M87" s="4740"/>
      <c r="N87" s="4740"/>
      <c r="O87" s="4740"/>
      <c r="P87" s="4740"/>
      <c r="Q87" s="4740"/>
      <c r="R87" s="4741"/>
      <c r="S87" s="10"/>
      <c r="T87" s="10"/>
      <c r="U87" s="10"/>
      <c r="V87" s="10"/>
      <c r="W87" s="10"/>
      <c r="X87" s="10"/>
      <c r="Y87" s="10"/>
      <c r="Z87" s="10"/>
      <c r="AA87" s="10"/>
      <c r="AB87" s="10"/>
    </row>
    <row r="88" spans="1:28" ht="23.25" customHeight="1" x14ac:dyDescent="0.2">
      <c r="A88" s="663"/>
      <c r="B88" s="664"/>
      <c r="C88" s="4804" t="s">
        <v>111</v>
      </c>
      <c r="D88" s="3827"/>
      <c r="E88" s="3827"/>
      <c r="F88" s="11"/>
      <c r="G88" s="3883" t="s">
        <v>94</v>
      </c>
      <c r="H88" s="3883"/>
      <c r="I88" s="3883"/>
      <c r="J88" s="4805" t="s">
        <v>100</v>
      </c>
      <c r="K88" s="3883" t="s">
        <v>101</v>
      </c>
      <c r="L88" s="3713" t="s">
        <v>97</v>
      </c>
      <c r="M88" s="3712"/>
      <c r="N88" s="3712"/>
      <c r="O88" s="3714" t="s">
        <v>102</v>
      </c>
      <c r="P88" s="4806"/>
      <c r="Q88" s="4657"/>
      <c r="R88" s="650"/>
      <c r="S88" s="10"/>
      <c r="T88" s="10"/>
      <c r="U88" s="10"/>
      <c r="V88" s="10"/>
      <c r="W88" s="10"/>
      <c r="X88" s="10"/>
      <c r="Y88" s="10"/>
      <c r="Z88" s="10"/>
      <c r="AA88" s="10"/>
      <c r="AB88" s="10"/>
    </row>
    <row r="89" spans="1:28" ht="26.25" customHeight="1" thickBot="1" x14ac:dyDescent="0.25">
      <c r="A89" s="614"/>
      <c r="B89" s="564"/>
      <c r="C89" s="4804"/>
      <c r="D89" s="3827"/>
      <c r="E89" s="3827"/>
      <c r="F89" s="667"/>
      <c r="G89" s="2184" t="s">
        <v>5</v>
      </c>
      <c r="H89" s="2184" t="s">
        <v>6</v>
      </c>
      <c r="I89" s="2184" t="s">
        <v>7</v>
      </c>
      <c r="J89" s="4805"/>
      <c r="K89" s="3883"/>
      <c r="L89" s="2242" t="s">
        <v>5</v>
      </c>
      <c r="M89" s="2243" t="s">
        <v>6</v>
      </c>
      <c r="N89" s="2243" t="s">
        <v>7</v>
      </c>
      <c r="O89" s="2243" t="s">
        <v>5</v>
      </c>
      <c r="P89" s="2243" t="s">
        <v>6</v>
      </c>
      <c r="Q89" s="2243" t="s">
        <v>7</v>
      </c>
      <c r="R89" s="2244" t="s">
        <v>4</v>
      </c>
      <c r="S89" s="10"/>
      <c r="T89" s="10"/>
      <c r="U89" s="10"/>
      <c r="V89" s="10"/>
      <c r="W89" s="10"/>
      <c r="X89" s="10"/>
      <c r="Y89" s="10"/>
      <c r="Z89" s="10"/>
      <c r="AA89" s="10"/>
      <c r="AB89" s="10"/>
    </row>
    <row r="90" spans="1:28" ht="39" customHeight="1" x14ac:dyDescent="0.3">
      <c r="A90" s="4807" t="s">
        <v>112</v>
      </c>
      <c r="B90" s="2064" t="s">
        <v>113</v>
      </c>
      <c r="C90" s="3864" t="s">
        <v>28</v>
      </c>
      <c r="D90" s="3850" t="s">
        <v>104</v>
      </c>
      <c r="E90" s="3851"/>
      <c r="F90" s="2216">
        <f t="shared" ref="F90:F111" si="25">SUM(G90:I90)</f>
        <v>0</v>
      </c>
      <c r="G90" s="2604">
        <f>+'Compra -HOJA1'!G36</f>
        <v>0</v>
      </c>
      <c r="H90" s="2604">
        <f>+'Compra -HOJA1'!H36</f>
        <v>0</v>
      </c>
      <c r="I90" s="2604">
        <f>+'Compra -HOJA1'!I36</f>
        <v>0</v>
      </c>
      <c r="J90" s="2604">
        <f>+'Compra -HOJA1'!J36</f>
        <v>0</v>
      </c>
      <c r="K90" s="2604">
        <f>+'Compra -HOJA1'!K36</f>
        <v>0</v>
      </c>
      <c r="L90" s="2203">
        <f t="shared" ref="L90:N100" si="26">G90*$M$48</f>
        <v>0</v>
      </c>
      <c r="M90" s="2204">
        <f t="shared" si="26"/>
        <v>0</v>
      </c>
      <c r="N90" s="2204">
        <f t="shared" si="26"/>
        <v>0</v>
      </c>
      <c r="O90" s="2204">
        <f>L90+G90</f>
        <v>0</v>
      </c>
      <c r="P90" s="2204">
        <f>M90+H90</f>
        <v>0</v>
      </c>
      <c r="Q90" s="2204">
        <f>N90+I90</f>
        <v>0</v>
      </c>
      <c r="R90" s="2205">
        <f>SUM(O90:Q90)</f>
        <v>0</v>
      </c>
      <c r="W90" s="10"/>
      <c r="X90" s="10"/>
      <c r="Y90" s="10"/>
      <c r="Z90" s="10"/>
      <c r="AA90" s="10"/>
      <c r="AB90" s="10"/>
    </row>
    <row r="91" spans="1:28" ht="44.25" hidden="1" customHeight="1" x14ac:dyDescent="0.3">
      <c r="A91" s="4807"/>
      <c r="B91" s="2130" t="s">
        <v>525</v>
      </c>
      <c r="C91" s="3864"/>
      <c r="D91" s="3851" t="s">
        <v>526</v>
      </c>
      <c r="E91" s="670" t="str">
        <f>E$17</f>
        <v>642020   Servicios de comunicación por medio de teléfono, telégrafo y téfex f"J</v>
      </c>
      <c r="F91" s="2217">
        <f t="shared" si="25"/>
        <v>0</v>
      </c>
      <c r="G91" s="2604"/>
      <c r="H91" s="2604"/>
      <c r="I91" s="2604"/>
      <c r="J91" s="2604"/>
      <c r="K91" s="2604"/>
      <c r="L91" s="2206">
        <f t="shared" si="26"/>
        <v>0</v>
      </c>
      <c r="M91" s="2184">
        <f t="shared" si="26"/>
        <v>0</v>
      </c>
      <c r="N91" s="2184">
        <f t="shared" si="26"/>
        <v>0</v>
      </c>
      <c r="O91" s="2184">
        <f t="shared" ref="O91:Q111" si="27">L91+G91</f>
        <v>0</v>
      </c>
      <c r="P91" s="2184">
        <f t="shared" si="27"/>
        <v>0</v>
      </c>
      <c r="Q91" s="2184">
        <f t="shared" si="27"/>
        <v>0</v>
      </c>
      <c r="R91" s="2207">
        <f t="shared" ref="R91:R111" si="28">SUM(O91:Q91)</f>
        <v>0</v>
      </c>
      <c r="S91" s="548"/>
      <c r="T91" s="548"/>
      <c r="U91" s="548"/>
      <c r="W91" s="10"/>
      <c r="X91" s="10"/>
      <c r="Y91" s="10"/>
      <c r="Z91" s="10"/>
      <c r="AA91" s="10"/>
      <c r="AB91" s="10"/>
    </row>
    <row r="92" spans="1:28" ht="44.25" hidden="1" customHeight="1" x14ac:dyDescent="0.3">
      <c r="A92" s="4807"/>
      <c r="B92" s="2130"/>
      <c r="C92" s="3864"/>
      <c r="D92" s="4808"/>
      <c r="E92" s="670" t="str">
        <f>E$18</f>
        <v>652130   Servicios de la banca minorista</v>
      </c>
      <c r="F92" s="2218">
        <f t="shared" si="25"/>
        <v>0</v>
      </c>
      <c r="G92" s="2604"/>
      <c r="H92" s="2604"/>
      <c r="I92" s="2604"/>
      <c r="J92" s="2604"/>
      <c r="K92" s="2604"/>
      <c r="L92" s="2206">
        <f t="shared" si="26"/>
        <v>0</v>
      </c>
      <c r="M92" s="2184">
        <f t="shared" si="26"/>
        <v>0</v>
      </c>
      <c r="N92" s="2184">
        <f t="shared" si="26"/>
        <v>0</v>
      </c>
      <c r="O92" s="2184">
        <f t="shared" si="27"/>
        <v>0</v>
      </c>
      <c r="P92" s="2184">
        <f t="shared" si="27"/>
        <v>0</v>
      </c>
      <c r="Q92" s="2184">
        <f t="shared" si="27"/>
        <v>0</v>
      </c>
      <c r="R92" s="2207">
        <f t="shared" si="28"/>
        <v>0</v>
      </c>
      <c r="W92" s="10"/>
      <c r="X92" s="10"/>
      <c r="Y92" s="10"/>
      <c r="Z92" s="10"/>
      <c r="AA92" s="10"/>
      <c r="AB92" s="10"/>
    </row>
    <row r="93" spans="1:28" ht="44.25" hidden="1" customHeight="1" x14ac:dyDescent="0.3">
      <c r="A93" s="4807"/>
      <c r="B93" s="2130"/>
      <c r="C93" s="3864"/>
      <c r="D93" s="4808"/>
      <c r="E93" s="670">
        <f>E$19</f>
        <v>0</v>
      </c>
      <c r="F93" s="2218">
        <f t="shared" si="25"/>
        <v>0</v>
      </c>
      <c r="G93" s="2604"/>
      <c r="H93" s="2604"/>
      <c r="I93" s="2604"/>
      <c r="J93" s="2604"/>
      <c r="K93" s="2604"/>
      <c r="L93" s="2206">
        <f t="shared" si="26"/>
        <v>0</v>
      </c>
      <c r="M93" s="2184">
        <f t="shared" si="26"/>
        <v>0</v>
      </c>
      <c r="N93" s="2184">
        <f t="shared" si="26"/>
        <v>0</v>
      </c>
      <c r="O93" s="2184">
        <f t="shared" si="27"/>
        <v>0</v>
      </c>
      <c r="P93" s="2184">
        <f t="shared" si="27"/>
        <v>0</v>
      </c>
      <c r="Q93" s="2184">
        <f t="shared" si="27"/>
        <v>0</v>
      </c>
      <c r="R93" s="2207">
        <f t="shared" si="28"/>
        <v>0</v>
      </c>
      <c r="W93" s="10"/>
      <c r="X93" s="10"/>
      <c r="Y93" s="10"/>
      <c r="Z93" s="10"/>
      <c r="AA93" s="10"/>
      <c r="AB93" s="10"/>
    </row>
    <row r="94" spans="1:28" ht="44.25" hidden="1" customHeight="1" x14ac:dyDescent="0.3">
      <c r="A94" s="4807"/>
      <c r="B94" s="2130"/>
      <c r="C94" s="3864"/>
      <c r="D94" s="4808"/>
      <c r="E94" s="670">
        <f>E$20</f>
        <v>0</v>
      </c>
      <c r="F94" s="2218">
        <f t="shared" si="25"/>
        <v>0</v>
      </c>
      <c r="G94" s="2604"/>
      <c r="H94" s="2604"/>
      <c r="I94" s="2604"/>
      <c r="J94" s="2604"/>
      <c r="K94" s="2604"/>
      <c r="L94" s="2206">
        <f t="shared" si="26"/>
        <v>0</v>
      </c>
      <c r="M94" s="2184">
        <f t="shared" si="26"/>
        <v>0</v>
      </c>
      <c r="N94" s="2184">
        <f t="shared" si="26"/>
        <v>0</v>
      </c>
      <c r="O94" s="2184">
        <f t="shared" si="27"/>
        <v>0</v>
      </c>
      <c r="P94" s="2184">
        <f t="shared" si="27"/>
        <v>0</v>
      </c>
      <c r="Q94" s="2184">
        <f t="shared" si="27"/>
        <v>0</v>
      </c>
      <c r="R94" s="2207">
        <f t="shared" si="28"/>
        <v>0</v>
      </c>
      <c r="W94" s="10"/>
      <c r="X94" s="10"/>
      <c r="Y94" s="10"/>
      <c r="Z94" s="10"/>
      <c r="AA94" s="10"/>
      <c r="AB94" s="10"/>
    </row>
    <row r="95" spans="1:28" ht="44.25" hidden="1" customHeight="1" x14ac:dyDescent="0.3">
      <c r="A95" s="4807"/>
      <c r="B95" s="2130"/>
      <c r="C95" s="3864"/>
      <c r="D95" s="4808"/>
      <c r="E95" s="670">
        <f>E$21</f>
        <v>0</v>
      </c>
      <c r="F95" s="2218">
        <f t="shared" si="25"/>
        <v>0</v>
      </c>
      <c r="G95" s="2604"/>
      <c r="H95" s="2604"/>
      <c r="I95" s="2604"/>
      <c r="J95" s="2604"/>
      <c r="K95" s="2604"/>
      <c r="L95" s="2206">
        <f t="shared" si="26"/>
        <v>0</v>
      </c>
      <c r="M95" s="2184">
        <f t="shared" si="26"/>
        <v>0</v>
      </c>
      <c r="N95" s="2184">
        <f t="shared" si="26"/>
        <v>0</v>
      </c>
      <c r="O95" s="2184">
        <f t="shared" si="27"/>
        <v>0</v>
      </c>
      <c r="P95" s="2184">
        <f t="shared" si="27"/>
        <v>0</v>
      </c>
      <c r="Q95" s="2184">
        <f t="shared" si="27"/>
        <v>0</v>
      </c>
      <c r="R95" s="2207">
        <f t="shared" si="28"/>
        <v>0</v>
      </c>
      <c r="W95" s="10"/>
      <c r="X95" s="10"/>
      <c r="Y95" s="10"/>
      <c r="Z95" s="10"/>
      <c r="AA95" s="10"/>
      <c r="AB95" s="10"/>
    </row>
    <row r="96" spans="1:28" ht="44.25" hidden="1" customHeight="1" x14ac:dyDescent="0.3">
      <c r="A96" s="4807"/>
      <c r="B96" s="2130"/>
      <c r="C96" s="3864"/>
      <c r="D96" s="4808"/>
      <c r="E96" s="670">
        <f>E$22</f>
        <v>0</v>
      </c>
      <c r="F96" s="2218">
        <f t="shared" si="25"/>
        <v>0</v>
      </c>
      <c r="G96" s="2604"/>
      <c r="H96" s="2604"/>
      <c r="I96" s="2604"/>
      <c r="J96" s="2604"/>
      <c r="K96" s="2604"/>
      <c r="L96" s="2206">
        <f t="shared" si="26"/>
        <v>0</v>
      </c>
      <c r="M96" s="2184">
        <f t="shared" si="26"/>
        <v>0</v>
      </c>
      <c r="N96" s="2184">
        <f t="shared" si="26"/>
        <v>0</v>
      </c>
      <c r="O96" s="2184">
        <f t="shared" si="27"/>
        <v>0</v>
      </c>
      <c r="P96" s="2184">
        <f t="shared" si="27"/>
        <v>0</v>
      </c>
      <c r="Q96" s="2184">
        <f t="shared" si="27"/>
        <v>0</v>
      </c>
      <c r="R96" s="2207">
        <f t="shared" si="28"/>
        <v>0</v>
      </c>
      <c r="W96" s="10"/>
      <c r="X96" s="10"/>
      <c r="Y96" s="10"/>
      <c r="Z96" s="10"/>
      <c r="AA96" s="10"/>
      <c r="AB96" s="10"/>
    </row>
    <row r="97" spans="1:28" ht="44.25" hidden="1" customHeight="1" x14ac:dyDescent="0.3">
      <c r="A97" s="4807"/>
      <c r="B97" s="2130"/>
      <c r="C97" s="3864"/>
      <c r="D97" s="4808"/>
      <c r="E97" s="670">
        <f>E$23</f>
        <v>0</v>
      </c>
      <c r="F97" s="2218">
        <f t="shared" si="25"/>
        <v>0</v>
      </c>
      <c r="G97" s="2604"/>
      <c r="H97" s="2604"/>
      <c r="I97" s="2604"/>
      <c r="J97" s="2604"/>
      <c r="K97" s="2604"/>
      <c r="L97" s="2206">
        <f t="shared" si="26"/>
        <v>0</v>
      </c>
      <c r="M97" s="2184">
        <f t="shared" si="26"/>
        <v>0</v>
      </c>
      <c r="N97" s="2184">
        <f t="shared" si="26"/>
        <v>0</v>
      </c>
      <c r="O97" s="2184">
        <f t="shared" si="27"/>
        <v>0</v>
      </c>
      <c r="P97" s="2184">
        <f t="shared" si="27"/>
        <v>0</v>
      </c>
      <c r="Q97" s="2184">
        <f t="shared" si="27"/>
        <v>0</v>
      </c>
      <c r="R97" s="2207">
        <f t="shared" si="28"/>
        <v>0</v>
      </c>
      <c r="W97" s="10"/>
      <c r="X97" s="10"/>
      <c r="Y97" s="10"/>
      <c r="Z97" s="10"/>
      <c r="AA97" s="10"/>
      <c r="AB97" s="10"/>
    </row>
    <row r="98" spans="1:28" ht="44.25" hidden="1" customHeight="1" x14ac:dyDescent="0.3">
      <c r="A98" s="4807"/>
      <c r="B98" s="2130"/>
      <c r="C98" s="3864"/>
      <c r="D98" s="4808"/>
      <c r="E98" s="670">
        <f>E$24</f>
        <v>0</v>
      </c>
      <c r="F98" s="2218">
        <f t="shared" si="25"/>
        <v>0</v>
      </c>
      <c r="G98" s="2604"/>
      <c r="H98" s="2604"/>
      <c r="I98" s="2604"/>
      <c r="J98" s="2604"/>
      <c r="K98" s="2604"/>
      <c r="L98" s="2206">
        <f t="shared" si="26"/>
        <v>0</v>
      </c>
      <c r="M98" s="2184">
        <f t="shared" si="26"/>
        <v>0</v>
      </c>
      <c r="N98" s="2184">
        <f t="shared" si="26"/>
        <v>0</v>
      </c>
      <c r="O98" s="2184">
        <f t="shared" si="27"/>
        <v>0</v>
      </c>
      <c r="P98" s="2184">
        <f t="shared" si="27"/>
        <v>0</v>
      </c>
      <c r="Q98" s="2184">
        <f t="shared" si="27"/>
        <v>0</v>
      </c>
      <c r="R98" s="2207">
        <f t="shared" si="28"/>
        <v>0</v>
      </c>
      <c r="W98" s="10"/>
      <c r="X98" s="10"/>
      <c r="Y98" s="10"/>
      <c r="Z98" s="10"/>
      <c r="AA98" s="10"/>
      <c r="AB98" s="10"/>
    </row>
    <row r="99" spans="1:28" ht="44.25" hidden="1" customHeight="1" x14ac:dyDescent="0.3">
      <c r="A99" s="4807"/>
      <c r="B99" s="2130"/>
      <c r="C99" s="3864"/>
      <c r="D99" s="4808"/>
      <c r="E99" s="670">
        <f>E$25</f>
        <v>0</v>
      </c>
      <c r="F99" s="2218">
        <f t="shared" si="25"/>
        <v>0</v>
      </c>
      <c r="G99" s="2604"/>
      <c r="H99" s="2604"/>
      <c r="I99" s="2604"/>
      <c r="J99" s="2604"/>
      <c r="K99" s="2604"/>
      <c r="L99" s="2206">
        <f t="shared" si="26"/>
        <v>0</v>
      </c>
      <c r="M99" s="2184">
        <f t="shared" si="26"/>
        <v>0</v>
      </c>
      <c r="N99" s="2184">
        <f t="shared" si="26"/>
        <v>0</v>
      </c>
      <c r="O99" s="2184">
        <f t="shared" si="27"/>
        <v>0</v>
      </c>
      <c r="P99" s="2184">
        <f t="shared" si="27"/>
        <v>0</v>
      </c>
      <c r="Q99" s="2184">
        <f t="shared" si="27"/>
        <v>0</v>
      </c>
      <c r="R99" s="2207">
        <f t="shared" si="28"/>
        <v>0</v>
      </c>
      <c r="W99" s="10"/>
      <c r="X99" s="10"/>
      <c r="Y99" s="10"/>
      <c r="Z99" s="10"/>
      <c r="AA99" s="10"/>
      <c r="AB99" s="10"/>
    </row>
    <row r="100" spans="1:28" ht="44.25" hidden="1" customHeight="1" x14ac:dyDescent="0.3">
      <c r="A100" s="4807"/>
      <c r="B100" s="2130"/>
      <c r="C100" s="3864"/>
      <c r="D100" s="3880"/>
      <c r="E100" s="670">
        <f>E$26</f>
        <v>0</v>
      </c>
      <c r="F100" s="2218">
        <f t="shared" si="25"/>
        <v>0</v>
      </c>
      <c r="G100" s="2604"/>
      <c r="H100" s="2604"/>
      <c r="I100" s="2604"/>
      <c r="J100" s="2604"/>
      <c r="K100" s="2604"/>
      <c r="L100" s="2206">
        <f t="shared" si="26"/>
        <v>0</v>
      </c>
      <c r="M100" s="2184">
        <f t="shared" si="26"/>
        <v>0</v>
      </c>
      <c r="N100" s="2184">
        <f t="shared" si="26"/>
        <v>0</v>
      </c>
      <c r="O100" s="2184">
        <f t="shared" si="27"/>
        <v>0</v>
      </c>
      <c r="P100" s="2184">
        <f t="shared" si="27"/>
        <v>0</v>
      </c>
      <c r="Q100" s="2184">
        <f t="shared" si="27"/>
        <v>0</v>
      </c>
      <c r="R100" s="2207">
        <f t="shared" si="28"/>
        <v>0</v>
      </c>
      <c r="W100" s="10"/>
      <c r="X100" s="10"/>
      <c r="Y100" s="10"/>
      <c r="Z100" s="10"/>
      <c r="AA100" s="10"/>
      <c r="AB100" s="10"/>
    </row>
    <row r="101" spans="1:28" ht="41.25" customHeight="1" x14ac:dyDescent="0.3">
      <c r="A101" s="4807"/>
      <c r="B101" s="2064" t="s">
        <v>114</v>
      </c>
      <c r="C101" s="3864"/>
      <c r="D101" s="4809" t="s">
        <v>107</v>
      </c>
      <c r="E101" s="3880"/>
      <c r="F101" s="2219">
        <f t="shared" si="25"/>
        <v>0</v>
      </c>
      <c r="G101" s="2604">
        <f>+'Compra -HOJA1'!G37</f>
        <v>0</v>
      </c>
      <c r="H101" s="2604">
        <f>+'Compra -HOJA1'!H37</f>
        <v>0</v>
      </c>
      <c r="I101" s="2604">
        <f>+'Compra -HOJA1'!I37</f>
        <v>0</v>
      </c>
      <c r="J101" s="2604">
        <f>+'Compra -HOJA1'!J37</f>
        <v>0</v>
      </c>
      <c r="K101" s="2604">
        <f>+'Compra -HOJA1'!K37</f>
        <v>0</v>
      </c>
      <c r="L101" s="2206">
        <f t="shared" ref="L101:N111" si="29">G101*$M$41</f>
        <v>0</v>
      </c>
      <c r="M101" s="2184">
        <f t="shared" si="29"/>
        <v>0</v>
      </c>
      <c r="N101" s="2184">
        <f t="shared" si="29"/>
        <v>0</v>
      </c>
      <c r="O101" s="2184">
        <f t="shared" si="27"/>
        <v>0</v>
      </c>
      <c r="P101" s="2184">
        <f t="shared" si="27"/>
        <v>0</v>
      </c>
      <c r="Q101" s="2184">
        <f t="shared" si="27"/>
        <v>0</v>
      </c>
      <c r="R101" s="2207">
        <f t="shared" si="28"/>
        <v>0</v>
      </c>
      <c r="W101" s="10"/>
      <c r="X101" s="10"/>
      <c r="Y101" s="10"/>
      <c r="Z101" s="10"/>
      <c r="AA101" s="10"/>
      <c r="AB101" s="10"/>
    </row>
    <row r="102" spans="1:28" ht="24" hidden="1" customHeight="1" x14ac:dyDescent="0.25">
      <c r="A102" s="4807"/>
      <c r="B102" s="2130" t="s">
        <v>527</v>
      </c>
      <c r="C102" s="3864"/>
      <c r="D102" s="4810" t="s">
        <v>528</v>
      </c>
      <c r="E102" s="670" t="str">
        <f>E$17</f>
        <v>642020   Servicios de comunicación por medio de teléfono, telégrafo y téfex f"J</v>
      </c>
      <c r="F102" s="672">
        <f t="shared" si="25"/>
        <v>0</v>
      </c>
      <c r="G102" s="673"/>
      <c r="H102" s="673"/>
      <c r="I102" s="673"/>
      <c r="J102" s="673"/>
      <c r="K102" s="674"/>
      <c r="L102" s="540">
        <f t="shared" si="29"/>
        <v>0</v>
      </c>
      <c r="M102" s="540">
        <f t="shared" si="29"/>
        <v>0</v>
      </c>
      <c r="N102" s="540">
        <f t="shared" si="29"/>
        <v>0</v>
      </c>
      <c r="O102" s="540">
        <f t="shared" si="27"/>
        <v>0</v>
      </c>
      <c r="P102" s="540">
        <f t="shared" si="27"/>
        <v>0</v>
      </c>
      <c r="Q102" s="540">
        <f t="shared" si="27"/>
        <v>0</v>
      </c>
      <c r="R102" s="671">
        <f t="shared" si="28"/>
        <v>0</v>
      </c>
      <c r="S102" s="9">
        <f>L102+L117+L128+L139+L150</f>
        <v>0</v>
      </c>
      <c r="T102" s="9">
        <f>N102+N117+N128+N139+N150</f>
        <v>0</v>
      </c>
      <c r="U102" s="9">
        <f>M102+M117+M128+M139+M150</f>
        <v>0</v>
      </c>
      <c r="W102" s="675">
        <f>K102+K117+K128+K139+K150</f>
        <v>0</v>
      </c>
      <c r="X102" s="675" t="e">
        <f>Y102/W102</f>
        <v>#DIV/0!</v>
      </c>
      <c r="Y102" s="675">
        <f>J102+J117+J128+J139+J150</f>
        <v>0</v>
      </c>
      <c r="Z102" s="10"/>
      <c r="AA102" s="10"/>
      <c r="AB102" s="10"/>
    </row>
    <row r="103" spans="1:28" ht="24" hidden="1" customHeight="1" x14ac:dyDescent="0.25">
      <c r="A103" s="4807"/>
      <c r="B103" s="2130"/>
      <c r="C103" s="3864"/>
      <c r="D103" s="4808"/>
      <c r="E103" s="670" t="str">
        <f>E$18</f>
        <v>652130   Servicios de la banca minorista</v>
      </c>
      <c r="F103" s="672">
        <f t="shared" si="25"/>
        <v>0</v>
      </c>
      <c r="G103" s="673"/>
      <c r="H103" s="673"/>
      <c r="I103" s="673"/>
      <c r="J103" s="673"/>
      <c r="K103" s="674"/>
      <c r="L103" s="540">
        <f t="shared" si="29"/>
        <v>0</v>
      </c>
      <c r="M103" s="540">
        <f t="shared" si="29"/>
        <v>0</v>
      </c>
      <c r="N103" s="540">
        <f t="shared" si="29"/>
        <v>0</v>
      </c>
      <c r="O103" s="540">
        <f t="shared" si="27"/>
        <v>0</v>
      </c>
      <c r="P103" s="540">
        <f t="shared" si="27"/>
        <v>0</v>
      </c>
      <c r="Q103" s="540">
        <f t="shared" si="27"/>
        <v>0</v>
      </c>
      <c r="R103" s="671">
        <f t="shared" si="28"/>
        <v>0</v>
      </c>
      <c r="S103" s="9">
        <f>L104+L119+L130+L141+L152</f>
        <v>0</v>
      </c>
      <c r="T103" s="9">
        <f>N104+N119+N130+N141+N152</f>
        <v>0</v>
      </c>
      <c r="U103" s="9">
        <f>M104+M119+M130+M141+M152</f>
        <v>0</v>
      </c>
      <c r="W103" s="675">
        <f>K104+K119+K130+K141+K152</f>
        <v>0</v>
      </c>
      <c r="X103" s="675" t="e">
        <f>Y103/W103</f>
        <v>#DIV/0!</v>
      </c>
      <c r="Y103" s="675">
        <f>J104+J119+J130+J141+J152</f>
        <v>0</v>
      </c>
      <c r="Z103" s="10"/>
      <c r="AA103" s="10"/>
      <c r="AB103" s="10"/>
    </row>
    <row r="104" spans="1:28" ht="24" hidden="1" customHeight="1" x14ac:dyDescent="0.25">
      <c r="A104" s="4807"/>
      <c r="B104" s="2130"/>
      <c r="C104" s="3864"/>
      <c r="D104" s="4808"/>
      <c r="E104" s="670">
        <f>E$19</f>
        <v>0</v>
      </c>
      <c r="F104" s="672">
        <f t="shared" si="25"/>
        <v>0</v>
      </c>
      <c r="G104" s="673"/>
      <c r="H104" s="673"/>
      <c r="I104" s="673"/>
      <c r="J104" s="673"/>
      <c r="K104" s="674"/>
      <c r="L104" s="540">
        <f t="shared" si="29"/>
        <v>0</v>
      </c>
      <c r="M104" s="540">
        <f t="shared" si="29"/>
        <v>0</v>
      </c>
      <c r="N104" s="540">
        <f t="shared" si="29"/>
        <v>0</v>
      </c>
      <c r="O104" s="540">
        <f t="shared" si="27"/>
        <v>0</v>
      </c>
      <c r="P104" s="540">
        <f t="shared" si="27"/>
        <v>0</v>
      </c>
      <c r="Q104" s="540">
        <f t="shared" si="27"/>
        <v>0</v>
      </c>
      <c r="R104" s="671">
        <f t="shared" si="28"/>
        <v>0</v>
      </c>
      <c r="S104" s="9">
        <f>L106+L121+L132+L143+L154</f>
        <v>0</v>
      </c>
      <c r="T104" s="9">
        <f>N106+N121+N132+N143+N154</f>
        <v>0</v>
      </c>
      <c r="U104" s="9">
        <f>M106+M121+M132+M143+M154</f>
        <v>0</v>
      </c>
      <c r="W104" s="675">
        <f>K106+K121+K132+K143+K154</f>
        <v>0</v>
      </c>
      <c r="X104" s="675" t="e">
        <f>Y104/W104</f>
        <v>#DIV/0!</v>
      </c>
      <c r="Y104" s="675">
        <f>J106+J121+J132+J143+J154</f>
        <v>0</v>
      </c>
      <c r="Z104" s="10"/>
      <c r="AA104" s="10"/>
      <c r="AB104" s="10"/>
    </row>
    <row r="105" spans="1:28" ht="24" hidden="1" customHeight="1" x14ac:dyDescent="0.25">
      <c r="A105" s="4807"/>
      <c r="B105" s="2130"/>
      <c r="C105" s="3864"/>
      <c r="D105" s="4808"/>
      <c r="E105" s="670">
        <f>E$20</f>
        <v>0</v>
      </c>
      <c r="F105" s="672">
        <f t="shared" si="25"/>
        <v>0</v>
      </c>
      <c r="G105" s="673"/>
      <c r="H105" s="673"/>
      <c r="I105" s="673"/>
      <c r="J105" s="673"/>
      <c r="K105" s="674"/>
      <c r="L105" s="540">
        <f t="shared" si="29"/>
        <v>0</v>
      </c>
      <c r="M105" s="540">
        <f t="shared" si="29"/>
        <v>0</v>
      </c>
      <c r="N105" s="540">
        <f t="shared" si="29"/>
        <v>0</v>
      </c>
      <c r="O105" s="540">
        <f t="shared" si="27"/>
        <v>0</v>
      </c>
      <c r="P105" s="540">
        <f t="shared" si="27"/>
        <v>0</v>
      </c>
      <c r="Q105" s="540">
        <f t="shared" si="27"/>
        <v>0</v>
      </c>
      <c r="R105" s="671">
        <f t="shared" si="28"/>
        <v>0</v>
      </c>
      <c r="W105" s="10"/>
      <c r="X105" s="10"/>
      <c r="Y105" s="10"/>
      <c r="Z105" s="10"/>
      <c r="AA105" s="10"/>
      <c r="AB105" s="10"/>
    </row>
    <row r="106" spans="1:28" ht="24" hidden="1" customHeight="1" x14ac:dyDescent="0.25">
      <c r="A106" s="4807"/>
      <c r="B106" s="2130"/>
      <c r="C106" s="3864"/>
      <c r="D106" s="4808"/>
      <c r="E106" s="670">
        <f>E$21</f>
        <v>0</v>
      </c>
      <c r="F106" s="672">
        <f t="shared" si="25"/>
        <v>0</v>
      </c>
      <c r="G106" s="673"/>
      <c r="H106" s="673"/>
      <c r="I106" s="673"/>
      <c r="J106" s="673"/>
      <c r="K106" s="674"/>
      <c r="L106" s="540">
        <f t="shared" si="29"/>
        <v>0</v>
      </c>
      <c r="M106" s="540">
        <f t="shared" si="29"/>
        <v>0</v>
      </c>
      <c r="N106" s="540">
        <f t="shared" si="29"/>
        <v>0</v>
      </c>
      <c r="O106" s="540">
        <f t="shared" si="27"/>
        <v>0</v>
      </c>
      <c r="P106" s="540">
        <f t="shared" si="27"/>
        <v>0</v>
      </c>
      <c r="Q106" s="540">
        <f t="shared" si="27"/>
        <v>0</v>
      </c>
      <c r="R106" s="671">
        <f t="shared" si="28"/>
        <v>0</v>
      </c>
      <c r="W106" s="10"/>
      <c r="X106" s="10"/>
      <c r="Y106" s="10"/>
      <c r="Z106" s="10"/>
      <c r="AA106" s="10"/>
      <c r="AB106" s="10"/>
    </row>
    <row r="107" spans="1:28" ht="24" hidden="1" customHeight="1" x14ac:dyDescent="0.25">
      <c r="A107" s="4807"/>
      <c r="B107" s="2130"/>
      <c r="C107" s="3864"/>
      <c r="D107" s="4808"/>
      <c r="E107" s="670">
        <f>E$22</f>
        <v>0</v>
      </c>
      <c r="F107" s="672">
        <f t="shared" si="25"/>
        <v>0</v>
      </c>
      <c r="G107" s="673"/>
      <c r="H107" s="673"/>
      <c r="I107" s="673"/>
      <c r="J107" s="673"/>
      <c r="K107" s="674"/>
      <c r="L107" s="540">
        <f t="shared" si="29"/>
        <v>0</v>
      </c>
      <c r="M107" s="540">
        <f t="shared" si="29"/>
        <v>0</v>
      </c>
      <c r="N107" s="540">
        <f t="shared" si="29"/>
        <v>0</v>
      </c>
      <c r="O107" s="540">
        <f t="shared" si="27"/>
        <v>0</v>
      </c>
      <c r="P107" s="540">
        <f t="shared" si="27"/>
        <v>0</v>
      </c>
      <c r="Q107" s="540">
        <f t="shared" si="27"/>
        <v>0</v>
      </c>
      <c r="R107" s="671">
        <f t="shared" si="28"/>
        <v>0</v>
      </c>
      <c r="W107" s="10"/>
      <c r="X107" s="10"/>
      <c r="Y107" s="10"/>
      <c r="Z107" s="10"/>
      <c r="AA107" s="10"/>
      <c r="AB107" s="10"/>
    </row>
    <row r="108" spans="1:28" ht="24" hidden="1" customHeight="1" x14ac:dyDescent="0.25">
      <c r="A108" s="4807"/>
      <c r="B108" s="2130"/>
      <c r="C108" s="3864"/>
      <c r="D108" s="4808"/>
      <c r="E108" s="670">
        <f>E$23</f>
        <v>0</v>
      </c>
      <c r="F108" s="672">
        <f t="shared" si="25"/>
        <v>0</v>
      </c>
      <c r="G108" s="673"/>
      <c r="H108" s="673"/>
      <c r="I108" s="673"/>
      <c r="J108" s="673"/>
      <c r="K108" s="674"/>
      <c r="L108" s="540">
        <f t="shared" si="29"/>
        <v>0</v>
      </c>
      <c r="M108" s="540">
        <f t="shared" si="29"/>
        <v>0</v>
      </c>
      <c r="N108" s="540">
        <f t="shared" si="29"/>
        <v>0</v>
      </c>
      <c r="O108" s="540">
        <f t="shared" si="27"/>
        <v>0</v>
      </c>
      <c r="P108" s="540">
        <f t="shared" si="27"/>
        <v>0</v>
      </c>
      <c r="Q108" s="540">
        <f t="shared" si="27"/>
        <v>0</v>
      </c>
      <c r="R108" s="671">
        <f t="shared" si="28"/>
        <v>0</v>
      </c>
      <c r="W108" s="10"/>
      <c r="X108" s="10"/>
      <c r="Y108" s="10"/>
      <c r="Z108" s="10"/>
      <c r="AA108" s="10"/>
      <c r="AB108" s="10"/>
    </row>
    <row r="109" spans="1:28" ht="24" hidden="1" customHeight="1" x14ac:dyDescent="0.25">
      <c r="A109" s="4807"/>
      <c r="B109" s="2130"/>
      <c r="C109" s="3864"/>
      <c r="D109" s="4808"/>
      <c r="E109" s="670">
        <f>E$24</f>
        <v>0</v>
      </c>
      <c r="F109" s="672">
        <f t="shared" si="25"/>
        <v>0</v>
      </c>
      <c r="G109" s="673"/>
      <c r="H109" s="673"/>
      <c r="I109" s="673"/>
      <c r="J109" s="673"/>
      <c r="K109" s="674"/>
      <c r="L109" s="540">
        <f t="shared" si="29"/>
        <v>0</v>
      </c>
      <c r="M109" s="540">
        <f t="shared" si="29"/>
        <v>0</v>
      </c>
      <c r="N109" s="540">
        <f t="shared" si="29"/>
        <v>0</v>
      </c>
      <c r="O109" s="540">
        <f t="shared" si="27"/>
        <v>0</v>
      </c>
      <c r="P109" s="540">
        <f t="shared" si="27"/>
        <v>0</v>
      </c>
      <c r="Q109" s="540">
        <f t="shared" si="27"/>
        <v>0</v>
      </c>
      <c r="R109" s="671">
        <f t="shared" si="28"/>
        <v>0</v>
      </c>
      <c r="W109" s="10"/>
      <c r="X109" s="10"/>
      <c r="Y109" s="10"/>
      <c r="Z109" s="10"/>
      <c r="AA109" s="10"/>
      <c r="AB109" s="10"/>
    </row>
    <row r="110" spans="1:28" ht="24" hidden="1" customHeight="1" x14ac:dyDescent="0.25">
      <c r="A110" s="4807"/>
      <c r="B110" s="2130"/>
      <c r="C110" s="3864"/>
      <c r="D110" s="4808"/>
      <c r="E110" s="670">
        <f>E$25</f>
        <v>0</v>
      </c>
      <c r="F110" s="672">
        <f t="shared" si="25"/>
        <v>0</v>
      </c>
      <c r="G110" s="673"/>
      <c r="H110" s="673"/>
      <c r="I110" s="673"/>
      <c r="J110" s="673"/>
      <c r="K110" s="674"/>
      <c r="L110" s="540">
        <f t="shared" si="29"/>
        <v>0</v>
      </c>
      <c r="M110" s="540">
        <f t="shared" si="29"/>
        <v>0</v>
      </c>
      <c r="N110" s="540">
        <f t="shared" si="29"/>
        <v>0</v>
      </c>
      <c r="O110" s="540">
        <f t="shared" si="27"/>
        <v>0</v>
      </c>
      <c r="P110" s="540">
        <f t="shared" si="27"/>
        <v>0</v>
      </c>
      <c r="Q110" s="540">
        <f t="shared" si="27"/>
        <v>0</v>
      </c>
      <c r="R110" s="671">
        <f t="shared" si="28"/>
        <v>0</v>
      </c>
      <c r="W110" s="10"/>
      <c r="X110" s="10"/>
      <c r="Y110" s="10"/>
      <c r="Z110" s="10"/>
      <c r="AA110" s="10"/>
      <c r="AB110" s="10"/>
    </row>
    <row r="111" spans="1:28" ht="24" hidden="1" customHeight="1" x14ac:dyDescent="0.25">
      <c r="A111" s="4807"/>
      <c r="B111" s="2130"/>
      <c r="C111" s="3864"/>
      <c r="D111" s="3880"/>
      <c r="E111" s="670">
        <f>E$26</f>
        <v>0</v>
      </c>
      <c r="F111" s="672">
        <f t="shared" si="25"/>
        <v>0</v>
      </c>
      <c r="G111" s="673"/>
      <c r="H111" s="673"/>
      <c r="I111" s="673"/>
      <c r="J111" s="673"/>
      <c r="K111" s="674"/>
      <c r="L111" s="540">
        <f t="shared" si="29"/>
        <v>0</v>
      </c>
      <c r="M111" s="540">
        <f t="shared" si="29"/>
        <v>0</v>
      </c>
      <c r="N111" s="540">
        <f t="shared" si="29"/>
        <v>0</v>
      </c>
      <c r="O111" s="540">
        <f t="shared" si="27"/>
        <v>0</v>
      </c>
      <c r="P111" s="540">
        <f t="shared" si="27"/>
        <v>0</v>
      </c>
      <c r="Q111" s="540">
        <f t="shared" si="27"/>
        <v>0</v>
      </c>
      <c r="R111" s="671">
        <f t="shared" si="28"/>
        <v>0</v>
      </c>
      <c r="W111" s="10"/>
      <c r="X111" s="10"/>
      <c r="Y111" s="10"/>
      <c r="Z111" s="10"/>
      <c r="AA111" s="10"/>
      <c r="AB111" s="10"/>
    </row>
    <row r="112" spans="1:28" ht="24" customHeight="1" x14ac:dyDescent="0.2">
      <c r="A112" s="4807"/>
      <c r="B112" s="3864"/>
      <c r="C112" s="3864"/>
      <c r="D112" s="4794" t="s">
        <v>529</v>
      </c>
      <c r="E112" s="4794"/>
      <c r="F112" s="676">
        <f t="shared" ref="F112:R112" si="30">F90+F101</f>
        <v>0</v>
      </c>
      <c r="G112" s="559">
        <f t="shared" si="30"/>
        <v>0</v>
      </c>
      <c r="H112" s="559">
        <f t="shared" si="30"/>
        <v>0</v>
      </c>
      <c r="I112" s="559">
        <f t="shared" si="30"/>
        <v>0</v>
      </c>
      <c r="J112" s="559">
        <f t="shared" si="30"/>
        <v>0</v>
      </c>
      <c r="K112" s="559">
        <f t="shared" si="30"/>
        <v>0</v>
      </c>
      <c r="L112" s="585">
        <f t="shared" si="30"/>
        <v>0</v>
      </c>
      <c r="M112" s="585">
        <f t="shared" si="30"/>
        <v>0</v>
      </c>
      <c r="N112" s="585">
        <f t="shared" si="30"/>
        <v>0</v>
      </c>
      <c r="O112" s="585">
        <f t="shared" si="30"/>
        <v>0</v>
      </c>
      <c r="P112" s="585">
        <f t="shared" si="30"/>
        <v>0</v>
      </c>
      <c r="Q112" s="585">
        <f t="shared" si="30"/>
        <v>0</v>
      </c>
      <c r="R112" s="586">
        <f t="shared" si="30"/>
        <v>0</v>
      </c>
      <c r="W112" s="10"/>
      <c r="X112" s="10"/>
      <c r="Y112" s="10"/>
      <c r="Z112" s="10"/>
      <c r="AA112" s="10"/>
      <c r="AB112" s="10"/>
    </row>
    <row r="113" spans="1:28" ht="24" customHeight="1" x14ac:dyDescent="0.2">
      <c r="A113" s="4807"/>
      <c r="B113" s="3864"/>
      <c r="C113" s="3864"/>
      <c r="D113" s="4794" t="s">
        <v>530</v>
      </c>
      <c r="E113" s="4795"/>
      <c r="F113" s="676">
        <f t="shared" ref="F113:R113" si="31">SUM(F91:F100)+SUM(F102:F111)</f>
        <v>0</v>
      </c>
      <c r="G113" s="561">
        <f t="shared" si="31"/>
        <v>0</v>
      </c>
      <c r="H113" s="561">
        <f t="shared" si="31"/>
        <v>0</v>
      </c>
      <c r="I113" s="561">
        <f t="shared" si="31"/>
        <v>0</v>
      </c>
      <c r="J113" s="561">
        <f t="shared" si="31"/>
        <v>0</v>
      </c>
      <c r="K113" s="561">
        <f t="shared" si="31"/>
        <v>0</v>
      </c>
      <c r="L113" s="561">
        <f t="shared" si="31"/>
        <v>0</v>
      </c>
      <c r="M113" s="561">
        <f t="shared" si="31"/>
        <v>0</v>
      </c>
      <c r="N113" s="561">
        <f t="shared" si="31"/>
        <v>0</v>
      </c>
      <c r="O113" s="104">
        <f t="shared" si="31"/>
        <v>0</v>
      </c>
      <c r="P113" s="104">
        <f t="shared" si="31"/>
        <v>0</v>
      </c>
      <c r="Q113" s="104">
        <f t="shared" si="31"/>
        <v>0</v>
      </c>
      <c r="R113" s="669">
        <f t="shared" si="31"/>
        <v>0</v>
      </c>
      <c r="W113" s="10"/>
      <c r="X113" s="10"/>
      <c r="Y113" s="10"/>
      <c r="Z113" s="10"/>
      <c r="AA113" s="10"/>
      <c r="AB113" s="10"/>
    </row>
    <row r="114" spans="1:28" ht="33" customHeight="1" thickBot="1" x14ac:dyDescent="0.45">
      <c r="A114" s="4807"/>
      <c r="B114" s="3864"/>
      <c r="C114" s="3864"/>
      <c r="D114" s="4796" t="s">
        <v>115</v>
      </c>
      <c r="E114" s="4796"/>
      <c r="F114" s="677">
        <f t="shared" ref="F114:R114" si="32">F112+F113</f>
        <v>0</v>
      </c>
      <c r="G114" s="2202">
        <f t="shared" si="32"/>
        <v>0</v>
      </c>
      <c r="H114" s="2202">
        <f t="shared" si="32"/>
        <v>0</v>
      </c>
      <c r="I114" s="2202">
        <f t="shared" si="32"/>
        <v>0</v>
      </c>
      <c r="J114" s="2202">
        <f t="shared" si="32"/>
        <v>0</v>
      </c>
      <c r="K114" s="2202">
        <f t="shared" si="32"/>
        <v>0</v>
      </c>
      <c r="L114" s="2202">
        <f t="shared" si="32"/>
        <v>0</v>
      </c>
      <c r="M114" s="2202">
        <f t="shared" si="32"/>
        <v>0</v>
      </c>
      <c r="N114" s="2202">
        <f t="shared" si="32"/>
        <v>0</v>
      </c>
      <c r="O114" s="655">
        <f t="shared" si="32"/>
        <v>0</v>
      </c>
      <c r="P114" s="655">
        <f t="shared" si="32"/>
        <v>0</v>
      </c>
      <c r="Q114" s="655">
        <f t="shared" si="32"/>
        <v>0</v>
      </c>
      <c r="R114" s="679">
        <f t="shared" si="32"/>
        <v>0</v>
      </c>
      <c r="W114" s="10"/>
      <c r="X114" s="10"/>
      <c r="Y114" s="10"/>
      <c r="Z114" s="10"/>
      <c r="AA114" s="10"/>
      <c r="AB114" s="10"/>
    </row>
    <row r="115" spans="1:28" s="105" customFormat="1" ht="24" customHeight="1" thickBot="1" x14ac:dyDescent="0.25">
      <c r="A115" s="4807"/>
      <c r="B115" s="680"/>
      <c r="C115" s="680"/>
      <c r="D115" s="681"/>
      <c r="E115" s="681"/>
      <c r="F115" s="682"/>
      <c r="G115" s="682"/>
      <c r="H115" s="682"/>
      <c r="I115" s="682"/>
      <c r="J115" s="682"/>
      <c r="K115" s="682"/>
      <c r="L115" s="682"/>
      <c r="M115" s="682"/>
      <c r="N115" s="682"/>
      <c r="O115" s="683"/>
      <c r="P115" s="683"/>
      <c r="Q115" s="683"/>
      <c r="R115" s="684"/>
      <c r="W115" s="569"/>
      <c r="X115" s="569"/>
      <c r="Y115" s="569"/>
      <c r="Z115" s="569"/>
      <c r="AA115" s="569"/>
      <c r="AB115" s="569"/>
    </row>
    <row r="116" spans="1:28" ht="28.5" thickBot="1" x14ac:dyDescent="0.25">
      <c r="A116" s="4807"/>
      <c r="B116" s="2064" t="s">
        <v>116</v>
      </c>
      <c r="C116" s="3864" t="s">
        <v>117</v>
      </c>
      <c r="D116" s="3838" t="s">
        <v>118</v>
      </c>
      <c r="E116" s="3839"/>
      <c r="F116" s="2601">
        <f>+'Compra -HOJA1'!F40</f>
        <v>0</v>
      </c>
      <c r="G116" s="2208">
        <f>IF(F116=0,0,$F116*COEF!$J$27)</f>
        <v>0</v>
      </c>
      <c r="H116" s="2208">
        <f>IF(F116=0,0,$F116*COEF!$K$27)</f>
        <v>0</v>
      </c>
      <c r="I116" s="2208">
        <f>IF(F116=0,0,$F116*COEF!$L$27)</f>
        <v>0</v>
      </c>
      <c r="J116" s="2208">
        <f t="shared" ref="J116:J162" si="33">IF(F116=0,0,IF((F116/K116)&lt;9000,"ERROR",(F116/3000)*10))</f>
        <v>0</v>
      </c>
      <c r="K116" s="2602">
        <f>+'Compra -HOJA1'!K40</f>
        <v>0</v>
      </c>
      <c r="L116" s="2208">
        <f t="shared" ref="L116:N162" si="34">G116*$M$49</f>
        <v>0</v>
      </c>
      <c r="M116" s="2208">
        <f t="shared" si="34"/>
        <v>0</v>
      </c>
      <c r="N116" s="2208">
        <f t="shared" si="34"/>
        <v>0</v>
      </c>
      <c r="O116" s="2212">
        <f>L116+G116</f>
        <v>0</v>
      </c>
      <c r="P116" s="2212">
        <f>M116+H116</f>
        <v>0</v>
      </c>
      <c r="Q116" s="2212">
        <f>N116+I116</f>
        <v>0</v>
      </c>
      <c r="R116" s="2347">
        <f>SUM(O116:Q116)</f>
        <v>0</v>
      </c>
      <c r="W116" s="10"/>
      <c r="X116" s="10"/>
      <c r="Y116" s="10"/>
      <c r="Z116" s="10"/>
      <c r="AA116" s="10"/>
      <c r="AB116" s="10"/>
    </row>
    <row r="117" spans="1:28" ht="36.75" hidden="1" thickBot="1" x14ac:dyDescent="0.25">
      <c r="A117" s="4807"/>
      <c r="B117" s="2130" t="s">
        <v>130</v>
      </c>
      <c r="C117" s="3864"/>
      <c r="D117" s="4787" t="s">
        <v>531</v>
      </c>
      <c r="E117" s="2361" t="str">
        <f t="shared" ref="E117:E126" si="35">E17</f>
        <v>642020   Servicios de comunicación por medio de teléfono, telégrafo y téfex f"J</v>
      </c>
      <c r="F117" s="2602"/>
      <c r="G117" s="2209">
        <f>IF(F117=0,0,$F117*COEF!$J$27)</f>
        <v>0</v>
      </c>
      <c r="H117" s="2209">
        <f>IF(F117=0,0,$F117*COEF!$K$27)</f>
        <v>0</v>
      </c>
      <c r="I117" s="2209">
        <f>IF(F117=0,0,$F117*COEF!$L$27)</f>
        <v>0</v>
      </c>
      <c r="J117" s="2208">
        <f t="shared" si="33"/>
        <v>0</v>
      </c>
      <c r="K117" s="2602"/>
      <c r="L117" s="2208">
        <f t="shared" si="34"/>
        <v>0</v>
      </c>
      <c r="M117" s="2208">
        <f t="shared" si="34"/>
        <v>0</v>
      </c>
      <c r="N117" s="2208">
        <f t="shared" si="34"/>
        <v>0</v>
      </c>
      <c r="O117" s="2212">
        <f t="shared" ref="O117:Q162" si="36">L117+G117</f>
        <v>0</v>
      </c>
      <c r="P117" s="2212">
        <f t="shared" si="36"/>
        <v>0</v>
      </c>
      <c r="Q117" s="2212">
        <f t="shared" si="36"/>
        <v>0</v>
      </c>
      <c r="R117" s="2347">
        <f t="shared" ref="R117:R162" si="37">SUM(O117:Q117)</f>
        <v>0</v>
      </c>
      <c r="W117" s="10"/>
      <c r="X117" s="10"/>
      <c r="Y117" s="10"/>
      <c r="Z117" s="10"/>
      <c r="AA117" s="10"/>
      <c r="AB117" s="10"/>
    </row>
    <row r="118" spans="1:28" ht="28.5" hidden="1" thickBot="1" x14ac:dyDescent="0.25">
      <c r="A118" s="4807"/>
      <c r="B118" s="2130"/>
      <c r="C118" s="3864"/>
      <c r="D118" s="4788"/>
      <c r="E118" s="2361" t="str">
        <f t="shared" si="35"/>
        <v>652130   Servicios de la banca minorista</v>
      </c>
      <c r="F118" s="2602"/>
      <c r="G118" s="2209">
        <f>IF(F118=0,0,$F118*COEF!$J$27)</f>
        <v>0</v>
      </c>
      <c r="H118" s="2209">
        <f>IF(F118=0,0,$F118*COEF!$K$27)</f>
        <v>0</v>
      </c>
      <c r="I118" s="2209">
        <f>IF(F118=0,0,$F118*COEF!$L$27)</f>
        <v>0</v>
      </c>
      <c r="J118" s="2208">
        <f t="shared" si="33"/>
        <v>0</v>
      </c>
      <c r="K118" s="2602"/>
      <c r="L118" s="2208">
        <f t="shared" si="34"/>
        <v>0</v>
      </c>
      <c r="M118" s="2208">
        <f t="shared" si="34"/>
        <v>0</v>
      </c>
      <c r="N118" s="2208">
        <f t="shared" si="34"/>
        <v>0</v>
      </c>
      <c r="O118" s="2212">
        <f t="shared" si="36"/>
        <v>0</v>
      </c>
      <c r="P118" s="2212">
        <f t="shared" si="36"/>
        <v>0</v>
      </c>
      <c r="Q118" s="2212">
        <f t="shared" si="36"/>
        <v>0</v>
      </c>
      <c r="R118" s="2347">
        <f t="shared" si="37"/>
        <v>0</v>
      </c>
      <c r="S118" s="622"/>
      <c r="T118" s="622"/>
      <c r="U118" s="622"/>
      <c r="V118" s="10"/>
      <c r="W118" s="10"/>
      <c r="X118" s="10"/>
      <c r="Y118" s="10"/>
      <c r="Z118" s="10"/>
      <c r="AA118" s="10"/>
      <c r="AB118" s="10"/>
    </row>
    <row r="119" spans="1:28" ht="28.5" hidden="1" thickBot="1" x14ac:dyDescent="0.25">
      <c r="A119" s="4807"/>
      <c r="B119" s="2130"/>
      <c r="C119" s="3864"/>
      <c r="D119" s="4788"/>
      <c r="E119" s="2361">
        <f t="shared" si="35"/>
        <v>0</v>
      </c>
      <c r="F119" s="2602"/>
      <c r="G119" s="2209">
        <f>IF(F119=0,0,$F119*COEF!$J$27)</f>
        <v>0</v>
      </c>
      <c r="H119" s="2209">
        <f>IF(F119=0,0,$F119*COEF!$K$27)</f>
        <v>0</v>
      </c>
      <c r="I119" s="2209">
        <f>IF(F119=0,0,$F119*COEF!$L$27)</f>
        <v>0</v>
      </c>
      <c r="J119" s="2208">
        <f t="shared" si="33"/>
        <v>0</v>
      </c>
      <c r="K119" s="2602"/>
      <c r="L119" s="2208">
        <f t="shared" si="34"/>
        <v>0</v>
      </c>
      <c r="M119" s="2208">
        <f t="shared" si="34"/>
        <v>0</v>
      </c>
      <c r="N119" s="2208">
        <f t="shared" si="34"/>
        <v>0</v>
      </c>
      <c r="O119" s="2212">
        <f t="shared" si="36"/>
        <v>0</v>
      </c>
      <c r="P119" s="2212">
        <f t="shared" si="36"/>
        <v>0</v>
      </c>
      <c r="Q119" s="2212">
        <f t="shared" si="36"/>
        <v>0</v>
      </c>
      <c r="R119" s="2347">
        <f t="shared" si="37"/>
        <v>0</v>
      </c>
      <c r="S119" s="622"/>
      <c r="T119" s="622"/>
      <c r="U119" s="622"/>
      <c r="V119" s="10"/>
      <c r="W119" s="10"/>
      <c r="X119" s="10"/>
      <c r="Y119" s="10"/>
      <c r="Z119" s="10"/>
      <c r="AA119" s="10"/>
      <c r="AB119" s="10"/>
    </row>
    <row r="120" spans="1:28" ht="28.5" hidden="1" thickBot="1" x14ac:dyDescent="0.25">
      <c r="A120" s="4807"/>
      <c r="B120" s="2130"/>
      <c r="C120" s="3864"/>
      <c r="D120" s="4788"/>
      <c r="E120" s="2361">
        <f t="shared" si="35"/>
        <v>0</v>
      </c>
      <c r="F120" s="2602"/>
      <c r="G120" s="2209">
        <f>IF(F120=0,0,$F120*COEF!$J$27)</f>
        <v>0</v>
      </c>
      <c r="H120" s="2209">
        <f>IF(F120=0,0,$F120*COEF!$K$27)</f>
        <v>0</v>
      </c>
      <c r="I120" s="2209">
        <f>IF(F120=0,0,$F120*COEF!$L$27)</f>
        <v>0</v>
      </c>
      <c r="J120" s="2208">
        <f t="shared" si="33"/>
        <v>0</v>
      </c>
      <c r="K120" s="2602"/>
      <c r="L120" s="2208">
        <f t="shared" si="34"/>
        <v>0</v>
      </c>
      <c r="M120" s="2208">
        <f t="shared" si="34"/>
        <v>0</v>
      </c>
      <c r="N120" s="2208">
        <f t="shared" si="34"/>
        <v>0</v>
      </c>
      <c r="O120" s="2212">
        <f t="shared" si="36"/>
        <v>0</v>
      </c>
      <c r="P120" s="2212">
        <f t="shared" si="36"/>
        <v>0</v>
      </c>
      <c r="Q120" s="2212">
        <f t="shared" si="36"/>
        <v>0</v>
      </c>
      <c r="R120" s="2347">
        <f t="shared" si="37"/>
        <v>0</v>
      </c>
      <c r="S120" s="622"/>
      <c r="T120" s="622"/>
      <c r="U120" s="622"/>
      <c r="V120" s="10"/>
      <c r="W120" s="10"/>
      <c r="X120" s="10"/>
      <c r="Y120" s="10"/>
      <c r="Z120" s="10"/>
      <c r="AA120" s="10"/>
      <c r="AB120" s="10"/>
    </row>
    <row r="121" spans="1:28" ht="28.5" hidden="1" thickBot="1" x14ac:dyDescent="0.25">
      <c r="A121" s="4807"/>
      <c r="B121" s="2130"/>
      <c r="C121" s="3864"/>
      <c r="D121" s="4788"/>
      <c r="E121" s="2361">
        <f t="shared" si="35"/>
        <v>0</v>
      </c>
      <c r="F121" s="2602"/>
      <c r="G121" s="2209">
        <f>IF(F121=0,0,$F121*COEF!$J$27)</f>
        <v>0</v>
      </c>
      <c r="H121" s="2209">
        <f>IF(F121=0,0,$F121*COEF!$K$27)</f>
        <v>0</v>
      </c>
      <c r="I121" s="2209">
        <f>IF(F121=0,0,$F121*COEF!$L$27)</f>
        <v>0</v>
      </c>
      <c r="J121" s="2208">
        <f t="shared" si="33"/>
        <v>0</v>
      </c>
      <c r="K121" s="2602"/>
      <c r="L121" s="2208">
        <f t="shared" si="34"/>
        <v>0</v>
      </c>
      <c r="M121" s="2208">
        <f t="shared" si="34"/>
        <v>0</v>
      </c>
      <c r="N121" s="2208">
        <f t="shared" si="34"/>
        <v>0</v>
      </c>
      <c r="O121" s="2212">
        <f t="shared" si="36"/>
        <v>0</v>
      </c>
      <c r="P121" s="2212">
        <f t="shared" si="36"/>
        <v>0</v>
      </c>
      <c r="Q121" s="2212">
        <f t="shared" si="36"/>
        <v>0</v>
      </c>
      <c r="R121" s="2347">
        <f t="shared" si="37"/>
        <v>0</v>
      </c>
      <c r="S121" s="622"/>
      <c r="T121" s="622"/>
      <c r="U121" s="622"/>
      <c r="V121" s="10"/>
      <c r="W121" s="10"/>
      <c r="X121" s="10"/>
      <c r="Y121" s="10"/>
      <c r="Z121" s="10"/>
      <c r="AA121" s="10"/>
      <c r="AB121" s="10"/>
    </row>
    <row r="122" spans="1:28" ht="28.5" hidden="1" thickBot="1" x14ac:dyDescent="0.25">
      <c r="A122" s="4807"/>
      <c r="B122" s="2130"/>
      <c r="C122" s="3864"/>
      <c r="D122" s="4788"/>
      <c r="E122" s="2361">
        <f t="shared" si="35"/>
        <v>0</v>
      </c>
      <c r="F122" s="2602"/>
      <c r="G122" s="2209">
        <f>IF(F122=0,0,$F122*COEF!$J$27)</f>
        <v>0</v>
      </c>
      <c r="H122" s="2209">
        <f>IF(F122=0,0,$F122*COEF!$K$27)</f>
        <v>0</v>
      </c>
      <c r="I122" s="2209">
        <f>IF(F122=0,0,$F122*COEF!$L$27)</f>
        <v>0</v>
      </c>
      <c r="J122" s="2208">
        <f t="shared" si="33"/>
        <v>0</v>
      </c>
      <c r="K122" s="2602"/>
      <c r="L122" s="2208">
        <f t="shared" si="34"/>
        <v>0</v>
      </c>
      <c r="M122" s="2208">
        <f t="shared" si="34"/>
        <v>0</v>
      </c>
      <c r="N122" s="2208">
        <f t="shared" si="34"/>
        <v>0</v>
      </c>
      <c r="O122" s="2212">
        <f t="shared" si="36"/>
        <v>0</v>
      </c>
      <c r="P122" s="2212">
        <f t="shared" si="36"/>
        <v>0</v>
      </c>
      <c r="Q122" s="2212">
        <f t="shared" si="36"/>
        <v>0</v>
      </c>
      <c r="R122" s="2347">
        <f t="shared" si="37"/>
        <v>0</v>
      </c>
      <c r="S122" s="622"/>
      <c r="T122" s="622"/>
      <c r="U122" s="622"/>
      <c r="V122" s="10"/>
      <c r="W122" s="10"/>
      <c r="X122" s="10"/>
      <c r="Y122" s="10"/>
      <c r="Z122" s="10"/>
      <c r="AA122" s="10"/>
      <c r="AB122" s="10"/>
    </row>
    <row r="123" spans="1:28" ht="28.5" hidden="1" thickBot="1" x14ac:dyDescent="0.25">
      <c r="A123" s="4807"/>
      <c r="B123" s="2130"/>
      <c r="C123" s="3864"/>
      <c r="D123" s="4788"/>
      <c r="E123" s="2361">
        <f t="shared" si="35"/>
        <v>0</v>
      </c>
      <c r="F123" s="2602"/>
      <c r="G123" s="2209">
        <f>IF(F123=0,0,$F123*COEF!$J$27)</f>
        <v>0</v>
      </c>
      <c r="H123" s="2209">
        <f>IF(F123=0,0,$F123*COEF!$K$27)</f>
        <v>0</v>
      </c>
      <c r="I123" s="2209">
        <f>IF(F123=0,0,$F123*COEF!$L$27)</f>
        <v>0</v>
      </c>
      <c r="J123" s="2208">
        <f t="shared" si="33"/>
        <v>0</v>
      </c>
      <c r="K123" s="2602"/>
      <c r="L123" s="2208">
        <f t="shared" si="34"/>
        <v>0</v>
      </c>
      <c r="M123" s="2208">
        <f t="shared" si="34"/>
        <v>0</v>
      </c>
      <c r="N123" s="2208">
        <f t="shared" si="34"/>
        <v>0</v>
      </c>
      <c r="O123" s="2212">
        <f t="shared" si="36"/>
        <v>0</v>
      </c>
      <c r="P123" s="2212">
        <f t="shared" si="36"/>
        <v>0</v>
      </c>
      <c r="Q123" s="2212">
        <f t="shared" si="36"/>
        <v>0</v>
      </c>
      <c r="R123" s="2347">
        <f t="shared" si="37"/>
        <v>0</v>
      </c>
      <c r="S123" s="622"/>
      <c r="T123" s="622"/>
      <c r="U123" s="622"/>
      <c r="V123" s="10"/>
      <c r="W123" s="10"/>
      <c r="X123" s="10"/>
      <c r="Y123" s="10"/>
      <c r="Z123" s="10"/>
      <c r="AA123" s="10"/>
      <c r="AB123" s="10"/>
    </row>
    <row r="124" spans="1:28" ht="28.5" hidden="1" thickBot="1" x14ac:dyDescent="0.25">
      <c r="A124" s="4807"/>
      <c r="B124" s="2130"/>
      <c r="C124" s="3864"/>
      <c r="D124" s="4788"/>
      <c r="E124" s="2361">
        <f t="shared" si="35"/>
        <v>0</v>
      </c>
      <c r="F124" s="2602"/>
      <c r="G124" s="2209">
        <f>IF(F124=0,0,$F124*COEF!$J$27)</f>
        <v>0</v>
      </c>
      <c r="H124" s="2209">
        <f>IF(F124=0,0,$F124*COEF!$K$27)</f>
        <v>0</v>
      </c>
      <c r="I124" s="2209">
        <f>IF(F124=0,0,$F124*COEF!$L$27)</f>
        <v>0</v>
      </c>
      <c r="J124" s="2208">
        <f t="shared" si="33"/>
        <v>0</v>
      </c>
      <c r="K124" s="2602"/>
      <c r="L124" s="2208">
        <f t="shared" si="34"/>
        <v>0</v>
      </c>
      <c r="M124" s="2208">
        <f t="shared" si="34"/>
        <v>0</v>
      </c>
      <c r="N124" s="2208">
        <f t="shared" si="34"/>
        <v>0</v>
      </c>
      <c r="O124" s="2212">
        <f t="shared" si="36"/>
        <v>0</v>
      </c>
      <c r="P124" s="2212">
        <f t="shared" si="36"/>
        <v>0</v>
      </c>
      <c r="Q124" s="2212">
        <f t="shared" si="36"/>
        <v>0</v>
      </c>
      <c r="R124" s="2347">
        <f t="shared" si="37"/>
        <v>0</v>
      </c>
      <c r="S124" s="622"/>
      <c r="T124" s="622"/>
      <c r="U124" s="622"/>
      <c r="V124" s="10"/>
      <c r="W124" s="10"/>
      <c r="X124" s="10"/>
      <c r="Y124" s="10"/>
      <c r="Z124" s="10"/>
      <c r="AA124" s="10"/>
      <c r="AB124" s="10"/>
    </row>
    <row r="125" spans="1:28" ht="28.5" hidden="1" thickBot="1" x14ac:dyDescent="0.25">
      <c r="A125" s="4807"/>
      <c r="B125" s="2130"/>
      <c r="C125" s="3864"/>
      <c r="D125" s="4788"/>
      <c r="E125" s="2361">
        <f t="shared" si="35"/>
        <v>0</v>
      </c>
      <c r="F125" s="2602"/>
      <c r="G125" s="2209">
        <f>IF(F125=0,0,$F125*COEF!$J$27)</f>
        <v>0</v>
      </c>
      <c r="H125" s="2209">
        <f>IF(F125=0,0,$F125*COEF!$K$27)</f>
        <v>0</v>
      </c>
      <c r="I125" s="2209">
        <f>IF(F125=0,0,$F125*COEF!$L$27)</f>
        <v>0</v>
      </c>
      <c r="J125" s="2208">
        <f t="shared" si="33"/>
        <v>0</v>
      </c>
      <c r="K125" s="2602"/>
      <c r="L125" s="2208">
        <f t="shared" si="34"/>
        <v>0</v>
      </c>
      <c r="M125" s="2208">
        <f t="shared" si="34"/>
        <v>0</v>
      </c>
      <c r="N125" s="2208">
        <f t="shared" si="34"/>
        <v>0</v>
      </c>
      <c r="O125" s="2212">
        <f t="shared" si="36"/>
        <v>0</v>
      </c>
      <c r="P125" s="2212">
        <f t="shared" si="36"/>
        <v>0</v>
      </c>
      <c r="Q125" s="2212">
        <f t="shared" si="36"/>
        <v>0</v>
      </c>
      <c r="R125" s="2347">
        <f t="shared" si="37"/>
        <v>0</v>
      </c>
      <c r="S125" s="622"/>
      <c r="T125" s="622"/>
      <c r="U125" s="622"/>
      <c r="V125" s="10"/>
      <c r="W125" s="10"/>
      <c r="X125" s="10"/>
      <c r="Y125" s="10"/>
      <c r="Z125" s="10"/>
      <c r="AA125" s="10"/>
      <c r="AB125" s="10"/>
    </row>
    <row r="126" spans="1:28" ht="28.5" hidden="1" thickBot="1" x14ac:dyDescent="0.25">
      <c r="A126" s="4807"/>
      <c r="B126" s="2130"/>
      <c r="C126" s="3864"/>
      <c r="D126" s="4788"/>
      <c r="E126" s="2361">
        <f t="shared" si="35"/>
        <v>0</v>
      </c>
      <c r="F126" s="2602"/>
      <c r="G126" s="2209">
        <f>IF(F126=0,0,$F126*COEF!$J$27)</f>
        <v>0</v>
      </c>
      <c r="H126" s="2209">
        <f>IF(F126=0,0,$F126*COEF!$K$27)</f>
        <v>0</v>
      </c>
      <c r="I126" s="2209">
        <f>IF(F126=0,0,$F126*COEF!$L$27)</f>
        <v>0</v>
      </c>
      <c r="J126" s="2208">
        <f t="shared" si="33"/>
        <v>0</v>
      </c>
      <c r="K126" s="2602"/>
      <c r="L126" s="2208">
        <f t="shared" si="34"/>
        <v>0</v>
      </c>
      <c r="M126" s="2208">
        <f t="shared" si="34"/>
        <v>0</v>
      </c>
      <c r="N126" s="2208">
        <f t="shared" si="34"/>
        <v>0</v>
      </c>
      <c r="O126" s="2212">
        <f t="shared" si="36"/>
        <v>0</v>
      </c>
      <c r="P126" s="2212">
        <f t="shared" si="36"/>
        <v>0</v>
      </c>
      <c r="Q126" s="2212">
        <f t="shared" si="36"/>
        <v>0</v>
      </c>
      <c r="R126" s="2347">
        <f t="shared" si="37"/>
        <v>0</v>
      </c>
      <c r="S126" s="622"/>
      <c r="T126" s="622"/>
      <c r="U126" s="622"/>
      <c r="V126" s="10"/>
      <c r="W126" s="10"/>
      <c r="X126" s="10"/>
      <c r="Y126" s="10"/>
      <c r="Z126" s="10"/>
      <c r="AA126" s="10"/>
      <c r="AB126" s="10"/>
    </row>
    <row r="127" spans="1:28" ht="28.5" thickBot="1" x14ac:dyDescent="0.25">
      <c r="A127" s="4807"/>
      <c r="B127" s="2064" t="s">
        <v>119</v>
      </c>
      <c r="C127" s="3864"/>
      <c r="D127" s="3891" t="s">
        <v>120</v>
      </c>
      <c r="E127" s="3892"/>
      <c r="F127" s="2601">
        <f>+'Compra -HOJA1'!F41</f>
        <v>0</v>
      </c>
      <c r="G127" s="2209">
        <f>IF(F127=0,0,$F127*COEF!$J$27)</f>
        <v>0</v>
      </c>
      <c r="H127" s="2209">
        <f>IF(F127=0,0,$F127*COEF!$K$27)</f>
        <v>0</v>
      </c>
      <c r="I127" s="2209">
        <f>IF(F127=0,0,$F127*COEF!$L$27)</f>
        <v>0</v>
      </c>
      <c r="J127" s="2208">
        <f t="shared" si="33"/>
        <v>0</v>
      </c>
      <c r="K127" s="2602">
        <f>+'Compra -HOJA1'!K41</f>
        <v>0</v>
      </c>
      <c r="L127" s="2208">
        <f t="shared" si="34"/>
        <v>0</v>
      </c>
      <c r="M127" s="2208">
        <f t="shared" si="34"/>
        <v>0</v>
      </c>
      <c r="N127" s="2208">
        <f t="shared" si="34"/>
        <v>0</v>
      </c>
      <c r="O127" s="2212">
        <f t="shared" si="36"/>
        <v>0</v>
      </c>
      <c r="P127" s="2212">
        <f t="shared" si="36"/>
        <v>0</v>
      </c>
      <c r="Q127" s="2212">
        <f t="shared" si="36"/>
        <v>0</v>
      </c>
      <c r="R127" s="2347">
        <f t="shared" si="37"/>
        <v>0</v>
      </c>
      <c r="S127" s="675"/>
      <c r="T127" s="675"/>
      <c r="U127" s="675"/>
      <c r="V127" s="10"/>
      <c r="W127" s="10"/>
      <c r="X127" s="10"/>
      <c r="Y127" s="10"/>
      <c r="Z127" s="10"/>
      <c r="AA127" s="10"/>
      <c r="AB127" s="10"/>
    </row>
    <row r="128" spans="1:28" ht="36.75" hidden="1" thickBot="1" x14ac:dyDescent="0.25">
      <c r="A128" s="4807"/>
      <c r="B128" s="2130" t="s">
        <v>133</v>
      </c>
      <c r="C128" s="3864"/>
      <c r="D128" s="4787" t="s">
        <v>532</v>
      </c>
      <c r="E128" s="2361" t="str">
        <f t="shared" ref="E128:E137" si="38">E17</f>
        <v>642020   Servicios de comunicación por medio de teléfono, telégrafo y téfex f"J</v>
      </c>
      <c r="F128" s="2602"/>
      <c r="G128" s="2209">
        <f>IF(F128=0,0,$F128*COEF!$J$27)</f>
        <v>0</v>
      </c>
      <c r="H128" s="2209">
        <f>IF(F128=0,0,$F128*COEF!$K$27)</f>
        <v>0</v>
      </c>
      <c r="I128" s="2209">
        <f>IF(F128=0,0,$F128*COEF!$L$27)</f>
        <v>0</v>
      </c>
      <c r="J128" s="2208">
        <f t="shared" si="33"/>
        <v>0</v>
      </c>
      <c r="K128" s="2602"/>
      <c r="L128" s="2208">
        <f t="shared" si="34"/>
        <v>0</v>
      </c>
      <c r="M128" s="2208">
        <f t="shared" si="34"/>
        <v>0</v>
      </c>
      <c r="N128" s="2208">
        <f t="shared" si="34"/>
        <v>0</v>
      </c>
      <c r="O128" s="2212">
        <f t="shared" si="36"/>
        <v>0</v>
      </c>
      <c r="P128" s="2212">
        <f t="shared" si="36"/>
        <v>0</v>
      </c>
      <c r="Q128" s="2212">
        <f t="shared" si="36"/>
        <v>0</v>
      </c>
      <c r="R128" s="2347">
        <f t="shared" si="37"/>
        <v>0</v>
      </c>
      <c r="S128" s="675"/>
      <c r="T128" s="675"/>
      <c r="U128" s="675"/>
      <c r="V128" s="10"/>
      <c r="W128" s="10"/>
      <c r="X128" s="10"/>
      <c r="Y128" s="10"/>
      <c r="Z128" s="10"/>
      <c r="AA128" s="10"/>
      <c r="AB128" s="10"/>
    </row>
    <row r="129" spans="1:28" ht="28.5" hidden="1" thickBot="1" x14ac:dyDescent="0.25">
      <c r="A129" s="4807"/>
      <c r="B129" s="2130"/>
      <c r="C129" s="3864"/>
      <c r="D129" s="4788"/>
      <c r="E129" s="2361" t="str">
        <f t="shared" si="38"/>
        <v>652130   Servicios de la banca minorista</v>
      </c>
      <c r="F129" s="2602"/>
      <c r="G129" s="2209">
        <f>IF(F129=0,0,$F129*COEF!$J$27)</f>
        <v>0</v>
      </c>
      <c r="H129" s="2209">
        <f>IF(F129=0,0,$F129*COEF!$K$27)</f>
        <v>0</v>
      </c>
      <c r="I129" s="2209">
        <f>IF(F129=0,0,$F129*COEF!$L$27)</f>
        <v>0</v>
      </c>
      <c r="J129" s="2208">
        <f t="shared" si="33"/>
        <v>0</v>
      </c>
      <c r="K129" s="2602"/>
      <c r="L129" s="2208">
        <f t="shared" si="34"/>
        <v>0</v>
      </c>
      <c r="M129" s="2208">
        <f t="shared" si="34"/>
        <v>0</v>
      </c>
      <c r="N129" s="2208">
        <f t="shared" si="34"/>
        <v>0</v>
      </c>
      <c r="O129" s="2212">
        <f t="shared" si="36"/>
        <v>0</v>
      </c>
      <c r="P129" s="2212">
        <f t="shared" si="36"/>
        <v>0</v>
      </c>
      <c r="Q129" s="2212">
        <f t="shared" si="36"/>
        <v>0</v>
      </c>
      <c r="R129" s="2347">
        <f t="shared" si="37"/>
        <v>0</v>
      </c>
      <c r="S129" s="675"/>
      <c r="T129" s="675"/>
      <c r="U129" s="675"/>
      <c r="V129" s="10"/>
      <c r="W129" s="10"/>
      <c r="X129" s="10"/>
      <c r="Y129" s="10"/>
      <c r="Z129" s="10"/>
      <c r="AA129" s="10"/>
      <c r="AB129" s="10"/>
    </row>
    <row r="130" spans="1:28" ht="28.5" hidden="1" thickBot="1" x14ac:dyDescent="0.25">
      <c r="A130" s="4807"/>
      <c r="B130" s="2130"/>
      <c r="C130" s="3864"/>
      <c r="D130" s="4788"/>
      <c r="E130" s="2361">
        <f t="shared" si="38"/>
        <v>0</v>
      </c>
      <c r="F130" s="2602"/>
      <c r="G130" s="2209">
        <f>IF(F130=0,0,$F130*COEF!$J$27)</f>
        <v>0</v>
      </c>
      <c r="H130" s="2209">
        <f>IF(F130=0,0,$F130*COEF!$K$27)</f>
        <v>0</v>
      </c>
      <c r="I130" s="2209">
        <f>IF(F130=0,0,$F130*COEF!$L$27)</f>
        <v>0</v>
      </c>
      <c r="J130" s="2208">
        <f t="shared" si="33"/>
        <v>0</v>
      </c>
      <c r="K130" s="2602"/>
      <c r="L130" s="2208">
        <f t="shared" si="34"/>
        <v>0</v>
      </c>
      <c r="M130" s="2208">
        <f t="shared" si="34"/>
        <v>0</v>
      </c>
      <c r="N130" s="2208">
        <f t="shared" si="34"/>
        <v>0</v>
      </c>
      <c r="O130" s="2212">
        <f t="shared" si="36"/>
        <v>0</v>
      </c>
      <c r="P130" s="2212">
        <f t="shared" si="36"/>
        <v>0</v>
      </c>
      <c r="Q130" s="2212">
        <f t="shared" si="36"/>
        <v>0</v>
      </c>
      <c r="R130" s="2347">
        <f t="shared" si="37"/>
        <v>0</v>
      </c>
      <c r="S130" s="675"/>
      <c r="T130" s="675"/>
      <c r="U130" s="675"/>
      <c r="V130" s="10"/>
      <c r="W130" s="10"/>
      <c r="X130" s="10"/>
      <c r="Y130" s="10"/>
      <c r="Z130" s="10"/>
      <c r="AA130" s="10"/>
      <c r="AB130" s="10"/>
    </row>
    <row r="131" spans="1:28" ht="28.5" hidden="1" thickBot="1" x14ac:dyDescent="0.25">
      <c r="A131" s="4807"/>
      <c r="B131" s="2130"/>
      <c r="C131" s="3864"/>
      <c r="D131" s="4788"/>
      <c r="E131" s="2361">
        <f t="shared" si="38"/>
        <v>0</v>
      </c>
      <c r="F131" s="2602"/>
      <c r="G131" s="2209">
        <f>IF(F131=0,0,$F131*COEF!$J$27)</f>
        <v>0</v>
      </c>
      <c r="H131" s="2209">
        <f>IF(F131=0,0,$F131*COEF!$K$27)</f>
        <v>0</v>
      </c>
      <c r="I131" s="2209">
        <f>IF(F131=0,0,$F131*COEF!$L$27)</f>
        <v>0</v>
      </c>
      <c r="J131" s="2208">
        <f t="shared" si="33"/>
        <v>0</v>
      </c>
      <c r="K131" s="2602"/>
      <c r="L131" s="2208">
        <f t="shared" si="34"/>
        <v>0</v>
      </c>
      <c r="M131" s="2208">
        <f t="shared" si="34"/>
        <v>0</v>
      </c>
      <c r="N131" s="2208">
        <f t="shared" si="34"/>
        <v>0</v>
      </c>
      <c r="O131" s="2212">
        <f t="shared" si="36"/>
        <v>0</v>
      </c>
      <c r="P131" s="2212">
        <f t="shared" si="36"/>
        <v>0</v>
      </c>
      <c r="Q131" s="2212">
        <f t="shared" si="36"/>
        <v>0</v>
      </c>
      <c r="R131" s="2347">
        <f t="shared" si="37"/>
        <v>0</v>
      </c>
      <c r="S131" s="675"/>
      <c r="T131" s="675"/>
      <c r="U131" s="675"/>
      <c r="V131" s="10"/>
      <c r="W131" s="10"/>
      <c r="X131" s="10"/>
      <c r="Y131" s="10"/>
      <c r="Z131" s="10"/>
      <c r="AA131" s="10"/>
      <c r="AB131" s="10"/>
    </row>
    <row r="132" spans="1:28" ht="28.5" hidden="1" thickBot="1" x14ac:dyDescent="0.25">
      <c r="A132" s="4807"/>
      <c r="B132" s="2130"/>
      <c r="C132" s="3864"/>
      <c r="D132" s="4788"/>
      <c r="E132" s="2361">
        <f t="shared" si="38"/>
        <v>0</v>
      </c>
      <c r="F132" s="2602"/>
      <c r="G132" s="2209">
        <f>IF(F132=0,0,$F132*COEF!$J$27)</f>
        <v>0</v>
      </c>
      <c r="H132" s="2209">
        <f>IF(F132=0,0,$F132*COEF!$K$27)</f>
        <v>0</v>
      </c>
      <c r="I132" s="2209">
        <f>IF(F132=0,0,$F132*COEF!$L$27)</f>
        <v>0</v>
      </c>
      <c r="J132" s="2208">
        <f t="shared" si="33"/>
        <v>0</v>
      </c>
      <c r="K132" s="2602"/>
      <c r="L132" s="2208">
        <f t="shared" si="34"/>
        <v>0</v>
      </c>
      <c r="M132" s="2208">
        <f t="shared" si="34"/>
        <v>0</v>
      </c>
      <c r="N132" s="2208">
        <f t="shared" si="34"/>
        <v>0</v>
      </c>
      <c r="O132" s="2212">
        <f t="shared" si="36"/>
        <v>0</v>
      </c>
      <c r="P132" s="2212">
        <f t="shared" si="36"/>
        <v>0</v>
      </c>
      <c r="Q132" s="2212">
        <f t="shared" si="36"/>
        <v>0</v>
      </c>
      <c r="R132" s="2347">
        <f t="shared" si="37"/>
        <v>0</v>
      </c>
      <c r="S132" s="675"/>
      <c r="T132" s="675"/>
      <c r="U132" s="675"/>
      <c r="V132" s="10"/>
      <c r="W132" s="10"/>
      <c r="X132" s="10"/>
      <c r="Y132" s="10"/>
      <c r="Z132" s="10"/>
      <c r="AA132" s="10"/>
      <c r="AB132" s="10"/>
    </row>
    <row r="133" spans="1:28" ht="28.5" hidden="1" thickBot="1" x14ac:dyDescent="0.25">
      <c r="A133" s="4807"/>
      <c r="B133" s="2130"/>
      <c r="C133" s="3864"/>
      <c r="D133" s="4788"/>
      <c r="E133" s="2361">
        <f t="shared" si="38"/>
        <v>0</v>
      </c>
      <c r="F133" s="2602"/>
      <c r="G133" s="2209">
        <f>IF(F133=0,0,$F133*COEF!$J$27)</f>
        <v>0</v>
      </c>
      <c r="H133" s="2209">
        <f>IF(F133=0,0,$F133*COEF!$K$27)</f>
        <v>0</v>
      </c>
      <c r="I133" s="2209">
        <f>IF(F133=0,0,$F133*COEF!$L$27)</f>
        <v>0</v>
      </c>
      <c r="J133" s="2208">
        <f t="shared" si="33"/>
        <v>0</v>
      </c>
      <c r="K133" s="2602"/>
      <c r="L133" s="2208">
        <f t="shared" si="34"/>
        <v>0</v>
      </c>
      <c r="M133" s="2208">
        <f t="shared" si="34"/>
        <v>0</v>
      </c>
      <c r="N133" s="2208">
        <f t="shared" si="34"/>
        <v>0</v>
      </c>
      <c r="O133" s="2212">
        <f t="shared" si="36"/>
        <v>0</v>
      </c>
      <c r="P133" s="2212">
        <f t="shared" si="36"/>
        <v>0</v>
      </c>
      <c r="Q133" s="2212">
        <f t="shared" si="36"/>
        <v>0</v>
      </c>
      <c r="R133" s="2347">
        <f t="shared" si="37"/>
        <v>0</v>
      </c>
      <c r="S133" s="675"/>
      <c r="T133" s="675"/>
      <c r="U133" s="675"/>
      <c r="V133" s="10"/>
      <c r="W133" s="10"/>
      <c r="X133" s="10"/>
      <c r="Y133" s="10"/>
      <c r="Z133" s="10"/>
      <c r="AA133" s="10"/>
      <c r="AB133" s="10"/>
    </row>
    <row r="134" spans="1:28" ht="28.5" hidden="1" thickBot="1" x14ac:dyDescent="0.25">
      <c r="A134" s="4807"/>
      <c r="B134" s="2130"/>
      <c r="C134" s="3864"/>
      <c r="D134" s="4788"/>
      <c r="E134" s="2361">
        <f t="shared" si="38"/>
        <v>0</v>
      </c>
      <c r="F134" s="2602"/>
      <c r="G134" s="2209">
        <f>IF(F134=0,0,$F134*COEF!$J$27)</f>
        <v>0</v>
      </c>
      <c r="H134" s="2209">
        <f>IF(F134=0,0,$F134*COEF!$K$27)</f>
        <v>0</v>
      </c>
      <c r="I134" s="2209">
        <f>IF(F134=0,0,$F134*COEF!$L$27)</f>
        <v>0</v>
      </c>
      <c r="J134" s="2208">
        <f t="shared" si="33"/>
        <v>0</v>
      </c>
      <c r="K134" s="2602"/>
      <c r="L134" s="2208">
        <f t="shared" si="34"/>
        <v>0</v>
      </c>
      <c r="M134" s="2208">
        <f t="shared" si="34"/>
        <v>0</v>
      </c>
      <c r="N134" s="2208">
        <f t="shared" si="34"/>
        <v>0</v>
      </c>
      <c r="O134" s="2212">
        <f t="shared" si="36"/>
        <v>0</v>
      </c>
      <c r="P134" s="2212">
        <f t="shared" si="36"/>
        <v>0</v>
      </c>
      <c r="Q134" s="2212">
        <f t="shared" si="36"/>
        <v>0</v>
      </c>
      <c r="R134" s="2347">
        <f t="shared" si="37"/>
        <v>0</v>
      </c>
      <c r="S134" s="675"/>
      <c r="T134" s="675"/>
      <c r="U134" s="675"/>
      <c r="V134" s="10"/>
      <c r="W134" s="10"/>
      <c r="X134" s="10"/>
      <c r="Y134" s="10"/>
      <c r="Z134" s="10"/>
      <c r="AA134" s="10"/>
      <c r="AB134" s="10"/>
    </row>
    <row r="135" spans="1:28" ht="28.5" hidden="1" thickBot="1" x14ac:dyDescent="0.25">
      <c r="A135" s="4807"/>
      <c r="B135" s="2130"/>
      <c r="C135" s="3864"/>
      <c r="D135" s="4788"/>
      <c r="E135" s="2361">
        <f t="shared" si="38"/>
        <v>0</v>
      </c>
      <c r="F135" s="2602"/>
      <c r="G135" s="2209">
        <f>IF(F135=0,0,$F135*COEF!$J$27)</f>
        <v>0</v>
      </c>
      <c r="H135" s="2209">
        <f>IF(F135=0,0,$F135*COEF!$K$27)</f>
        <v>0</v>
      </c>
      <c r="I135" s="2209">
        <f>IF(F135=0,0,$F135*COEF!$L$27)</f>
        <v>0</v>
      </c>
      <c r="J135" s="2208">
        <f t="shared" si="33"/>
        <v>0</v>
      </c>
      <c r="K135" s="2602"/>
      <c r="L135" s="2208">
        <f t="shared" si="34"/>
        <v>0</v>
      </c>
      <c r="M135" s="2208">
        <f t="shared" si="34"/>
        <v>0</v>
      </c>
      <c r="N135" s="2208">
        <f t="shared" si="34"/>
        <v>0</v>
      </c>
      <c r="O135" s="2212">
        <f t="shared" si="36"/>
        <v>0</v>
      </c>
      <c r="P135" s="2212">
        <f t="shared" si="36"/>
        <v>0</v>
      </c>
      <c r="Q135" s="2212">
        <f t="shared" si="36"/>
        <v>0</v>
      </c>
      <c r="R135" s="2347">
        <f t="shared" si="37"/>
        <v>0</v>
      </c>
      <c r="S135" s="675"/>
      <c r="T135" s="675"/>
      <c r="U135" s="675"/>
      <c r="V135" s="10"/>
      <c r="W135" s="10"/>
      <c r="X135" s="10"/>
      <c r="Y135" s="10"/>
      <c r="Z135" s="10"/>
      <c r="AA135" s="10"/>
      <c r="AB135" s="10"/>
    </row>
    <row r="136" spans="1:28" ht="28.5" hidden="1" thickBot="1" x14ac:dyDescent="0.25">
      <c r="A136" s="4807"/>
      <c r="B136" s="2130"/>
      <c r="C136" s="3864"/>
      <c r="D136" s="4788"/>
      <c r="E136" s="2361">
        <f t="shared" si="38"/>
        <v>0</v>
      </c>
      <c r="F136" s="2602"/>
      <c r="G136" s="2209">
        <f>IF(F136=0,0,$F136*COEF!$J$27)</f>
        <v>0</v>
      </c>
      <c r="H136" s="2209">
        <f>IF(F136=0,0,$F136*COEF!$K$27)</f>
        <v>0</v>
      </c>
      <c r="I136" s="2209">
        <f>IF(F136=0,0,$F136*COEF!$L$27)</f>
        <v>0</v>
      </c>
      <c r="J136" s="2208">
        <f t="shared" si="33"/>
        <v>0</v>
      </c>
      <c r="K136" s="2602"/>
      <c r="L136" s="2208">
        <f t="shared" si="34"/>
        <v>0</v>
      </c>
      <c r="M136" s="2208">
        <f t="shared" si="34"/>
        <v>0</v>
      </c>
      <c r="N136" s="2208">
        <f t="shared" si="34"/>
        <v>0</v>
      </c>
      <c r="O136" s="2212">
        <f t="shared" si="36"/>
        <v>0</v>
      </c>
      <c r="P136" s="2212">
        <f t="shared" si="36"/>
        <v>0</v>
      </c>
      <c r="Q136" s="2212">
        <f t="shared" si="36"/>
        <v>0</v>
      </c>
      <c r="R136" s="2347">
        <f t="shared" si="37"/>
        <v>0</v>
      </c>
      <c r="S136" s="675"/>
      <c r="T136" s="675"/>
      <c r="U136" s="675"/>
      <c r="V136" s="10"/>
      <c r="W136" s="10"/>
      <c r="X136" s="10"/>
      <c r="Y136" s="10"/>
      <c r="Z136" s="10"/>
      <c r="AA136" s="10"/>
      <c r="AB136" s="10"/>
    </row>
    <row r="137" spans="1:28" ht="28.5" hidden="1" thickBot="1" x14ac:dyDescent="0.25">
      <c r="A137" s="4807"/>
      <c r="B137" s="2130"/>
      <c r="C137" s="3864"/>
      <c r="D137" s="3892"/>
      <c r="E137" s="2361">
        <f t="shared" si="38"/>
        <v>0</v>
      </c>
      <c r="F137" s="2602"/>
      <c r="G137" s="2209">
        <f>IF(F137=0,0,$F137*COEF!$J$27)</f>
        <v>0</v>
      </c>
      <c r="H137" s="2209">
        <f>IF(F137=0,0,$F137*COEF!$K$27)</f>
        <v>0</v>
      </c>
      <c r="I137" s="2209">
        <f>IF(F137=0,0,$F137*COEF!$L$27)</f>
        <v>0</v>
      </c>
      <c r="J137" s="2208">
        <f t="shared" si="33"/>
        <v>0</v>
      </c>
      <c r="K137" s="2602"/>
      <c r="L137" s="2208">
        <f t="shared" si="34"/>
        <v>0</v>
      </c>
      <c r="M137" s="2208">
        <f t="shared" si="34"/>
        <v>0</v>
      </c>
      <c r="N137" s="2208">
        <f t="shared" si="34"/>
        <v>0</v>
      </c>
      <c r="O137" s="2212">
        <f t="shared" si="36"/>
        <v>0</v>
      </c>
      <c r="P137" s="2212">
        <f t="shared" si="36"/>
        <v>0</v>
      </c>
      <c r="Q137" s="2212">
        <f t="shared" si="36"/>
        <v>0</v>
      </c>
      <c r="R137" s="2347">
        <f t="shared" si="37"/>
        <v>0</v>
      </c>
      <c r="S137" s="675"/>
      <c r="T137" s="675"/>
      <c r="U137" s="675"/>
      <c r="V137" s="10"/>
      <c r="W137" s="10"/>
      <c r="X137" s="10"/>
      <c r="Y137" s="10"/>
      <c r="Z137" s="10"/>
      <c r="AA137" s="10"/>
      <c r="AB137" s="10"/>
    </row>
    <row r="138" spans="1:28" ht="28.5" thickBot="1" x14ac:dyDescent="0.25">
      <c r="A138" s="4807"/>
      <c r="B138" s="2064" t="s">
        <v>121</v>
      </c>
      <c r="C138" s="3864"/>
      <c r="D138" s="3891" t="s">
        <v>122</v>
      </c>
      <c r="E138" s="3892"/>
      <c r="F138" s="2601">
        <f>+'Compra -HOJA1'!F42</f>
        <v>0</v>
      </c>
      <c r="G138" s="2209">
        <f>IF(F138=0,0,$F138*COEF!$J$27)</f>
        <v>0</v>
      </c>
      <c r="H138" s="2209">
        <f>IF(F138=0,0,$F138*COEF!$K$27)</f>
        <v>0</v>
      </c>
      <c r="I138" s="2209">
        <f>IF(F138=0,0,$F138*COEF!$L$27)</f>
        <v>0</v>
      </c>
      <c r="J138" s="2208">
        <f t="shared" si="33"/>
        <v>0</v>
      </c>
      <c r="K138" s="2602">
        <f>+'Compra -HOJA1'!K42</f>
        <v>0</v>
      </c>
      <c r="L138" s="2208">
        <f t="shared" si="34"/>
        <v>0</v>
      </c>
      <c r="M138" s="2208">
        <f t="shared" si="34"/>
        <v>0</v>
      </c>
      <c r="N138" s="2208">
        <f t="shared" si="34"/>
        <v>0</v>
      </c>
      <c r="O138" s="2212">
        <f t="shared" si="36"/>
        <v>0</v>
      </c>
      <c r="P138" s="2212">
        <f t="shared" si="36"/>
        <v>0</v>
      </c>
      <c r="Q138" s="2212">
        <f t="shared" si="36"/>
        <v>0</v>
      </c>
      <c r="R138" s="2347">
        <f t="shared" si="37"/>
        <v>0</v>
      </c>
      <c r="S138" s="675"/>
      <c r="T138" s="675"/>
      <c r="U138" s="675"/>
      <c r="V138" s="10"/>
      <c r="W138" s="10"/>
      <c r="X138" s="10"/>
      <c r="Y138" s="10"/>
      <c r="Z138" s="10"/>
      <c r="AA138" s="10"/>
      <c r="AB138" s="10"/>
    </row>
    <row r="139" spans="1:28" ht="36.75" hidden="1" thickBot="1" x14ac:dyDescent="0.25">
      <c r="A139" s="4807"/>
      <c r="B139" s="2130" t="s">
        <v>135</v>
      </c>
      <c r="C139" s="3864"/>
      <c r="D139" s="4787" t="s">
        <v>533</v>
      </c>
      <c r="E139" s="2361" t="str">
        <f t="shared" ref="E139:E148" si="39">E17</f>
        <v>642020   Servicios de comunicación por medio de teléfono, telégrafo y téfex f"J</v>
      </c>
      <c r="F139" s="2602"/>
      <c r="G139" s="2209">
        <f>IF(F139=0,0,$F139*COEF!$J$27)</f>
        <v>0</v>
      </c>
      <c r="H139" s="2209">
        <f>IF(F139=0,0,$F139*COEF!$K$27)</f>
        <v>0</v>
      </c>
      <c r="I139" s="2209">
        <f>IF(F139=0,0,$F139*COEF!$L$27)</f>
        <v>0</v>
      </c>
      <c r="J139" s="2208">
        <f t="shared" si="33"/>
        <v>0</v>
      </c>
      <c r="K139" s="2602"/>
      <c r="L139" s="2208">
        <f t="shared" si="34"/>
        <v>0</v>
      </c>
      <c r="M139" s="2208">
        <f t="shared" si="34"/>
        <v>0</v>
      </c>
      <c r="N139" s="2208">
        <f t="shared" si="34"/>
        <v>0</v>
      </c>
      <c r="O139" s="2212">
        <f t="shared" si="36"/>
        <v>0</v>
      </c>
      <c r="P139" s="2212">
        <f t="shared" si="36"/>
        <v>0</v>
      </c>
      <c r="Q139" s="2212">
        <f t="shared" si="36"/>
        <v>0</v>
      </c>
      <c r="R139" s="2347">
        <f t="shared" si="37"/>
        <v>0</v>
      </c>
      <c r="S139" s="675"/>
      <c r="T139" s="675"/>
      <c r="U139" s="675"/>
      <c r="V139" s="10"/>
      <c r="W139" s="10"/>
      <c r="X139" s="10"/>
      <c r="Y139" s="10"/>
      <c r="Z139" s="10"/>
      <c r="AA139" s="10"/>
      <c r="AB139" s="10"/>
    </row>
    <row r="140" spans="1:28" ht="28.5" hidden="1" thickBot="1" x14ac:dyDescent="0.25">
      <c r="A140" s="4807"/>
      <c r="B140" s="2130"/>
      <c r="C140" s="3864"/>
      <c r="D140" s="4788"/>
      <c r="E140" s="2361" t="str">
        <f t="shared" si="39"/>
        <v>652130   Servicios de la banca minorista</v>
      </c>
      <c r="F140" s="2602"/>
      <c r="G140" s="2209">
        <f>IF(F140=0,0,$F140*COEF!$J$27)</f>
        <v>0</v>
      </c>
      <c r="H140" s="2209">
        <f>IF(F140=0,0,$F140*COEF!$K$27)</f>
        <v>0</v>
      </c>
      <c r="I140" s="2209">
        <f>IF(F140=0,0,$F140*COEF!$L$27)</f>
        <v>0</v>
      </c>
      <c r="J140" s="2208">
        <f t="shared" si="33"/>
        <v>0</v>
      </c>
      <c r="K140" s="2602"/>
      <c r="L140" s="2208">
        <f t="shared" si="34"/>
        <v>0</v>
      </c>
      <c r="M140" s="2208">
        <f t="shared" si="34"/>
        <v>0</v>
      </c>
      <c r="N140" s="2208">
        <f t="shared" si="34"/>
        <v>0</v>
      </c>
      <c r="O140" s="2212">
        <f t="shared" si="36"/>
        <v>0</v>
      </c>
      <c r="P140" s="2212">
        <f t="shared" si="36"/>
        <v>0</v>
      </c>
      <c r="Q140" s="2212">
        <f t="shared" si="36"/>
        <v>0</v>
      </c>
      <c r="R140" s="2347">
        <f t="shared" si="37"/>
        <v>0</v>
      </c>
      <c r="S140" s="675"/>
      <c r="T140" s="675"/>
      <c r="U140" s="675"/>
      <c r="V140" s="10"/>
      <c r="W140" s="10"/>
      <c r="X140" s="10"/>
      <c r="Y140" s="10"/>
      <c r="Z140" s="10"/>
      <c r="AA140" s="10"/>
      <c r="AB140" s="10"/>
    </row>
    <row r="141" spans="1:28" ht="28.5" hidden="1" thickBot="1" x14ac:dyDescent="0.25">
      <c r="A141" s="4807"/>
      <c r="B141" s="2130"/>
      <c r="C141" s="3864"/>
      <c r="D141" s="4788"/>
      <c r="E141" s="2361">
        <f t="shared" si="39"/>
        <v>0</v>
      </c>
      <c r="F141" s="2602"/>
      <c r="G141" s="2209">
        <f>IF(F141=0,0,$F141*COEF!$J$27)</f>
        <v>0</v>
      </c>
      <c r="H141" s="2209">
        <f>IF(F141=0,0,$F141*COEF!$K$27)</f>
        <v>0</v>
      </c>
      <c r="I141" s="2209">
        <f>IF(F141=0,0,$F141*COEF!$L$27)</f>
        <v>0</v>
      </c>
      <c r="J141" s="2208">
        <f t="shared" si="33"/>
        <v>0</v>
      </c>
      <c r="K141" s="2602"/>
      <c r="L141" s="2208">
        <f t="shared" si="34"/>
        <v>0</v>
      </c>
      <c r="M141" s="2208">
        <f t="shared" si="34"/>
        <v>0</v>
      </c>
      <c r="N141" s="2208">
        <f t="shared" si="34"/>
        <v>0</v>
      </c>
      <c r="O141" s="2212">
        <f t="shared" si="36"/>
        <v>0</v>
      </c>
      <c r="P141" s="2212">
        <f t="shared" si="36"/>
        <v>0</v>
      </c>
      <c r="Q141" s="2212">
        <f t="shared" si="36"/>
        <v>0</v>
      </c>
      <c r="R141" s="2347">
        <f t="shared" si="37"/>
        <v>0</v>
      </c>
      <c r="S141" s="675"/>
      <c r="T141" s="675"/>
      <c r="U141" s="675"/>
      <c r="V141" s="10"/>
      <c r="W141" s="10"/>
      <c r="X141" s="10"/>
      <c r="Y141" s="10"/>
      <c r="Z141" s="10"/>
      <c r="AA141" s="10"/>
      <c r="AB141" s="10"/>
    </row>
    <row r="142" spans="1:28" ht="28.5" hidden="1" thickBot="1" x14ac:dyDescent="0.25">
      <c r="A142" s="4807"/>
      <c r="B142" s="2130"/>
      <c r="C142" s="3864"/>
      <c r="D142" s="4788"/>
      <c r="E142" s="2361">
        <f t="shared" si="39"/>
        <v>0</v>
      </c>
      <c r="F142" s="2602"/>
      <c r="G142" s="2209">
        <f>IF(F142=0,0,$F142*COEF!$J$27)</f>
        <v>0</v>
      </c>
      <c r="H142" s="2209">
        <f>IF(F142=0,0,$F142*COEF!$K$27)</f>
        <v>0</v>
      </c>
      <c r="I142" s="2209">
        <f>IF(F142=0,0,$F142*COEF!$L$27)</f>
        <v>0</v>
      </c>
      <c r="J142" s="2208">
        <f t="shared" si="33"/>
        <v>0</v>
      </c>
      <c r="K142" s="2602"/>
      <c r="L142" s="2208">
        <f t="shared" si="34"/>
        <v>0</v>
      </c>
      <c r="M142" s="2208">
        <f t="shared" si="34"/>
        <v>0</v>
      </c>
      <c r="N142" s="2208">
        <f t="shared" si="34"/>
        <v>0</v>
      </c>
      <c r="O142" s="2212">
        <f t="shared" si="36"/>
        <v>0</v>
      </c>
      <c r="P142" s="2212">
        <f t="shared" si="36"/>
        <v>0</v>
      </c>
      <c r="Q142" s="2212">
        <f t="shared" si="36"/>
        <v>0</v>
      </c>
      <c r="R142" s="2347">
        <f t="shared" si="37"/>
        <v>0</v>
      </c>
      <c r="S142" s="675"/>
      <c r="T142" s="675"/>
      <c r="U142" s="675"/>
      <c r="V142" s="10"/>
      <c r="W142" s="10"/>
      <c r="X142" s="10"/>
      <c r="Y142" s="10"/>
      <c r="Z142" s="10"/>
      <c r="AA142" s="10"/>
      <c r="AB142" s="10"/>
    </row>
    <row r="143" spans="1:28" ht="28.5" hidden="1" thickBot="1" x14ac:dyDescent="0.25">
      <c r="A143" s="4807"/>
      <c r="B143" s="2130"/>
      <c r="C143" s="3864"/>
      <c r="D143" s="4788"/>
      <c r="E143" s="2361">
        <f t="shared" si="39"/>
        <v>0</v>
      </c>
      <c r="F143" s="2602"/>
      <c r="G143" s="2209">
        <f>IF(F143=0,0,$F143*COEF!$J$27)</f>
        <v>0</v>
      </c>
      <c r="H143" s="2209">
        <f>IF(F143=0,0,$F143*COEF!$K$27)</f>
        <v>0</v>
      </c>
      <c r="I143" s="2209">
        <f>IF(F143=0,0,$F143*COEF!$L$27)</f>
        <v>0</v>
      </c>
      <c r="J143" s="2208">
        <f t="shared" si="33"/>
        <v>0</v>
      </c>
      <c r="K143" s="2602"/>
      <c r="L143" s="2208">
        <f t="shared" si="34"/>
        <v>0</v>
      </c>
      <c r="M143" s="2208">
        <f t="shared" si="34"/>
        <v>0</v>
      </c>
      <c r="N143" s="2208">
        <f t="shared" si="34"/>
        <v>0</v>
      </c>
      <c r="O143" s="2212">
        <f t="shared" si="36"/>
        <v>0</v>
      </c>
      <c r="P143" s="2212">
        <f t="shared" si="36"/>
        <v>0</v>
      </c>
      <c r="Q143" s="2212">
        <f t="shared" si="36"/>
        <v>0</v>
      </c>
      <c r="R143" s="2347">
        <f t="shared" si="37"/>
        <v>0</v>
      </c>
      <c r="S143" s="675"/>
      <c r="T143" s="675"/>
      <c r="U143" s="675"/>
      <c r="V143" s="10"/>
      <c r="W143" s="10"/>
      <c r="X143" s="10"/>
      <c r="Y143" s="10"/>
      <c r="Z143" s="10"/>
      <c r="AA143" s="10"/>
      <c r="AB143" s="10"/>
    </row>
    <row r="144" spans="1:28" ht="28.5" hidden="1" thickBot="1" x14ac:dyDescent="0.25">
      <c r="A144" s="4807"/>
      <c r="B144" s="2130"/>
      <c r="C144" s="3864"/>
      <c r="D144" s="4788"/>
      <c r="E144" s="2361">
        <f t="shared" si="39"/>
        <v>0</v>
      </c>
      <c r="F144" s="2602"/>
      <c r="G144" s="2209">
        <f>IF(F144=0,0,$F144*COEF!$J$27)</f>
        <v>0</v>
      </c>
      <c r="H144" s="2209">
        <f>IF(F144=0,0,$F144*COEF!$K$27)</f>
        <v>0</v>
      </c>
      <c r="I144" s="2209">
        <f>IF(F144=0,0,$F144*COEF!$L$27)</f>
        <v>0</v>
      </c>
      <c r="J144" s="2208">
        <f t="shared" si="33"/>
        <v>0</v>
      </c>
      <c r="K144" s="2602"/>
      <c r="L144" s="2208">
        <f t="shared" si="34"/>
        <v>0</v>
      </c>
      <c r="M144" s="2208">
        <f t="shared" si="34"/>
        <v>0</v>
      </c>
      <c r="N144" s="2208">
        <f t="shared" si="34"/>
        <v>0</v>
      </c>
      <c r="O144" s="2212">
        <f t="shared" si="36"/>
        <v>0</v>
      </c>
      <c r="P144" s="2212">
        <f t="shared" si="36"/>
        <v>0</v>
      </c>
      <c r="Q144" s="2212">
        <f t="shared" si="36"/>
        <v>0</v>
      </c>
      <c r="R144" s="2347">
        <f t="shared" si="37"/>
        <v>0</v>
      </c>
      <c r="S144" s="675"/>
      <c r="T144" s="675"/>
      <c r="U144" s="675"/>
      <c r="V144" s="10"/>
      <c r="W144" s="10"/>
      <c r="X144" s="10"/>
      <c r="Y144" s="10"/>
      <c r="Z144" s="10"/>
      <c r="AA144" s="10"/>
      <c r="AB144" s="10"/>
    </row>
    <row r="145" spans="1:28" ht="28.5" hidden="1" thickBot="1" x14ac:dyDescent="0.25">
      <c r="A145" s="4807"/>
      <c r="B145" s="2130"/>
      <c r="C145" s="3864"/>
      <c r="D145" s="4788"/>
      <c r="E145" s="2361">
        <f t="shared" si="39"/>
        <v>0</v>
      </c>
      <c r="F145" s="2602"/>
      <c r="G145" s="2209">
        <f>IF(F145=0,0,$F145*COEF!$J$27)</f>
        <v>0</v>
      </c>
      <c r="H145" s="2209">
        <f>IF(F145=0,0,$F145*COEF!$K$27)</f>
        <v>0</v>
      </c>
      <c r="I145" s="2209">
        <f>IF(F145=0,0,$F145*COEF!$L$27)</f>
        <v>0</v>
      </c>
      <c r="J145" s="2208">
        <f t="shared" si="33"/>
        <v>0</v>
      </c>
      <c r="K145" s="2602"/>
      <c r="L145" s="2208">
        <f t="shared" si="34"/>
        <v>0</v>
      </c>
      <c r="M145" s="2208">
        <f t="shared" si="34"/>
        <v>0</v>
      </c>
      <c r="N145" s="2208">
        <f t="shared" si="34"/>
        <v>0</v>
      </c>
      <c r="O145" s="2212">
        <f t="shared" si="36"/>
        <v>0</v>
      </c>
      <c r="P145" s="2212">
        <f t="shared" si="36"/>
        <v>0</v>
      </c>
      <c r="Q145" s="2212">
        <f t="shared" si="36"/>
        <v>0</v>
      </c>
      <c r="R145" s="2347">
        <f t="shared" si="37"/>
        <v>0</v>
      </c>
      <c r="S145" s="675"/>
      <c r="T145" s="675"/>
      <c r="U145" s="675"/>
      <c r="V145" s="10"/>
      <c r="W145" s="10"/>
      <c r="X145" s="10"/>
      <c r="Y145" s="10"/>
      <c r="Z145" s="10"/>
      <c r="AA145" s="10"/>
      <c r="AB145" s="10"/>
    </row>
    <row r="146" spans="1:28" ht="28.5" hidden="1" thickBot="1" x14ac:dyDescent="0.25">
      <c r="A146" s="4807"/>
      <c r="B146" s="2130"/>
      <c r="C146" s="3864"/>
      <c r="D146" s="4788"/>
      <c r="E146" s="2361">
        <f t="shared" si="39"/>
        <v>0</v>
      </c>
      <c r="F146" s="2602"/>
      <c r="G146" s="2209">
        <f>IF(F146=0,0,$F146*COEF!$J$27)</f>
        <v>0</v>
      </c>
      <c r="H146" s="2209">
        <f>IF(F146=0,0,$F146*COEF!$K$27)</f>
        <v>0</v>
      </c>
      <c r="I146" s="2209">
        <f>IF(F146=0,0,$F146*COEF!$L$27)</f>
        <v>0</v>
      </c>
      <c r="J146" s="2208">
        <f t="shared" si="33"/>
        <v>0</v>
      </c>
      <c r="K146" s="2602"/>
      <c r="L146" s="2208">
        <f t="shared" si="34"/>
        <v>0</v>
      </c>
      <c r="M146" s="2208">
        <f t="shared" si="34"/>
        <v>0</v>
      </c>
      <c r="N146" s="2208">
        <f t="shared" si="34"/>
        <v>0</v>
      </c>
      <c r="O146" s="2212">
        <f t="shared" si="36"/>
        <v>0</v>
      </c>
      <c r="P146" s="2212">
        <f t="shared" si="36"/>
        <v>0</v>
      </c>
      <c r="Q146" s="2212">
        <f t="shared" si="36"/>
        <v>0</v>
      </c>
      <c r="R146" s="2347">
        <f t="shared" si="37"/>
        <v>0</v>
      </c>
      <c r="S146" s="675"/>
      <c r="T146" s="675"/>
      <c r="U146" s="675"/>
      <c r="V146" s="10"/>
      <c r="W146" s="10"/>
      <c r="X146" s="10"/>
      <c r="Y146" s="10"/>
      <c r="Z146" s="10"/>
      <c r="AA146" s="10"/>
      <c r="AB146" s="10"/>
    </row>
    <row r="147" spans="1:28" ht="28.5" hidden="1" thickBot="1" x14ac:dyDescent="0.25">
      <c r="A147" s="4807"/>
      <c r="B147" s="2130"/>
      <c r="C147" s="3864"/>
      <c r="D147" s="4788"/>
      <c r="E147" s="2361">
        <f t="shared" si="39"/>
        <v>0</v>
      </c>
      <c r="F147" s="2602"/>
      <c r="G147" s="2209">
        <f>IF(F147=0,0,$F147*COEF!$J$27)</f>
        <v>0</v>
      </c>
      <c r="H147" s="2209">
        <f>IF(F147=0,0,$F147*COEF!$K$27)</f>
        <v>0</v>
      </c>
      <c r="I147" s="2209">
        <f>IF(F147=0,0,$F147*COEF!$L$27)</f>
        <v>0</v>
      </c>
      <c r="J147" s="2208">
        <f t="shared" si="33"/>
        <v>0</v>
      </c>
      <c r="K147" s="2602"/>
      <c r="L147" s="2208">
        <f t="shared" si="34"/>
        <v>0</v>
      </c>
      <c r="M147" s="2208">
        <f t="shared" si="34"/>
        <v>0</v>
      </c>
      <c r="N147" s="2208">
        <f t="shared" si="34"/>
        <v>0</v>
      </c>
      <c r="O147" s="2212">
        <f t="shared" si="36"/>
        <v>0</v>
      </c>
      <c r="P147" s="2212">
        <f t="shared" si="36"/>
        <v>0</v>
      </c>
      <c r="Q147" s="2212">
        <f t="shared" si="36"/>
        <v>0</v>
      </c>
      <c r="R147" s="2347">
        <f t="shared" si="37"/>
        <v>0</v>
      </c>
      <c r="S147" s="675"/>
      <c r="T147" s="675"/>
      <c r="U147" s="675"/>
      <c r="V147" s="10"/>
      <c r="W147" s="10"/>
      <c r="X147" s="10"/>
      <c r="Y147" s="10"/>
      <c r="Z147" s="10"/>
      <c r="AA147" s="10"/>
      <c r="AB147" s="10"/>
    </row>
    <row r="148" spans="1:28" ht="28.5" hidden="1" thickBot="1" x14ac:dyDescent="0.25">
      <c r="A148" s="4807"/>
      <c r="B148" s="2130"/>
      <c r="C148" s="3864"/>
      <c r="D148" s="3892"/>
      <c r="E148" s="2361">
        <f t="shared" si="39"/>
        <v>0</v>
      </c>
      <c r="F148" s="2602"/>
      <c r="G148" s="2209">
        <f>IF(F148=0,0,$F148*COEF!$J$27)</f>
        <v>0</v>
      </c>
      <c r="H148" s="2209">
        <f>IF(F148=0,0,$F148*COEF!$K$27)</f>
        <v>0</v>
      </c>
      <c r="I148" s="2209">
        <f>IF(F148=0,0,$F148*COEF!$L$27)</f>
        <v>0</v>
      </c>
      <c r="J148" s="2208">
        <f t="shared" si="33"/>
        <v>0</v>
      </c>
      <c r="K148" s="2602"/>
      <c r="L148" s="2208">
        <f t="shared" si="34"/>
        <v>0</v>
      </c>
      <c r="M148" s="2208">
        <f t="shared" si="34"/>
        <v>0</v>
      </c>
      <c r="N148" s="2208">
        <f t="shared" si="34"/>
        <v>0</v>
      </c>
      <c r="O148" s="2212">
        <f t="shared" si="36"/>
        <v>0</v>
      </c>
      <c r="P148" s="2212">
        <f t="shared" si="36"/>
        <v>0</v>
      </c>
      <c r="Q148" s="2212">
        <f t="shared" si="36"/>
        <v>0</v>
      </c>
      <c r="R148" s="2347">
        <f t="shared" si="37"/>
        <v>0</v>
      </c>
      <c r="S148" s="675"/>
      <c r="T148" s="675"/>
      <c r="U148" s="675"/>
      <c r="V148" s="10"/>
      <c r="W148" s="10"/>
      <c r="X148" s="10"/>
      <c r="Y148" s="10"/>
      <c r="Z148" s="10"/>
      <c r="AA148" s="10"/>
      <c r="AB148" s="10"/>
    </row>
    <row r="149" spans="1:28" ht="28.5" thickBot="1" x14ac:dyDescent="0.25">
      <c r="A149" s="4807"/>
      <c r="B149" s="2131" t="s">
        <v>123</v>
      </c>
      <c r="C149" s="3864"/>
      <c r="D149" s="3891" t="s">
        <v>124</v>
      </c>
      <c r="E149" s="3892"/>
      <c r="F149" s="2601">
        <f>+'Compra -HOJA1'!F43</f>
        <v>0</v>
      </c>
      <c r="G149" s="2209">
        <f>IF(F149=0,0,$F149*COEF!$J$27)</f>
        <v>0</v>
      </c>
      <c r="H149" s="2209">
        <f>IF(F149=0,0,$F149*COEF!$K$27)</f>
        <v>0</v>
      </c>
      <c r="I149" s="2209">
        <f>IF(F149=0,0,$F149*COEF!$L$27)</f>
        <v>0</v>
      </c>
      <c r="J149" s="2208">
        <f t="shared" si="33"/>
        <v>0</v>
      </c>
      <c r="K149" s="2602">
        <f>+'Compra -HOJA1'!K43</f>
        <v>0</v>
      </c>
      <c r="L149" s="2208">
        <f t="shared" si="34"/>
        <v>0</v>
      </c>
      <c r="M149" s="2208">
        <f t="shared" si="34"/>
        <v>0</v>
      </c>
      <c r="N149" s="2208">
        <f t="shared" si="34"/>
        <v>0</v>
      </c>
      <c r="O149" s="2212">
        <f t="shared" si="36"/>
        <v>0</v>
      </c>
      <c r="P149" s="2212">
        <f t="shared" si="36"/>
        <v>0</v>
      </c>
      <c r="Q149" s="2212">
        <f t="shared" si="36"/>
        <v>0</v>
      </c>
      <c r="R149" s="2347">
        <f t="shared" si="37"/>
        <v>0</v>
      </c>
      <c r="S149" s="675"/>
      <c r="T149" s="675"/>
      <c r="U149" s="675"/>
      <c r="V149" s="10"/>
      <c r="W149" s="10"/>
      <c r="X149" s="10"/>
      <c r="Y149" s="10"/>
      <c r="Z149" s="10"/>
      <c r="AA149" s="10"/>
      <c r="AB149" s="10"/>
    </row>
    <row r="150" spans="1:28" ht="36.75" hidden="1" thickBot="1" x14ac:dyDescent="0.25">
      <c r="A150" s="4807"/>
      <c r="B150" s="2130" t="s">
        <v>137</v>
      </c>
      <c r="C150" s="3864"/>
      <c r="D150" s="4787" t="s">
        <v>534</v>
      </c>
      <c r="E150" s="2361" t="str">
        <f t="shared" ref="E150:E159" si="40">E17</f>
        <v>642020   Servicios de comunicación por medio de teléfono, telégrafo y téfex f"J</v>
      </c>
      <c r="F150" s="2602"/>
      <c r="G150" s="2209">
        <f>IF(F150=0,0,$F150*COEF!$J$27)</f>
        <v>0</v>
      </c>
      <c r="H150" s="2209">
        <f>IF(F150=0,0,$F150*COEF!$K$27)</f>
        <v>0</v>
      </c>
      <c r="I150" s="2209">
        <f>IF(F150=0,0,$F150*COEF!$L$27)</f>
        <v>0</v>
      </c>
      <c r="J150" s="2208">
        <f t="shared" si="33"/>
        <v>0</v>
      </c>
      <c r="K150" s="2602"/>
      <c r="L150" s="2208">
        <f t="shared" si="34"/>
        <v>0</v>
      </c>
      <c r="M150" s="2208">
        <f t="shared" si="34"/>
        <v>0</v>
      </c>
      <c r="N150" s="2208">
        <f t="shared" si="34"/>
        <v>0</v>
      </c>
      <c r="O150" s="2212">
        <f t="shared" si="36"/>
        <v>0</v>
      </c>
      <c r="P150" s="2212">
        <f t="shared" si="36"/>
        <v>0</v>
      </c>
      <c r="Q150" s="2212">
        <f t="shared" si="36"/>
        <v>0</v>
      </c>
      <c r="R150" s="2347">
        <f t="shared" si="37"/>
        <v>0</v>
      </c>
      <c r="S150" s="675"/>
      <c r="T150" s="675"/>
      <c r="U150" s="675"/>
      <c r="V150" s="10"/>
      <c r="W150" s="10"/>
      <c r="X150" s="10"/>
      <c r="Y150" s="10"/>
      <c r="Z150" s="10"/>
      <c r="AA150" s="10"/>
      <c r="AB150" s="10"/>
    </row>
    <row r="151" spans="1:28" ht="28.5" hidden="1" thickBot="1" x14ac:dyDescent="0.25">
      <c r="A151" s="4807"/>
      <c r="B151" s="2130"/>
      <c r="C151" s="3864"/>
      <c r="D151" s="4788"/>
      <c r="E151" s="2361" t="str">
        <f t="shared" si="40"/>
        <v>652130   Servicios de la banca minorista</v>
      </c>
      <c r="F151" s="2602"/>
      <c r="G151" s="2209">
        <f>IF(F151=0,0,$F151*COEF!$J$27)</f>
        <v>0</v>
      </c>
      <c r="H151" s="2209">
        <f>IF(F151=0,0,$F151*COEF!$K$27)</f>
        <v>0</v>
      </c>
      <c r="I151" s="2209">
        <f>IF(F151=0,0,$F151*COEF!$L$27)</f>
        <v>0</v>
      </c>
      <c r="J151" s="2208">
        <f t="shared" si="33"/>
        <v>0</v>
      </c>
      <c r="K151" s="2602"/>
      <c r="L151" s="2208">
        <f t="shared" si="34"/>
        <v>0</v>
      </c>
      <c r="M151" s="2208">
        <f t="shared" si="34"/>
        <v>0</v>
      </c>
      <c r="N151" s="2208">
        <f t="shared" si="34"/>
        <v>0</v>
      </c>
      <c r="O151" s="2212">
        <f t="shared" si="36"/>
        <v>0</v>
      </c>
      <c r="P151" s="2212">
        <f t="shared" si="36"/>
        <v>0</v>
      </c>
      <c r="Q151" s="2212">
        <f t="shared" si="36"/>
        <v>0</v>
      </c>
      <c r="R151" s="2347">
        <f t="shared" si="37"/>
        <v>0</v>
      </c>
      <c r="S151" s="675"/>
      <c r="T151" s="675"/>
      <c r="U151" s="675"/>
      <c r="V151" s="10"/>
      <c r="W151" s="10"/>
      <c r="X151" s="10"/>
      <c r="Y151" s="10"/>
      <c r="Z151" s="10"/>
      <c r="AA151" s="10"/>
      <c r="AB151" s="10"/>
    </row>
    <row r="152" spans="1:28" ht="28.5" hidden="1" thickBot="1" x14ac:dyDescent="0.25">
      <c r="A152" s="4807"/>
      <c r="B152" s="2130"/>
      <c r="C152" s="3864"/>
      <c r="D152" s="4788"/>
      <c r="E152" s="2361">
        <f t="shared" si="40"/>
        <v>0</v>
      </c>
      <c r="F152" s="2602"/>
      <c r="G152" s="2209">
        <f>IF(F152=0,0,$F152*COEF!$J$27)</f>
        <v>0</v>
      </c>
      <c r="H152" s="2209">
        <f>IF(F152=0,0,$F152*COEF!$K$27)</f>
        <v>0</v>
      </c>
      <c r="I152" s="2209">
        <f>IF(F152=0,0,$F152*COEF!$L$27)</f>
        <v>0</v>
      </c>
      <c r="J152" s="2208">
        <f t="shared" si="33"/>
        <v>0</v>
      </c>
      <c r="K152" s="2602"/>
      <c r="L152" s="2208">
        <f t="shared" si="34"/>
        <v>0</v>
      </c>
      <c r="M152" s="2208">
        <f t="shared" si="34"/>
        <v>0</v>
      </c>
      <c r="N152" s="2208">
        <f t="shared" si="34"/>
        <v>0</v>
      </c>
      <c r="O152" s="2212">
        <f t="shared" si="36"/>
        <v>0</v>
      </c>
      <c r="P152" s="2212">
        <f t="shared" si="36"/>
        <v>0</v>
      </c>
      <c r="Q152" s="2212">
        <f t="shared" si="36"/>
        <v>0</v>
      </c>
      <c r="R152" s="2347">
        <f t="shared" si="37"/>
        <v>0</v>
      </c>
      <c r="S152" s="675"/>
      <c r="T152" s="675"/>
      <c r="U152" s="675"/>
      <c r="V152" s="10"/>
      <c r="W152" s="10"/>
      <c r="X152" s="10"/>
      <c r="Y152" s="10"/>
      <c r="Z152" s="10"/>
      <c r="AA152" s="10"/>
      <c r="AB152" s="10"/>
    </row>
    <row r="153" spans="1:28" ht="28.5" hidden="1" thickBot="1" x14ac:dyDescent="0.25">
      <c r="A153" s="4807"/>
      <c r="B153" s="2130"/>
      <c r="C153" s="3864"/>
      <c r="D153" s="4788"/>
      <c r="E153" s="2361">
        <f t="shared" si="40"/>
        <v>0</v>
      </c>
      <c r="F153" s="2602"/>
      <c r="G153" s="2209">
        <f>IF(F153=0,0,$F153*COEF!$J$27)</f>
        <v>0</v>
      </c>
      <c r="H153" s="2209">
        <f>IF(F153=0,0,$F153*COEF!$K$27)</f>
        <v>0</v>
      </c>
      <c r="I153" s="2209">
        <f>IF(F153=0,0,$F153*COEF!$L$27)</f>
        <v>0</v>
      </c>
      <c r="J153" s="2208">
        <f t="shared" si="33"/>
        <v>0</v>
      </c>
      <c r="K153" s="2602"/>
      <c r="L153" s="2208">
        <f t="shared" si="34"/>
        <v>0</v>
      </c>
      <c r="M153" s="2208">
        <f t="shared" si="34"/>
        <v>0</v>
      </c>
      <c r="N153" s="2208">
        <f t="shared" si="34"/>
        <v>0</v>
      </c>
      <c r="O153" s="2212">
        <f t="shared" si="36"/>
        <v>0</v>
      </c>
      <c r="P153" s="2212">
        <f t="shared" si="36"/>
        <v>0</v>
      </c>
      <c r="Q153" s="2212">
        <f t="shared" si="36"/>
        <v>0</v>
      </c>
      <c r="R153" s="2347">
        <f t="shared" si="37"/>
        <v>0</v>
      </c>
      <c r="S153" s="675"/>
      <c r="T153" s="675"/>
      <c r="U153" s="675"/>
      <c r="V153" s="10"/>
      <c r="W153" s="10"/>
      <c r="X153" s="10"/>
      <c r="Y153" s="10"/>
      <c r="Z153" s="10"/>
      <c r="AA153" s="10"/>
      <c r="AB153" s="10"/>
    </row>
    <row r="154" spans="1:28" ht="28.5" hidden="1" thickBot="1" x14ac:dyDescent="0.25">
      <c r="A154" s="4807"/>
      <c r="B154" s="2130"/>
      <c r="C154" s="3864"/>
      <c r="D154" s="4788"/>
      <c r="E154" s="2361">
        <f t="shared" si="40"/>
        <v>0</v>
      </c>
      <c r="F154" s="2602"/>
      <c r="G154" s="2209">
        <f>IF(F154=0,0,$F154*COEF!$J$27)</f>
        <v>0</v>
      </c>
      <c r="H154" s="2209">
        <f>IF(F154=0,0,$F154*COEF!$K$27)</f>
        <v>0</v>
      </c>
      <c r="I154" s="2209">
        <f>IF(F154=0,0,$F154*COEF!$L$27)</f>
        <v>0</v>
      </c>
      <c r="J154" s="2208">
        <f t="shared" si="33"/>
        <v>0</v>
      </c>
      <c r="K154" s="2602"/>
      <c r="L154" s="2208">
        <f t="shared" si="34"/>
        <v>0</v>
      </c>
      <c r="M154" s="2208">
        <f t="shared" si="34"/>
        <v>0</v>
      </c>
      <c r="N154" s="2208">
        <f t="shared" si="34"/>
        <v>0</v>
      </c>
      <c r="O154" s="2212">
        <f t="shared" si="36"/>
        <v>0</v>
      </c>
      <c r="P154" s="2212">
        <f t="shared" si="36"/>
        <v>0</v>
      </c>
      <c r="Q154" s="2212">
        <f t="shared" si="36"/>
        <v>0</v>
      </c>
      <c r="R154" s="2347">
        <f t="shared" si="37"/>
        <v>0</v>
      </c>
      <c r="S154" s="675"/>
      <c r="T154" s="675"/>
      <c r="U154" s="675"/>
      <c r="V154" s="10"/>
      <c r="W154" s="10"/>
      <c r="X154" s="10"/>
      <c r="Y154" s="10"/>
      <c r="Z154" s="10"/>
      <c r="AA154" s="10"/>
      <c r="AB154" s="10"/>
    </row>
    <row r="155" spans="1:28" ht="28.5" hidden="1" thickBot="1" x14ac:dyDescent="0.25">
      <c r="A155" s="4807"/>
      <c r="B155" s="2130"/>
      <c r="C155" s="3864"/>
      <c r="D155" s="4788"/>
      <c r="E155" s="2361">
        <f t="shared" si="40"/>
        <v>0</v>
      </c>
      <c r="F155" s="2602"/>
      <c r="G155" s="2209">
        <f>IF(F155=0,0,$F155*COEF!$J$27)</f>
        <v>0</v>
      </c>
      <c r="H155" s="2209">
        <f>IF(F155=0,0,$F155*COEF!$K$27)</f>
        <v>0</v>
      </c>
      <c r="I155" s="2209">
        <f>IF(F155=0,0,$F155*COEF!$L$27)</f>
        <v>0</v>
      </c>
      <c r="J155" s="2208">
        <f t="shared" si="33"/>
        <v>0</v>
      </c>
      <c r="K155" s="2602"/>
      <c r="L155" s="2208">
        <f t="shared" si="34"/>
        <v>0</v>
      </c>
      <c r="M155" s="2208">
        <f t="shared" si="34"/>
        <v>0</v>
      </c>
      <c r="N155" s="2208">
        <f t="shared" si="34"/>
        <v>0</v>
      </c>
      <c r="O155" s="2212">
        <f t="shared" si="36"/>
        <v>0</v>
      </c>
      <c r="P155" s="2212">
        <f t="shared" si="36"/>
        <v>0</v>
      </c>
      <c r="Q155" s="2212">
        <f t="shared" si="36"/>
        <v>0</v>
      </c>
      <c r="R155" s="2347">
        <f t="shared" si="37"/>
        <v>0</v>
      </c>
      <c r="S155" s="675"/>
      <c r="T155" s="675"/>
      <c r="U155" s="675"/>
      <c r="V155" s="10"/>
      <c r="W155" s="10"/>
      <c r="X155" s="10"/>
      <c r="Y155" s="10"/>
      <c r="Z155" s="10"/>
      <c r="AA155" s="10"/>
      <c r="AB155" s="10"/>
    </row>
    <row r="156" spans="1:28" ht="28.5" hidden="1" thickBot="1" x14ac:dyDescent="0.25">
      <c r="A156" s="4807"/>
      <c r="B156" s="2130"/>
      <c r="C156" s="3864"/>
      <c r="D156" s="4788"/>
      <c r="E156" s="2361">
        <f t="shared" si="40"/>
        <v>0</v>
      </c>
      <c r="F156" s="2602"/>
      <c r="G156" s="2209">
        <f>IF(F156=0,0,$F156*COEF!$J$27)</f>
        <v>0</v>
      </c>
      <c r="H156" s="2209">
        <f>IF(F156=0,0,$F156*COEF!$K$27)</f>
        <v>0</v>
      </c>
      <c r="I156" s="2209">
        <f>IF(F156=0,0,$F156*COEF!$L$27)</f>
        <v>0</v>
      </c>
      <c r="J156" s="2208">
        <f t="shared" si="33"/>
        <v>0</v>
      </c>
      <c r="K156" s="2602"/>
      <c r="L156" s="2208">
        <f t="shared" si="34"/>
        <v>0</v>
      </c>
      <c r="M156" s="2208">
        <f t="shared" si="34"/>
        <v>0</v>
      </c>
      <c r="N156" s="2208">
        <f t="shared" si="34"/>
        <v>0</v>
      </c>
      <c r="O156" s="2212">
        <f t="shared" si="36"/>
        <v>0</v>
      </c>
      <c r="P156" s="2212">
        <f t="shared" si="36"/>
        <v>0</v>
      </c>
      <c r="Q156" s="2212">
        <f t="shared" si="36"/>
        <v>0</v>
      </c>
      <c r="R156" s="2347">
        <f t="shared" si="37"/>
        <v>0</v>
      </c>
      <c r="S156" s="675"/>
      <c r="T156" s="675"/>
      <c r="U156" s="675"/>
      <c r="V156" s="10"/>
      <c r="W156" s="10"/>
      <c r="X156" s="10"/>
      <c r="Y156" s="10"/>
      <c r="Z156" s="10"/>
      <c r="AA156" s="10"/>
      <c r="AB156" s="10"/>
    </row>
    <row r="157" spans="1:28" ht="28.5" hidden="1" thickBot="1" x14ac:dyDescent="0.25">
      <c r="A157" s="4807"/>
      <c r="B157" s="2130"/>
      <c r="C157" s="3864"/>
      <c r="D157" s="4788"/>
      <c r="E157" s="2361">
        <f t="shared" si="40"/>
        <v>0</v>
      </c>
      <c r="F157" s="2602"/>
      <c r="G157" s="2209">
        <f>IF(F157=0,0,$F157*COEF!$J$27)</f>
        <v>0</v>
      </c>
      <c r="H157" s="2209">
        <f>IF(F157=0,0,$F157*COEF!$K$27)</f>
        <v>0</v>
      </c>
      <c r="I157" s="2209">
        <f>IF(F157=0,0,$F157*COEF!$L$27)</f>
        <v>0</v>
      </c>
      <c r="J157" s="2208">
        <f t="shared" si="33"/>
        <v>0</v>
      </c>
      <c r="K157" s="2602"/>
      <c r="L157" s="2208">
        <f t="shared" si="34"/>
        <v>0</v>
      </c>
      <c r="M157" s="2208">
        <f t="shared" si="34"/>
        <v>0</v>
      </c>
      <c r="N157" s="2208">
        <f t="shared" si="34"/>
        <v>0</v>
      </c>
      <c r="O157" s="2212">
        <f t="shared" si="36"/>
        <v>0</v>
      </c>
      <c r="P157" s="2212">
        <f t="shared" si="36"/>
        <v>0</v>
      </c>
      <c r="Q157" s="2212">
        <f t="shared" si="36"/>
        <v>0</v>
      </c>
      <c r="R157" s="2347">
        <f t="shared" si="37"/>
        <v>0</v>
      </c>
      <c r="S157" s="675"/>
      <c r="T157" s="675"/>
      <c r="U157" s="675"/>
      <c r="V157" s="10"/>
      <c r="W157" s="10"/>
      <c r="X157" s="10"/>
      <c r="Y157" s="10"/>
      <c r="Z157" s="10"/>
      <c r="AA157" s="10"/>
      <c r="AB157" s="10"/>
    </row>
    <row r="158" spans="1:28" ht="28.5" hidden="1" thickBot="1" x14ac:dyDescent="0.25">
      <c r="A158" s="4807"/>
      <c r="B158" s="2130"/>
      <c r="C158" s="3864"/>
      <c r="D158" s="4788"/>
      <c r="E158" s="2361">
        <f t="shared" si="40"/>
        <v>0</v>
      </c>
      <c r="F158" s="2602"/>
      <c r="G158" s="2209">
        <f>IF(F158=0,0,$F158*COEF!$J$27)</f>
        <v>0</v>
      </c>
      <c r="H158" s="2209">
        <f>IF(F158=0,0,$F158*COEF!$K$27)</f>
        <v>0</v>
      </c>
      <c r="I158" s="2209">
        <f>IF(F158=0,0,$F158*COEF!$L$27)</f>
        <v>0</v>
      </c>
      <c r="J158" s="2208">
        <f t="shared" si="33"/>
        <v>0</v>
      </c>
      <c r="K158" s="2602"/>
      <c r="L158" s="2208">
        <f t="shared" si="34"/>
        <v>0</v>
      </c>
      <c r="M158" s="2208">
        <f t="shared" si="34"/>
        <v>0</v>
      </c>
      <c r="N158" s="2208">
        <f t="shared" si="34"/>
        <v>0</v>
      </c>
      <c r="O158" s="2212">
        <f t="shared" si="36"/>
        <v>0</v>
      </c>
      <c r="P158" s="2212">
        <f t="shared" si="36"/>
        <v>0</v>
      </c>
      <c r="Q158" s="2212">
        <f t="shared" si="36"/>
        <v>0</v>
      </c>
      <c r="R158" s="2347">
        <f t="shared" si="37"/>
        <v>0</v>
      </c>
      <c r="S158" s="675"/>
      <c r="T158" s="675"/>
      <c r="U158" s="675"/>
      <c r="V158" s="10"/>
      <c r="W158" s="10"/>
      <c r="X158" s="10"/>
      <c r="Y158" s="10"/>
      <c r="Z158" s="10"/>
      <c r="AA158" s="10"/>
      <c r="AB158" s="10"/>
    </row>
    <row r="159" spans="1:28" ht="28.5" hidden="1" thickBot="1" x14ac:dyDescent="0.25">
      <c r="A159" s="4807"/>
      <c r="B159" s="2130"/>
      <c r="C159" s="3864"/>
      <c r="D159" s="3892"/>
      <c r="E159" s="2363">
        <f t="shared" si="40"/>
        <v>0</v>
      </c>
      <c r="F159" s="2602"/>
      <c r="G159" s="2209">
        <f>IF(F159=0,0,$F159*COEF!$J$27)</f>
        <v>0</v>
      </c>
      <c r="H159" s="2209">
        <f>IF(F159=0,0,$F159*COEF!$K$27)</f>
        <v>0</v>
      </c>
      <c r="I159" s="2209">
        <f>IF(F159=0,0,$F159*COEF!$L$27)</f>
        <v>0</v>
      </c>
      <c r="J159" s="2208">
        <f t="shared" si="33"/>
        <v>0</v>
      </c>
      <c r="K159" s="2602"/>
      <c r="L159" s="2208">
        <f t="shared" si="34"/>
        <v>0</v>
      </c>
      <c r="M159" s="2208">
        <f t="shared" si="34"/>
        <v>0</v>
      </c>
      <c r="N159" s="2208">
        <f t="shared" si="34"/>
        <v>0</v>
      </c>
      <c r="O159" s="2212">
        <f t="shared" si="36"/>
        <v>0</v>
      </c>
      <c r="P159" s="2212">
        <f t="shared" si="36"/>
        <v>0</v>
      </c>
      <c r="Q159" s="2212">
        <f t="shared" si="36"/>
        <v>0</v>
      </c>
      <c r="R159" s="2347">
        <f t="shared" si="37"/>
        <v>0</v>
      </c>
      <c r="S159" s="675"/>
      <c r="T159" s="675"/>
      <c r="U159" s="675"/>
      <c r="V159" s="10"/>
      <c r="W159" s="10"/>
      <c r="X159" s="10"/>
      <c r="Y159" s="10"/>
      <c r="Z159" s="10"/>
      <c r="AA159" s="10"/>
      <c r="AB159" s="10"/>
    </row>
    <row r="160" spans="1:28" ht="28.5" thickBot="1" x14ac:dyDescent="0.25">
      <c r="A160" s="4807"/>
      <c r="B160" s="2130"/>
      <c r="C160" s="3864"/>
      <c r="D160" s="4781" t="s">
        <v>535</v>
      </c>
      <c r="E160" s="4782"/>
      <c r="F160" s="2603" t="e">
        <f>+'Compra -HOJA1'!#REF!</f>
        <v>#REF!</v>
      </c>
      <c r="G160" s="2209" t="e">
        <f>IF(F160=0,0,$F160*COEF!$J$27)</f>
        <v>#REF!</v>
      </c>
      <c r="H160" s="2209" t="e">
        <f>IF(F160=0,0,$F160*COEF!$K$27)</f>
        <v>#REF!</v>
      </c>
      <c r="I160" s="2209" t="e">
        <f>IF(F160=0,0,$F160*COEF!$L$27)</f>
        <v>#REF!</v>
      </c>
      <c r="J160" s="2208" t="e">
        <f t="shared" si="33"/>
        <v>#REF!</v>
      </c>
      <c r="K160" s="2605" t="e">
        <f>+'Compra -HOJA1'!#REF!</f>
        <v>#REF!</v>
      </c>
      <c r="L160" s="2208" t="e">
        <f t="shared" si="34"/>
        <v>#REF!</v>
      </c>
      <c r="M160" s="2208" t="e">
        <f t="shared" si="34"/>
        <v>#REF!</v>
      </c>
      <c r="N160" s="2208" t="e">
        <f t="shared" si="34"/>
        <v>#REF!</v>
      </c>
      <c r="O160" s="2212" t="e">
        <f t="shared" si="36"/>
        <v>#REF!</v>
      </c>
      <c r="P160" s="2212" t="e">
        <f t="shared" si="36"/>
        <v>#REF!</v>
      </c>
      <c r="Q160" s="2212" t="e">
        <f t="shared" si="36"/>
        <v>#REF!</v>
      </c>
      <c r="R160" s="2347" t="e">
        <f t="shared" si="37"/>
        <v>#REF!</v>
      </c>
      <c r="S160" s="675"/>
      <c r="T160" s="675"/>
      <c r="U160" s="675"/>
      <c r="V160" s="10"/>
      <c r="W160" s="10"/>
      <c r="X160" s="10"/>
      <c r="Y160" s="10"/>
      <c r="Z160" s="10"/>
      <c r="AA160" s="10"/>
      <c r="AB160" s="10"/>
    </row>
    <row r="161" spans="1:28" ht="27.75" x14ac:dyDescent="0.2">
      <c r="A161" s="4807"/>
      <c r="B161" s="2131" t="s">
        <v>125</v>
      </c>
      <c r="C161" s="3864"/>
      <c r="D161" s="3927" t="s">
        <v>35</v>
      </c>
      <c r="E161" s="3928"/>
      <c r="F161" s="2601">
        <f>+'Compra -HOJA1'!F44</f>
        <v>0</v>
      </c>
      <c r="G161" s="2209">
        <f>IF(F161=0,0,$F161*COEF!$J$27)</f>
        <v>0</v>
      </c>
      <c r="H161" s="2209">
        <f>IF(F161=0,0,$F161*COEF!$K$27)</f>
        <v>0</v>
      </c>
      <c r="I161" s="2209">
        <f>IF(F161=0,0,$F161*COEF!$L$27)</f>
        <v>0</v>
      </c>
      <c r="J161" s="2208">
        <f t="shared" si="33"/>
        <v>0</v>
      </c>
      <c r="K161" s="2602">
        <f>+'Compra -HOJA1'!K44</f>
        <v>0</v>
      </c>
      <c r="L161" s="2208">
        <f t="shared" si="34"/>
        <v>0</v>
      </c>
      <c r="M161" s="2208">
        <f t="shared" si="34"/>
        <v>0</v>
      </c>
      <c r="N161" s="2208">
        <f t="shared" si="34"/>
        <v>0</v>
      </c>
      <c r="O161" s="2212">
        <f t="shared" si="36"/>
        <v>0</v>
      </c>
      <c r="P161" s="2212">
        <f t="shared" si="36"/>
        <v>0</v>
      </c>
      <c r="Q161" s="2212">
        <f t="shared" si="36"/>
        <v>0</v>
      </c>
      <c r="R161" s="2347">
        <f t="shared" si="37"/>
        <v>0</v>
      </c>
      <c r="S161" s="675"/>
      <c r="T161" s="675"/>
      <c r="U161" s="675"/>
      <c r="V161" s="10"/>
      <c r="W161" s="10"/>
      <c r="X161" s="10"/>
      <c r="Y161" s="10"/>
      <c r="Z161" s="10"/>
      <c r="AA161" s="10"/>
      <c r="AB161" s="10"/>
    </row>
    <row r="162" spans="1:28" ht="72.75" hidden="1" thickBot="1" x14ac:dyDescent="0.25">
      <c r="A162" s="4807"/>
      <c r="B162" s="2130" t="s">
        <v>139</v>
      </c>
      <c r="C162" s="3864"/>
      <c r="D162" s="2364" t="s">
        <v>536</v>
      </c>
      <c r="E162" s="2362"/>
      <c r="F162" s="686"/>
      <c r="G162" s="687">
        <f>IF(F162=0,0,$F162*COEF!$J$27)</f>
        <v>0</v>
      </c>
      <c r="H162" s="687">
        <f>IF(F162=0,0,$F162*COEF!$K$27)</f>
        <v>0</v>
      </c>
      <c r="I162" s="687">
        <f>IF(F162=0,0,$F162*COEF!$L$27)</f>
        <v>0</v>
      </c>
      <c r="J162" s="685">
        <f t="shared" si="33"/>
        <v>0</v>
      </c>
      <c r="K162" s="688"/>
      <c r="L162" s="685">
        <f t="shared" si="34"/>
        <v>0</v>
      </c>
      <c r="M162" s="685">
        <f t="shared" si="34"/>
        <v>0</v>
      </c>
      <c r="N162" s="685">
        <f t="shared" si="34"/>
        <v>0</v>
      </c>
      <c r="O162" s="711">
        <f t="shared" si="36"/>
        <v>0</v>
      </c>
      <c r="P162" s="711">
        <f t="shared" si="36"/>
        <v>0</v>
      </c>
      <c r="Q162" s="711">
        <f t="shared" si="36"/>
        <v>0</v>
      </c>
      <c r="R162" s="2348">
        <f t="shared" si="37"/>
        <v>0</v>
      </c>
      <c r="W162" s="10"/>
      <c r="X162" s="10"/>
      <c r="Y162" s="10"/>
      <c r="Z162" s="10"/>
      <c r="AA162" s="10"/>
      <c r="AB162" s="10"/>
    </row>
    <row r="163" spans="1:28" ht="33" customHeight="1" thickBot="1" x14ac:dyDescent="0.25">
      <c r="A163" s="4807"/>
      <c r="B163" s="2130"/>
      <c r="C163" s="3864"/>
      <c r="D163" s="4791" t="s">
        <v>537</v>
      </c>
      <c r="E163" s="4791"/>
      <c r="F163" s="689">
        <f t="shared" ref="F163:R163" si="41">F116+F127+F138+F149+F161</f>
        <v>0</v>
      </c>
      <c r="G163" s="2231">
        <f t="shared" si="41"/>
        <v>0</v>
      </c>
      <c r="H163" s="2231">
        <f t="shared" si="41"/>
        <v>0</v>
      </c>
      <c r="I163" s="2231">
        <f t="shared" si="41"/>
        <v>0</v>
      </c>
      <c r="J163" s="2231">
        <f t="shared" si="41"/>
        <v>0</v>
      </c>
      <c r="K163" s="2210">
        <f t="shared" si="41"/>
        <v>0</v>
      </c>
      <c r="L163" s="2231">
        <f t="shared" si="41"/>
        <v>0</v>
      </c>
      <c r="M163" s="2231">
        <f t="shared" si="41"/>
        <v>0</v>
      </c>
      <c r="N163" s="2231">
        <f t="shared" si="41"/>
        <v>0</v>
      </c>
      <c r="O163" s="2231">
        <f t="shared" si="41"/>
        <v>0</v>
      </c>
      <c r="P163" s="2231">
        <f t="shared" si="41"/>
        <v>0</v>
      </c>
      <c r="Q163" s="2231">
        <f t="shared" si="41"/>
        <v>0</v>
      </c>
      <c r="R163" s="2346">
        <f t="shared" si="41"/>
        <v>0</v>
      </c>
      <c r="W163" s="10"/>
      <c r="X163" s="10"/>
      <c r="Y163" s="10"/>
      <c r="Z163" s="10"/>
      <c r="AA163" s="10"/>
      <c r="AB163" s="10"/>
    </row>
    <row r="164" spans="1:28" ht="33" customHeight="1" x14ac:dyDescent="0.2">
      <c r="A164" s="4807"/>
      <c r="B164" s="2130"/>
      <c r="C164" s="3864"/>
      <c r="D164" s="4784" t="s">
        <v>538</v>
      </c>
      <c r="E164" s="4784"/>
      <c r="F164" s="689" t="e">
        <f t="shared" ref="F164:R164" si="42">SUM(F116:F162)-F163</f>
        <v>#REF!</v>
      </c>
      <c r="G164" s="2231" t="e">
        <f>+G160</f>
        <v>#REF!</v>
      </c>
      <c r="H164" s="2231" t="e">
        <f t="shared" ref="H164:I164" si="43">+H160</f>
        <v>#REF!</v>
      </c>
      <c r="I164" s="2231" t="e">
        <f t="shared" si="43"/>
        <v>#REF!</v>
      </c>
      <c r="J164" s="2231" t="e">
        <f>+J160</f>
        <v>#REF!</v>
      </c>
      <c r="K164" s="2210" t="e">
        <f t="shared" si="42"/>
        <v>#REF!</v>
      </c>
      <c r="L164" s="2231" t="e">
        <f t="shared" si="42"/>
        <v>#REF!</v>
      </c>
      <c r="M164" s="2231" t="e">
        <f t="shared" si="42"/>
        <v>#REF!</v>
      </c>
      <c r="N164" s="2231" t="e">
        <f t="shared" si="42"/>
        <v>#REF!</v>
      </c>
      <c r="O164" s="2231" t="e">
        <f t="shared" si="42"/>
        <v>#REF!</v>
      </c>
      <c r="P164" s="2231" t="e">
        <f t="shared" si="42"/>
        <v>#REF!</v>
      </c>
      <c r="Q164" s="2231" t="e">
        <f t="shared" si="42"/>
        <v>#REF!</v>
      </c>
      <c r="R164" s="2346" t="e">
        <f t="shared" si="42"/>
        <v>#REF!</v>
      </c>
      <c r="W164" s="10"/>
      <c r="X164" s="10"/>
      <c r="Y164" s="10"/>
      <c r="Z164" s="10"/>
      <c r="AA164" s="10"/>
      <c r="AB164" s="10"/>
    </row>
    <row r="165" spans="1:28" ht="27.75" customHeight="1" thickBot="1" x14ac:dyDescent="0.45">
      <c r="A165" s="4807"/>
      <c r="B165" s="2064" t="s">
        <v>126</v>
      </c>
      <c r="C165" s="3864"/>
      <c r="D165" s="4792" t="s">
        <v>127</v>
      </c>
      <c r="E165" s="4792"/>
      <c r="F165" s="677" t="e">
        <f>F163+F164</f>
        <v>#REF!</v>
      </c>
      <c r="G165" s="2211" t="e">
        <f t="shared" ref="G165:R165" si="44">G163+G164</f>
        <v>#REF!</v>
      </c>
      <c r="H165" s="2211" t="e">
        <f t="shared" si="44"/>
        <v>#REF!</v>
      </c>
      <c r="I165" s="2211" t="e">
        <f t="shared" si="44"/>
        <v>#REF!</v>
      </c>
      <c r="J165" s="2211" t="e">
        <f t="shared" si="44"/>
        <v>#REF!</v>
      </c>
      <c r="K165" s="2211" t="e">
        <f t="shared" si="44"/>
        <v>#REF!</v>
      </c>
      <c r="L165" s="2211" t="e">
        <f t="shared" si="44"/>
        <v>#REF!</v>
      </c>
      <c r="M165" s="2211" t="e">
        <f t="shared" si="44"/>
        <v>#REF!</v>
      </c>
      <c r="N165" s="2211" t="e">
        <f t="shared" si="44"/>
        <v>#REF!</v>
      </c>
      <c r="O165" s="678" t="e">
        <f t="shared" si="44"/>
        <v>#REF!</v>
      </c>
      <c r="P165" s="678" t="e">
        <f t="shared" si="44"/>
        <v>#REF!</v>
      </c>
      <c r="Q165" s="678" t="e">
        <f t="shared" si="44"/>
        <v>#REF!</v>
      </c>
      <c r="R165" s="679" t="e">
        <f t="shared" si="44"/>
        <v>#REF!</v>
      </c>
      <c r="W165" s="10"/>
      <c r="X165" s="10"/>
      <c r="Y165" s="10"/>
      <c r="Z165" s="10"/>
      <c r="AA165" s="10"/>
      <c r="AB165" s="10"/>
    </row>
    <row r="166" spans="1:28" ht="21" customHeight="1" x14ac:dyDescent="0.2">
      <c r="A166" s="4807"/>
      <c r="B166" s="2064"/>
      <c r="C166" s="3864"/>
      <c r="D166" s="2365"/>
      <c r="E166" s="2365"/>
      <c r="F166" s="2132"/>
      <c r="G166" s="690"/>
      <c r="H166" s="690"/>
      <c r="I166" s="690"/>
      <c r="J166" s="691"/>
      <c r="K166" s="692"/>
      <c r="L166" s="693"/>
      <c r="M166" s="693"/>
      <c r="N166" s="693"/>
      <c r="O166" s="693"/>
      <c r="P166" s="693"/>
      <c r="Q166" s="693"/>
      <c r="R166" s="694"/>
      <c r="W166" s="10"/>
      <c r="X166" s="10"/>
      <c r="Y166" s="10"/>
      <c r="Z166" s="10"/>
      <c r="AA166" s="10"/>
      <c r="AB166" s="10"/>
    </row>
    <row r="167" spans="1:28" ht="34.5" customHeight="1" x14ac:dyDescent="0.2">
      <c r="A167" s="4807"/>
      <c r="B167" s="2064"/>
      <c r="C167" s="3864"/>
      <c r="D167" s="4793" t="s">
        <v>539</v>
      </c>
      <c r="E167" s="4793"/>
      <c r="F167" s="676">
        <f>+F163+F114</f>
        <v>0</v>
      </c>
      <c r="G167" s="676">
        <f t="shared" ref="G167:R167" si="45">+G163+G114</f>
        <v>0</v>
      </c>
      <c r="H167" s="676">
        <f t="shared" si="45"/>
        <v>0</v>
      </c>
      <c r="I167" s="676">
        <f t="shared" si="45"/>
        <v>0</v>
      </c>
      <c r="J167" s="676">
        <f t="shared" si="45"/>
        <v>0</v>
      </c>
      <c r="K167" s="676">
        <f t="shared" si="45"/>
        <v>0</v>
      </c>
      <c r="L167" s="676">
        <f t="shared" si="45"/>
        <v>0</v>
      </c>
      <c r="M167" s="676">
        <f t="shared" si="45"/>
        <v>0</v>
      </c>
      <c r="N167" s="676">
        <f t="shared" si="45"/>
        <v>0</v>
      </c>
      <c r="O167" s="676">
        <f t="shared" si="45"/>
        <v>0</v>
      </c>
      <c r="P167" s="676">
        <f t="shared" si="45"/>
        <v>0</v>
      </c>
      <c r="Q167" s="676">
        <f t="shared" si="45"/>
        <v>0</v>
      </c>
      <c r="R167" s="676">
        <f t="shared" si="45"/>
        <v>0</v>
      </c>
      <c r="W167" s="10"/>
      <c r="X167" s="10"/>
      <c r="Y167" s="10"/>
      <c r="Z167" s="10"/>
      <c r="AA167" s="10"/>
      <c r="AB167" s="10"/>
    </row>
    <row r="168" spans="1:28" ht="34.5" customHeight="1" x14ac:dyDescent="0.2">
      <c r="A168" s="4807"/>
      <c r="B168" s="2130" t="s">
        <v>540</v>
      </c>
      <c r="C168" s="3864"/>
      <c r="D168" s="4784" t="s">
        <v>541</v>
      </c>
      <c r="E168" s="4784"/>
      <c r="F168" s="689" t="e">
        <f>+F160</f>
        <v>#REF!</v>
      </c>
      <c r="G168" s="695" t="e">
        <f t="shared" ref="G168:R168" si="46">G164+G113</f>
        <v>#REF!</v>
      </c>
      <c r="H168" s="695" t="e">
        <f t="shared" si="46"/>
        <v>#REF!</v>
      </c>
      <c r="I168" s="695" t="e">
        <f t="shared" si="46"/>
        <v>#REF!</v>
      </c>
      <c r="J168" s="695" t="e">
        <f t="shared" si="46"/>
        <v>#REF!</v>
      </c>
      <c r="K168" s="695" t="e">
        <f t="shared" si="46"/>
        <v>#REF!</v>
      </c>
      <c r="L168" s="695" t="e">
        <f t="shared" si="46"/>
        <v>#REF!</v>
      </c>
      <c r="M168" s="695" t="e">
        <f t="shared" si="46"/>
        <v>#REF!</v>
      </c>
      <c r="N168" s="695" t="e">
        <f t="shared" si="46"/>
        <v>#REF!</v>
      </c>
      <c r="O168" s="695" t="e">
        <f t="shared" si="46"/>
        <v>#REF!</v>
      </c>
      <c r="P168" s="695" t="e">
        <f t="shared" si="46"/>
        <v>#REF!</v>
      </c>
      <c r="Q168" s="695" t="e">
        <f t="shared" si="46"/>
        <v>#REF!</v>
      </c>
      <c r="R168" s="696" t="e">
        <f t="shared" si="46"/>
        <v>#REF!</v>
      </c>
      <c r="W168" s="10"/>
      <c r="X168" s="10"/>
      <c r="Y168" s="10"/>
      <c r="Z168" s="10"/>
      <c r="AA168" s="10"/>
      <c r="AB168" s="10"/>
    </row>
    <row r="169" spans="1:28" ht="34.5" customHeight="1" x14ac:dyDescent="0.4">
      <c r="A169" s="4807"/>
      <c r="B169" s="2130"/>
      <c r="C169" s="3864"/>
      <c r="D169" s="4789" t="s">
        <v>128</v>
      </c>
      <c r="E169" s="4790"/>
      <c r="F169" s="677" t="e">
        <f>F167+F168</f>
        <v>#REF!</v>
      </c>
      <c r="G169" s="697" t="e">
        <f t="shared" ref="G169:R169" si="47">G167+G168</f>
        <v>#REF!</v>
      </c>
      <c r="H169" s="697" t="e">
        <f t="shared" si="47"/>
        <v>#REF!</v>
      </c>
      <c r="I169" s="697" t="e">
        <f t="shared" si="47"/>
        <v>#REF!</v>
      </c>
      <c r="J169" s="697" t="e">
        <f t="shared" si="47"/>
        <v>#REF!</v>
      </c>
      <c r="K169" s="697" t="e">
        <f t="shared" si="47"/>
        <v>#REF!</v>
      </c>
      <c r="L169" s="697" t="e">
        <f t="shared" si="47"/>
        <v>#REF!</v>
      </c>
      <c r="M169" s="697" t="e">
        <f t="shared" si="47"/>
        <v>#REF!</v>
      </c>
      <c r="N169" s="697" t="e">
        <f t="shared" si="47"/>
        <v>#REF!</v>
      </c>
      <c r="O169" s="697" t="e">
        <f t="shared" si="47"/>
        <v>#REF!</v>
      </c>
      <c r="P169" s="697" t="e">
        <f t="shared" si="47"/>
        <v>#REF!</v>
      </c>
      <c r="Q169" s="697" t="e">
        <f t="shared" si="47"/>
        <v>#REF!</v>
      </c>
      <c r="R169" s="698" t="e">
        <f t="shared" si="47"/>
        <v>#REF!</v>
      </c>
      <c r="S169" s="699"/>
      <c r="T169" s="699"/>
      <c r="U169" s="700"/>
      <c r="V169" s="701"/>
      <c r="W169" s="10"/>
      <c r="X169" s="10"/>
      <c r="Y169" s="10"/>
      <c r="Z169" s="10"/>
      <c r="AA169" s="10"/>
      <c r="AB169" s="10"/>
    </row>
    <row r="170" spans="1:28" s="705" customFormat="1" ht="25.5" customHeight="1" x14ac:dyDescent="0.2">
      <c r="A170" s="702"/>
      <c r="B170" s="2133"/>
      <c r="C170" s="703"/>
      <c r="D170" s="704"/>
      <c r="E170" s="704"/>
      <c r="G170" s="706"/>
      <c r="H170" s="706"/>
      <c r="I170" s="706"/>
      <c r="J170" s="706"/>
      <c r="K170" s="706"/>
      <c r="L170" s="2134"/>
      <c r="M170" s="2134"/>
      <c r="N170" s="2134"/>
      <c r="O170" s="707"/>
      <c r="P170" s="707"/>
      <c r="Q170" s="707"/>
      <c r="R170" s="708"/>
      <c r="W170" s="704"/>
      <c r="X170" s="704"/>
      <c r="Y170" s="704"/>
      <c r="Z170" s="704"/>
      <c r="AA170" s="704"/>
      <c r="AB170" s="704"/>
    </row>
    <row r="171" spans="1:28" ht="63.75" customHeight="1" x14ac:dyDescent="0.2">
      <c r="A171" s="4786" t="s">
        <v>542</v>
      </c>
      <c r="B171" s="713" t="s">
        <v>130</v>
      </c>
      <c r="C171" s="3925" t="s">
        <v>543</v>
      </c>
      <c r="D171" s="3876" t="s">
        <v>132</v>
      </c>
      <c r="E171" s="3876"/>
      <c r="F171" s="2606">
        <f>+'Compra -HOJA1'!F48</f>
        <v>0</v>
      </c>
      <c r="G171" s="2209">
        <f>IF(F171=0,0,$F171*COEF!$J$27)</f>
        <v>0</v>
      </c>
      <c r="H171" s="2209">
        <f>IF(F171=0,0,$F171*COEF!$K$27)</f>
        <v>0</v>
      </c>
      <c r="I171" s="2209">
        <f>IF(F171=0,0,$F171*COEF!$L$27)</f>
        <v>0</v>
      </c>
      <c r="J171" s="2209">
        <f>IF(F171=0,0,IF((F171/K171)&gt;=9000,"ERROR",IF((F171/K171)&lt;=3000,"ERROR",(F171/3000)*10)))</f>
        <v>0</v>
      </c>
      <c r="K171" s="2607">
        <f>+'Compra -HOJA1'!K48</f>
        <v>0</v>
      </c>
      <c r="L171" s="2212">
        <f t="shared" ref="L171:N217" si="48">G171*$M$49</f>
        <v>0</v>
      </c>
      <c r="M171" s="2212">
        <f t="shared" si="48"/>
        <v>0</v>
      </c>
      <c r="N171" s="2212">
        <f t="shared" si="48"/>
        <v>0</v>
      </c>
      <c r="O171" s="2212">
        <f>L171+G171</f>
        <v>0</v>
      </c>
      <c r="P171" s="2212">
        <f>M171+H171</f>
        <v>0</v>
      </c>
      <c r="Q171" s="2212">
        <f>N171+I171</f>
        <v>0</v>
      </c>
      <c r="R171" s="2347">
        <f>SUM(O171:Q171)</f>
        <v>0</v>
      </c>
      <c r="W171" s="10"/>
      <c r="X171" s="10"/>
      <c r="Y171" s="10"/>
      <c r="Z171" s="10"/>
      <c r="AA171" s="10"/>
      <c r="AB171" s="10"/>
    </row>
    <row r="172" spans="1:28" ht="53.25" hidden="1" customHeight="1" x14ac:dyDescent="0.2">
      <c r="A172" s="4786"/>
      <c r="B172" s="709" t="s">
        <v>544</v>
      </c>
      <c r="C172" s="3925"/>
      <c r="D172" s="3876" t="s">
        <v>545</v>
      </c>
      <c r="E172" s="2361" t="str">
        <f t="shared" ref="E172:E181" si="49">E17</f>
        <v>642020   Servicios de comunicación por medio de teléfono, telégrafo y téfex f"J</v>
      </c>
      <c r="F172" s="2607"/>
      <c r="G172" s="2212">
        <f>IF(F172=0,0,$F172*COEF!$J$27)</f>
        <v>0</v>
      </c>
      <c r="H172" s="2212">
        <f>IF(F172=0,0,$F172*COEF!$K$27)</f>
        <v>0</v>
      </c>
      <c r="I172" s="2212">
        <f>IF(F172=0,0,$F172*COEF!$L$27)</f>
        <v>0</v>
      </c>
      <c r="J172" s="2212">
        <f t="shared" ref="J172:J217" si="50">IF(F172=0,0,IF((F172/K172)&gt;9000,"ERROR",(F172/3000)*10))</f>
        <v>0</v>
      </c>
      <c r="K172" s="2607"/>
      <c r="L172" s="2212">
        <f t="shared" si="48"/>
        <v>0</v>
      </c>
      <c r="M172" s="2212">
        <f t="shared" si="48"/>
        <v>0</v>
      </c>
      <c r="N172" s="2212">
        <f t="shared" si="48"/>
        <v>0</v>
      </c>
      <c r="O172" s="2212">
        <f t="shared" ref="O172:Q217" si="51">L172+G172</f>
        <v>0</v>
      </c>
      <c r="P172" s="2212">
        <f t="shared" si="51"/>
        <v>0</v>
      </c>
      <c r="Q172" s="2212">
        <f t="shared" si="51"/>
        <v>0</v>
      </c>
      <c r="R172" s="2347">
        <f t="shared" ref="R172:R217" si="52">SUM(O172:Q172)</f>
        <v>0</v>
      </c>
      <c r="S172" s="712" t="s">
        <v>287</v>
      </c>
      <c r="T172" s="712" t="s">
        <v>450</v>
      </c>
      <c r="U172" s="712" t="s">
        <v>288</v>
      </c>
      <c r="W172" s="2135" t="s">
        <v>371</v>
      </c>
      <c r="X172" s="2135" t="s">
        <v>546</v>
      </c>
      <c r="Y172" s="2135" t="s">
        <v>546</v>
      </c>
      <c r="Z172" s="10"/>
      <c r="AA172" s="10"/>
      <c r="AB172" s="10"/>
    </row>
    <row r="173" spans="1:28" ht="53.25" hidden="1" customHeight="1" x14ac:dyDescent="0.2">
      <c r="A173" s="4786"/>
      <c r="B173" s="709"/>
      <c r="C173" s="3925"/>
      <c r="D173" s="3876"/>
      <c r="E173" s="2361" t="str">
        <f t="shared" si="49"/>
        <v>652130   Servicios de la banca minorista</v>
      </c>
      <c r="F173" s="2607"/>
      <c r="G173" s="2212">
        <f>IF(F173=0,0,$F173*COEF!$J$27)</f>
        <v>0</v>
      </c>
      <c r="H173" s="2212">
        <f>IF(F173=0,0,$F173*COEF!$K$27)</f>
        <v>0</v>
      </c>
      <c r="I173" s="2212">
        <f>IF(F173=0,0,$F173*COEF!$L$27)</f>
        <v>0</v>
      </c>
      <c r="J173" s="2212">
        <f t="shared" si="50"/>
        <v>0</v>
      </c>
      <c r="K173" s="2607"/>
      <c r="L173" s="2212">
        <f t="shared" si="48"/>
        <v>0</v>
      </c>
      <c r="M173" s="2212">
        <f t="shared" si="48"/>
        <v>0</v>
      </c>
      <c r="N173" s="2212">
        <f t="shared" si="48"/>
        <v>0</v>
      </c>
      <c r="O173" s="2212">
        <f t="shared" si="51"/>
        <v>0</v>
      </c>
      <c r="P173" s="2212">
        <f t="shared" si="51"/>
        <v>0</v>
      </c>
      <c r="Q173" s="2212">
        <f t="shared" si="51"/>
        <v>0</v>
      </c>
      <c r="R173" s="2347">
        <f t="shared" si="52"/>
        <v>0</v>
      </c>
      <c r="S173" s="622">
        <f>L172+L183+L194+L205</f>
        <v>0</v>
      </c>
      <c r="T173" s="622">
        <f>N172+N183+N194+N205</f>
        <v>0</v>
      </c>
      <c r="U173" s="622">
        <f>M172+M183+M194+M205</f>
        <v>0</v>
      </c>
      <c r="V173" s="10"/>
      <c r="W173" s="675">
        <f>K172+K183+K194+K205</f>
        <v>0</v>
      </c>
      <c r="X173" s="10" t="e">
        <f t="shared" ref="X173:X182" si="53">Y173/W173</f>
        <v>#DIV/0!</v>
      </c>
      <c r="Y173" s="675">
        <f>J172+J183+J194+J205</f>
        <v>0</v>
      </c>
      <c r="Z173" s="10"/>
      <c r="AA173" s="10"/>
      <c r="AB173" s="10"/>
    </row>
    <row r="174" spans="1:28" ht="53.25" hidden="1" customHeight="1" x14ac:dyDescent="0.2">
      <c r="A174" s="4786"/>
      <c r="B174" s="709"/>
      <c r="C174" s="3925"/>
      <c r="D174" s="3876"/>
      <c r="E174" s="2361">
        <f t="shared" si="49"/>
        <v>0</v>
      </c>
      <c r="F174" s="2607"/>
      <c r="G174" s="2212">
        <f>IF(F174=0,0,$F174*COEF!$J$27)</f>
        <v>0</v>
      </c>
      <c r="H174" s="2212">
        <f>IF(F174=0,0,$F174*COEF!$K$27)</f>
        <v>0</v>
      </c>
      <c r="I174" s="2212">
        <f>IF(F174=0,0,$F174*COEF!$L$27)</f>
        <v>0</v>
      </c>
      <c r="J174" s="2212">
        <f t="shared" si="50"/>
        <v>0</v>
      </c>
      <c r="K174" s="2607"/>
      <c r="L174" s="2212">
        <f t="shared" si="48"/>
        <v>0</v>
      </c>
      <c r="M174" s="2212">
        <f t="shared" si="48"/>
        <v>0</v>
      </c>
      <c r="N174" s="2212">
        <f t="shared" si="48"/>
        <v>0</v>
      </c>
      <c r="O174" s="2212">
        <f t="shared" si="51"/>
        <v>0</v>
      </c>
      <c r="P174" s="2212">
        <f t="shared" si="51"/>
        <v>0</v>
      </c>
      <c r="Q174" s="2212">
        <f t="shared" si="51"/>
        <v>0</v>
      </c>
      <c r="R174" s="2347">
        <f t="shared" si="52"/>
        <v>0</v>
      </c>
      <c r="S174" s="622">
        <f>L173+L184+L195+L206</f>
        <v>0</v>
      </c>
      <c r="T174" s="622">
        <f>N173+N184+N195+N206</f>
        <v>0</v>
      </c>
      <c r="U174" s="622">
        <f>M173+M184+M195+M206</f>
        <v>0</v>
      </c>
      <c r="V174" s="10"/>
      <c r="W174" s="675">
        <f>K173+K184+K195+K206</f>
        <v>0</v>
      </c>
      <c r="X174" s="10" t="e">
        <f t="shared" si="53"/>
        <v>#DIV/0!</v>
      </c>
      <c r="Y174" s="675">
        <f>J173+J184+J195+J206</f>
        <v>0</v>
      </c>
      <c r="Z174" s="10"/>
      <c r="AA174" s="10"/>
      <c r="AB174" s="10"/>
    </row>
    <row r="175" spans="1:28" ht="53.25" hidden="1" customHeight="1" x14ac:dyDescent="0.2">
      <c r="A175" s="4786"/>
      <c r="B175" s="709"/>
      <c r="C175" s="3925"/>
      <c r="D175" s="3876"/>
      <c r="E175" s="2361">
        <f t="shared" si="49"/>
        <v>0</v>
      </c>
      <c r="F175" s="2607"/>
      <c r="G175" s="2212">
        <f>IF(F175=0,0,$F175*COEF!$J$27)</f>
        <v>0</v>
      </c>
      <c r="H175" s="2212">
        <f>IF(F175=0,0,$F175*COEF!$K$27)</f>
        <v>0</v>
      </c>
      <c r="I175" s="2212">
        <f>IF(F175=0,0,$F175*COEF!$L$27)</f>
        <v>0</v>
      </c>
      <c r="J175" s="2212">
        <f t="shared" si="50"/>
        <v>0</v>
      </c>
      <c r="K175" s="2607"/>
      <c r="L175" s="2212">
        <f t="shared" si="48"/>
        <v>0</v>
      </c>
      <c r="M175" s="2212">
        <f t="shared" si="48"/>
        <v>0</v>
      </c>
      <c r="N175" s="2212">
        <f t="shared" si="48"/>
        <v>0</v>
      </c>
      <c r="O175" s="2212">
        <f t="shared" si="51"/>
        <v>0</v>
      </c>
      <c r="P175" s="2212">
        <f t="shared" si="51"/>
        <v>0</v>
      </c>
      <c r="Q175" s="2212">
        <f t="shared" si="51"/>
        <v>0</v>
      </c>
      <c r="R175" s="2347">
        <f t="shared" si="52"/>
        <v>0</v>
      </c>
      <c r="S175" s="622">
        <f>L174+L185+L196+L207</f>
        <v>0</v>
      </c>
      <c r="T175" s="622">
        <f>N174+N185+N196+N207</f>
        <v>0</v>
      </c>
      <c r="U175" s="622">
        <f>M174+M185+M196+M207</f>
        <v>0</v>
      </c>
      <c r="V175" s="10"/>
      <c r="W175" s="675">
        <f>K174+K185+K196+K207</f>
        <v>0</v>
      </c>
      <c r="X175" s="10" t="e">
        <f t="shared" si="53"/>
        <v>#DIV/0!</v>
      </c>
      <c r="Y175" s="675">
        <f>J174+J185+J196+J207</f>
        <v>0</v>
      </c>
      <c r="Z175" s="10"/>
      <c r="AA175" s="10"/>
      <c r="AB175" s="10"/>
    </row>
    <row r="176" spans="1:28" ht="53.25" hidden="1" customHeight="1" x14ac:dyDescent="0.2">
      <c r="A176" s="4786"/>
      <c r="B176" s="709"/>
      <c r="C176" s="3925"/>
      <c r="D176" s="3876"/>
      <c r="E176" s="2361">
        <f t="shared" si="49"/>
        <v>0</v>
      </c>
      <c r="F176" s="2607"/>
      <c r="G176" s="2212">
        <f>IF(F176=0,0,$F176*COEF!$J$27)</f>
        <v>0</v>
      </c>
      <c r="H176" s="2212">
        <f>IF(F176=0,0,$F176*COEF!$K$27)</f>
        <v>0</v>
      </c>
      <c r="I176" s="2212">
        <f>IF(F176=0,0,$F176*COEF!$L$27)</f>
        <v>0</v>
      </c>
      <c r="J176" s="2212">
        <f t="shared" si="50"/>
        <v>0</v>
      </c>
      <c r="K176" s="2607"/>
      <c r="L176" s="2212">
        <f t="shared" si="48"/>
        <v>0</v>
      </c>
      <c r="M176" s="2212">
        <f t="shared" si="48"/>
        <v>0</v>
      </c>
      <c r="N176" s="2212">
        <f t="shared" si="48"/>
        <v>0</v>
      </c>
      <c r="O176" s="2212">
        <f t="shared" si="51"/>
        <v>0</v>
      </c>
      <c r="P176" s="2212">
        <f t="shared" si="51"/>
        <v>0</v>
      </c>
      <c r="Q176" s="2212">
        <f t="shared" si="51"/>
        <v>0</v>
      </c>
      <c r="R176" s="2347">
        <f t="shared" si="52"/>
        <v>0</v>
      </c>
      <c r="S176" s="622">
        <f>L175+L186+L197+L208</f>
        <v>0</v>
      </c>
      <c r="T176" s="622">
        <f>N175+N186+N197+N208</f>
        <v>0</v>
      </c>
      <c r="U176" s="622">
        <f>M175+M186+M197+M208</f>
        <v>0</v>
      </c>
      <c r="V176" s="10"/>
      <c r="W176" s="675">
        <f>K175+K186+K197+K208</f>
        <v>0</v>
      </c>
      <c r="X176" s="10" t="e">
        <f t="shared" si="53"/>
        <v>#DIV/0!</v>
      </c>
      <c r="Y176" s="675">
        <f>J175+J186+J197+J208</f>
        <v>0</v>
      </c>
      <c r="Z176" s="10"/>
      <c r="AA176" s="10"/>
      <c r="AB176" s="10"/>
    </row>
    <row r="177" spans="1:28" ht="53.25" hidden="1" customHeight="1" x14ac:dyDescent="0.2">
      <c r="A177" s="4786"/>
      <c r="B177" s="709"/>
      <c r="C177" s="3925"/>
      <c r="D177" s="3876"/>
      <c r="E177" s="2361">
        <f t="shared" si="49"/>
        <v>0</v>
      </c>
      <c r="F177" s="2607"/>
      <c r="G177" s="2212">
        <f>IF(F177=0,0,$F177*COEF!$J$27)</f>
        <v>0</v>
      </c>
      <c r="H177" s="2212">
        <f>IF(F177=0,0,$F177*COEF!$K$27)</f>
        <v>0</v>
      </c>
      <c r="I177" s="2212">
        <f>IF(F177=0,0,$F177*COEF!$L$27)</f>
        <v>0</v>
      </c>
      <c r="J177" s="2212">
        <f t="shared" si="50"/>
        <v>0</v>
      </c>
      <c r="K177" s="2607"/>
      <c r="L177" s="2212">
        <f t="shared" si="48"/>
        <v>0</v>
      </c>
      <c r="M177" s="2212">
        <f t="shared" si="48"/>
        <v>0</v>
      </c>
      <c r="N177" s="2212">
        <f t="shared" si="48"/>
        <v>0</v>
      </c>
      <c r="O177" s="2212">
        <f t="shared" si="51"/>
        <v>0</v>
      </c>
      <c r="P177" s="2212">
        <f t="shared" si="51"/>
        <v>0</v>
      </c>
      <c r="Q177" s="2212">
        <f t="shared" si="51"/>
        <v>0</v>
      </c>
      <c r="R177" s="2347">
        <f t="shared" si="52"/>
        <v>0</v>
      </c>
      <c r="S177" s="622"/>
      <c r="T177" s="622"/>
      <c r="U177" s="622"/>
      <c r="V177" s="10"/>
      <c r="W177" s="675"/>
      <c r="X177" s="10"/>
      <c r="Y177" s="675"/>
      <c r="Z177" s="10"/>
      <c r="AA177" s="10"/>
      <c r="AB177" s="10"/>
    </row>
    <row r="178" spans="1:28" ht="53.25" hidden="1" customHeight="1" x14ac:dyDescent="0.2">
      <c r="A178" s="4786"/>
      <c r="B178" s="709"/>
      <c r="C178" s="3925"/>
      <c r="D178" s="3876"/>
      <c r="E178" s="2361">
        <f t="shared" si="49"/>
        <v>0</v>
      </c>
      <c r="F178" s="2607"/>
      <c r="G178" s="2212">
        <f>IF(F178=0,0,$F178*COEF!$J$27)</f>
        <v>0</v>
      </c>
      <c r="H178" s="2212">
        <f>IF(F178=0,0,$F178*COEF!$K$27)</f>
        <v>0</v>
      </c>
      <c r="I178" s="2212">
        <f>IF(F178=0,0,$F178*COEF!$L$27)</f>
        <v>0</v>
      </c>
      <c r="J178" s="2212">
        <f t="shared" si="50"/>
        <v>0</v>
      </c>
      <c r="K178" s="2607"/>
      <c r="L178" s="2212">
        <f t="shared" si="48"/>
        <v>0</v>
      </c>
      <c r="M178" s="2212">
        <f t="shared" si="48"/>
        <v>0</v>
      </c>
      <c r="N178" s="2212">
        <f t="shared" si="48"/>
        <v>0</v>
      </c>
      <c r="O178" s="2212">
        <f t="shared" si="51"/>
        <v>0</v>
      </c>
      <c r="P178" s="2212">
        <f t="shared" si="51"/>
        <v>0</v>
      </c>
      <c r="Q178" s="2212">
        <f t="shared" si="51"/>
        <v>0</v>
      </c>
      <c r="R178" s="2347">
        <f t="shared" si="52"/>
        <v>0</v>
      </c>
      <c r="S178" s="622"/>
      <c r="T178" s="622"/>
      <c r="U178" s="622"/>
      <c r="V178" s="10"/>
      <c r="W178" s="675"/>
      <c r="X178" s="10"/>
      <c r="Y178" s="675"/>
      <c r="Z178" s="10"/>
      <c r="AA178" s="10"/>
      <c r="AB178" s="10"/>
    </row>
    <row r="179" spans="1:28" ht="53.25" hidden="1" customHeight="1" x14ac:dyDescent="0.2">
      <c r="A179" s="4786"/>
      <c r="B179" s="709"/>
      <c r="C179" s="3925"/>
      <c r="D179" s="3876"/>
      <c r="E179" s="2361">
        <f t="shared" si="49"/>
        <v>0</v>
      </c>
      <c r="F179" s="2607"/>
      <c r="G179" s="2212">
        <f>IF(F179=0,0,$F179*COEF!$J$27)</f>
        <v>0</v>
      </c>
      <c r="H179" s="2212">
        <f>IF(F179=0,0,$F179*COEF!$K$27)</f>
        <v>0</v>
      </c>
      <c r="I179" s="2212">
        <f>IF(F179=0,0,$F179*COEF!$L$27)</f>
        <v>0</v>
      </c>
      <c r="J179" s="2212">
        <f t="shared" si="50"/>
        <v>0</v>
      </c>
      <c r="K179" s="2607"/>
      <c r="L179" s="2212">
        <f t="shared" si="48"/>
        <v>0</v>
      </c>
      <c r="M179" s="2212">
        <f t="shared" si="48"/>
        <v>0</v>
      </c>
      <c r="N179" s="2212">
        <f t="shared" si="48"/>
        <v>0</v>
      </c>
      <c r="O179" s="2212">
        <f t="shared" si="51"/>
        <v>0</v>
      </c>
      <c r="P179" s="2212">
        <f t="shared" si="51"/>
        <v>0</v>
      </c>
      <c r="Q179" s="2212">
        <f t="shared" si="51"/>
        <v>0</v>
      </c>
      <c r="R179" s="2347">
        <f t="shared" si="52"/>
        <v>0</v>
      </c>
      <c r="S179" s="622"/>
      <c r="T179" s="622"/>
      <c r="U179" s="622"/>
      <c r="V179" s="10"/>
      <c r="W179" s="675"/>
      <c r="X179" s="10"/>
      <c r="Y179" s="675"/>
      <c r="Z179" s="10"/>
      <c r="AA179" s="10"/>
      <c r="AB179" s="10"/>
    </row>
    <row r="180" spans="1:28" ht="53.25" hidden="1" customHeight="1" x14ac:dyDescent="0.2">
      <c r="A180" s="4786"/>
      <c r="B180" s="709"/>
      <c r="C180" s="3925"/>
      <c r="D180" s="3876"/>
      <c r="E180" s="2361">
        <f t="shared" si="49"/>
        <v>0</v>
      </c>
      <c r="F180" s="2607"/>
      <c r="G180" s="2212">
        <f>IF(F180=0,0,$F180*COEF!$J$27)</f>
        <v>0</v>
      </c>
      <c r="H180" s="2212">
        <f>IF(F180=0,0,$F180*COEF!$K$27)</f>
        <v>0</v>
      </c>
      <c r="I180" s="2212">
        <f>IF(F180=0,0,$F180*COEF!$L$27)</f>
        <v>0</v>
      </c>
      <c r="J180" s="2212">
        <f t="shared" si="50"/>
        <v>0</v>
      </c>
      <c r="K180" s="2607"/>
      <c r="L180" s="2212">
        <f t="shared" si="48"/>
        <v>0</v>
      </c>
      <c r="M180" s="2212">
        <f t="shared" si="48"/>
        <v>0</v>
      </c>
      <c r="N180" s="2212">
        <f t="shared" si="48"/>
        <v>0</v>
      </c>
      <c r="O180" s="2212">
        <f t="shared" si="51"/>
        <v>0</v>
      </c>
      <c r="P180" s="2212">
        <f t="shared" si="51"/>
        <v>0</v>
      </c>
      <c r="Q180" s="2212">
        <f t="shared" si="51"/>
        <v>0</v>
      </c>
      <c r="R180" s="2347">
        <f t="shared" si="52"/>
        <v>0</v>
      </c>
      <c r="S180" s="622"/>
      <c r="T180" s="622"/>
      <c r="U180" s="622"/>
      <c r="V180" s="10"/>
      <c r="W180" s="675"/>
      <c r="X180" s="10"/>
      <c r="Y180" s="675"/>
      <c r="Z180" s="10"/>
      <c r="AA180" s="10"/>
      <c r="AB180" s="10"/>
    </row>
    <row r="181" spans="1:28" ht="53.25" hidden="1" customHeight="1" x14ac:dyDescent="0.2">
      <c r="A181" s="4786"/>
      <c r="B181" s="709"/>
      <c r="C181" s="3925"/>
      <c r="D181" s="3876"/>
      <c r="E181" s="2361">
        <f t="shared" si="49"/>
        <v>0</v>
      </c>
      <c r="F181" s="2607"/>
      <c r="G181" s="2212">
        <f>IF(F181=0,0,$F181*COEF!$J$27)</f>
        <v>0</v>
      </c>
      <c r="H181" s="2212">
        <f>IF(F181=0,0,$F181*COEF!$K$27)</f>
        <v>0</v>
      </c>
      <c r="I181" s="2212">
        <f>IF(F181=0,0,$F181*COEF!$L$27)</f>
        <v>0</v>
      </c>
      <c r="J181" s="2212">
        <f t="shared" si="50"/>
        <v>0</v>
      </c>
      <c r="K181" s="2607"/>
      <c r="L181" s="2212">
        <f t="shared" si="48"/>
        <v>0</v>
      </c>
      <c r="M181" s="2212">
        <f t="shared" si="48"/>
        <v>0</v>
      </c>
      <c r="N181" s="2212">
        <f t="shared" si="48"/>
        <v>0</v>
      </c>
      <c r="O181" s="2212">
        <f t="shared" si="51"/>
        <v>0</v>
      </c>
      <c r="P181" s="2212">
        <f t="shared" si="51"/>
        <v>0</v>
      </c>
      <c r="Q181" s="2212">
        <f t="shared" si="51"/>
        <v>0</v>
      </c>
      <c r="R181" s="2347">
        <f t="shared" si="52"/>
        <v>0</v>
      </c>
      <c r="S181" s="622">
        <f>L176+L187+L198+L209</f>
        <v>0</v>
      </c>
      <c r="T181" s="622">
        <f>N176+N187+N198+N209</f>
        <v>0</v>
      </c>
      <c r="U181" s="622">
        <f>M176+M187+M198+M209</f>
        <v>0</v>
      </c>
      <c r="V181" s="10"/>
      <c r="W181" s="675">
        <f>K176+K187+K198+K209</f>
        <v>0</v>
      </c>
      <c r="X181" s="10" t="e">
        <f t="shared" si="53"/>
        <v>#DIV/0!</v>
      </c>
      <c r="Y181" s="675">
        <f>J176+J187+J198+J209</f>
        <v>0</v>
      </c>
      <c r="Z181" s="10"/>
      <c r="AA181" s="10"/>
      <c r="AB181" s="10"/>
    </row>
    <row r="182" spans="1:28" ht="58.5" customHeight="1" x14ac:dyDescent="0.2">
      <c r="A182" s="4786"/>
      <c r="B182" s="713" t="s">
        <v>133</v>
      </c>
      <c r="C182" s="3925"/>
      <c r="D182" s="3876" t="s">
        <v>134</v>
      </c>
      <c r="E182" s="3876"/>
      <c r="F182" s="2606">
        <f>+'Compra -HOJA1'!F49</f>
        <v>0</v>
      </c>
      <c r="G182" s="2212">
        <f>IF(F182=0,0,$F182*COEF!$J$27)</f>
        <v>0</v>
      </c>
      <c r="H182" s="2212">
        <f>IF(F182=0,0,$F182*COEF!$K$27)</f>
        <v>0</v>
      </c>
      <c r="I182" s="2212">
        <f>IF(F182=0,0,$F182*COEF!$L$27)</f>
        <v>0</v>
      </c>
      <c r="J182" s="2209">
        <f>IF(F182=0,0,IF((F182/K182)&gt;=9000,"ERROR",IF((F182/K182)&lt;=3000,"ERROR",(F182/3000)*10)))</f>
        <v>0</v>
      </c>
      <c r="K182" s="2607">
        <f>+'Compra -HOJA1'!K49</f>
        <v>0</v>
      </c>
      <c r="L182" s="2212">
        <f t="shared" si="48"/>
        <v>0</v>
      </c>
      <c r="M182" s="2212">
        <f t="shared" si="48"/>
        <v>0</v>
      </c>
      <c r="N182" s="2212">
        <f t="shared" si="48"/>
        <v>0</v>
      </c>
      <c r="O182" s="2212">
        <f t="shared" si="51"/>
        <v>0</v>
      </c>
      <c r="P182" s="2212">
        <f t="shared" si="51"/>
        <v>0</v>
      </c>
      <c r="Q182" s="2212">
        <f t="shared" si="51"/>
        <v>0</v>
      </c>
      <c r="R182" s="2347">
        <f t="shared" si="52"/>
        <v>0</v>
      </c>
      <c r="S182" s="622">
        <f>L181+L192+L203+L214</f>
        <v>0</v>
      </c>
      <c r="T182" s="622">
        <f>N181+N192+N203+N214</f>
        <v>0</v>
      </c>
      <c r="U182" s="622">
        <f>M181+M192+M203+M214</f>
        <v>0</v>
      </c>
      <c r="V182" s="10"/>
      <c r="W182" s="675">
        <f>K181+K192+K203+K214</f>
        <v>0</v>
      </c>
      <c r="X182" s="10" t="e">
        <f t="shared" si="53"/>
        <v>#DIV/0!</v>
      </c>
      <c r="Y182" s="675">
        <f>J181+J192+J203+J214</f>
        <v>0</v>
      </c>
      <c r="Z182" s="10"/>
      <c r="AA182" s="10"/>
      <c r="AB182" s="10"/>
    </row>
    <row r="183" spans="1:28" ht="53.25" hidden="1" customHeight="1" x14ac:dyDescent="0.2">
      <c r="A183" s="4786"/>
      <c r="B183" s="2130" t="s">
        <v>547</v>
      </c>
      <c r="C183" s="3925"/>
      <c r="D183" s="3876" t="s">
        <v>548</v>
      </c>
      <c r="E183" s="2361" t="str">
        <f t="shared" ref="E183:E192" si="54">E17</f>
        <v>642020   Servicios de comunicación por medio de teléfono, telégrafo y téfex f"J</v>
      </c>
      <c r="F183" s="2607"/>
      <c r="G183" s="2212">
        <f>IF(F183=0,0,$F183*COEF!$J$27)</f>
        <v>0</v>
      </c>
      <c r="H183" s="2212">
        <f>IF(F183=0,0,$F183*COEF!$K$27)</f>
        <v>0</v>
      </c>
      <c r="I183" s="2212">
        <f>IF(F183=0,0,$F183*COEF!$L$27)</f>
        <v>0</v>
      </c>
      <c r="J183" s="2212">
        <f t="shared" si="50"/>
        <v>0</v>
      </c>
      <c r="K183" s="2607"/>
      <c r="L183" s="2212">
        <f t="shared" si="48"/>
        <v>0</v>
      </c>
      <c r="M183" s="2212">
        <f t="shared" si="48"/>
        <v>0</v>
      </c>
      <c r="N183" s="2212">
        <f t="shared" si="48"/>
        <v>0</v>
      </c>
      <c r="O183" s="2212">
        <f t="shared" si="51"/>
        <v>0</v>
      </c>
      <c r="P183" s="2212">
        <f t="shared" si="51"/>
        <v>0</v>
      </c>
      <c r="Q183" s="2212">
        <f t="shared" si="51"/>
        <v>0</v>
      </c>
      <c r="R183" s="2347">
        <f t="shared" si="52"/>
        <v>0</v>
      </c>
      <c r="S183" s="10"/>
      <c r="T183" s="10"/>
      <c r="U183" s="10"/>
      <c r="V183" s="10"/>
      <c r="W183" s="10"/>
      <c r="X183" s="10"/>
      <c r="Y183" s="10"/>
      <c r="Z183" s="10"/>
      <c r="AA183" s="10"/>
      <c r="AB183" s="10"/>
    </row>
    <row r="184" spans="1:28" ht="53.25" hidden="1" customHeight="1" x14ac:dyDescent="0.2">
      <c r="A184" s="4786"/>
      <c r="B184" s="2130"/>
      <c r="C184" s="3925"/>
      <c r="D184" s="3876"/>
      <c r="E184" s="2361" t="str">
        <f t="shared" si="54"/>
        <v>652130   Servicios de la banca minorista</v>
      </c>
      <c r="F184" s="2607"/>
      <c r="G184" s="2212">
        <f>IF(F184=0,0,$F184*COEF!$J$27)</f>
        <v>0</v>
      </c>
      <c r="H184" s="2212">
        <f>IF(F184=0,0,$F184*COEF!$K$27)</f>
        <v>0</v>
      </c>
      <c r="I184" s="2212">
        <f>IF(F184=0,0,$F184*COEF!$L$27)</f>
        <v>0</v>
      </c>
      <c r="J184" s="2212">
        <f t="shared" si="50"/>
        <v>0</v>
      </c>
      <c r="K184" s="2607"/>
      <c r="L184" s="2212">
        <f t="shared" si="48"/>
        <v>0</v>
      </c>
      <c r="M184" s="2212">
        <f t="shared" si="48"/>
        <v>0</v>
      </c>
      <c r="N184" s="2212">
        <f t="shared" si="48"/>
        <v>0</v>
      </c>
      <c r="O184" s="2212">
        <f t="shared" si="51"/>
        <v>0</v>
      </c>
      <c r="P184" s="2212">
        <f t="shared" si="51"/>
        <v>0</v>
      </c>
      <c r="Q184" s="2212">
        <f t="shared" si="51"/>
        <v>0</v>
      </c>
      <c r="R184" s="2347">
        <f t="shared" si="52"/>
        <v>0</v>
      </c>
      <c r="S184" s="10"/>
      <c r="T184" s="10"/>
      <c r="V184" s="10"/>
      <c r="W184" s="10"/>
      <c r="X184" s="10"/>
      <c r="Y184" s="10"/>
      <c r="Z184" s="10"/>
      <c r="AA184" s="10"/>
      <c r="AB184" s="10"/>
    </row>
    <row r="185" spans="1:28" ht="53.25" hidden="1" customHeight="1" x14ac:dyDescent="0.2">
      <c r="A185" s="4786"/>
      <c r="B185" s="2130"/>
      <c r="C185" s="3925"/>
      <c r="D185" s="3876"/>
      <c r="E185" s="2361">
        <f t="shared" si="54"/>
        <v>0</v>
      </c>
      <c r="F185" s="2607"/>
      <c r="G185" s="2212">
        <f>IF(F185=0,0,$F185*COEF!$J$27)</f>
        <v>0</v>
      </c>
      <c r="H185" s="2212">
        <f>IF(F185=0,0,$F185*COEF!$K$27)</f>
        <v>0</v>
      </c>
      <c r="I185" s="2212">
        <f>IF(F185=0,0,$F185*COEF!$L$27)</f>
        <v>0</v>
      </c>
      <c r="J185" s="2212">
        <f t="shared" si="50"/>
        <v>0</v>
      </c>
      <c r="K185" s="2607"/>
      <c r="L185" s="2212">
        <f t="shared" si="48"/>
        <v>0</v>
      </c>
      <c r="M185" s="2212">
        <f t="shared" si="48"/>
        <v>0</v>
      </c>
      <c r="N185" s="2212">
        <f t="shared" si="48"/>
        <v>0</v>
      </c>
      <c r="O185" s="2212">
        <f t="shared" si="51"/>
        <v>0</v>
      </c>
      <c r="P185" s="2212">
        <f t="shared" si="51"/>
        <v>0</v>
      </c>
      <c r="Q185" s="2212">
        <f t="shared" si="51"/>
        <v>0</v>
      </c>
      <c r="R185" s="2347">
        <f t="shared" si="52"/>
        <v>0</v>
      </c>
      <c r="S185" s="10"/>
      <c r="T185" s="10"/>
      <c r="V185" s="10"/>
      <c r="W185" s="10"/>
      <c r="X185" s="10"/>
      <c r="Y185" s="10"/>
      <c r="Z185" s="10"/>
      <c r="AA185" s="10"/>
      <c r="AB185" s="10"/>
    </row>
    <row r="186" spans="1:28" ht="53.25" hidden="1" customHeight="1" x14ac:dyDescent="0.2">
      <c r="A186" s="4786"/>
      <c r="B186" s="2130"/>
      <c r="C186" s="3925"/>
      <c r="D186" s="3876"/>
      <c r="E186" s="2361">
        <f t="shared" si="54"/>
        <v>0</v>
      </c>
      <c r="F186" s="2607"/>
      <c r="G186" s="2212">
        <f>IF(F186=0,0,$F186*COEF!$J$27)</f>
        <v>0</v>
      </c>
      <c r="H186" s="2212">
        <f>IF(F186=0,0,$F186*COEF!$K$27)</f>
        <v>0</v>
      </c>
      <c r="I186" s="2212">
        <f>IF(F186=0,0,$F186*COEF!$L$27)</f>
        <v>0</v>
      </c>
      <c r="J186" s="2212">
        <f t="shared" si="50"/>
        <v>0</v>
      </c>
      <c r="K186" s="2607"/>
      <c r="L186" s="2212">
        <f t="shared" si="48"/>
        <v>0</v>
      </c>
      <c r="M186" s="2212">
        <f t="shared" si="48"/>
        <v>0</v>
      </c>
      <c r="N186" s="2212">
        <f t="shared" si="48"/>
        <v>0</v>
      </c>
      <c r="O186" s="2212">
        <f t="shared" si="51"/>
        <v>0</v>
      </c>
      <c r="P186" s="2212">
        <f t="shared" si="51"/>
        <v>0</v>
      </c>
      <c r="Q186" s="2212">
        <f t="shared" si="51"/>
        <v>0</v>
      </c>
      <c r="R186" s="2347">
        <f t="shared" si="52"/>
        <v>0</v>
      </c>
      <c r="S186" s="10"/>
      <c r="T186" s="10"/>
      <c r="V186" s="10"/>
      <c r="W186" s="10"/>
      <c r="X186" s="10"/>
      <c r="Y186" s="10"/>
      <c r="Z186" s="10"/>
      <c r="AA186" s="10"/>
      <c r="AB186" s="10"/>
    </row>
    <row r="187" spans="1:28" ht="53.25" hidden="1" customHeight="1" x14ac:dyDescent="0.2">
      <c r="A187" s="4786"/>
      <c r="B187" s="2130"/>
      <c r="C187" s="3925"/>
      <c r="D187" s="3876"/>
      <c r="E187" s="2361">
        <f t="shared" si="54"/>
        <v>0</v>
      </c>
      <c r="F187" s="2607"/>
      <c r="G187" s="2212">
        <f>IF(F187=0,0,$F187*COEF!$J$27)</f>
        <v>0</v>
      </c>
      <c r="H187" s="2212">
        <f>IF(F187=0,0,$F187*COEF!$K$27)</f>
        <v>0</v>
      </c>
      <c r="I187" s="2212">
        <f>IF(F187=0,0,$F187*COEF!$L$27)</f>
        <v>0</v>
      </c>
      <c r="J187" s="2212">
        <f t="shared" si="50"/>
        <v>0</v>
      </c>
      <c r="K187" s="2607"/>
      <c r="L187" s="2212">
        <f t="shared" si="48"/>
        <v>0</v>
      </c>
      <c r="M187" s="2212">
        <f t="shared" si="48"/>
        <v>0</v>
      </c>
      <c r="N187" s="2212">
        <f t="shared" si="48"/>
        <v>0</v>
      </c>
      <c r="O187" s="2212">
        <f t="shared" si="51"/>
        <v>0</v>
      </c>
      <c r="P187" s="2212">
        <f t="shared" si="51"/>
        <v>0</v>
      </c>
      <c r="Q187" s="2212">
        <f t="shared" si="51"/>
        <v>0</v>
      </c>
      <c r="R187" s="2347">
        <f t="shared" si="52"/>
        <v>0</v>
      </c>
      <c r="S187" s="10"/>
      <c r="T187" s="10"/>
      <c r="V187" s="10"/>
      <c r="W187" s="10"/>
      <c r="X187" s="10"/>
      <c r="Y187" s="10"/>
      <c r="Z187" s="10"/>
      <c r="AA187" s="10"/>
      <c r="AB187" s="10"/>
    </row>
    <row r="188" spans="1:28" ht="53.25" hidden="1" customHeight="1" x14ac:dyDescent="0.2">
      <c r="A188" s="4786"/>
      <c r="B188" s="2130"/>
      <c r="C188" s="3925"/>
      <c r="D188" s="3876"/>
      <c r="E188" s="2361">
        <f t="shared" si="54"/>
        <v>0</v>
      </c>
      <c r="F188" s="2607"/>
      <c r="G188" s="2212">
        <f>IF(F188=0,0,$F188*COEF!$J$27)</f>
        <v>0</v>
      </c>
      <c r="H188" s="2212">
        <f>IF(F188=0,0,$F188*COEF!$K$27)</f>
        <v>0</v>
      </c>
      <c r="I188" s="2212">
        <f>IF(F188=0,0,$F188*COEF!$L$27)</f>
        <v>0</v>
      </c>
      <c r="J188" s="2212">
        <f t="shared" si="50"/>
        <v>0</v>
      </c>
      <c r="K188" s="2607"/>
      <c r="L188" s="2212">
        <f t="shared" si="48"/>
        <v>0</v>
      </c>
      <c r="M188" s="2212">
        <f t="shared" si="48"/>
        <v>0</v>
      </c>
      <c r="N188" s="2212">
        <f t="shared" si="48"/>
        <v>0</v>
      </c>
      <c r="O188" s="2212">
        <f t="shared" si="51"/>
        <v>0</v>
      </c>
      <c r="P188" s="2212">
        <f t="shared" si="51"/>
        <v>0</v>
      </c>
      <c r="Q188" s="2212">
        <f t="shared" si="51"/>
        <v>0</v>
      </c>
      <c r="R188" s="2347">
        <f t="shared" si="52"/>
        <v>0</v>
      </c>
      <c r="S188" s="10"/>
      <c r="T188" s="10"/>
      <c r="V188" s="10"/>
      <c r="W188" s="10"/>
      <c r="X188" s="10"/>
      <c r="Y188" s="10"/>
      <c r="Z188" s="10"/>
      <c r="AA188" s="10"/>
      <c r="AB188" s="10"/>
    </row>
    <row r="189" spans="1:28" ht="53.25" hidden="1" customHeight="1" x14ac:dyDescent="0.2">
      <c r="A189" s="4786"/>
      <c r="B189" s="2130"/>
      <c r="C189" s="3925"/>
      <c r="D189" s="3876"/>
      <c r="E189" s="2361">
        <f t="shared" si="54"/>
        <v>0</v>
      </c>
      <c r="F189" s="2607"/>
      <c r="G189" s="2212">
        <f>IF(F189=0,0,$F189*COEF!$J$27)</f>
        <v>0</v>
      </c>
      <c r="H189" s="2212">
        <f>IF(F189=0,0,$F189*COEF!$K$27)</f>
        <v>0</v>
      </c>
      <c r="I189" s="2212">
        <f>IF(F189=0,0,$F189*COEF!$L$27)</f>
        <v>0</v>
      </c>
      <c r="J189" s="2212">
        <f t="shared" si="50"/>
        <v>0</v>
      </c>
      <c r="K189" s="2607"/>
      <c r="L189" s="2212">
        <f t="shared" si="48"/>
        <v>0</v>
      </c>
      <c r="M189" s="2212">
        <f t="shared" si="48"/>
        <v>0</v>
      </c>
      <c r="N189" s="2212">
        <f t="shared" si="48"/>
        <v>0</v>
      </c>
      <c r="O189" s="2212">
        <f t="shared" si="51"/>
        <v>0</v>
      </c>
      <c r="P189" s="2212">
        <f t="shared" si="51"/>
        <v>0</v>
      </c>
      <c r="Q189" s="2212">
        <f t="shared" si="51"/>
        <v>0</v>
      </c>
      <c r="R189" s="2347">
        <f t="shared" si="52"/>
        <v>0</v>
      </c>
      <c r="S189" s="10"/>
      <c r="T189" s="10"/>
      <c r="V189" s="10"/>
      <c r="W189" s="10"/>
      <c r="X189" s="10"/>
      <c r="Y189" s="10"/>
      <c r="Z189" s="10"/>
      <c r="AA189" s="10"/>
      <c r="AB189" s="10"/>
    </row>
    <row r="190" spans="1:28" ht="53.25" hidden="1" customHeight="1" x14ac:dyDescent="0.2">
      <c r="A190" s="4786"/>
      <c r="B190" s="2130"/>
      <c r="C190" s="3925"/>
      <c r="D190" s="3876"/>
      <c r="E190" s="2361">
        <f t="shared" si="54"/>
        <v>0</v>
      </c>
      <c r="F190" s="2607"/>
      <c r="G190" s="2212">
        <f>IF(F190=0,0,$F190*COEF!$J$27)</f>
        <v>0</v>
      </c>
      <c r="H190" s="2212">
        <f>IF(F190=0,0,$F190*COEF!$K$27)</f>
        <v>0</v>
      </c>
      <c r="I190" s="2212">
        <f>IF(F190=0,0,$F190*COEF!$L$27)</f>
        <v>0</v>
      </c>
      <c r="J190" s="2212">
        <f t="shared" si="50"/>
        <v>0</v>
      </c>
      <c r="K190" s="2607"/>
      <c r="L190" s="2212">
        <f t="shared" si="48"/>
        <v>0</v>
      </c>
      <c r="M190" s="2212">
        <f t="shared" si="48"/>
        <v>0</v>
      </c>
      <c r="N190" s="2212">
        <f t="shared" si="48"/>
        <v>0</v>
      </c>
      <c r="O190" s="2212">
        <f t="shared" si="51"/>
        <v>0</v>
      </c>
      <c r="P190" s="2212">
        <f t="shared" si="51"/>
        <v>0</v>
      </c>
      <c r="Q190" s="2212">
        <f t="shared" si="51"/>
        <v>0</v>
      </c>
      <c r="R190" s="2347">
        <f t="shared" si="52"/>
        <v>0</v>
      </c>
      <c r="S190" s="10"/>
      <c r="T190" s="10"/>
      <c r="V190" s="10"/>
      <c r="W190" s="10"/>
      <c r="X190" s="10"/>
      <c r="Y190" s="10"/>
      <c r="Z190" s="10"/>
      <c r="AA190" s="10"/>
      <c r="AB190" s="10"/>
    </row>
    <row r="191" spans="1:28" ht="53.25" hidden="1" customHeight="1" x14ac:dyDescent="0.2">
      <c r="A191" s="4786"/>
      <c r="B191" s="2130"/>
      <c r="C191" s="3925"/>
      <c r="D191" s="3876"/>
      <c r="E191" s="2361">
        <f t="shared" si="54"/>
        <v>0</v>
      </c>
      <c r="F191" s="2607"/>
      <c r="G191" s="2212">
        <f>IF(F191=0,0,$F191*COEF!$J$27)</f>
        <v>0</v>
      </c>
      <c r="H191" s="2212">
        <f>IF(F191=0,0,$F191*COEF!$K$27)</f>
        <v>0</v>
      </c>
      <c r="I191" s="2212">
        <f>IF(F191=0,0,$F191*COEF!$L$27)</f>
        <v>0</v>
      </c>
      <c r="J191" s="2212">
        <f t="shared" si="50"/>
        <v>0</v>
      </c>
      <c r="K191" s="2607"/>
      <c r="L191" s="2212">
        <f t="shared" si="48"/>
        <v>0</v>
      </c>
      <c r="M191" s="2212">
        <f t="shared" si="48"/>
        <v>0</v>
      </c>
      <c r="N191" s="2212">
        <f t="shared" si="48"/>
        <v>0</v>
      </c>
      <c r="O191" s="2212">
        <f t="shared" si="51"/>
        <v>0</v>
      </c>
      <c r="P191" s="2212">
        <f t="shared" si="51"/>
        <v>0</v>
      </c>
      <c r="Q191" s="2212">
        <f t="shared" si="51"/>
        <v>0</v>
      </c>
      <c r="R191" s="2347">
        <f t="shared" si="52"/>
        <v>0</v>
      </c>
      <c r="S191" s="10"/>
      <c r="T191" s="10"/>
      <c r="V191" s="10"/>
      <c r="W191" s="10"/>
      <c r="X191" s="10"/>
      <c r="Y191" s="10"/>
      <c r="Z191" s="10"/>
      <c r="AA191" s="10"/>
      <c r="AB191" s="10"/>
    </row>
    <row r="192" spans="1:28" ht="53.25" hidden="1" customHeight="1" x14ac:dyDescent="0.2">
      <c r="A192" s="4786"/>
      <c r="B192" s="2130"/>
      <c r="C192" s="3925"/>
      <c r="D192" s="3876"/>
      <c r="E192" s="2361">
        <f t="shared" si="54"/>
        <v>0</v>
      </c>
      <c r="F192" s="2607"/>
      <c r="G192" s="2212">
        <f>IF(F192=0,0,$F192*COEF!$J$27)</f>
        <v>0</v>
      </c>
      <c r="H192" s="2212">
        <f>IF(F192=0,0,$F192*COEF!$K$27)</f>
        <v>0</v>
      </c>
      <c r="I192" s="2212">
        <f>IF(F192=0,0,$F192*COEF!$L$27)</f>
        <v>0</v>
      </c>
      <c r="J192" s="2212">
        <f t="shared" si="50"/>
        <v>0</v>
      </c>
      <c r="K192" s="2607"/>
      <c r="L192" s="2212">
        <f t="shared" si="48"/>
        <v>0</v>
      </c>
      <c r="M192" s="2212">
        <f t="shared" si="48"/>
        <v>0</v>
      </c>
      <c r="N192" s="2212">
        <f t="shared" si="48"/>
        <v>0</v>
      </c>
      <c r="O192" s="2212">
        <f t="shared" si="51"/>
        <v>0</v>
      </c>
      <c r="P192" s="2212">
        <f t="shared" si="51"/>
        <v>0</v>
      </c>
      <c r="Q192" s="2212">
        <f t="shared" si="51"/>
        <v>0</v>
      </c>
      <c r="R192" s="2347">
        <f t="shared" si="52"/>
        <v>0</v>
      </c>
      <c r="S192" s="10"/>
      <c r="T192" s="10"/>
      <c r="V192" s="10"/>
      <c r="W192" s="10"/>
      <c r="X192" s="10"/>
      <c r="Y192" s="10"/>
      <c r="Z192" s="10"/>
      <c r="AA192" s="10"/>
      <c r="AB192" s="10"/>
    </row>
    <row r="193" spans="1:28" ht="52.5" customHeight="1" x14ac:dyDescent="0.2">
      <c r="A193" s="4786"/>
      <c r="B193" s="713" t="s">
        <v>135</v>
      </c>
      <c r="C193" s="3925"/>
      <c r="D193" s="3876" t="s">
        <v>136</v>
      </c>
      <c r="E193" s="3876"/>
      <c r="F193" s="2606">
        <f>+'Compra -HOJA1'!F50</f>
        <v>0</v>
      </c>
      <c r="G193" s="2212">
        <f>IF(F193=0,0,$F193*COEF!$J$27)</f>
        <v>0</v>
      </c>
      <c r="H193" s="2212">
        <f>IF(F193=0,0,$F193*COEF!$K$27)</f>
        <v>0</v>
      </c>
      <c r="I193" s="2212">
        <f>IF(F193=0,0,$F193*COEF!$L$27)</f>
        <v>0</v>
      </c>
      <c r="J193" s="2209">
        <f>IF(F193=0,0,IF((F193/K193)&gt;=9000,"ERROR",IF((F193/K193)&lt;=3000,"ERROR",(F193/3000)*10)))</f>
        <v>0</v>
      </c>
      <c r="K193" s="2607">
        <f>+'Compra -HOJA1'!K50</f>
        <v>0</v>
      </c>
      <c r="L193" s="2212">
        <f t="shared" si="48"/>
        <v>0</v>
      </c>
      <c r="M193" s="2212">
        <f t="shared" si="48"/>
        <v>0</v>
      </c>
      <c r="N193" s="2212">
        <f t="shared" si="48"/>
        <v>0</v>
      </c>
      <c r="O193" s="2212">
        <f t="shared" si="51"/>
        <v>0</v>
      </c>
      <c r="P193" s="2212">
        <f t="shared" si="51"/>
        <v>0</v>
      </c>
      <c r="Q193" s="2212">
        <f t="shared" si="51"/>
        <v>0</v>
      </c>
      <c r="R193" s="2347">
        <f t="shared" si="52"/>
        <v>0</v>
      </c>
      <c r="S193" s="10"/>
      <c r="T193" s="10"/>
      <c r="V193" s="10"/>
      <c r="W193" s="10"/>
      <c r="X193" s="10"/>
      <c r="Y193" s="10"/>
      <c r="Z193" s="10"/>
      <c r="AA193" s="10"/>
      <c r="AB193" s="10"/>
    </row>
    <row r="194" spans="1:28" ht="53.25" hidden="1" customHeight="1" x14ac:dyDescent="0.2">
      <c r="A194" s="4786"/>
      <c r="B194" s="2130" t="s">
        <v>297</v>
      </c>
      <c r="C194" s="3925"/>
      <c r="D194" s="3876" t="s">
        <v>549</v>
      </c>
      <c r="E194" s="2361" t="str">
        <f t="shared" ref="E194:E203" si="55">E17</f>
        <v>642020   Servicios de comunicación por medio de teléfono, telégrafo y téfex f"J</v>
      </c>
      <c r="F194" s="2607"/>
      <c r="G194" s="2212">
        <f>IF(F194=0,0,$F194*COEF!$J$27)</f>
        <v>0</v>
      </c>
      <c r="H194" s="2212">
        <f>IF(F194=0,0,$F194*COEF!$K$27)</f>
        <v>0</v>
      </c>
      <c r="I194" s="2212">
        <f>IF(F194=0,0,$F194*COEF!$L$27)</f>
        <v>0</v>
      </c>
      <c r="J194" s="2212">
        <f t="shared" si="50"/>
        <v>0</v>
      </c>
      <c r="K194" s="2607"/>
      <c r="L194" s="2212">
        <f t="shared" si="48"/>
        <v>0</v>
      </c>
      <c r="M194" s="2212">
        <f t="shared" si="48"/>
        <v>0</v>
      </c>
      <c r="N194" s="2212">
        <f t="shared" si="48"/>
        <v>0</v>
      </c>
      <c r="O194" s="2212">
        <f t="shared" si="51"/>
        <v>0</v>
      </c>
      <c r="P194" s="2212">
        <f t="shared" si="51"/>
        <v>0</v>
      </c>
      <c r="Q194" s="2212">
        <f t="shared" si="51"/>
        <v>0</v>
      </c>
      <c r="R194" s="2347">
        <f t="shared" si="52"/>
        <v>0</v>
      </c>
      <c r="S194" s="10"/>
      <c r="T194" s="10"/>
      <c r="U194" s="10"/>
      <c r="V194" s="10"/>
      <c r="W194" s="10"/>
      <c r="X194" s="10"/>
      <c r="Y194" s="10"/>
      <c r="Z194" s="10"/>
      <c r="AA194" s="10"/>
      <c r="AB194" s="10"/>
    </row>
    <row r="195" spans="1:28" ht="53.25" hidden="1" customHeight="1" x14ac:dyDescent="0.2">
      <c r="A195" s="4786"/>
      <c r="B195" s="2130"/>
      <c r="C195" s="3925"/>
      <c r="D195" s="3876"/>
      <c r="E195" s="2361" t="str">
        <f t="shared" si="55"/>
        <v>652130   Servicios de la banca minorista</v>
      </c>
      <c r="F195" s="2607"/>
      <c r="G195" s="2212">
        <f>IF(F195=0,0,$F195*COEF!$J$27)</f>
        <v>0</v>
      </c>
      <c r="H195" s="2212">
        <f>IF(F195=0,0,$F195*COEF!$K$27)</f>
        <v>0</v>
      </c>
      <c r="I195" s="2212">
        <f>IF(F195=0,0,$F195*COEF!$L$27)</f>
        <v>0</v>
      </c>
      <c r="J195" s="2212">
        <f t="shared" si="50"/>
        <v>0</v>
      </c>
      <c r="K195" s="2607"/>
      <c r="L195" s="2212">
        <f t="shared" si="48"/>
        <v>0</v>
      </c>
      <c r="M195" s="2212">
        <f t="shared" si="48"/>
        <v>0</v>
      </c>
      <c r="N195" s="2212">
        <f t="shared" si="48"/>
        <v>0</v>
      </c>
      <c r="O195" s="2212">
        <f t="shared" si="51"/>
        <v>0</v>
      </c>
      <c r="P195" s="2212">
        <f t="shared" si="51"/>
        <v>0</v>
      </c>
      <c r="Q195" s="2212">
        <f t="shared" si="51"/>
        <v>0</v>
      </c>
      <c r="R195" s="2347">
        <f t="shared" si="52"/>
        <v>0</v>
      </c>
      <c r="S195" s="10"/>
      <c r="T195" s="10"/>
      <c r="U195" s="10"/>
      <c r="V195" s="10"/>
      <c r="W195" s="10"/>
      <c r="X195" s="10"/>
      <c r="Y195" s="10"/>
      <c r="Z195" s="10"/>
      <c r="AA195" s="10"/>
      <c r="AB195" s="10"/>
    </row>
    <row r="196" spans="1:28" ht="53.25" hidden="1" customHeight="1" x14ac:dyDescent="0.2">
      <c r="A196" s="4786"/>
      <c r="B196" s="2130"/>
      <c r="C196" s="3925"/>
      <c r="D196" s="3876"/>
      <c r="E196" s="2361">
        <f t="shared" si="55"/>
        <v>0</v>
      </c>
      <c r="F196" s="2607"/>
      <c r="G196" s="2212">
        <f>IF(F196=0,0,$F196*COEF!$J$27)</f>
        <v>0</v>
      </c>
      <c r="H196" s="2212">
        <f>IF(F196=0,0,$F196*COEF!$K$27)</f>
        <v>0</v>
      </c>
      <c r="I196" s="2212">
        <f>IF(F196=0,0,$F196*COEF!$L$27)</f>
        <v>0</v>
      </c>
      <c r="J196" s="2212">
        <f t="shared" si="50"/>
        <v>0</v>
      </c>
      <c r="K196" s="2607"/>
      <c r="L196" s="2212">
        <f t="shared" si="48"/>
        <v>0</v>
      </c>
      <c r="M196" s="2212">
        <f t="shared" si="48"/>
        <v>0</v>
      </c>
      <c r="N196" s="2212">
        <f t="shared" si="48"/>
        <v>0</v>
      </c>
      <c r="O196" s="2212">
        <f t="shared" si="51"/>
        <v>0</v>
      </c>
      <c r="P196" s="2212">
        <f t="shared" si="51"/>
        <v>0</v>
      </c>
      <c r="Q196" s="2212">
        <f t="shared" si="51"/>
        <v>0</v>
      </c>
      <c r="R196" s="2347">
        <f t="shared" si="52"/>
        <v>0</v>
      </c>
      <c r="S196" s="10"/>
      <c r="T196" s="10"/>
      <c r="U196" s="10"/>
      <c r="V196" s="10"/>
      <c r="W196" s="10"/>
      <c r="X196" s="10"/>
      <c r="Y196" s="10"/>
      <c r="Z196" s="10"/>
      <c r="AA196" s="10"/>
      <c r="AB196" s="10"/>
    </row>
    <row r="197" spans="1:28" ht="53.25" hidden="1" customHeight="1" x14ac:dyDescent="0.2">
      <c r="A197" s="4786"/>
      <c r="B197" s="2130"/>
      <c r="C197" s="3925"/>
      <c r="D197" s="3876"/>
      <c r="E197" s="2361">
        <f t="shared" si="55"/>
        <v>0</v>
      </c>
      <c r="F197" s="2607"/>
      <c r="G197" s="2212">
        <f>IF(F197=0,0,$F197*COEF!$J$27)</f>
        <v>0</v>
      </c>
      <c r="H197" s="2212">
        <f>IF(F197=0,0,$F197*COEF!$K$27)</f>
        <v>0</v>
      </c>
      <c r="I197" s="2212">
        <f>IF(F197=0,0,$F197*COEF!$L$27)</f>
        <v>0</v>
      </c>
      <c r="J197" s="2212">
        <f t="shared" si="50"/>
        <v>0</v>
      </c>
      <c r="K197" s="2607"/>
      <c r="L197" s="2212">
        <f t="shared" si="48"/>
        <v>0</v>
      </c>
      <c r="M197" s="2212">
        <f t="shared" si="48"/>
        <v>0</v>
      </c>
      <c r="N197" s="2212">
        <f t="shared" si="48"/>
        <v>0</v>
      </c>
      <c r="O197" s="2212">
        <f t="shared" si="51"/>
        <v>0</v>
      </c>
      <c r="P197" s="2212">
        <f t="shared" si="51"/>
        <v>0</v>
      </c>
      <c r="Q197" s="2212">
        <f t="shared" si="51"/>
        <v>0</v>
      </c>
      <c r="R197" s="2347">
        <f t="shared" si="52"/>
        <v>0</v>
      </c>
      <c r="S197" s="10"/>
      <c r="T197" s="10"/>
      <c r="U197" s="10"/>
      <c r="V197" s="10"/>
      <c r="W197" s="10"/>
      <c r="X197" s="10"/>
      <c r="Y197" s="10"/>
      <c r="Z197" s="10"/>
      <c r="AA197" s="10"/>
      <c r="AB197" s="10"/>
    </row>
    <row r="198" spans="1:28" ht="53.25" hidden="1" customHeight="1" x14ac:dyDescent="0.2">
      <c r="A198" s="4786"/>
      <c r="B198" s="2130"/>
      <c r="C198" s="3925"/>
      <c r="D198" s="3876"/>
      <c r="E198" s="2361">
        <f t="shared" si="55"/>
        <v>0</v>
      </c>
      <c r="F198" s="2607"/>
      <c r="G198" s="2212">
        <f>IF(F198=0,0,$F198*COEF!$J$27)</f>
        <v>0</v>
      </c>
      <c r="H198" s="2212">
        <f>IF(F198=0,0,$F198*COEF!$K$27)</f>
        <v>0</v>
      </c>
      <c r="I198" s="2212">
        <f>IF(F198=0,0,$F198*COEF!$L$27)</f>
        <v>0</v>
      </c>
      <c r="J198" s="2212">
        <f t="shared" si="50"/>
        <v>0</v>
      </c>
      <c r="K198" s="2607"/>
      <c r="L198" s="2212">
        <f t="shared" si="48"/>
        <v>0</v>
      </c>
      <c r="M198" s="2212">
        <f t="shared" si="48"/>
        <v>0</v>
      </c>
      <c r="N198" s="2212">
        <f t="shared" si="48"/>
        <v>0</v>
      </c>
      <c r="O198" s="2212">
        <f t="shared" si="51"/>
        <v>0</v>
      </c>
      <c r="P198" s="2212">
        <f t="shared" si="51"/>
        <v>0</v>
      </c>
      <c r="Q198" s="2212">
        <f t="shared" si="51"/>
        <v>0</v>
      </c>
      <c r="R198" s="2347">
        <f t="shared" si="52"/>
        <v>0</v>
      </c>
      <c r="S198" s="10"/>
      <c r="T198" s="10"/>
      <c r="U198" s="10"/>
      <c r="V198" s="10"/>
      <c r="W198" s="10"/>
      <c r="X198" s="10"/>
      <c r="Y198" s="10"/>
      <c r="Z198" s="10"/>
      <c r="AA198" s="10"/>
      <c r="AB198" s="10"/>
    </row>
    <row r="199" spans="1:28" ht="53.25" hidden="1" customHeight="1" x14ac:dyDescent="0.2">
      <c r="A199" s="4786"/>
      <c r="B199" s="2130"/>
      <c r="C199" s="3925"/>
      <c r="D199" s="3876"/>
      <c r="E199" s="2361">
        <f t="shared" si="55"/>
        <v>0</v>
      </c>
      <c r="F199" s="2607"/>
      <c r="G199" s="2212">
        <f>IF(F199=0,0,$F199*COEF!$J$27)</f>
        <v>0</v>
      </c>
      <c r="H199" s="2212">
        <f>IF(F199=0,0,$F199*COEF!$K$27)</f>
        <v>0</v>
      </c>
      <c r="I199" s="2212">
        <f>IF(F199=0,0,$F199*COEF!$L$27)</f>
        <v>0</v>
      </c>
      <c r="J199" s="2212">
        <f t="shared" si="50"/>
        <v>0</v>
      </c>
      <c r="K199" s="2607"/>
      <c r="L199" s="2212">
        <f t="shared" si="48"/>
        <v>0</v>
      </c>
      <c r="M199" s="2212">
        <f t="shared" si="48"/>
        <v>0</v>
      </c>
      <c r="N199" s="2212">
        <f t="shared" si="48"/>
        <v>0</v>
      </c>
      <c r="O199" s="2212">
        <f t="shared" si="51"/>
        <v>0</v>
      </c>
      <c r="P199" s="2212">
        <f t="shared" si="51"/>
        <v>0</v>
      </c>
      <c r="Q199" s="2212">
        <f t="shared" si="51"/>
        <v>0</v>
      </c>
      <c r="R199" s="2347">
        <f t="shared" si="52"/>
        <v>0</v>
      </c>
      <c r="S199" s="10"/>
      <c r="T199" s="10"/>
      <c r="U199" s="10"/>
      <c r="V199" s="10"/>
      <c r="W199" s="10"/>
      <c r="X199" s="10"/>
      <c r="Y199" s="10"/>
      <c r="Z199" s="10"/>
      <c r="AA199" s="10"/>
      <c r="AB199" s="10"/>
    </row>
    <row r="200" spans="1:28" ht="53.25" hidden="1" customHeight="1" x14ac:dyDescent="0.2">
      <c r="A200" s="4786"/>
      <c r="B200" s="2130"/>
      <c r="C200" s="3925"/>
      <c r="D200" s="3876"/>
      <c r="E200" s="2361">
        <f t="shared" si="55"/>
        <v>0</v>
      </c>
      <c r="F200" s="2607"/>
      <c r="G200" s="2212">
        <f>IF(F200=0,0,$F200*COEF!$J$27)</f>
        <v>0</v>
      </c>
      <c r="H200" s="2212">
        <f>IF(F200=0,0,$F200*COEF!$K$27)</f>
        <v>0</v>
      </c>
      <c r="I200" s="2212">
        <f>IF(F200=0,0,$F200*COEF!$L$27)</f>
        <v>0</v>
      </c>
      <c r="J200" s="2212">
        <f t="shared" si="50"/>
        <v>0</v>
      </c>
      <c r="K200" s="2607"/>
      <c r="L200" s="2212">
        <f t="shared" si="48"/>
        <v>0</v>
      </c>
      <c r="M200" s="2212">
        <f t="shared" si="48"/>
        <v>0</v>
      </c>
      <c r="N200" s="2212">
        <f t="shared" si="48"/>
        <v>0</v>
      </c>
      <c r="O200" s="2212">
        <f t="shared" si="51"/>
        <v>0</v>
      </c>
      <c r="P200" s="2212">
        <f t="shared" si="51"/>
        <v>0</v>
      </c>
      <c r="Q200" s="2212">
        <f t="shared" si="51"/>
        <v>0</v>
      </c>
      <c r="R200" s="2347">
        <f t="shared" si="52"/>
        <v>0</v>
      </c>
      <c r="S200" s="10"/>
      <c r="T200" s="10"/>
      <c r="U200" s="10"/>
      <c r="V200" s="10"/>
      <c r="W200" s="10"/>
      <c r="X200" s="10"/>
      <c r="Y200" s="10"/>
      <c r="Z200" s="10"/>
      <c r="AA200" s="10"/>
      <c r="AB200" s="10"/>
    </row>
    <row r="201" spans="1:28" ht="53.25" hidden="1" customHeight="1" x14ac:dyDescent="0.2">
      <c r="A201" s="4786"/>
      <c r="B201" s="2130"/>
      <c r="C201" s="3925"/>
      <c r="D201" s="3876"/>
      <c r="E201" s="2361">
        <f t="shared" si="55"/>
        <v>0</v>
      </c>
      <c r="F201" s="2607"/>
      <c r="G201" s="2212">
        <f>IF(F201=0,0,$F201*COEF!$J$27)</f>
        <v>0</v>
      </c>
      <c r="H201" s="2212">
        <f>IF(F201=0,0,$F201*COEF!$K$27)</f>
        <v>0</v>
      </c>
      <c r="I201" s="2212">
        <f>IF(F201=0,0,$F201*COEF!$L$27)</f>
        <v>0</v>
      </c>
      <c r="J201" s="2212">
        <f t="shared" si="50"/>
        <v>0</v>
      </c>
      <c r="K201" s="2607"/>
      <c r="L201" s="2212">
        <f t="shared" si="48"/>
        <v>0</v>
      </c>
      <c r="M201" s="2212">
        <f t="shared" si="48"/>
        <v>0</v>
      </c>
      <c r="N201" s="2212">
        <f t="shared" si="48"/>
        <v>0</v>
      </c>
      <c r="O201" s="2212">
        <f t="shared" si="51"/>
        <v>0</v>
      </c>
      <c r="P201" s="2212">
        <f t="shared" si="51"/>
        <v>0</v>
      </c>
      <c r="Q201" s="2212">
        <f t="shared" si="51"/>
        <v>0</v>
      </c>
      <c r="R201" s="2347">
        <f t="shared" si="52"/>
        <v>0</v>
      </c>
      <c r="S201" s="10"/>
      <c r="T201" s="10"/>
      <c r="U201" s="10"/>
      <c r="V201" s="10"/>
      <c r="W201" s="10"/>
      <c r="X201" s="10"/>
      <c r="Y201" s="10"/>
      <c r="Z201" s="10"/>
      <c r="AA201" s="10"/>
      <c r="AB201" s="10"/>
    </row>
    <row r="202" spans="1:28" ht="53.25" hidden="1" customHeight="1" x14ac:dyDescent="0.2">
      <c r="A202" s="4786"/>
      <c r="B202" s="2130"/>
      <c r="C202" s="3925"/>
      <c r="D202" s="3876"/>
      <c r="E202" s="2361">
        <f t="shared" si="55"/>
        <v>0</v>
      </c>
      <c r="F202" s="2607"/>
      <c r="G202" s="2212">
        <f>IF(F202=0,0,$F202*COEF!$J$27)</f>
        <v>0</v>
      </c>
      <c r="H202" s="2212">
        <f>IF(F202=0,0,$F202*COEF!$K$27)</f>
        <v>0</v>
      </c>
      <c r="I202" s="2212">
        <f>IF(F202=0,0,$F202*COEF!$L$27)</f>
        <v>0</v>
      </c>
      <c r="J202" s="2212">
        <f t="shared" si="50"/>
        <v>0</v>
      </c>
      <c r="K202" s="2607"/>
      <c r="L202" s="2212">
        <f t="shared" si="48"/>
        <v>0</v>
      </c>
      <c r="M202" s="2212">
        <f t="shared" si="48"/>
        <v>0</v>
      </c>
      <c r="N202" s="2212">
        <f t="shared" si="48"/>
        <v>0</v>
      </c>
      <c r="O202" s="2212">
        <f t="shared" si="51"/>
        <v>0</v>
      </c>
      <c r="P202" s="2212">
        <f t="shared" si="51"/>
        <v>0</v>
      </c>
      <c r="Q202" s="2212">
        <f t="shared" si="51"/>
        <v>0</v>
      </c>
      <c r="R202" s="2347">
        <f t="shared" si="52"/>
        <v>0</v>
      </c>
      <c r="S202" s="10"/>
      <c r="T202" s="10"/>
      <c r="U202" s="10"/>
      <c r="V202" s="10"/>
      <c r="W202" s="10"/>
      <c r="X202" s="10"/>
      <c r="Y202" s="10"/>
      <c r="Z202" s="10"/>
      <c r="AA202" s="10"/>
      <c r="AB202" s="10"/>
    </row>
    <row r="203" spans="1:28" ht="53.25" hidden="1" customHeight="1" x14ac:dyDescent="0.2">
      <c r="A203" s="4786"/>
      <c r="B203" s="2130"/>
      <c r="C203" s="3925"/>
      <c r="D203" s="3876"/>
      <c r="E203" s="2361">
        <f t="shared" si="55"/>
        <v>0</v>
      </c>
      <c r="F203" s="2607"/>
      <c r="G203" s="2212">
        <f>IF(F203=0,0,$F203*COEF!$J$27)</f>
        <v>0</v>
      </c>
      <c r="H203" s="2212">
        <f>IF(F203=0,0,$F203*COEF!$K$27)</f>
        <v>0</v>
      </c>
      <c r="I203" s="2212">
        <f>IF(F203=0,0,$F203*COEF!$L$27)</f>
        <v>0</v>
      </c>
      <c r="J203" s="2212">
        <f t="shared" si="50"/>
        <v>0</v>
      </c>
      <c r="K203" s="2607"/>
      <c r="L203" s="2212">
        <f t="shared" si="48"/>
        <v>0</v>
      </c>
      <c r="M203" s="2212">
        <f t="shared" si="48"/>
        <v>0</v>
      </c>
      <c r="N203" s="2212">
        <f t="shared" si="48"/>
        <v>0</v>
      </c>
      <c r="O203" s="2212">
        <f t="shared" si="51"/>
        <v>0</v>
      </c>
      <c r="P203" s="2212">
        <f t="shared" si="51"/>
        <v>0</v>
      </c>
      <c r="Q203" s="2212">
        <f t="shared" si="51"/>
        <v>0</v>
      </c>
      <c r="R203" s="2347">
        <f t="shared" si="52"/>
        <v>0</v>
      </c>
      <c r="S203" s="10"/>
      <c r="T203" s="10"/>
      <c r="U203" s="10"/>
      <c r="V203" s="10"/>
      <c r="W203" s="10"/>
      <c r="X203" s="10"/>
      <c r="Y203" s="10"/>
      <c r="Z203" s="10"/>
      <c r="AA203" s="10"/>
      <c r="AB203" s="10"/>
    </row>
    <row r="204" spans="1:28" ht="51.75" customHeight="1" x14ac:dyDescent="0.2">
      <c r="A204" s="4786"/>
      <c r="B204" s="713" t="s">
        <v>137</v>
      </c>
      <c r="C204" s="3925"/>
      <c r="D204" s="3876" t="s">
        <v>138</v>
      </c>
      <c r="E204" s="3876"/>
      <c r="F204" s="2606">
        <f>+'Compra -HOJA1'!F51</f>
        <v>0</v>
      </c>
      <c r="G204" s="2212">
        <f>IF(F204=0,0,$F204*COEF!$J$27)</f>
        <v>0</v>
      </c>
      <c r="H204" s="2212">
        <f>IF(F204=0,0,$F204*COEF!$K$27)</f>
        <v>0</v>
      </c>
      <c r="I204" s="2212">
        <f>IF(F204=0,0,$F204*COEF!$L$27)</f>
        <v>0</v>
      </c>
      <c r="J204" s="2209">
        <f>IF(F204=0,0,IF((F204/K204)&gt;=9000,"ERROR",IF((F204/K204)&lt;=3000,"ERROR",(F204/3000)*10)))</f>
        <v>0</v>
      </c>
      <c r="K204" s="2607">
        <f>+'Compra -HOJA1'!K51</f>
        <v>0</v>
      </c>
      <c r="L204" s="2212">
        <f t="shared" si="48"/>
        <v>0</v>
      </c>
      <c r="M204" s="2212">
        <f t="shared" si="48"/>
        <v>0</v>
      </c>
      <c r="N204" s="2212">
        <f t="shared" si="48"/>
        <v>0</v>
      </c>
      <c r="O204" s="2212">
        <f t="shared" si="51"/>
        <v>0</v>
      </c>
      <c r="P204" s="2212">
        <f t="shared" si="51"/>
        <v>0</v>
      </c>
      <c r="Q204" s="2212">
        <f t="shared" si="51"/>
        <v>0</v>
      </c>
      <c r="R204" s="2347">
        <f t="shared" si="52"/>
        <v>0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</row>
    <row r="205" spans="1:28" ht="53.25" hidden="1" customHeight="1" x14ac:dyDescent="0.2">
      <c r="A205" s="4786"/>
      <c r="B205" s="2130" t="s">
        <v>550</v>
      </c>
      <c r="C205" s="3925"/>
      <c r="D205" s="3876" t="s">
        <v>551</v>
      </c>
      <c r="E205" s="2361" t="str">
        <f t="shared" ref="E205:E214" si="56">E17</f>
        <v>642020   Servicios de comunicación por medio de teléfono, telégrafo y téfex f"J</v>
      </c>
      <c r="F205" s="2607"/>
      <c r="G205" s="2212">
        <f>IF(F205=0,0,$F205*COEF!$J$27)</f>
        <v>0</v>
      </c>
      <c r="H205" s="2212">
        <f>IF(F205=0,0,$F205*COEF!$K$27)</f>
        <v>0</v>
      </c>
      <c r="I205" s="2212">
        <f>IF(F205=0,0,$F205*COEF!$L$27)</f>
        <v>0</v>
      </c>
      <c r="J205" s="2212">
        <f t="shared" si="50"/>
        <v>0</v>
      </c>
      <c r="K205" s="2607"/>
      <c r="L205" s="2212">
        <f t="shared" si="48"/>
        <v>0</v>
      </c>
      <c r="M205" s="2212">
        <f t="shared" si="48"/>
        <v>0</v>
      </c>
      <c r="N205" s="2212">
        <f t="shared" si="48"/>
        <v>0</v>
      </c>
      <c r="O205" s="2212">
        <f t="shared" si="51"/>
        <v>0</v>
      </c>
      <c r="P205" s="2212">
        <f t="shared" si="51"/>
        <v>0</v>
      </c>
      <c r="Q205" s="2212">
        <f t="shared" si="51"/>
        <v>0</v>
      </c>
      <c r="R205" s="2347">
        <f t="shared" si="52"/>
        <v>0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</row>
    <row r="206" spans="1:28" ht="53.25" hidden="1" customHeight="1" x14ac:dyDescent="0.2">
      <c r="A206" s="4786"/>
      <c r="B206" s="2130"/>
      <c r="C206" s="3925"/>
      <c r="D206" s="3876"/>
      <c r="E206" s="2361" t="str">
        <f t="shared" si="56"/>
        <v>652130   Servicios de la banca minorista</v>
      </c>
      <c r="F206" s="2607"/>
      <c r="G206" s="2212">
        <f>IF(F206=0,0,$F206*COEF!$J$27)</f>
        <v>0</v>
      </c>
      <c r="H206" s="2212">
        <f>IF(F206=0,0,$F206*COEF!$K$27)</f>
        <v>0</v>
      </c>
      <c r="I206" s="2212">
        <f>IF(F206=0,0,$F206*COEF!$L$27)</f>
        <v>0</v>
      </c>
      <c r="J206" s="2212">
        <f t="shared" si="50"/>
        <v>0</v>
      </c>
      <c r="K206" s="2607"/>
      <c r="L206" s="2212">
        <f t="shared" si="48"/>
        <v>0</v>
      </c>
      <c r="M206" s="2212">
        <f t="shared" si="48"/>
        <v>0</v>
      </c>
      <c r="N206" s="2212">
        <f t="shared" si="48"/>
        <v>0</v>
      </c>
      <c r="O206" s="2212">
        <f t="shared" si="51"/>
        <v>0</v>
      </c>
      <c r="P206" s="2212">
        <f t="shared" si="51"/>
        <v>0</v>
      </c>
      <c r="Q206" s="2212">
        <f t="shared" si="51"/>
        <v>0</v>
      </c>
      <c r="R206" s="2347">
        <f t="shared" si="52"/>
        <v>0</v>
      </c>
      <c r="S206" s="10"/>
      <c r="T206" s="10"/>
      <c r="U206" s="10"/>
      <c r="V206" s="10"/>
      <c r="W206" s="10"/>
      <c r="X206" s="10"/>
      <c r="Y206" s="10"/>
      <c r="Z206" s="10"/>
      <c r="AA206" s="10"/>
      <c r="AB206" s="10"/>
    </row>
    <row r="207" spans="1:28" ht="53.25" hidden="1" customHeight="1" x14ac:dyDescent="0.2">
      <c r="A207" s="4786"/>
      <c r="B207" s="2130"/>
      <c r="C207" s="3925"/>
      <c r="D207" s="3876"/>
      <c r="E207" s="2361">
        <f t="shared" si="56"/>
        <v>0</v>
      </c>
      <c r="F207" s="2607"/>
      <c r="G207" s="2212">
        <f>IF(F207=0,0,$F207*COEF!$J$27)</f>
        <v>0</v>
      </c>
      <c r="H207" s="2212">
        <f>IF(F207=0,0,$F207*COEF!$K$27)</f>
        <v>0</v>
      </c>
      <c r="I207" s="2212">
        <f>IF(F207=0,0,$F207*COEF!$L$27)</f>
        <v>0</v>
      </c>
      <c r="J207" s="2212">
        <f t="shared" si="50"/>
        <v>0</v>
      </c>
      <c r="K207" s="2607"/>
      <c r="L207" s="2212">
        <f t="shared" si="48"/>
        <v>0</v>
      </c>
      <c r="M207" s="2212">
        <f t="shared" si="48"/>
        <v>0</v>
      </c>
      <c r="N207" s="2212">
        <f t="shared" si="48"/>
        <v>0</v>
      </c>
      <c r="O207" s="2212">
        <f t="shared" si="51"/>
        <v>0</v>
      </c>
      <c r="P207" s="2212">
        <f t="shared" si="51"/>
        <v>0</v>
      </c>
      <c r="Q207" s="2212">
        <f t="shared" si="51"/>
        <v>0</v>
      </c>
      <c r="R207" s="2347">
        <f t="shared" si="52"/>
        <v>0</v>
      </c>
      <c r="S207" s="10"/>
      <c r="T207" s="10"/>
      <c r="U207" s="10"/>
      <c r="V207" s="10"/>
      <c r="W207" s="10"/>
      <c r="X207" s="10"/>
      <c r="Y207" s="10"/>
      <c r="Z207" s="10"/>
      <c r="AA207" s="10"/>
      <c r="AB207" s="10"/>
    </row>
    <row r="208" spans="1:28" ht="53.25" hidden="1" customHeight="1" x14ac:dyDescent="0.2">
      <c r="A208" s="4786"/>
      <c r="B208" s="2130"/>
      <c r="C208" s="3925"/>
      <c r="D208" s="3876"/>
      <c r="E208" s="2361">
        <f t="shared" si="56"/>
        <v>0</v>
      </c>
      <c r="F208" s="2607"/>
      <c r="G208" s="2212">
        <f>IF(F208=0,0,$F208*COEF!$J$27)</f>
        <v>0</v>
      </c>
      <c r="H208" s="2212">
        <f>IF(F208=0,0,$F208*COEF!$K$27)</f>
        <v>0</v>
      </c>
      <c r="I208" s="2212">
        <f>IF(F208=0,0,$F208*COEF!$L$27)</f>
        <v>0</v>
      </c>
      <c r="J208" s="2212">
        <f t="shared" si="50"/>
        <v>0</v>
      </c>
      <c r="K208" s="2607"/>
      <c r="L208" s="2212">
        <f t="shared" si="48"/>
        <v>0</v>
      </c>
      <c r="M208" s="2212">
        <f t="shared" si="48"/>
        <v>0</v>
      </c>
      <c r="N208" s="2212">
        <f t="shared" si="48"/>
        <v>0</v>
      </c>
      <c r="O208" s="2212">
        <f t="shared" si="51"/>
        <v>0</v>
      </c>
      <c r="P208" s="2212">
        <f t="shared" si="51"/>
        <v>0</v>
      </c>
      <c r="Q208" s="2212">
        <f t="shared" si="51"/>
        <v>0</v>
      </c>
      <c r="R208" s="2347">
        <f t="shared" si="52"/>
        <v>0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</row>
    <row r="209" spans="1:63" ht="53.25" hidden="1" customHeight="1" x14ac:dyDescent="0.2">
      <c r="A209" s="4786"/>
      <c r="B209" s="2130"/>
      <c r="C209" s="3925"/>
      <c r="D209" s="3876"/>
      <c r="E209" s="2361">
        <f t="shared" si="56"/>
        <v>0</v>
      </c>
      <c r="F209" s="2607"/>
      <c r="G209" s="2212">
        <f>IF(F209=0,0,$F209*COEF!$J$27)</f>
        <v>0</v>
      </c>
      <c r="H209" s="2212">
        <f>IF(F209=0,0,$F209*COEF!$K$27)</f>
        <v>0</v>
      </c>
      <c r="I209" s="2212">
        <f>IF(F209=0,0,$F209*COEF!$L$27)</f>
        <v>0</v>
      </c>
      <c r="J209" s="2212">
        <f t="shared" si="50"/>
        <v>0</v>
      </c>
      <c r="K209" s="2607"/>
      <c r="L209" s="2212">
        <f t="shared" si="48"/>
        <v>0</v>
      </c>
      <c r="M209" s="2212">
        <f t="shared" si="48"/>
        <v>0</v>
      </c>
      <c r="N209" s="2212">
        <f t="shared" si="48"/>
        <v>0</v>
      </c>
      <c r="O209" s="2212">
        <f t="shared" si="51"/>
        <v>0</v>
      </c>
      <c r="P209" s="2212">
        <f t="shared" si="51"/>
        <v>0</v>
      </c>
      <c r="Q209" s="2212">
        <f t="shared" si="51"/>
        <v>0</v>
      </c>
      <c r="R209" s="2347">
        <f t="shared" si="52"/>
        <v>0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</row>
    <row r="210" spans="1:63" ht="53.25" hidden="1" customHeight="1" x14ac:dyDescent="0.2">
      <c r="A210" s="4786"/>
      <c r="B210" s="2130"/>
      <c r="C210" s="3925"/>
      <c r="D210" s="3876"/>
      <c r="E210" s="2361">
        <f t="shared" si="56"/>
        <v>0</v>
      </c>
      <c r="F210" s="2607"/>
      <c r="G210" s="2212">
        <f>IF(F210=0,0,$F210*COEF!$J$27)</f>
        <v>0</v>
      </c>
      <c r="H210" s="2212">
        <f>IF(F210=0,0,$F210*COEF!$K$27)</f>
        <v>0</v>
      </c>
      <c r="I210" s="2212">
        <f>IF(F210=0,0,$F210*COEF!$L$27)</f>
        <v>0</v>
      </c>
      <c r="J210" s="2212">
        <f t="shared" si="50"/>
        <v>0</v>
      </c>
      <c r="K210" s="2607"/>
      <c r="L210" s="2212">
        <f t="shared" si="48"/>
        <v>0</v>
      </c>
      <c r="M210" s="2212">
        <f t="shared" si="48"/>
        <v>0</v>
      </c>
      <c r="N210" s="2212">
        <f t="shared" si="48"/>
        <v>0</v>
      </c>
      <c r="O210" s="2212">
        <f t="shared" si="51"/>
        <v>0</v>
      </c>
      <c r="P210" s="2212">
        <f t="shared" si="51"/>
        <v>0</v>
      </c>
      <c r="Q210" s="2212">
        <f t="shared" si="51"/>
        <v>0</v>
      </c>
      <c r="R210" s="2347">
        <f t="shared" si="52"/>
        <v>0</v>
      </c>
      <c r="S210" s="10"/>
      <c r="T210" s="10"/>
      <c r="U210" s="10"/>
      <c r="V210" s="10"/>
      <c r="W210" s="10"/>
      <c r="X210" s="10"/>
      <c r="Y210" s="10"/>
      <c r="Z210" s="10"/>
      <c r="AA210" s="10"/>
      <c r="AB210" s="10"/>
    </row>
    <row r="211" spans="1:63" ht="53.25" hidden="1" customHeight="1" x14ac:dyDescent="0.2">
      <c r="A211" s="4786"/>
      <c r="B211" s="2130"/>
      <c r="C211" s="3925"/>
      <c r="D211" s="3876"/>
      <c r="E211" s="2361">
        <f t="shared" si="56"/>
        <v>0</v>
      </c>
      <c r="F211" s="2607"/>
      <c r="G211" s="2212">
        <f>IF(F211=0,0,$F211*COEF!$J$27)</f>
        <v>0</v>
      </c>
      <c r="H211" s="2212">
        <f>IF(F211=0,0,$F211*COEF!$K$27)</f>
        <v>0</v>
      </c>
      <c r="I211" s="2212">
        <f>IF(F211=0,0,$F211*COEF!$L$27)</f>
        <v>0</v>
      </c>
      <c r="J211" s="2212">
        <f t="shared" si="50"/>
        <v>0</v>
      </c>
      <c r="K211" s="2607"/>
      <c r="L211" s="2212">
        <f t="shared" si="48"/>
        <v>0</v>
      </c>
      <c r="M211" s="2212">
        <f t="shared" si="48"/>
        <v>0</v>
      </c>
      <c r="N211" s="2212">
        <f t="shared" si="48"/>
        <v>0</v>
      </c>
      <c r="O211" s="2212">
        <f t="shared" si="51"/>
        <v>0</v>
      </c>
      <c r="P211" s="2212">
        <f t="shared" si="51"/>
        <v>0</v>
      </c>
      <c r="Q211" s="2212">
        <f t="shared" si="51"/>
        <v>0</v>
      </c>
      <c r="R211" s="2347">
        <f t="shared" si="52"/>
        <v>0</v>
      </c>
      <c r="S211" s="10"/>
      <c r="T211" s="10"/>
      <c r="U211" s="10"/>
      <c r="V211" s="10"/>
      <c r="W211" s="10"/>
      <c r="X211" s="10"/>
      <c r="Y211" s="10"/>
      <c r="Z211" s="10"/>
      <c r="AA211" s="10"/>
      <c r="AB211" s="10"/>
    </row>
    <row r="212" spans="1:63" ht="53.25" hidden="1" customHeight="1" x14ac:dyDescent="0.2">
      <c r="A212" s="4786"/>
      <c r="B212" s="2130"/>
      <c r="C212" s="3925"/>
      <c r="D212" s="3876"/>
      <c r="E212" s="2361">
        <f t="shared" si="56"/>
        <v>0</v>
      </c>
      <c r="F212" s="2607"/>
      <c r="G212" s="2212">
        <f>IF(F212=0,0,$F212*COEF!$J$27)</f>
        <v>0</v>
      </c>
      <c r="H212" s="2212">
        <f>IF(F212=0,0,$F212*COEF!$K$27)</f>
        <v>0</v>
      </c>
      <c r="I212" s="2212">
        <f>IF(F212=0,0,$F212*COEF!$L$27)</f>
        <v>0</v>
      </c>
      <c r="J212" s="2212">
        <f t="shared" si="50"/>
        <v>0</v>
      </c>
      <c r="K212" s="2607"/>
      <c r="L212" s="2212">
        <f t="shared" si="48"/>
        <v>0</v>
      </c>
      <c r="M212" s="2212">
        <f t="shared" si="48"/>
        <v>0</v>
      </c>
      <c r="N212" s="2212">
        <f t="shared" si="48"/>
        <v>0</v>
      </c>
      <c r="O212" s="2212">
        <f t="shared" si="51"/>
        <v>0</v>
      </c>
      <c r="P212" s="2212">
        <f t="shared" si="51"/>
        <v>0</v>
      </c>
      <c r="Q212" s="2212">
        <f t="shared" si="51"/>
        <v>0</v>
      </c>
      <c r="R212" s="2347">
        <f t="shared" si="52"/>
        <v>0</v>
      </c>
      <c r="S212" s="10"/>
      <c r="T212" s="10"/>
      <c r="U212" s="10"/>
      <c r="V212" s="10"/>
      <c r="W212" s="10"/>
      <c r="X212" s="10"/>
      <c r="Y212" s="10"/>
      <c r="Z212" s="10"/>
      <c r="AA212" s="10"/>
      <c r="AB212" s="10"/>
    </row>
    <row r="213" spans="1:63" ht="53.25" hidden="1" customHeight="1" x14ac:dyDescent="0.2">
      <c r="A213" s="4786"/>
      <c r="B213" s="2130"/>
      <c r="C213" s="3925"/>
      <c r="D213" s="3876"/>
      <c r="E213" s="2361">
        <f t="shared" si="56"/>
        <v>0</v>
      </c>
      <c r="F213" s="2607"/>
      <c r="G213" s="2212">
        <f>IF(F213=0,0,$F213*COEF!$J$27)</f>
        <v>0</v>
      </c>
      <c r="H213" s="2212">
        <f>IF(F213=0,0,$F213*COEF!$K$27)</f>
        <v>0</v>
      </c>
      <c r="I213" s="2212">
        <f>IF(F213=0,0,$F213*COEF!$L$27)</f>
        <v>0</v>
      </c>
      <c r="J213" s="2212">
        <f t="shared" si="50"/>
        <v>0</v>
      </c>
      <c r="K213" s="2607"/>
      <c r="L213" s="2212">
        <f t="shared" si="48"/>
        <v>0</v>
      </c>
      <c r="M213" s="2212">
        <f t="shared" si="48"/>
        <v>0</v>
      </c>
      <c r="N213" s="2212">
        <f t="shared" si="48"/>
        <v>0</v>
      </c>
      <c r="O213" s="2212">
        <f t="shared" si="51"/>
        <v>0</v>
      </c>
      <c r="P213" s="2212">
        <f t="shared" si="51"/>
        <v>0</v>
      </c>
      <c r="Q213" s="2212">
        <f t="shared" si="51"/>
        <v>0</v>
      </c>
      <c r="R213" s="2347">
        <f t="shared" si="52"/>
        <v>0</v>
      </c>
      <c r="S213" s="10"/>
      <c r="T213" s="10"/>
      <c r="U213" s="10"/>
      <c r="V213" s="10"/>
      <c r="W213" s="10"/>
      <c r="X213" s="10"/>
      <c r="Y213" s="10"/>
      <c r="Z213" s="10"/>
      <c r="AA213" s="10"/>
      <c r="AB213" s="10"/>
    </row>
    <row r="214" spans="1:63" ht="53.25" hidden="1" customHeight="1" x14ac:dyDescent="0.2">
      <c r="A214" s="4786"/>
      <c r="B214" s="2130"/>
      <c r="C214" s="3925"/>
      <c r="D214" s="3876"/>
      <c r="E214" s="2361">
        <f t="shared" si="56"/>
        <v>0</v>
      </c>
      <c r="F214" s="2607"/>
      <c r="G214" s="2212">
        <f>IF(F214=0,0,$F214*COEF!$J$27)</f>
        <v>0</v>
      </c>
      <c r="H214" s="2212">
        <f>IF(F214=0,0,$F214*COEF!$K$27)</f>
        <v>0</v>
      </c>
      <c r="I214" s="2212">
        <f>IF(F214=0,0,$F214*COEF!$L$27)</f>
        <v>0</v>
      </c>
      <c r="J214" s="2212">
        <f t="shared" si="50"/>
        <v>0</v>
      </c>
      <c r="K214" s="2607"/>
      <c r="L214" s="2212">
        <f t="shared" si="48"/>
        <v>0</v>
      </c>
      <c r="M214" s="2212">
        <f t="shared" si="48"/>
        <v>0</v>
      </c>
      <c r="N214" s="2212">
        <f t="shared" si="48"/>
        <v>0</v>
      </c>
      <c r="O214" s="2212">
        <f t="shared" si="51"/>
        <v>0</v>
      </c>
      <c r="P214" s="2212">
        <f t="shared" si="51"/>
        <v>0</v>
      </c>
      <c r="Q214" s="2212">
        <f t="shared" si="51"/>
        <v>0</v>
      </c>
      <c r="R214" s="2347">
        <f t="shared" si="52"/>
        <v>0</v>
      </c>
      <c r="S214" s="10"/>
      <c r="T214" s="10"/>
      <c r="U214" s="10"/>
      <c r="V214" s="10"/>
      <c r="W214" s="10"/>
      <c r="X214" s="10"/>
      <c r="Y214" s="10"/>
      <c r="Z214" s="10"/>
      <c r="AA214" s="10"/>
      <c r="AB214" s="10"/>
    </row>
    <row r="215" spans="1:63" ht="53.25" customHeight="1" x14ac:dyDescent="0.2">
      <c r="A215" s="4786"/>
      <c r="B215" s="2130"/>
      <c r="C215" s="3925"/>
      <c r="D215" s="4781" t="s">
        <v>535</v>
      </c>
      <c r="E215" s="4782"/>
      <c r="F215" s="2606" t="e">
        <f>+'Compra -HOJA1'!#REF!</f>
        <v>#REF!</v>
      </c>
      <c r="G215" s="2212" t="e">
        <f>IF(F215=0,0,$F215*COEF!$J$27)</f>
        <v>#REF!</v>
      </c>
      <c r="H215" s="2212" t="e">
        <f>IF(F215=0,0,$F215*COEF!$K$27)</f>
        <v>#REF!</v>
      </c>
      <c r="I215" s="2212" t="e">
        <f>IF(F215=0,0,$F215*COEF!$L$27)</f>
        <v>#REF!</v>
      </c>
      <c r="J215" s="2209" t="e">
        <f>IF(F215=0,0,IF((F215/K215)&gt;=9000,"ERROR",IF((F215/K215)&lt;=3000,"ERROR",(F215/3000)*10)))</f>
        <v>#REF!</v>
      </c>
      <c r="K215" s="2607" t="e">
        <f>+'Compra -HOJA1'!#REF!</f>
        <v>#REF!</v>
      </c>
      <c r="L215" s="2212" t="e">
        <f t="shared" si="48"/>
        <v>#REF!</v>
      </c>
      <c r="M215" s="2212" t="e">
        <f t="shared" si="48"/>
        <v>#REF!</v>
      </c>
      <c r="N215" s="2212" t="e">
        <f t="shared" si="48"/>
        <v>#REF!</v>
      </c>
      <c r="O215" s="2212" t="e">
        <f t="shared" si="51"/>
        <v>#REF!</v>
      </c>
      <c r="P215" s="2212" t="e">
        <f t="shared" si="51"/>
        <v>#REF!</v>
      </c>
      <c r="Q215" s="2212" t="e">
        <f t="shared" si="51"/>
        <v>#REF!</v>
      </c>
      <c r="R215" s="2347" t="e">
        <f t="shared" si="52"/>
        <v>#REF!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</row>
    <row r="216" spans="1:63" ht="51.75" customHeight="1" x14ac:dyDescent="0.2">
      <c r="A216" s="4786"/>
      <c r="B216" s="2136" t="s">
        <v>139</v>
      </c>
      <c r="C216" s="3925"/>
      <c r="D216" s="3876" t="s">
        <v>140</v>
      </c>
      <c r="E216" s="3876"/>
      <c r="F216" s="2607">
        <f>+'Compra -HOJA1'!F52</f>
        <v>0</v>
      </c>
      <c r="G216" s="2212">
        <f>IF(F216=0,0,$F216*COEF!$J$27)</f>
        <v>0</v>
      </c>
      <c r="H216" s="2212">
        <f>IF(F216=0,0,$F216*COEF!$K$27)</f>
        <v>0</v>
      </c>
      <c r="I216" s="2212">
        <f>IF(F216=0,0,$F216*COEF!$L$27)</f>
        <v>0</v>
      </c>
      <c r="J216" s="2209">
        <f>IF(F216=0,0,IF((F216/K216)&gt;=9000,"ERROR",IF((F216/K216)&lt;=3000,"ERROR",(F216/3000)*10)))</f>
        <v>0</v>
      </c>
      <c r="K216" s="2607">
        <f>+'Compra -HOJA1'!K52</f>
        <v>0</v>
      </c>
      <c r="L216" s="2212">
        <f t="shared" si="48"/>
        <v>0</v>
      </c>
      <c r="M216" s="2212">
        <f t="shared" si="48"/>
        <v>0</v>
      </c>
      <c r="N216" s="2212">
        <f t="shared" si="48"/>
        <v>0</v>
      </c>
      <c r="O216" s="2212">
        <f t="shared" si="51"/>
        <v>0</v>
      </c>
      <c r="P216" s="2212">
        <f t="shared" si="51"/>
        <v>0</v>
      </c>
      <c r="Q216" s="2212">
        <f t="shared" si="51"/>
        <v>0</v>
      </c>
      <c r="R216" s="2347">
        <f t="shared" si="52"/>
        <v>0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</row>
    <row r="217" spans="1:63" ht="41.25" hidden="1" customHeight="1" x14ac:dyDescent="0.2">
      <c r="A217" s="4786"/>
      <c r="B217" s="2130" t="s">
        <v>552</v>
      </c>
      <c r="C217" s="3925"/>
      <c r="D217" s="2362" t="s">
        <v>536</v>
      </c>
      <c r="E217" s="2362"/>
      <c r="F217" s="710"/>
      <c r="G217" s="2212">
        <f>IF(F217=0,0,$F217*COEF!$J$27)</f>
        <v>0</v>
      </c>
      <c r="H217" s="2212">
        <f>IF(F217=0,0,$F217*COEF!$K$27)</f>
        <v>0</v>
      </c>
      <c r="I217" s="2212">
        <f>IF(F217=0,0,$F217*COEF!$L$27)</f>
        <v>0</v>
      </c>
      <c r="J217" s="2212">
        <f t="shared" si="50"/>
        <v>0</v>
      </c>
      <c r="K217" s="714"/>
      <c r="L217" s="2212">
        <f t="shared" si="48"/>
        <v>0</v>
      </c>
      <c r="M217" s="2212">
        <f t="shared" si="48"/>
        <v>0</v>
      </c>
      <c r="N217" s="2212">
        <f t="shared" si="48"/>
        <v>0</v>
      </c>
      <c r="O217" s="2212">
        <f t="shared" si="51"/>
        <v>0</v>
      </c>
      <c r="P217" s="2212">
        <f t="shared" si="51"/>
        <v>0</v>
      </c>
      <c r="Q217" s="2212">
        <f t="shared" si="51"/>
        <v>0</v>
      </c>
      <c r="R217" s="2347">
        <f t="shared" si="52"/>
        <v>0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</row>
    <row r="218" spans="1:63" ht="41.25" customHeight="1" x14ac:dyDescent="0.2">
      <c r="A218" s="4786"/>
      <c r="B218" s="2137"/>
      <c r="C218" s="3925"/>
      <c r="D218" s="4783" t="s">
        <v>553</v>
      </c>
      <c r="E218" s="4783"/>
      <c r="F218" s="2213">
        <f>F171+F182+F204+F216+F193</f>
        <v>0</v>
      </c>
      <c r="G218" s="2213">
        <f t="shared" ref="G218:R218" si="57">G171+G182+G204+G216+G193</f>
        <v>0</v>
      </c>
      <c r="H218" s="2213">
        <f t="shared" si="57"/>
        <v>0</v>
      </c>
      <c r="I218" s="2213">
        <f t="shared" si="57"/>
        <v>0</v>
      </c>
      <c r="J218" s="2213">
        <f t="shared" si="57"/>
        <v>0</v>
      </c>
      <c r="K218" s="715">
        <f t="shared" si="57"/>
        <v>0</v>
      </c>
      <c r="L218" s="2213">
        <f t="shared" si="57"/>
        <v>0</v>
      </c>
      <c r="M218" s="2213">
        <f t="shared" si="57"/>
        <v>0</v>
      </c>
      <c r="N218" s="2213">
        <f t="shared" si="57"/>
        <v>0</v>
      </c>
      <c r="O218" s="2213">
        <f t="shared" si="57"/>
        <v>0</v>
      </c>
      <c r="P218" s="2213">
        <f t="shared" si="57"/>
        <v>0</v>
      </c>
      <c r="Q218" s="2213">
        <f t="shared" si="57"/>
        <v>0</v>
      </c>
      <c r="R218" s="2214">
        <f t="shared" si="57"/>
        <v>0</v>
      </c>
      <c r="S218" s="716"/>
      <c r="T218" s="716"/>
      <c r="U218" s="716"/>
      <c r="V218" s="716"/>
      <c r="W218" s="716"/>
      <c r="X218" s="716"/>
      <c r="Y218" s="716"/>
      <c r="Z218" s="716"/>
      <c r="AA218" s="716"/>
      <c r="AB218" s="716"/>
      <c r="AC218" s="717"/>
      <c r="AD218" s="717"/>
      <c r="AE218" s="717"/>
      <c r="AF218" s="717"/>
      <c r="AG218" s="717"/>
      <c r="AH218" s="717"/>
      <c r="AI218" s="717"/>
      <c r="AJ218" s="717"/>
      <c r="AK218" s="717"/>
      <c r="AL218" s="717"/>
      <c r="AM218" s="717"/>
      <c r="AN218" s="717"/>
      <c r="AO218" s="717"/>
      <c r="AP218" s="717"/>
      <c r="AQ218" s="717"/>
      <c r="AR218" s="717"/>
      <c r="AS218" s="717"/>
      <c r="AT218" s="717"/>
      <c r="AU218" s="717"/>
      <c r="AV218" s="717"/>
      <c r="AW218" s="717"/>
      <c r="AX218" s="717"/>
      <c r="AY218" s="717"/>
      <c r="AZ218" s="717"/>
      <c r="BA218" s="717"/>
      <c r="BB218" s="717"/>
      <c r="BC218" s="717"/>
      <c r="BD218" s="717"/>
      <c r="BE218" s="717"/>
      <c r="BF218" s="717"/>
      <c r="BG218" s="717"/>
      <c r="BH218" s="717"/>
      <c r="BI218" s="717"/>
      <c r="BJ218" s="717"/>
      <c r="BK218" s="717"/>
    </row>
    <row r="219" spans="1:63" ht="45" customHeight="1" x14ac:dyDescent="0.2">
      <c r="A219" s="4786"/>
      <c r="B219" s="713" t="s">
        <v>540</v>
      </c>
      <c r="C219" s="3925"/>
      <c r="D219" s="4784" t="s">
        <v>541</v>
      </c>
      <c r="E219" s="4784"/>
      <c r="F219" s="2213" t="e">
        <f>+F215</f>
        <v>#REF!</v>
      </c>
      <c r="G219" s="2213" t="e">
        <f>+G215</f>
        <v>#REF!</v>
      </c>
      <c r="H219" s="2213" t="e">
        <f t="shared" ref="H219:R219" si="58">+H215</f>
        <v>#REF!</v>
      </c>
      <c r="I219" s="2213" t="e">
        <f t="shared" si="58"/>
        <v>#REF!</v>
      </c>
      <c r="J219" s="2213" t="e">
        <f t="shared" si="58"/>
        <v>#REF!</v>
      </c>
      <c r="K219" s="2213" t="e">
        <f t="shared" si="58"/>
        <v>#REF!</v>
      </c>
      <c r="L219" s="2213" t="e">
        <f t="shared" si="58"/>
        <v>#REF!</v>
      </c>
      <c r="M219" s="2213" t="e">
        <f t="shared" si="58"/>
        <v>#REF!</v>
      </c>
      <c r="N219" s="2213" t="e">
        <f t="shared" si="58"/>
        <v>#REF!</v>
      </c>
      <c r="O219" s="2213" t="e">
        <f t="shared" si="58"/>
        <v>#REF!</v>
      </c>
      <c r="P219" s="2213" t="e">
        <f t="shared" si="58"/>
        <v>#REF!</v>
      </c>
      <c r="Q219" s="2213" t="e">
        <f t="shared" si="58"/>
        <v>#REF!</v>
      </c>
      <c r="R219" s="2213" t="e">
        <f t="shared" si="58"/>
        <v>#REF!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</row>
    <row r="220" spans="1:63" ht="37.5" customHeight="1" x14ac:dyDescent="0.2">
      <c r="A220" s="4786"/>
      <c r="B220" s="2130" t="s">
        <v>141</v>
      </c>
      <c r="C220" s="3925"/>
      <c r="D220" s="4785" t="s">
        <v>142</v>
      </c>
      <c r="E220" s="4785"/>
      <c r="F220" s="718" t="e">
        <f t="shared" ref="F220:R220" si="59">F218+F219</f>
        <v>#REF!</v>
      </c>
      <c r="G220" s="2213" t="e">
        <f t="shared" si="59"/>
        <v>#REF!</v>
      </c>
      <c r="H220" s="2213" t="e">
        <f t="shared" si="59"/>
        <v>#REF!</v>
      </c>
      <c r="I220" s="2213" t="e">
        <f t="shared" si="59"/>
        <v>#REF!</v>
      </c>
      <c r="J220" s="2213" t="e">
        <f t="shared" si="59"/>
        <v>#REF!</v>
      </c>
      <c r="K220" s="715" t="e">
        <f t="shared" si="59"/>
        <v>#REF!</v>
      </c>
      <c r="L220" s="2213" t="e">
        <f t="shared" si="59"/>
        <v>#REF!</v>
      </c>
      <c r="M220" s="2213" t="e">
        <f t="shared" si="59"/>
        <v>#REF!</v>
      </c>
      <c r="N220" s="2213" t="e">
        <f t="shared" si="59"/>
        <v>#REF!</v>
      </c>
      <c r="O220" s="2213" t="e">
        <f t="shared" si="59"/>
        <v>#REF!</v>
      </c>
      <c r="P220" s="2213" t="e">
        <f t="shared" si="59"/>
        <v>#REF!</v>
      </c>
      <c r="Q220" s="2213" t="e">
        <f t="shared" si="59"/>
        <v>#REF!</v>
      </c>
      <c r="R220" s="2214" t="e">
        <f t="shared" si="59"/>
        <v>#REF!</v>
      </c>
      <c r="S220" s="10"/>
      <c r="T220" s="10"/>
      <c r="U220" s="10"/>
      <c r="V220" s="10"/>
      <c r="W220" s="10"/>
      <c r="X220" s="10"/>
      <c r="Y220" s="10"/>
      <c r="Z220" s="10"/>
      <c r="AA220" s="10"/>
      <c r="AB220" s="10"/>
    </row>
    <row r="221" spans="1:63" ht="27" customHeight="1" x14ac:dyDescent="0.2">
      <c r="A221" s="2245"/>
      <c r="B221" s="2246"/>
      <c r="C221" s="11"/>
      <c r="D221" s="786"/>
      <c r="E221" s="786"/>
      <c r="F221" s="2247"/>
      <c r="G221" s="2248"/>
      <c r="H221" s="2248"/>
      <c r="I221" s="2249"/>
      <c r="J221" s="2247"/>
      <c r="K221" s="2247"/>
      <c r="L221" s="2248"/>
      <c r="M221" s="2248"/>
      <c r="N221" s="2248"/>
      <c r="O221" s="2249"/>
      <c r="P221" s="2250"/>
      <c r="Q221" s="2251"/>
      <c r="R221" s="2252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</row>
    <row r="222" spans="1:63" ht="27" hidden="1" customHeight="1" x14ac:dyDescent="0.2">
      <c r="A222" s="722"/>
      <c r="B222" s="2138"/>
      <c r="C222" s="719"/>
      <c r="D222" s="720"/>
      <c r="E222" s="720"/>
      <c r="F222" s="721"/>
      <c r="G222" s="4761" t="s">
        <v>94</v>
      </c>
      <c r="H222" s="4761"/>
      <c r="I222" s="4745"/>
      <c r="J222" s="3990" t="s">
        <v>143</v>
      </c>
      <c r="K222" s="3992" t="s">
        <v>101</v>
      </c>
      <c r="L222" s="4762" t="s">
        <v>97</v>
      </c>
      <c r="M222" s="4762"/>
      <c r="N222" s="4762"/>
      <c r="O222" s="3941" t="s">
        <v>102</v>
      </c>
      <c r="P222" s="4763"/>
      <c r="Q222" s="4764"/>
      <c r="R222" s="666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</row>
    <row r="223" spans="1:63" s="105" customFormat="1" ht="30.75" hidden="1" customHeight="1" x14ac:dyDescent="0.2">
      <c r="A223" s="723"/>
      <c r="B223" s="577"/>
      <c r="C223" s="569"/>
      <c r="D223" s="569"/>
      <c r="E223" s="2139"/>
      <c r="F223" s="530" t="s">
        <v>1</v>
      </c>
      <c r="G223" s="617" t="s">
        <v>5</v>
      </c>
      <c r="H223" s="617" t="s">
        <v>6</v>
      </c>
      <c r="I223" s="668" t="s">
        <v>7</v>
      </c>
      <c r="J223" s="3991"/>
      <c r="K223" s="3993"/>
      <c r="L223" s="104" t="s">
        <v>5</v>
      </c>
      <c r="M223" s="104" t="s">
        <v>6</v>
      </c>
      <c r="N223" s="104" t="s">
        <v>7</v>
      </c>
      <c r="O223" s="104" t="s">
        <v>5</v>
      </c>
      <c r="P223" s="104" t="s">
        <v>6</v>
      </c>
      <c r="Q223" s="104" t="s">
        <v>7</v>
      </c>
      <c r="R223" s="669" t="s">
        <v>4</v>
      </c>
      <c r="S223" s="569"/>
      <c r="T223" s="569"/>
      <c r="U223" s="569"/>
      <c r="V223" s="569"/>
      <c r="W223" s="569"/>
      <c r="X223" s="569"/>
      <c r="Y223" s="569"/>
      <c r="Z223" s="569"/>
      <c r="AA223" s="569"/>
      <c r="AB223" s="569"/>
    </row>
    <row r="224" spans="1:63" s="105" customFormat="1" ht="30.75" hidden="1" customHeight="1" x14ac:dyDescent="0.3">
      <c r="A224" s="4770" t="s">
        <v>144</v>
      </c>
      <c r="B224" s="724"/>
      <c r="C224" s="4778" t="s">
        <v>145</v>
      </c>
      <c r="D224" s="4778"/>
      <c r="E224" s="2123"/>
      <c r="F224" s="725">
        <f t="shared" ref="F224:R234" si="60">F90</f>
        <v>0</v>
      </c>
      <c r="G224" s="725">
        <f t="shared" si="60"/>
        <v>0</v>
      </c>
      <c r="H224" s="725">
        <f t="shared" si="60"/>
        <v>0</v>
      </c>
      <c r="I224" s="725">
        <f t="shared" si="60"/>
        <v>0</v>
      </c>
      <c r="J224" s="725">
        <f t="shared" si="60"/>
        <v>0</v>
      </c>
      <c r="K224" s="725">
        <f t="shared" si="60"/>
        <v>0</v>
      </c>
      <c r="L224" s="725">
        <f t="shared" si="60"/>
        <v>0</v>
      </c>
      <c r="M224" s="725">
        <f t="shared" si="60"/>
        <v>0</v>
      </c>
      <c r="N224" s="725">
        <f t="shared" si="60"/>
        <v>0</v>
      </c>
      <c r="O224" s="726">
        <f t="shared" si="60"/>
        <v>0</v>
      </c>
      <c r="P224" s="726">
        <f t="shared" si="60"/>
        <v>0</v>
      </c>
      <c r="Q224" s="726">
        <f t="shared" si="60"/>
        <v>0</v>
      </c>
      <c r="R224" s="727">
        <f t="shared" si="60"/>
        <v>0</v>
      </c>
      <c r="S224" s="728"/>
      <c r="T224" s="728"/>
      <c r="U224" s="728"/>
      <c r="V224" s="569"/>
      <c r="W224" s="569"/>
      <c r="X224" s="569"/>
      <c r="Y224" s="569"/>
      <c r="Z224" s="569"/>
      <c r="AA224" s="569"/>
      <c r="AB224" s="569"/>
    </row>
    <row r="225" spans="1:28" s="105" customFormat="1" ht="30.75" hidden="1" customHeight="1" x14ac:dyDescent="0.3">
      <c r="A225" s="4770"/>
      <c r="B225" s="4779"/>
      <c r="C225" s="3861" t="s">
        <v>554</v>
      </c>
      <c r="D225" s="3861"/>
      <c r="E225" s="2140" t="str">
        <f t="shared" ref="E225:E234" si="61">E17</f>
        <v>642020   Servicios de comunicación por medio de teléfono, telégrafo y téfex f"J</v>
      </c>
      <c r="F225" s="725">
        <f t="shared" si="60"/>
        <v>0</v>
      </c>
      <c r="G225" s="725">
        <f t="shared" si="60"/>
        <v>0</v>
      </c>
      <c r="H225" s="725">
        <f t="shared" si="60"/>
        <v>0</v>
      </c>
      <c r="I225" s="725">
        <f t="shared" si="60"/>
        <v>0</v>
      </c>
      <c r="J225" s="725">
        <f t="shared" si="60"/>
        <v>0</v>
      </c>
      <c r="K225" s="725">
        <f t="shared" si="60"/>
        <v>0</v>
      </c>
      <c r="L225" s="725">
        <f t="shared" si="60"/>
        <v>0</v>
      </c>
      <c r="M225" s="725">
        <f t="shared" si="60"/>
        <v>0</v>
      </c>
      <c r="N225" s="725">
        <f t="shared" si="60"/>
        <v>0</v>
      </c>
      <c r="O225" s="726">
        <f t="shared" si="60"/>
        <v>0</v>
      </c>
      <c r="P225" s="726">
        <f t="shared" si="60"/>
        <v>0</v>
      </c>
      <c r="Q225" s="726">
        <f t="shared" si="60"/>
        <v>0</v>
      </c>
      <c r="R225" s="727">
        <f t="shared" si="60"/>
        <v>0</v>
      </c>
      <c r="S225" s="728"/>
      <c r="T225" s="728"/>
      <c r="U225" s="728"/>
      <c r="V225" s="569"/>
      <c r="W225" s="569"/>
      <c r="X225" s="569"/>
      <c r="Y225" s="569"/>
      <c r="Z225" s="569"/>
      <c r="AA225" s="569"/>
      <c r="AB225" s="569"/>
    </row>
    <row r="226" spans="1:28" s="105" customFormat="1" ht="30.75" hidden="1" customHeight="1" x14ac:dyDescent="0.3">
      <c r="A226" s="4770"/>
      <c r="B226" s="4779"/>
      <c r="C226" s="3861"/>
      <c r="D226" s="3861"/>
      <c r="E226" s="2140" t="str">
        <f t="shared" si="61"/>
        <v>652130   Servicios de la banca minorista</v>
      </c>
      <c r="F226" s="725">
        <f t="shared" si="60"/>
        <v>0</v>
      </c>
      <c r="G226" s="725">
        <f t="shared" si="60"/>
        <v>0</v>
      </c>
      <c r="H226" s="725">
        <f t="shared" si="60"/>
        <v>0</v>
      </c>
      <c r="I226" s="725">
        <f t="shared" si="60"/>
        <v>0</v>
      </c>
      <c r="J226" s="725">
        <f t="shared" si="60"/>
        <v>0</v>
      </c>
      <c r="K226" s="725">
        <f t="shared" si="60"/>
        <v>0</v>
      </c>
      <c r="L226" s="725">
        <f t="shared" si="60"/>
        <v>0</v>
      </c>
      <c r="M226" s="725">
        <f t="shared" si="60"/>
        <v>0</v>
      </c>
      <c r="N226" s="725">
        <f t="shared" si="60"/>
        <v>0</v>
      </c>
      <c r="O226" s="726">
        <f t="shared" si="60"/>
        <v>0</v>
      </c>
      <c r="P226" s="726">
        <f t="shared" si="60"/>
        <v>0</v>
      </c>
      <c r="Q226" s="726">
        <f t="shared" si="60"/>
        <v>0</v>
      </c>
      <c r="R226" s="727">
        <f t="shared" si="60"/>
        <v>0</v>
      </c>
      <c r="S226" s="728"/>
      <c r="T226" s="728"/>
      <c r="U226" s="728"/>
      <c r="V226" s="569"/>
      <c r="W226" s="569"/>
      <c r="X226" s="569"/>
      <c r="Y226" s="569"/>
      <c r="Z226" s="569"/>
      <c r="AA226" s="569"/>
      <c r="AB226" s="569"/>
    </row>
    <row r="227" spans="1:28" s="105" customFormat="1" ht="30.75" hidden="1" customHeight="1" x14ac:dyDescent="0.3">
      <c r="A227" s="4770"/>
      <c r="B227" s="4779"/>
      <c r="C227" s="3861"/>
      <c r="D227" s="3861"/>
      <c r="E227" s="2140">
        <f t="shared" si="61"/>
        <v>0</v>
      </c>
      <c r="F227" s="725">
        <f t="shared" si="60"/>
        <v>0</v>
      </c>
      <c r="G227" s="725">
        <f t="shared" si="60"/>
        <v>0</v>
      </c>
      <c r="H227" s="725">
        <f t="shared" si="60"/>
        <v>0</v>
      </c>
      <c r="I227" s="725">
        <f t="shared" si="60"/>
        <v>0</v>
      </c>
      <c r="J227" s="725">
        <f t="shared" si="60"/>
        <v>0</v>
      </c>
      <c r="K227" s="725">
        <f t="shared" si="60"/>
        <v>0</v>
      </c>
      <c r="L227" s="725">
        <f t="shared" si="60"/>
        <v>0</v>
      </c>
      <c r="M227" s="725">
        <f t="shared" si="60"/>
        <v>0</v>
      </c>
      <c r="N227" s="725">
        <f t="shared" si="60"/>
        <v>0</v>
      </c>
      <c r="O227" s="726">
        <f t="shared" si="60"/>
        <v>0</v>
      </c>
      <c r="P227" s="726">
        <f t="shared" si="60"/>
        <v>0</v>
      </c>
      <c r="Q227" s="726">
        <f t="shared" si="60"/>
        <v>0</v>
      </c>
      <c r="R227" s="727">
        <f t="shared" si="60"/>
        <v>0</v>
      </c>
      <c r="S227" s="728"/>
      <c r="T227" s="728"/>
      <c r="U227" s="728"/>
      <c r="V227" s="569"/>
      <c r="W227" s="569"/>
      <c r="X227" s="569"/>
      <c r="Y227" s="569"/>
      <c r="Z227" s="569"/>
      <c r="AA227" s="569"/>
      <c r="AB227" s="569"/>
    </row>
    <row r="228" spans="1:28" s="105" customFormat="1" ht="30.75" hidden="1" customHeight="1" x14ac:dyDescent="0.3">
      <c r="A228" s="4770"/>
      <c r="B228" s="4779"/>
      <c r="C228" s="3861"/>
      <c r="D228" s="3861"/>
      <c r="E228" s="2140">
        <f t="shared" si="61"/>
        <v>0</v>
      </c>
      <c r="F228" s="725">
        <f t="shared" si="60"/>
        <v>0</v>
      </c>
      <c r="G228" s="725">
        <f t="shared" si="60"/>
        <v>0</v>
      </c>
      <c r="H228" s="725">
        <f t="shared" si="60"/>
        <v>0</v>
      </c>
      <c r="I228" s="725">
        <f t="shared" si="60"/>
        <v>0</v>
      </c>
      <c r="J228" s="725">
        <f t="shared" si="60"/>
        <v>0</v>
      </c>
      <c r="K228" s="725">
        <f t="shared" si="60"/>
        <v>0</v>
      </c>
      <c r="L228" s="725">
        <f t="shared" si="60"/>
        <v>0</v>
      </c>
      <c r="M228" s="725">
        <f t="shared" si="60"/>
        <v>0</v>
      </c>
      <c r="N228" s="725">
        <f t="shared" si="60"/>
        <v>0</v>
      </c>
      <c r="O228" s="726">
        <f t="shared" si="60"/>
        <v>0</v>
      </c>
      <c r="P228" s="726">
        <f t="shared" si="60"/>
        <v>0</v>
      </c>
      <c r="Q228" s="726">
        <f t="shared" si="60"/>
        <v>0</v>
      </c>
      <c r="R228" s="727">
        <f t="shared" si="60"/>
        <v>0</v>
      </c>
      <c r="S228" s="728"/>
      <c r="T228" s="728"/>
      <c r="U228" s="728"/>
      <c r="V228" s="569"/>
      <c r="W228" s="569"/>
      <c r="X228" s="569"/>
      <c r="Y228" s="569"/>
      <c r="Z228" s="569"/>
      <c r="AA228" s="569"/>
      <c r="AB228" s="569"/>
    </row>
    <row r="229" spans="1:28" s="105" customFormat="1" ht="30.75" hidden="1" customHeight="1" x14ac:dyDescent="0.3">
      <c r="A229" s="4770"/>
      <c r="B229" s="4779"/>
      <c r="C229" s="3861"/>
      <c r="D229" s="3861"/>
      <c r="E229" s="2140">
        <f t="shared" si="61"/>
        <v>0</v>
      </c>
      <c r="F229" s="725">
        <f t="shared" si="60"/>
        <v>0</v>
      </c>
      <c r="G229" s="725">
        <f t="shared" si="60"/>
        <v>0</v>
      </c>
      <c r="H229" s="725">
        <f t="shared" si="60"/>
        <v>0</v>
      </c>
      <c r="I229" s="725">
        <f t="shared" si="60"/>
        <v>0</v>
      </c>
      <c r="J229" s="725">
        <f t="shared" si="60"/>
        <v>0</v>
      </c>
      <c r="K229" s="725">
        <f t="shared" si="60"/>
        <v>0</v>
      </c>
      <c r="L229" s="725">
        <f t="shared" si="60"/>
        <v>0</v>
      </c>
      <c r="M229" s="725">
        <f t="shared" si="60"/>
        <v>0</v>
      </c>
      <c r="N229" s="725">
        <f t="shared" si="60"/>
        <v>0</v>
      </c>
      <c r="O229" s="726">
        <f t="shared" si="60"/>
        <v>0</v>
      </c>
      <c r="P229" s="726">
        <f t="shared" si="60"/>
        <v>0</v>
      </c>
      <c r="Q229" s="726">
        <f t="shared" si="60"/>
        <v>0</v>
      </c>
      <c r="R229" s="727">
        <f t="shared" si="60"/>
        <v>0</v>
      </c>
      <c r="S229" s="728"/>
      <c r="T229" s="728"/>
      <c r="U229" s="728"/>
      <c r="V229" s="569"/>
      <c r="W229" s="569"/>
      <c r="X229" s="569"/>
      <c r="Y229" s="569"/>
      <c r="Z229" s="569"/>
      <c r="AA229" s="569"/>
      <c r="AB229" s="569"/>
    </row>
    <row r="230" spans="1:28" s="105" customFormat="1" ht="30.75" hidden="1" customHeight="1" x14ac:dyDescent="0.3">
      <c r="A230" s="4770"/>
      <c r="B230" s="4779"/>
      <c r="C230" s="3861"/>
      <c r="D230" s="3861"/>
      <c r="E230" s="2140">
        <f t="shared" si="61"/>
        <v>0</v>
      </c>
      <c r="F230" s="725">
        <f t="shared" si="60"/>
        <v>0</v>
      </c>
      <c r="G230" s="725">
        <f t="shared" si="60"/>
        <v>0</v>
      </c>
      <c r="H230" s="725">
        <f t="shared" si="60"/>
        <v>0</v>
      </c>
      <c r="I230" s="725">
        <f t="shared" si="60"/>
        <v>0</v>
      </c>
      <c r="J230" s="725">
        <f t="shared" si="60"/>
        <v>0</v>
      </c>
      <c r="K230" s="725">
        <f t="shared" si="60"/>
        <v>0</v>
      </c>
      <c r="L230" s="725">
        <f t="shared" si="60"/>
        <v>0</v>
      </c>
      <c r="M230" s="725">
        <f t="shared" si="60"/>
        <v>0</v>
      </c>
      <c r="N230" s="725">
        <f t="shared" si="60"/>
        <v>0</v>
      </c>
      <c r="O230" s="726">
        <f t="shared" si="60"/>
        <v>0</v>
      </c>
      <c r="P230" s="726">
        <f t="shared" si="60"/>
        <v>0</v>
      </c>
      <c r="Q230" s="726">
        <f t="shared" si="60"/>
        <v>0</v>
      </c>
      <c r="R230" s="727">
        <f t="shared" si="60"/>
        <v>0</v>
      </c>
      <c r="S230" s="728"/>
      <c r="T230" s="728"/>
      <c r="U230" s="728"/>
      <c r="V230" s="569"/>
      <c r="W230" s="569"/>
      <c r="X230" s="569"/>
      <c r="Y230" s="569"/>
      <c r="Z230" s="569"/>
      <c r="AA230" s="569"/>
      <c r="AB230" s="569"/>
    </row>
    <row r="231" spans="1:28" s="105" customFormat="1" ht="30.75" hidden="1" customHeight="1" x14ac:dyDescent="0.3">
      <c r="A231" s="4770"/>
      <c r="B231" s="4779"/>
      <c r="C231" s="3861"/>
      <c r="D231" s="3861"/>
      <c r="E231" s="2140">
        <f t="shared" si="61"/>
        <v>0</v>
      </c>
      <c r="F231" s="725">
        <f t="shared" si="60"/>
        <v>0</v>
      </c>
      <c r="G231" s="725">
        <f t="shared" si="60"/>
        <v>0</v>
      </c>
      <c r="H231" s="725">
        <f t="shared" si="60"/>
        <v>0</v>
      </c>
      <c r="I231" s="725">
        <f t="shared" si="60"/>
        <v>0</v>
      </c>
      <c r="J231" s="725">
        <f t="shared" si="60"/>
        <v>0</v>
      </c>
      <c r="K231" s="725">
        <f t="shared" si="60"/>
        <v>0</v>
      </c>
      <c r="L231" s="725">
        <f t="shared" si="60"/>
        <v>0</v>
      </c>
      <c r="M231" s="725">
        <f t="shared" si="60"/>
        <v>0</v>
      </c>
      <c r="N231" s="725">
        <f t="shared" si="60"/>
        <v>0</v>
      </c>
      <c r="O231" s="726">
        <f t="shared" si="60"/>
        <v>0</v>
      </c>
      <c r="P231" s="726">
        <f t="shared" si="60"/>
        <v>0</v>
      </c>
      <c r="Q231" s="726">
        <f t="shared" si="60"/>
        <v>0</v>
      </c>
      <c r="R231" s="727">
        <f t="shared" si="60"/>
        <v>0</v>
      </c>
      <c r="S231" s="728"/>
      <c r="T231" s="728"/>
      <c r="U231" s="728"/>
      <c r="V231" s="569"/>
      <c r="W231" s="569"/>
      <c r="X231" s="569"/>
      <c r="Y231" s="569"/>
      <c r="Z231" s="569"/>
      <c r="AA231" s="569"/>
      <c r="AB231" s="569"/>
    </row>
    <row r="232" spans="1:28" s="105" customFormat="1" ht="30.75" hidden="1" customHeight="1" x14ac:dyDescent="0.3">
      <c r="A232" s="4770"/>
      <c r="B232" s="4779"/>
      <c r="C232" s="3861"/>
      <c r="D232" s="3861"/>
      <c r="E232" s="2140">
        <f t="shared" si="61"/>
        <v>0</v>
      </c>
      <c r="F232" s="725">
        <f t="shared" si="60"/>
        <v>0</v>
      </c>
      <c r="G232" s="725">
        <f t="shared" si="60"/>
        <v>0</v>
      </c>
      <c r="H232" s="725">
        <f t="shared" si="60"/>
        <v>0</v>
      </c>
      <c r="I232" s="725">
        <f t="shared" si="60"/>
        <v>0</v>
      </c>
      <c r="J232" s="725">
        <f t="shared" si="60"/>
        <v>0</v>
      </c>
      <c r="K232" s="725">
        <f t="shared" si="60"/>
        <v>0</v>
      </c>
      <c r="L232" s="725">
        <f t="shared" si="60"/>
        <v>0</v>
      </c>
      <c r="M232" s="725">
        <f t="shared" si="60"/>
        <v>0</v>
      </c>
      <c r="N232" s="725">
        <f t="shared" si="60"/>
        <v>0</v>
      </c>
      <c r="O232" s="726">
        <f t="shared" si="60"/>
        <v>0</v>
      </c>
      <c r="P232" s="726">
        <f t="shared" si="60"/>
        <v>0</v>
      </c>
      <c r="Q232" s="726">
        <f t="shared" si="60"/>
        <v>0</v>
      </c>
      <c r="R232" s="727">
        <f t="shared" si="60"/>
        <v>0</v>
      </c>
      <c r="S232" s="728"/>
      <c r="T232" s="728"/>
      <c r="U232" s="728"/>
      <c r="V232" s="569"/>
      <c r="W232" s="569"/>
      <c r="X232" s="569"/>
      <c r="Y232" s="569"/>
      <c r="Z232" s="569"/>
      <c r="AA232" s="569"/>
      <c r="AB232" s="569"/>
    </row>
    <row r="233" spans="1:28" s="105" customFormat="1" ht="30.75" hidden="1" customHeight="1" x14ac:dyDescent="0.3">
      <c r="A233" s="4770"/>
      <c r="B233" s="4779"/>
      <c r="C233" s="3861"/>
      <c r="D233" s="3861"/>
      <c r="E233" s="2140">
        <f t="shared" si="61"/>
        <v>0</v>
      </c>
      <c r="F233" s="725">
        <f t="shared" si="60"/>
        <v>0</v>
      </c>
      <c r="G233" s="725">
        <f t="shared" si="60"/>
        <v>0</v>
      </c>
      <c r="H233" s="725">
        <f t="shared" si="60"/>
        <v>0</v>
      </c>
      <c r="I233" s="725">
        <f t="shared" si="60"/>
        <v>0</v>
      </c>
      <c r="J233" s="725">
        <f t="shared" si="60"/>
        <v>0</v>
      </c>
      <c r="K233" s="725">
        <f t="shared" si="60"/>
        <v>0</v>
      </c>
      <c r="L233" s="725">
        <f t="shared" si="60"/>
        <v>0</v>
      </c>
      <c r="M233" s="725">
        <f t="shared" si="60"/>
        <v>0</v>
      </c>
      <c r="N233" s="725">
        <f t="shared" si="60"/>
        <v>0</v>
      </c>
      <c r="O233" s="726">
        <f t="shared" si="60"/>
        <v>0</v>
      </c>
      <c r="P233" s="726">
        <f t="shared" si="60"/>
        <v>0</v>
      </c>
      <c r="Q233" s="726">
        <f t="shared" si="60"/>
        <v>0</v>
      </c>
      <c r="R233" s="727">
        <f t="shared" si="60"/>
        <v>0</v>
      </c>
      <c r="S233" s="728"/>
      <c r="T233" s="728"/>
      <c r="U233" s="728"/>
      <c r="V233" s="569"/>
      <c r="W233" s="569"/>
      <c r="X233" s="569"/>
      <c r="Y233" s="569"/>
      <c r="Z233" s="569"/>
      <c r="AA233" s="569"/>
      <c r="AB233" s="569"/>
    </row>
    <row r="234" spans="1:28" s="105" customFormat="1" ht="30.75" hidden="1" customHeight="1" x14ac:dyDescent="0.3">
      <c r="A234" s="4770"/>
      <c r="B234" s="4779"/>
      <c r="C234" s="3861"/>
      <c r="D234" s="3861"/>
      <c r="E234" s="2140">
        <f t="shared" si="61"/>
        <v>0</v>
      </c>
      <c r="F234" s="725">
        <f t="shared" si="60"/>
        <v>0</v>
      </c>
      <c r="G234" s="725">
        <f t="shared" si="60"/>
        <v>0</v>
      </c>
      <c r="H234" s="725">
        <f t="shared" si="60"/>
        <v>0</v>
      </c>
      <c r="I234" s="725">
        <f t="shared" si="60"/>
        <v>0</v>
      </c>
      <c r="J234" s="725">
        <f t="shared" si="60"/>
        <v>0</v>
      </c>
      <c r="K234" s="725">
        <f t="shared" si="60"/>
        <v>0</v>
      </c>
      <c r="L234" s="725">
        <f t="shared" si="60"/>
        <v>0</v>
      </c>
      <c r="M234" s="725">
        <f t="shared" si="60"/>
        <v>0</v>
      </c>
      <c r="N234" s="725">
        <f t="shared" si="60"/>
        <v>0</v>
      </c>
      <c r="O234" s="726">
        <f t="shared" si="60"/>
        <v>0</v>
      </c>
      <c r="P234" s="726">
        <f t="shared" si="60"/>
        <v>0</v>
      </c>
      <c r="Q234" s="726">
        <f t="shared" si="60"/>
        <v>0</v>
      </c>
      <c r="R234" s="727">
        <f t="shared" si="60"/>
        <v>0</v>
      </c>
      <c r="S234" s="728"/>
      <c r="T234" s="728"/>
      <c r="U234" s="728"/>
      <c r="V234" s="569"/>
      <c r="W234" s="569"/>
      <c r="X234" s="569"/>
      <c r="Y234" s="569"/>
      <c r="Z234" s="569"/>
      <c r="AA234" s="569"/>
      <c r="AB234" s="569"/>
    </row>
    <row r="235" spans="1:28" s="105" customFormat="1" ht="30.75" hidden="1" customHeight="1" x14ac:dyDescent="0.3">
      <c r="A235" s="4770"/>
      <c r="B235" s="729"/>
      <c r="C235" s="4778" t="s">
        <v>555</v>
      </c>
      <c r="D235" s="4778"/>
      <c r="E235" s="2141"/>
      <c r="F235" s="2228">
        <f t="shared" ref="F235:R235" si="62">F101+F116+F127+F138+F149+F161</f>
        <v>0</v>
      </c>
      <c r="G235" s="2228">
        <f t="shared" si="62"/>
        <v>0</v>
      </c>
      <c r="H235" s="2228">
        <f t="shared" si="62"/>
        <v>0</v>
      </c>
      <c r="I235" s="2228">
        <f t="shared" si="62"/>
        <v>0</v>
      </c>
      <c r="J235" s="2228">
        <f t="shared" si="62"/>
        <v>0</v>
      </c>
      <c r="K235" s="2228">
        <f t="shared" si="62"/>
        <v>0</v>
      </c>
      <c r="L235" s="2228">
        <f t="shared" si="62"/>
        <v>0</v>
      </c>
      <c r="M235" s="2228">
        <f t="shared" si="62"/>
        <v>0</v>
      </c>
      <c r="N235" s="2228">
        <f t="shared" si="62"/>
        <v>0</v>
      </c>
      <c r="O235" s="726">
        <f t="shared" si="62"/>
        <v>0</v>
      </c>
      <c r="P235" s="726">
        <f t="shared" si="62"/>
        <v>0</v>
      </c>
      <c r="Q235" s="726">
        <f t="shared" si="62"/>
        <v>0</v>
      </c>
      <c r="R235" s="2229">
        <f t="shared" si="62"/>
        <v>0</v>
      </c>
      <c r="S235" s="645"/>
      <c r="T235" s="569"/>
      <c r="U235" s="569"/>
      <c r="V235" s="569"/>
      <c r="W235" s="569"/>
      <c r="X235" s="569"/>
      <c r="Y235" s="569"/>
      <c r="Z235" s="569"/>
      <c r="AA235" s="569"/>
      <c r="AB235" s="569"/>
    </row>
    <row r="236" spans="1:28" s="105" customFormat="1" ht="30.75" hidden="1" customHeight="1" x14ac:dyDescent="0.3">
      <c r="A236" s="4770"/>
      <c r="B236" s="729"/>
      <c r="C236" s="4780" t="s">
        <v>556</v>
      </c>
      <c r="D236" s="4780"/>
      <c r="E236" s="2141"/>
      <c r="F236" s="2230" t="e">
        <f>+F160</f>
        <v>#REF!</v>
      </c>
      <c r="G236" s="2230" t="e">
        <f t="shared" ref="G236:R236" si="63">+G160</f>
        <v>#REF!</v>
      </c>
      <c r="H236" s="2230" t="e">
        <f t="shared" si="63"/>
        <v>#REF!</v>
      </c>
      <c r="I236" s="2230" t="e">
        <f t="shared" si="63"/>
        <v>#REF!</v>
      </c>
      <c r="J236" s="2230" t="e">
        <f t="shared" si="63"/>
        <v>#REF!</v>
      </c>
      <c r="K236" s="2230" t="e">
        <f t="shared" si="63"/>
        <v>#REF!</v>
      </c>
      <c r="L236" s="2230" t="e">
        <f t="shared" si="63"/>
        <v>#REF!</v>
      </c>
      <c r="M236" s="2230" t="e">
        <f t="shared" si="63"/>
        <v>#REF!</v>
      </c>
      <c r="N236" s="2230" t="e">
        <f t="shared" si="63"/>
        <v>#REF!</v>
      </c>
      <c r="O236" s="726" t="e">
        <f t="shared" si="63"/>
        <v>#REF!</v>
      </c>
      <c r="P236" s="726" t="e">
        <f t="shared" si="63"/>
        <v>#REF!</v>
      </c>
      <c r="Q236" s="726" t="e">
        <f t="shared" si="63"/>
        <v>#REF!</v>
      </c>
      <c r="R236" s="2228" t="e">
        <f t="shared" si="63"/>
        <v>#REF!</v>
      </c>
      <c r="S236" s="645"/>
      <c r="T236" s="569"/>
      <c r="U236" s="569"/>
      <c r="V236" s="569"/>
      <c r="W236" s="569"/>
      <c r="X236" s="569"/>
      <c r="Y236" s="569"/>
      <c r="Z236" s="569"/>
      <c r="AA236" s="569"/>
      <c r="AB236" s="569"/>
    </row>
    <row r="237" spans="1:28" s="105" customFormat="1" ht="30.75" hidden="1" customHeight="1" x14ac:dyDescent="0.25">
      <c r="A237" s="4770"/>
      <c r="B237" s="729"/>
      <c r="C237" s="3861" t="s">
        <v>557</v>
      </c>
      <c r="D237" s="3861"/>
      <c r="E237" s="2140" t="str">
        <f t="shared" ref="E237:E246" si="64">E17</f>
        <v>642020   Servicios de comunicación por medio de teléfono, telégrafo y téfex f"J</v>
      </c>
      <c r="F237" s="725">
        <f t="shared" ref="F237:R246" si="65">F102+F117+F128+F139+F150</f>
        <v>0</v>
      </c>
      <c r="G237" s="725">
        <f t="shared" si="65"/>
        <v>0</v>
      </c>
      <c r="H237" s="725">
        <f t="shared" si="65"/>
        <v>0</v>
      </c>
      <c r="I237" s="725">
        <f t="shared" si="65"/>
        <v>0</v>
      </c>
      <c r="J237" s="725">
        <f t="shared" si="65"/>
        <v>0</v>
      </c>
      <c r="K237" s="725">
        <f t="shared" si="65"/>
        <v>0</v>
      </c>
      <c r="L237" s="725">
        <f t="shared" si="65"/>
        <v>0</v>
      </c>
      <c r="M237" s="725">
        <f t="shared" si="65"/>
        <v>0</v>
      </c>
      <c r="N237" s="725">
        <f t="shared" si="65"/>
        <v>0</v>
      </c>
      <c r="O237" s="730">
        <f t="shared" si="65"/>
        <v>0</v>
      </c>
      <c r="P237" s="730">
        <f t="shared" si="65"/>
        <v>0</v>
      </c>
      <c r="Q237" s="730">
        <f t="shared" si="65"/>
        <v>0</v>
      </c>
      <c r="R237" s="727">
        <f t="shared" si="65"/>
        <v>0</v>
      </c>
      <c r="S237" s="645"/>
      <c r="T237" s="569"/>
      <c r="U237" s="569"/>
      <c r="V237" s="569"/>
      <c r="W237" s="569"/>
      <c r="X237" s="569"/>
      <c r="Y237" s="569"/>
      <c r="Z237" s="569"/>
      <c r="AA237" s="569"/>
      <c r="AB237" s="569"/>
    </row>
    <row r="238" spans="1:28" s="105" customFormat="1" ht="30.75" hidden="1" customHeight="1" x14ac:dyDescent="0.25">
      <c r="A238" s="4770"/>
      <c r="B238" s="729"/>
      <c r="C238" s="3861"/>
      <c r="D238" s="3861"/>
      <c r="E238" s="2140" t="str">
        <f t="shared" si="64"/>
        <v>652130   Servicios de la banca minorista</v>
      </c>
      <c r="F238" s="725">
        <f t="shared" si="65"/>
        <v>0</v>
      </c>
      <c r="G238" s="725">
        <f t="shared" si="65"/>
        <v>0</v>
      </c>
      <c r="H238" s="725">
        <f t="shared" si="65"/>
        <v>0</v>
      </c>
      <c r="I238" s="725">
        <f t="shared" si="65"/>
        <v>0</v>
      </c>
      <c r="J238" s="725">
        <f t="shared" si="65"/>
        <v>0</v>
      </c>
      <c r="K238" s="725">
        <f t="shared" si="65"/>
        <v>0</v>
      </c>
      <c r="L238" s="725">
        <f t="shared" si="65"/>
        <v>0</v>
      </c>
      <c r="M238" s="725">
        <f t="shared" si="65"/>
        <v>0</v>
      </c>
      <c r="N238" s="725">
        <f t="shared" si="65"/>
        <v>0</v>
      </c>
      <c r="O238" s="730">
        <f t="shared" si="65"/>
        <v>0</v>
      </c>
      <c r="P238" s="730">
        <f t="shared" si="65"/>
        <v>0</v>
      </c>
      <c r="Q238" s="730">
        <f t="shared" si="65"/>
        <v>0</v>
      </c>
      <c r="R238" s="727">
        <f t="shared" si="65"/>
        <v>0</v>
      </c>
      <c r="S238" s="645"/>
      <c r="T238" s="569"/>
      <c r="U238" s="569"/>
      <c r="V238" s="569"/>
      <c r="W238" s="569"/>
      <c r="X238" s="569"/>
      <c r="Y238" s="569"/>
      <c r="Z238" s="569"/>
      <c r="AA238" s="569"/>
      <c r="AB238" s="569"/>
    </row>
    <row r="239" spans="1:28" s="105" customFormat="1" ht="30.75" hidden="1" customHeight="1" x14ac:dyDescent="0.25">
      <c r="A239" s="4770"/>
      <c r="B239" s="729"/>
      <c r="C239" s="3861"/>
      <c r="D239" s="3861"/>
      <c r="E239" s="2140">
        <f t="shared" si="64"/>
        <v>0</v>
      </c>
      <c r="F239" s="725">
        <f t="shared" si="65"/>
        <v>0</v>
      </c>
      <c r="G239" s="725">
        <f t="shared" si="65"/>
        <v>0</v>
      </c>
      <c r="H239" s="725">
        <f t="shared" si="65"/>
        <v>0</v>
      </c>
      <c r="I239" s="725">
        <f t="shared" si="65"/>
        <v>0</v>
      </c>
      <c r="J239" s="725">
        <f t="shared" si="65"/>
        <v>0</v>
      </c>
      <c r="K239" s="725">
        <f t="shared" si="65"/>
        <v>0</v>
      </c>
      <c r="L239" s="725">
        <f t="shared" si="65"/>
        <v>0</v>
      </c>
      <c r="M239" s="725">
        <f t="shared" si="65"/>
        <v>0</v>
      </c>
      <c r="N239" s="725">
        <f t="shared" si="65"/>
        <v>0</v>
      </c>
      <c r="O239" s="730">
        <f t="shared" si="65"/>
        <v>0</v>
      </c>
      <c r="P239" s="730">
        <f t="shared" si="65"/>
        <v>0</v>
      </c>
      <c r="Q239" s="730">
        <f t="shared" si="65"/>
        <v>0</v>
      </c>
      <c r="R239" s="727">
        <f t="shared" si="65"/>
        <v>0</v>
      </c>
      <c r="S239" s="645"/>
      <c r="T239" s="569"/>
      <c r="U239" s="569"/>
      <c r="V239" s="569"/>
      <c r="W239" s="569"/>
      <c r="X239" s="569"/>
      <c r="Y239" s="569"/>
      <c r="Z239" s="569"/>
      <c r="AA239" s="569"/>
      <c r="AB239" s="569"/>
    </row>
    <row r="240" spans="1:28" s="105" customFormat="1" ht="30.75" hidden="1" customHeight="1" x14ac:dyDescent="0.25">
      <c r="A240" s="4770"/>
      <c r="B240" s="729"/>
      <c r="C240" s="3861"/>
      <c r="D240" s="3861"/>
      <c r="E240" s="2140">
        <f t="shared" si="64"/>
        <v>0</v>
      </c>
      <c r="F240" s="725">
        <f t="shared" si="65"/>
        <v>0</v>
      </c>
      <c r="G240" s="725">
        <f t="shared" si="65"/>
        <v>0</v>
      </c>
      <c r="H240" s="725">
        <f t="shared" si="65"/>
        <v>0</v>
      </c>
      <c r="I240" s="725">
        <f t="shared" si="65"/>
        <v>0</v>
      </c>
      <c r="J240" s="725">
        <f t="shared" si="65"/>
        <v>0</v>
      </c>
      <c r="K240" s="725">
        <f t="shared" si="65"/>
        <v>0</v>
      </c>
      <c r="L240" s="725">
        <f t="shared" si="65"/>
        <v>0</v>
      </c>
      <c r="M240" s="725">
        <f t="shared" si="65"/>
        <v>0</v>
      </c>
      <c r="N240" s="725">
        <f t="shared" si="65"/>
        <v>0</v>
      </c>
      <c r="O240" s="730">
        <f t="shared" si="65"/>
        <v>0</v>
      </c>
      <c r="P240" s="730">
        <f t="shared" si="65"/>
        <v>0</v>
      </c>
      <c r="Q240" s="730">
        <f t="shared" si="65"/>
        <v>0</v>
      </c>
      <c r="R240" s="727">
        <f t="shared" si="65"/>
        <v>0</v>
      </c>
      <c r="S240" s="645"/>
      <c r="T240" s="569"/>
      <c r="U240" s="569"/>
      <c r="V240" s="569"/>
      <c r="W240" s="569"/>
      <c r="X240" s="569"/>
      <c r="Y240" s="569"/>
      <c r="Z240" s="569"/>
      <c r="AA240" s="569"/>
      <c r="AB240" s="569"/>
    </row>
    <row r="241" spans="1:28" s="105" customFormat="1" ht="30.75" hidden="1" customHeight="1" x14ac:dyDescent="0.25">
      <c r="A241" s="4770"/>
      <c r="B241" s="729"/>
      <c r="C241" s="3861"/>
      <c r="D241" s="3861"/>
      <c r="E241" s="2140">
        <f t="shared" si="64"/>
        <v>0</v>
      </c>
      <c r="F241" s="725">
        <f t="shared" si="65"/>
        <v>0</v>
      </c>
      <c r="G241" s="725">
        <f t="shared" si="65"/>
        <v>0</v>
      </c>
      <c r="H241" s="725">
        <f t="shared" si="65"/>
        <v>0</v>
      </c>
      <c r="I241" s="725">
        <f t="shared" si="65"/>
        <v>0</v>
      </c>
      <c r="J241" s="725">
        <f t="shared" si="65"/>
        <v>0</v>
      </c>
      <c r="K241" s="725">
        <f t="shared" si="65"/>
        <v>0</v>
      </c>
      <c r="L241" s="725">
        <f t="shared" si="65"/>
        <v>0</v>
      </c>
      <c r="M241" s="725">
        <f t="shared" si="65"/>
        <v>0</v>
      </c>
      <c r="N241" s="725">
        <f t="shared" si="65"/>
        <v>0</v>
      </c>
      <c r="O241" s="730">
        <f t="shared" si="65"/>
        <v>0</v>
      </c>
      <c r="P241" s="730">
        <f t="shared" si="65"/>
        <v>0</v>
      </c>
      <c r="Q241" s="730">
        <f t="shared" si="65"/>
        <v>0</v>
      </c>
      <c r="R241" s="727">
        <f t="shared" si="65"/>
        <v>0</v>
      </c>
      <c r="S241" s="645"/>
      <c r="T241" s="569"/>
      <c r="U241" s="569"/>
      <c r="V241" s="569"/>
      <c r="W241" s="569"/>
      <c r="X241" s="569"/>
      <c r="Y241" s="569"/>
      <c r="Z241" s="569"/>
      <c r="AA241" s="569"/>
      <c r="AB241" s="569"/>
    </row>
    <row r="242" spans="1:28" s="105" customFormat="1" ht="30.75" hidden="1" customHeight="1" x14ac:dyDescent="0.25">
      <c r="A242" s="4770"/>
      <c r="B242" s="729"/>
      <c r="C242" s="3861"/>
      <c r="D242" s="3861"/>
      <c r="E242" s="2140">
        <f t="shared" si="64"/>
        <v>0</v>
      </c>
      <c r="F242" s="725">
        <f t="shared" si="65"/>
        <v>0</v>
      </c>
      <c r="G242" s="725">
        <f t="shared" si="65"/>
        <v>0</v>
      </c>
      <c r="H242" s="725">
        <f t="shared" si="65"/>
        <v>0</v>
      </c>
      <c r="I242" s="725">
        <f t="shared" si="65"/>
        <v>0</v>
      </c>
      <c r="J242" s="725">
        <f t="shared" si="65"/>
        <v>0</v>
      </c>
      <c r="K242" s="725">
        <f t="shared" si="65"/>
        <v>0</v>
      </c>
      <c r="L242" s="725">
        <f t="shared" si="65"/>
        <v>0</v>
      </c>
      <c r="M242" s="725">
        <f t="shared" si="65"/>
        <v>0</v>
      </c>
      <c r="N242" s="725">
        <f t="shared" si="65"/>
        <v>0</v>
      </c>
      <c r="O242" s="730">
        <f t="shared" si="65"/>
        <v>0</v>
      </c>
      <c r="P242" s="730">
        <f t="shared" si="65"/>
        <v>0</v>
      </c>
      <c r="Q242" s="730">
        <f t="shared" si="65"/>
        <v>0</v>
      </c>
      <c r="R242" s="727">
        <f t="shared" si="65"/>
        <v>0</v>
      </c>
      <c r="S242" s="645"/>
      <c r="T242" s="569"/>
      <c r="U242" s="569"/>
      <c r="V242" s="569"/>
      <c r="W242" s="569"/>
      <c r="X242" s="569"/>
      <c r="Y242" s="569"/>
      <c r="Z242" s="569"/>
      <c r="AA242" s="569"/>
      <c r="AB242" s="569"/>
    </row>
    <row r="243" spans="1:28" s="105" customFormat="1" ht="30.75" hidden="1" customHeight="1" x14ac:dyDescent="0.25">
      <c r="A243" s="4770"/>
      <c r="B243" s="729"/>
      <c r="C243" s="3861"/>
      <c r="D243" s="3861"/>
      <c r="E243" s="2140">
        <f t="shared" si="64"/>
        <v>0</v>
      </c>
      <c r="F243" s="725">
        <f t="shared" si="65"/>
        <v>0</v>
      </c>
      <c r="G243" s="725">
        <f t="shared" si="65"/>
        <v>0</v>
      </c>
      <c r="H243" s="725">
        <f t="shared" si="65"/>
        <v>0</v>
      </c>
      <c r="I243" s="725">
        <f t="shared" si="65"/>
        <v>0</v>
      </c>
      <c r="J243" s="725">
        <f t="shared" si="65"/>
        <v>0</v>
      </c>
      <c r="K243" s="725">
        <f t="shared" si="65"/>
        <v>0</v>
      </c>
      <c r="L243" s="725">
        <f t="shared" si="65"/>
        <v>0</v>
      </c>
      <c r="M243" s="725">
        <f t="shared" si="65"/>
        <v>0</v>
      </c>
      <c r="N243" s="725">
        <f t="shared" si="65"/>
        <v>0</v>
      </c>
      <c r="O243" s="730">
        <f t="shared" si="65"/>
        <v>0</v>
      </c>
      <c r="P243" s="730">
        <f t="shared" si="65"/>
        <v>0</v>
      </c>
      <c r="Q243" s="730">
        <f t="shared" si="65"/>
        <v>0</v>
      </c>
      <c r="R243" s="727">
        <f t="shared" si="65"/>
        <v>0</v>
      </c>
      <c r="S243" s="645"/>
      <c r="T243" s="569"/>
      <c r="U243" s="569"/>
      <c r="V243" s="569"/>
      <c r="W243" s="569"/>
      <c r="X243" s="569"/>
      <c r="Y243" s="569"/>
      <c r="Z243" s="569"/>
      <c r="AA243" s="569"/>
      <c r="AB243" s="569"/>
    </row>
    <row r="244" spans="1:28" s="105" customFormat="1" ht="30.75" hidden="1" customHeight="1" x14ac:dyDescent="0.25">
      <c r="A244" s="4770"/>
      <c r="B244" s="729"/>
      <c r="C244" s="3861"/>
      <c r="D244" s="3861"/>
      <c r="E244" s="2140">
        <f t="shared" si="64"/>
        <v>0</v>
      </c>
      <c r="F244" s="725">
        <f t="shared" si="65"/>
        <v>0</v>
      </c>
      <c r="G244" s="725">
        <f t="shared" si="65"/>
        <v>0</v>
      </c>
      <c r="H244" s="725">
        <f t="shared" si="65"/>
        <v>0</v>
      </c>
      <c r="I244" s="725">
        <f t="shared" si="65"/>
        <v>0</v>
      </c>
      <c r="J244" s="725">
        <f t="shared" si="65"/>
        <v>0</v>
      </c>
      <c r="K244" s="725">
        <f t="shared" si="65"/>
        <v>0</v>
      </c>
      <c r="L244" s="725">
        <f t="shared" si="65"/>
        <v>0</v>
      </c>
      <c r="M244" s="725">
        <f t="shared" si="65"/>
        <v>0</v>
      </c>
      <c r="N244" s="725">
        <f t="shared" si="65"/>
        <v>0</v>
      </c>
      <c r="O244" s="730">
        <f t="shared" si="65"/>
        <v>0</v>
      </c>
      <c r="P244" s="730">
        <f t="shared" si="65"/>
        <v>0</v>
      </c>
      <c r="Q244" s="730">
        <f t="shared" si="65"/>
        <v>0</v>
      </c>
      <c r="R244" s="727">
        <f t="shared" si="65"/>
        <v>0</v>
      </c>
      <c r="S244" s="645"/>
      <c r="T244" s="569"/>
      <c r="U244" s="569"/>
      <c r="V244" s="569"/>
      <c r="W244" s="569"/>
      <c r="X244" s="569"/>
      <c r="Y244" s="569"/>
      <c r="Z244" s="569"/>
      <c r="AA244" s="569"/>
      <c r="AB244" s="569"/>
    </row>
    <row r="245" spans="1:28" s="105" customFormat="1" ht="30.75" hidden="1" customHeight="1" x14ac:dyDescent="0.25">
      <c r="A245" s="4770"/>
      <c r="B245" s="729"/>
      <c r="C245" s="3861"/>
      <c r="D245" s="3861"/>
      <c r="E245" s="2140">
        <f t="shared" si="64"/>
        <v>0</v>
      </c>
      <c r="F245" s="725">
        <f t="shared" si="65"/>
        <v>0</v>
      </c>
      <c r="G245" s="725">
        <f t="shared" si="65"/>
        <v>0</v>
      </c>
      <c r="H245" s="725">
        <f t="shared" si="65"/>
        <v>0</v>
      </c>
      <c r="I245" s="725">
        <f t="shared" si="65"/>
        <v>0</v>
      </c>
      <c r="J245" s="725">
        <f t="shared" si="65"/>
        <v>0</v>
      </c>
      <c r="K245" s="725">
        <f t="shared" si="65"/>
        <v>0</v>
      </c>
      <c r="L245" s="725">
        <f t="shared" si="65"/>
        <v>0</v>
      </c>
      <c r="M245" s="725">
        <f t="shared" si="65"/>
        <v>0</v>
      </c>
      <c r="N245" s="725">
        <f t="shared" si="65"/>
        <v>0</v>
      </c>
      <c r="O245" s="730">
        <f t="shared" si="65"/>
        <v>0</v>
      </c>
      <c r="P245" s="730">
        <f t="shared" si="65"/>
        <v>0</v>
      </c>
      <c r="Q245" s="730">
        <f t="shared" si="65"/>
        <v>0</v>
      </c>
      <c r="R245" s="727">
        <f t="shared" si="65"/>
        <v>0</v>
      </c>
      <c r="S245" s="645"/>
      <c r="T245" s="569"/>
      <c r="U245" s="569"/>
      <c r="V245" s="569"/>
      <c r="W245" s="569"/>
      <c r="X245" s="569"/>
      <c r="Y245" s="569"/>
      <c r="Z245" s="569"/>
      <c r="AA245" s="569"/>
      <c r="AB245" s="569"/>
    </row>
    <row r="246" spans="1:28" s="105" customFormat="1" ht="30.75" hidden="1" customHeight="1" x14ac:dyDescent="0.25">
      <c r="A246" s="4770"/>
      <c r="B246" s="729"/>
      <c r="C246" s="3861"/>
      <c r="D246" s="3861"/>
      <c r="E246" s="2140">
        <f t="shared" si="64"/>
        <v>0</v>
      </c>
      <c r="F246" s="725">
        <f t="shared" si="65"/>
        <v>0</v>
      </c>
      <c r="G246" s="725">
        <f t="shared" si="65"/>
        <v>0</v>
      </c>
      <c r="H246" s="725">
        <f t="shared" si="65"/>
        <v>0</v>
      </c>
      <c r="I246" s="725">
        <f t="shared" si="65"/>
        <v>0</v>
      </c>
      <c r="J246" s="725">
        <f t="shared" si="65"/>
        <v>0</v>
      </c>
      <c r="K246" s="725">
        <f t="shared" si="65"/>
        <v>0</v>
      </c>
      <c r="L246" s="725">
        <f t="shared" si="65"/>
        <v>0</v>
      </c>
      <c r="M246" s="725">
        <f t="shared" si="65"/>
        <v>0</v>
      </c>
      <c r="N246" s="725">
        <f t="shared" si="65"/>
        <v>0</v>
      </c>
      <c r="O246" s="730">
        <f t="shared" si="65"/>
        <v>0</v>
      </c>
      <c r="P246" s="730">
        <f t="shared" si="65"/>
        <v>0</v>
      </c>
      <c r="Q246" s="730">
        <f t="shared" si="65"/>
        <v>0</v>
      </c>
      <c r="R246" s="727">
        <f t="shared" si="65"/>
        <v>0</v>
      </c>
      <c r="S246" s="645"/>
      <c r="T246" s="569"/>
      <c r="U246" s="569"/>
      <c r="V246" s="569"/>
      <c r="W246" s="569"/>
      <c r="X246" s="569"/>
      <c r="Y246" s="569"/>
      <c r="Z246" s="569"/>
      <c r="AA246" s="569"/>
      <c r="AB246" s="569"/>
    </row>
    <row r="247" spans="1:28" s="105" customFormat="1" ht="30.75" hidden="1" customHeight="1" x14ac:dyDescent="0.2">
      <c r="A247" s="4770"/>
      <c r="B247" s="731"/>
      <c r="C247" s="3861" t="s">
        <v>558</v>
      </c>
      <c r="D247" s="3861"/>
      <c r="E247" s="2141"/>
      <c r="G247" s="732"/>
      <c r="H247" s="732"/>
      <c r="I247" s="732"/>
      <c r="L247" s="733"/>
      <c r="M247" s="733"/>
      <c r="N247" s="733"/>
      <c r="O247" s="645"/>
      <c r="P247" s="645"/>
      <c r="Q247" s="645"/>
      <c r="R247" s="734"/>
      <c r="S247" s="645"/>
      <c r="T247" s="569"/>
      <c r="U247" s="569"/>
      <c r="V247" s="569"/>
      <c r="W247" s="569"/>
      <c r="X247" s="569"/>
      <c r="Y247" s="569"/>
      <c r="Z247" s="569"/>
      <c r="AA247" s="569"/>
      <c r="AB247" s="569"/>
    </row>
    <row r="248" spans="1:28" s="105" customFormat="1" ht="30.75" hidden="1" customHeight="1" x14ac:dyDescent="0.2">
      <c r="A248" s="4770"/>
      <c r="B248" s="729"/>
      <c r="C248" s="3861" t="s">
        <v>559</v>
      </c>
      <c r="D248" s="3861"/>
      <c r="E248" s="2141"/>
      <c r="G248" s="732"/>
      <c r="H248" s="732"/>
      <c r="I248" s="732"/>
      <c r="L248" s="733"/>
      <c r="M248" s="733"/>
      <c r="N248" s="733"/>
      <c r="O248" s="645"/>
      <c r="P248" s="645"/>
      <c r="Q248" s="645"/>
      <c r="R248" s="734"/>
      <c r="S248" s="645"/>
      <c r="T248" s="569"/>
      <c r="U248" s="569"/>
      <c r="V248" s="569"/>
      <c r="W248" s="569"/>
      <c r="X248" s="569"/>
      <c r="Y248" s="569"/>
      <c r="Z248" s="569"/>
      <c r="AA248" s="569"/>
      <c r="AB248" s="569"/>
    </row>
    <row r="249" spans="1:28" s="105" customFormat="1" ht="30.75" hidden="1" customHeight="1" x14ac:dyDescent="0.2">
      <c r="A249" s="4770"/>
      <c r="B249" s="724"/>
      <c r="C249" s="3861" t="s">
        <v>560</v>
      </c>
      <c r="D249" s="3861"/>
      <c r="E249" s="2123"/>
      <c r="G249" s="732"/>
      <c r="H249" s="732"/>
      <c r="I249" s="732"/>
      <c r="L249" s="733"/>
      <c r="M249" s="733"/>
      <c r="N249" s="733"/>
      <c r="O249" s="645"/>
      <c r="P249" s="645"/>
      <c r="Q249" s="645"/>
      <c r="R249" s="734"/>
      <c r="S249" s="645"/>
      <c r="T249" s="569"/>
      <c r="U249" s="569"/>
      <c r="V249" s="569"/>
      <c r="W249" s="569"/>
      <c r="X249" s="569"/>
      <c r="Y249" s="569"/>
      <c r="Z249" s="569"/>
      <c r="AA249" s="569"/>
      <c r="AB249" s="569"/>
    </row>
    <row r="250" spans="1:28" s="105" customFormat="1" ht="30.75" hidden="1" customHeight="1" x14ac:dyDescent="0.2">
      <c r="A250" s="735"/>
      <c r="B250" s="736"/>
      <c r="C250" s="2142"/>
      <c r="D250" s="2142"/>
      <c r="E250" s="2142"/>
      <c r="G250" s="732"/>
      <c r="H250" s="732"/>
      <c r="I250" s="732"/>
      <c r="L250" s="733"/>
      <c r="M250" s="733"/>
      <c r="N250" s="733"/>
      <c r="O250" s="645"/>
      <c r="P250" s="645"/>
      <c r="Q250" s="645"/>
      <c r="R250" s="734"/>
      <c r="S250" s="645"/>
      <c r="T250" s="569"/>
      <c r="U250" s="569"/>
      <c r="V250" s="569"/>
      <c r="W250" s="569"/>
      <c r="X250" s="569"/>
      <c r="Y250" s="569"/>
      <c r="Z250" s="569"/>
      <c r="AA250" s="569"/>
      <c r="AB250" s="569"/>
    </row>
    <row r="251" spans="1:28" s="105" customFormat="1" ht="30.75" hidden="1" customHeight="1" x14ac:dyDescent="0.3">
      <c r="A251" s="4770" t="s">
        <v>147</v>
      </c>
      <c r="B251" s="724"/>
      <c r="C251" s="3883" t="s">
        <v>555</v>
      </c>
      <c r="D251" s="3883"/>
      <c r="E251" s="2123"/>
      <c r="F251" s="2224">
        <f t="shared" ref="F251:R251" si="66">F171+F182+F193+F204+F216</f>
        <v>0</v>
      </c>
      <c r="G251" s="2224">
        <f t="shared" si="66"/>
        <v>0</v>
      </c>
      <c r="H251" s="2224">
        <f t="shared" si="66"/>
        <v>0</v>
      </c>
      <c r="I251" s="2224">
        <f t="shared" si="66"/>
        <v>0</v>
      </c>
      <c r="J251" s="2224">
        <f t="shared" si="66"/>
        <v>0</v>
      </c>
      <c r="K251" s="2224">
        <f t="shared" si="66"/>
        <v>0</v>
      </c>
      <c r="L251" s="2224">
        <f t="shared" si="66"/>
        <v>0</v>
      </c>
      <c r="M251" s="2224">
        <f t="shared" si="66"/>
        <v>0</v>
      </c>
      <c r="N251" s="2224">
        <f t="shared" si="66"/>
        <v>0</v>
      </c>
      <c r="O251" s="2225">
        <f t="shared" si="66"/>
        <v>0</v>
      </c>
      <c r="P251" s="2225">
        <f t="shared" si="66"/>
        <v>0</v>
      </c>
      <c r="Q251" s="2225">
        <f t="shared" si="66"/>
        <v>0</v>
      </c>
      <c r="R251" s="2226">
        <f t="shared" si="66"/>
        <v>0</v>
      </c>
      <c r="S251" s="645"/>
      <c r="T251" s="569"/>
      <c r="U251" s="569"/>
      <c r="V251" s="569"/>
      <c r="W251" s="569"/>
      <c r="X251" s="569"/>
      <c r="Y251" s="569"/>
      <c r="Z251" s="569"/>
      <c r="AA251" s="569"/>
      <c r="AB251" s="569"/>
    </row>
    <row r="252" spans="1:28" s="105" customFormat="1" ht="30.75" hidden="1" customHeight="1" x14ac:dyDescent="0.3">
      <c r="A252" s="4770"/>
      <c r="B252" s="724"/>
      <c r="C252" s="4771" t="s">
        <v>556</v>
      </c>
      <c r="D252" s="4771"/>
      <c r="E252" s="2123"/>
      <c r="F252" s="2227" t="e">
        <f>+F215</f>
        <v>#REF!</v>
      </c>
      <c r="G252" s="2227" t="e">
        <f t="shared" ref="G252:R252" si="67">+G215</f>
        <v>#REF!</v>
      </c>
      <c r="H252" s="2227" t="e">
        <f t="shared" si="67"/>
        <v>#REF!</v>
      </c>
      <c r="I252" s="2227" t="e">
        <f t="shared" si="67"/>
        <v>#REF!</v>
      </c>
      <c r="J252" s="2227" t="e">
        <f t="shared" si="67"/>
        <v>#REF!</v>
      </c>
      <c r="K252" s="2227" t="e">
        <f t="shared" si="67"/>
        <v>#REF!</v>
      </c>
      <c r="L252" s="2227" t="e">
        <f t="shared" si="67"/>
        <v>#REF!</v>
      </c>
      <c r="M252" s="2227" t="e">
        <f t="shared" si="67"/>
        <v>#REF!</v>
      </c>
      <c r="N252" s="2227" t="e">
        <f t="shared" si="67"/>
        <v>#REF!</v>
      </c>
      <c r="O252" s="2225" t="e">
        <f t="shared" si="67"/>
        <v>#REF!</v>
      </c>
      <c r="P252" s="2225" t="e">
        <f t="shared" si="67"/>
        <v>#REF!</v>
      </c>
      <c r="Q252" s="2225" t="e">
        <f t="shared" si="67"/>
        <v>#REF!</v>
      </c>
      <c r="R252" s="2225" t="e">
        <f t="shared" si="67"/>
        <v>#REF!</v>
      </c>
      <c r="S252" s="645"/>
      <c r="T252" s="569"/>
      <c r="U252" s="569"/>
      <c r="V252" s="569"/>
      <c r="W252" s="569"/>
      <c r="X252" s="569"/>
      <c r="Y252" s="569"/>
      <c r="Z252" s="569"/>
      <c r="AA252" s="569"/>
      <c r="AB252" s="569"/>
    </row>
    <row r="253" spans="1:28" s="105" customFormat="1" ht="30.75" hidden="1" customHeight="1" x14ac:dyDescent="0.25">
      <c r="A253" s="4770"/>
      <c r="B253" s="729"/>
      <c r="C253" s="4772" t="s">
        <v>561</v>
      </c>
      <c r="D253" s="4773"/>
      <c r="E253" s="2140" t="str">
        <f t="shared" ref="E253:E262" si="68">E17</f>
        <v>642020   Servicios de comunicación por medio de teléfono, telégrafo y téfex f"J</v>
      </c>
      <c r="F253" s="26">
        <f t="shared" ref="F253:R262" si="69">F172+F183+F194+F205</f>
        <v>0</v>
      </c>
      <c r="G253" s="26">
        <f t="shared" si="69"/>
        <v>0</v>
      </c>
      <c r="H253" s="26">
        <f t="shared" si="69"/>
        <v>0</v>
      </c>
      <c r="I253" s="26">
        <f t="shared" si="69"/>
        <v>0</v>
      </c>
      <c r="J253" s="26">
        <f t="shared" si="69"/>
        <v>0</v>
      </c>
      <c r="K253" s="26">
        <f t="shared" si="69"/>
        <v>0</v>
      </c>
      <c r="L253" s="26">
        <f t="shared" si="69"/>
        <v>0</v>
      </c>
      <c r="M253" s="26">
        <f t="shared" si="69"/>
        <v>0</v>
      </c>
      <c r="N253" s="26">
        <f t="shared" si="69"/>
        <v>0</v>
      </c>
      <c r="O253" s="738">
        <f t="shared" si="69"/>
        <v>0</v>
      </c>
      <c r="P253" s="738">
        <f t="shared" si="69"/>
        <v>0</v>
      </c>
      <c r="Q253" s="738">
        <f t="shared" si="69"/>
        <v>0</v>
      </c>
      <c r="R253" s="739">
        <f t="shared" si="69"/>
        <v>0</v>
      </c>
      <c r="S253" s="645"/>
      <c r="T253" s="569"/>
      <c r="U253" s="569"/>
      <c r="V253" s="569"/>
      <c r="W253" s="569"/>
      <c r="X253" s="569"/>
      <c r="Y253" s="569"/>
      <c r="Z253" s="569"/>
      <c r="AA253" s="569"/>
      <c r="AB253" s="569"/>
    </row>
    <row r="254" spans="1:28" s="105" customFormat="1" ht="30.75" hidden="1" customHeight="1" x14ac:dyDescent="0.25">
      <c r="A254" s="4770"/>
      <c r="B254" s="729"/>
      <c r="C254" s="4774"/>
      <c r="D254" s="4775"/>
      <c r="E254" s="2140" t="str">
        <f t="shared" si="68"/>
        <v>652130   Servicios de la banca minorista</v>
      </c>
      <c r="F254" s="737">
        <f t="shared" si="69"/>
        <v>0</v>
      </c>
      <c r="G254" s="737">
        <f t="shared" si="69"/>
        <v>0</v>
      </c>
      <c r="H254" s="737">
        <f t="shared" si="69"/>
        <v>0</v>
      </c>
      <c r="I254" s="737">
        <f t="shared" si="69"/>
        <v>0</v>
      </c>
      <c r="J254" s="737">
        <f t="shared" si="69"/>
        <v>0</v>
      </c>
      <c r="K254" s="737">
        <f t="shared" si="69"/>
        <v>0</v>
      </c>
      <c r="L254" s="737">
        <f t="shared" si="69"/>
        <v>0</v>
      </c>
      <c r="M254" s="737">
        <f t="shared" si="69"/>
        <v>0</v>
      </c>
      <c r="N254" s="737">
        <f t="shared" si="69"/>
        <v>0</v>
      </c>
      <c r="O254" s="738">
        <f t="shared" si="69"/>
        <v>0</v>
      </c>
      <c r="P254" s="738">
        <f t="shared" si="69"/>
        <v>0</v>
      </c>
      <c r="Q254" s="738">
        <f t="shared" si="69"/>
        <v>0</v>
      </c>
      <c r="R254" s="739">
        <f t="shared" si="69"/>
        <v>0</v>
      </c>
      <c r="S254" s="645"/>
      <c r="T254" s="569"/>
      <c r="U254" s="569"/>
      <c r="V254" s="569"/>
      <c r="W254" s="569"/>
      <c r="X254" s="569"/>
      <c r="Y254" s="569"/>
      <c r="Z254" s="569"/>
      <c r="AA254" s="569"/>
      <c r="AB254" s="569"/>
    </row>
    <row r="255" spans="1:28" s="105" customFormat="1" ht="30.75" hidden="1" customHeight="1" x14ac:dyDescent="0.25">
      <c r="A255" s="4770"/>
      <c r="B255" s="729"/>
      <c r="C255" s="4774"/>
      <c r="D255" s="4775"/>
      <c r="E255" s="2140">
        <f t="shared" si="68"/>
        <v>0</v>
      </c>
      <c r="F255" s="737">
        <f t="shared" si="69"/>
        <v>0</v>
      </c>
      <c r="G255" s="737">
        <f t="shared" si="69"/>
        <v>0</v>
      </c>
      <c r="H255" s="737">
        <f t="shared" si="69"/>
        <v>0</v>
      </c>
      <c r="I255" s="737">
        <f t="shared" si="69"/>
        <v>0</v>
      </c>
      <c r="J255" s="737">
        <f t="shared" si="69"/>
        <v>0</v>
      </c>
      <c r="K255" s="737">
        <f t="shared" si="69"/>
        <v>0</v>
      </c>
      <c r="L255" s="737">
        <f t="shared" si="69"/>
        <v>0</v>
      </c>
      <c r="M255" s="737">
        <f t="shared" si="69"/>
        <v>0</v>
      </c>
      <c r="N255" s="737">
        <f t="shared" si="69"/>
        <v>0</v>
      </c>
      <c r="O255" s="738">
        <f t="shared" si="69"/>
        <v>0</v>
      </c>
      <c r="P255" s="738">
        <f t="shared" si="69"/>
        <v>0</v>
      </c>
      <c r="Q255" s="738">
        <f t="shared" si="69"/>
        <v>0</v>
      </c>
      <c r="R255" s="739">
        <f t="shared" si="69"/>
        <v>0</v>
      </c>
      <c r="S255" s="645"/>
      <c r="T255" s="569"/>
      <c r="U255" s="569"/>
      <c r="V255" s="569"/>
      <c r="W255" s="569"/>
      <c r="X255" s="569"/>
      <c r="Y255" s="569"/>
      <c r="Z255" s="569"/>
      <c r="AA255" s="569"/>
      <c r="AB255" s="569"/>
    </row>
    <row r="256" spans="1:28" s="105" customFormat="1" ht="30.75" hidden="1" customHeight="1" x14ac:dyDescent="0.25">
      <c r="A256" s="4770"/>
      <c r="B256" s="729"/>
      <c r="C256" s="4774"/>
      <c r="D256" s="4775"/>
      <c r="E256" s="2140">
        <f t="shared" si="68"/>
        <v>0</v>
      </c>
      <c r="F256" s="737">
        <f t="shared" si="69"/>
        <v>0</v>
      </c>
      <c r="G256" s="737">
        <f t="shared" si="69"/>
        <v>0</v>
      </c>
      <c r="H256" s="737">
        <f t="shared" si="69"/>
        <v>0</v>
      </c>
      <c r="I256" s="737">
        <f t="shared" si="69"/>
        <v>0</v>
      </c>
      <c r="J256" s="737">
        <f t="shared" si="69"/>
        <v>0</v>
      </c>
      <c r="K256" s="737">
        <f t="shared" si="69"/>
        <v>0</v>
      </c>
      <c r="L256" s="737">
        <f t="shared" si="69"/>
        <v>0</v>
      </c>
      <c r="M256" s="737">
        <f t="shared" si="69"/>
        <v>0</v>
      </c>
      <c r="N256" s="737">
        <f t="shared" si="69"/>
        <v>0</v>
      </c>
      <c r="O256" s="738">
        <f t="shared" si="69"/>
        <v>0</v>
      </c>
      <c r="P256" s="738">
        <f t="shared" si="69"/>
        <v>0</v>
      </c>
      <c r="Q256" s="738">
        <f t="shared" si="69"/>
        <v>0</v>
      </c>
      <c r="R256" s="739">
        <f t="shared" si="69"/>
        <v>0</v>
      </c>
      <c r="S256" s="645"/>
      <c r="T256" s="569"/>
      <c r="U256" s="569"/>
      <c r="V256" s="569"/>
      <c r="W256" s="569"/>
      <c r="X256" s="569"/>
      <c r="Y256" s="569"/>
      <c r="Z256" s="569"/>
      <c r="AA256" s="569"/>
      <c r="AB256" s="569"/>
    </row>
    <row r="257" spans="1:196" s="105" customFormat="1" ht="30.75" hidden="1" customHeight="1" x14ac:dyDescent="0.25">
      <c r="A257" s="4770"/>
      <c r="B257" s="729"/>
      <c r="C257" s="4774"/>
      <c r="D257" s="4775"/>
      <c r="E257" s="2140">
        <f t="shared" si="68"/>
        <v>0</v>
      </c>
      <c r="F257" s="737">
        <f t="shared" si="69"/>
        <v>0</v>
      </c>
      <c r="G257" s="737">
        <f t="shared" si="69"/>
        <v>0</v>
      </c>
      <c r="H257" s="737">
        <f t="shared" si="69"/>
        <v>0</v>
      </c>
      <c r="I257" s="737">
        <f t="shared" si="69"/>
        <v>0</v>
      </c>
      <c r="J257" s="737">
        <f t="shared" si="69"/>
        <v>0</v>
      </c>
      <c r="K257" s="737">
        <f t="shared" si="69"/>
        <v>0</v>
      </c>
      <c r="L257" s="737">
        <f t="shared" si="69"/>
        <v>0</v>
      </c>
      <c r="M257" s="737">
        <f t="shared" si="69"/>
        <v>0</v>
      </c>
      <c r="N257" s="737">
        <f t="shared" si="69"/>
        <v>0</v>
      </c>
      <c r="O257" s="738">
        <f t="shared" si="69"/>
        <v>0</v>
      </c>
      <c r="P257" s="738">
        <f t="shared" si="69"/>
        <v>0</v>
      </c>
      <c r="Q257" s="738">
        <f t="shared" si="69"/>
        <v>0</v>
      </c>
      <c r="R257" s="739">
        <f t="shared" si="69"/>
        <v>0</v>
      </c>
      <c r="S257" s="645"/>
      <c r="T257" s="569"/>
      <c r="U257" s="569"/>
      <c r="V257" s="569"/>
      <c r="W257" s="569"/>
      <c r="X257" s="569"/>
      <c r="Y257" s="569"/>
      <c r="Z257" s="569"/>
      <c r="AA257" s="569"/>
      <c r="AB257" s="569"/>
    </row>
    <row r="258" spans="1:196" s="105" customFormat="1" ht="30.75" hidden="1" customHeight="1" x14ac:dyDescent="0.25">
      <c r="A258" s="4770"/>
      <c r="B258" s="729"/>
      <c r="C258" s="4774"/>
      <c r="D258" s="4775"/>
      <c r="E258" s="2140">
        <f t="shared" si="68"/>
        <v>0</v>
      </c>
      <c r="F258" s="737">
        <f t="shared" si="69"/>
        <v>0</v>
      </c>
      <c r="G258" s="737">
        <f t="shared" si="69"/>
        <v>0</v>
      </c>
      <c r="H258" s="737">
        <f t="shared" si="69"/>
        <v>0</v>
      </c>
      <c r="I258" s="737">
        <f t="shared" si="69"/>
        <v>0</v>
      </c>
      <c r="J258" s="737">
        <f t="shared" si="69"/>
        <v>0</v>
      </c>
      <c r="K258" s="737">
        <f t="shared" si="69"/>
        <v>0</v>
      </c>
      <c r="L258" s="737">
        <f t="shared" si="69"/>
        <v>0</v>
      </c>
      <c r="M258" s="737">
        <f t="shared" si="69"/>
        <v>0</v>
      </c>
      <c r="N258" s="737">
        <f t="shared" si="69"/>
        <v>0</v>
      </c>
      <c r="O258" s="738">
        <f t="shared" si="69"/>
        <v>0</v>
      </c>
      <c r="P258" s="738">
        <f t="shared" si="69"/>
        <v>0</v>
      </c>
      <c r="Q258" s="738">
        <f t="shared" si="69"/>
        <v>0</v>
      </c>
      <c r="R258" s="739">
        <f t="shared" si="69"/>
        <v>0</v>
      </c>
      <c r="S258" s="645"/>
      <c r="T258" s="569"/>
      <c r="U258" s="569"/>
      <c r="V258" s="569"/>
      <c r="W258" s="569"/>
      <c r="X258" s="569"/>
      <c r="Y258" s="569"/>
      <c r="Z258" s="569"/>
      <c r="AA258" s="569"/>
      <c r="AB258" s="569"/>
    </row>
    <row r="259" spans="1:196" s="105" customFormat="1" ht="30.75" hidden="1" customHeight="1" x14ac:dyDescent="0.25">
      <c r="A259" s="4770"/>
      <c r="B259" s="729"/>
      <c r="C259" s="4774"/>
      <c r="D259" s="4775"/>
      <c r="E259" s="2140">
        <f t="shared" si="68"/>
        <v>0</v>
      </c>
      <c r="F259" s="737">
        <f t="shared" si="69"/>
        <v>0</v>
      </c>
      <c r="G259" s="737">
        <f t="shared" si="69"/>
        <v>0</v>
      </c>
      <c r="H259" s="737">
        <f t="shared" si="69"/>
        <v>0</v>
      </c>
      <c r="I259" s="737">
        <f t="shared" si="69"/>
        <v>0</v>
      </c>
      <c r="J259" s="737">
        <f t="shared" si="69"/>
        <v>0</v>
      </c>
      <c r="K259" s="737">
        <f t="shared" si="69"/>
        <v>0</v>
      </c>
      <c r="L259" s="737">
        <f t="shared" si="69"/>
        <v>0</v>
      </c>
      <c r="M259" s="737">
        <f t="shared" si="69"/>
        <v>0</v>
      </c>
      <c r="N259" s="737">
        <f t="shared" si="69"/>
        <v>0</v>
      </c>
      <c r="O259" s="738">
        <f t="shared" si="69"/>
        <v>0</v>
      </c>
      <c r="P259" s="738">
        <f t="shared" si="69"/>
        <v>0</v>
      </c>
      <c r="Q259" s="738">
        <f t="shared" si="69"/>
        <v>0</v>
      </c>
      <c r="R259" s="739">
        <f t="shared" si="69"/>
        <v>0</v>
      </c>
      <c r="S259" s="645"/>
      <c r="T259" s="569"/>
      <c r="U259" s="569"/>
      <c r="V259" s="569"/>
      <c r="W259" s="569"/>
      <c r="X259" s="569"/>
      <c r="Y259" s="569"/>
      <c r="Z259" s="569"/>
      <c r="AA259" s="569"/>
      <c r="AB259" s="569"/>
    </row>
    <row r="260" spans="1:196" s="105" customFormat="1" ht="30.75" hidden="1" customHeight="1" x14ac:dyDescent="0.25">
      <c r="A260" s="4770"/>
      <c r="B260" s="729"/>
      <c r="C260" s="4774"/>
      <c r="D260" s="4775"/>
      <c r="E260" s="2140">
        <f t="shared" si="68"/>
        <v>0</v>
      </c>
      <c r="F260" s="737">
        <f t="shared" si="69"/>
        <v>0</v>
      </c>
      <c r="G260" s="737">
        <f t="shared" si="69"/>
        <v>0</v>
      </c>
      <c r="H260" s="737">
        <f t="shared" si="69"/>
        <v>0</v>
      </c>
      <c r="I260" s="737">
        <f t="shared" si="69"/>
        <v>0</v>
      </c>
      <c r="J260" s="737">
        <f t="shared" si="69"/>
        <v>0</v>
      </c>
      <c r="K260" s="737">
        <f t="shared" si="69"/>
        <v>0</v>
      </c>
      <c r="L260" s="737">
        <f t="shared" si="69"/>
        <v>0</v>
      </c>
      <c r="M260" s="737">
        <f t="shared" si="69"/>
        <v>0</v>
      </c>
      <c r="N260" s="737">
        <f t="shared" si="69"/>
        <v>0</v>
      </c>
      <c r="O260" s="738">
        <f t="shared" si="69"/>
        <v>0</v>
      </c>
      <c r="P260" s="738">
        <f t="shared" si="69"/>
        <v>0</v>
      </c>
      <c r="Q260" s="738">
        <f t="shared" si="69"/>
        <v>0</v>
      </c>
      <c r="R260" s="739">
        <f t="shared" si="69"/>
        <v>0</v>
      </c>
      <c r="S260" s="645"/>
      <c r="T260" s="569"/>
      <c r="U260" s="569"/>
      <c r="V260" s="569"/>
      <c r="W260" s="569"/>
      <c r="X260" s="569"/>
      <c r="Y260" s="569"/>
      <c r="Z260" s="569"/>
      <c r="AA260" s="569"/>
      <c r="AB260" s="569"/>
    </row>
    <row r="261" spans="1:196" s="105" customFormat="1" ht="30.75" hidden="1" customHeight="1" x14ac:dyDescent="0.25">
      <c r="A261" s="4770"/>
      <c r="B261" s="729"/>
      <c r="C261" s="4774"/>
      <c r="D261" s="4775"/>
      <c r="E261" s="2140">
        <f t="shared" si="68"/>
        <v>0</v>
      </c>
      <c r="F261" s="737">
        <f t="shared" si="69"/>
        <v>0</v>
      </c>
      <c r="G261" s="737">
        <f t="shared" si="69"/>
        <v>0</v>
      </c>
      <c r="H261" s="737">
        <f t="shared" si="69"/>
        <v>0</v>
      </c>
      <c r="I261" s="737">
        <f t="shared" si="69"/>
        <v>0</v>
      </c>
      <c r="J261" s="737">
        <f t="shared" si="69"/>
        <v>0</v>
      </c>
      <c r="K261" s="737">
        <f t="shared" si="69"/>
        <v>0</v>
      </c>
      <c r="L261" s="737">
        <f t="shared" si="69"/>
        <v>0</v>
      </c>
      <c r="M261" s="737">
        <f t="shared" si="69"/>
        <v>0</v>
      </c>
      <c r="N261" s="737">
        <f t="shared" si="69"/>
        <v>0</v>
      </c>
      <c r="O261" s="738">
        <f t="shared" si="69"/>
        <v>0</v>
      </c>
      <c r="P261" s="738">
        <f t="shared" si="69"/>
        <v>0</v>
      </c>
      <c r="Q261" s="738">
        <f t="shared" si="69"/>
        <v>0</v>
      </c>
      <c r="R261" s="739">
        <f t="shared" si="69"/>
        <v>0</v>
      </c>
      <c r="S261" s="645"/>
      <c r="T261" s="569"/>
      <c r="U261" s="569"/>
      <c r="V261" s="569"/>
      <c r="W261" s="569"/>
      <c r="X261" s="569"/>
      <c r="Y261" s="569"/>
      <c r="Z261" s="569"/>
      <c r="AA261" s="569"/>
      <c r="AB261" s="569"/>
    </row>
    <row r="262" spans="1:196" s="105" customFormat="1" ht="30.75" hidden="1" customHeight="1" x14ac:dyDescent="0.25">
      <c r="A262" s="4770"/>
      <c r="B262" s="729"/>
      <c r="C262" s="4776"/>
      <c r="D262" s="4777"/>
      <c r="E262" s="2140">
        <f t="shared" si="68"/>
        <v>0</v>
      </c>
      <c r="F262" s="737">
        <f t="shared" si="69"/>
        <v>0</v>
      </c>
      <c r="G262" s="737">
        <f t="shared" si="69"/>
        <v>0</v>
      </c>
      <c r="H262" s="737">
        <f t="shared" si="69"/>
        <v>0</v>
      </c>
      <c r="I262" s="737">
        <f t="shared" si="69"/>
        <v>0</v>
      </c>
      <c r="J262" s="737">
        <f t="shared" si="69"/>
        <v>0</v>
      </c>
      <c r="K262" s="737">
        <f t="shared" si="69"/>
        <v>0</v>
      </c>
      <c r="L262" s="737">
        <f t="shared" si="69"/>
        <v>0</v>
      </c>
      <c r="M262" s="737">
        <f t="shared" si="69"/>
        <v>0</v>
      </c>
      <c r="N262" s="737">
        <f t="shared" si="69"/>
        <v>0</v>
      </c>
      <c r="O262" s="738">
        <f t="shared" si="69"/>
        <v>0</v>
      </c>
      <c r="P262" s="738">
        <f t="shared" si="69"/>
        <v>0</v>
      </c>
      <c r="Q262" s="738">
        <f t="shared" si="69"/>
        <v>0</v>
      </c>
      <c r="R262" s="739">
        <f t="shared" si="69"/>
        <v>0</v>
      </c>
      <c r="S262" s="645"/>
      <c r="T262" s="569"/>
      <c r="U262" s="569"/>
      <c r="V262" s="569"/>
      <c r="W262" s="569"/>
      <c r="X262" s="569"/>
      <c r="Y262" s="569"/>
      <c r="Z262" s="569"/>
      <c r="AA262" s="569"/>
      <c r="AB262" s="569"/>
    </row>
    <row r="263" spans="1:196" s="105" customFormat="1" ht="30.75" hidden="1" customHeight="1" x14ac:dyDescent="0.2">
      <c r="A263" s="4770"/>
      <c r="B263" s="731"/>
      <c r="C263" s="3861" t="s">
        <v>562</v>
      </c>
      <c r="D263" s="3861"/>
      <c r="E263" s="2141"/>
      <c r="G263" s="732"/>
      <c r="H263" s="732"/>
      <c r="I263" s="732"/>
      <c r="L263" s="733"/>
      <c r="M263" s="733"/>
      <c r="N263" s="733"/>
      <c r="O263" s="645"/>
      <c r="P263" s="645"/>
      <c r="Q263" s="645"/>
      <c r="R263" s="734"/>
      <c r="S263" s="645"/>
      <c r="T263" s="569"/>
      <c r="U263" s="569"/>
      <c r="V263" s="569"/>
      <c r="W263" s="569"/>
      <c r="X263" s="569"/>
      <c r="Y263" s="569"/>
      <c r="Z263" s="569"/>
      <c r="AA263" s="569"/>
      <c r="AB263" s="569"/>
    </row>
    <row r="264" spans="1:196" s="105" customFormat="1" ht="30.75" hidden="1" customHeight="1" x14ac:dyDescent="0.2">
      <c r="A264" s="4770"/>
      <c r="B264" s="729"/>
      <c r="C264" s="3861" t="s">
        <v>563</v>
      </c>
      <c r="D264" s="3861"/>
      <c r="E264" s="2141"/>
      <c r="G264" s="732"/>
      <c r="H264" s="732"/>
      <c r="I264" s="732"/>
      <c r="L264" s="733"/>
      <c r="M264" s="733"/>
      <c r="N264" s="733"/>
      <c r="O264" s="645"/>
      <c r="P264" s="645"/>
      <c r="Q264" s="645"/>
      <c r="R264" s="734"/>
      <c r="S264" s="645"/>
      <c r="T264" s="569"/>
      <c r="U264" s="569"/>
      <c r="V264" s="569"/>
      <c r="W264" s="569"/>
      <c r="X264" s="569"/>
      <c r="Y264" s="569"/>
      <c r="Z264" s="569"/>
      <c r="AA264" s="569"/>
      <c r="AB264" s="569"/>
    </row>
    <row r="265" spans="1:196" s="105" customFormat="1" ht="30.75" hidden="1" customHeight="1" x14ac:dyDescent="0.2">
      <c r="A265" s="4770"/>
      <c r="B265" s="724"/>
      <c r="C265" s="3861" t="s">
        <v>563</v>
      </c>
      <c r="D265" s="3861"/>
      <c r="E265" s="2123"/>
      <c r="G265" s="732"/>
      <c r="H265" s="732"/>
      <c r="I265" s="732"/>
      <c r="L265" s="733"/>
      <c r="M265" s="733"/>
      <c r="N265" s="733"/>
      <c r="O265" s="645"/>
      <c r="P265" s="645"/>
      <c r="Q265" s="645"/>
      <c r="R265" s="734"/>
      <c r="S265" s="645"/>
      <c r="T265" s="569"/>
      <c r="U265" s="569"/>
      <c r="V265" s="569"/>
      <c r="W265" s="569"/>
      <c r="X265" s="569"/>
      <c r="Y265" s="569"/>
      <c r="Z265" s="569"/>
      <c r="AA265" s="569"/>
      <c r="AB265" s="569"/>
    </row>
    <row r="266" spans="1:196" s="105" customFormat="1" ht="30.75" hidden="1" customHeight="1" x14ac:dyDescent="0.2">
      <c r="A266" s="740"/>
      <c r="B266" s="2138"/>
      <c r="C266" s="569"/>
      <c r="D266" s="569"/>
      <c r="E266" s="2139"/>
      <c r="G266" s="732"/>
      <c r="H266" s="732"/>
      <c r="I266" s="732"/>
      <c r="L266" s="733"/>
      <c r="M266" s="733"/>
      <c r="N266" s="733"/>
      <c r="O266" s="645"/>
      <c r="P266" s="645"/>
      <c r="Q266" s="645"/>
      <c r="R266" s="734"/>
      <c r="S266" s="645"/>
      <c r="T266" s="569"/>
      <c r="U266" s="569"/>
      <c r="V266" s="569"/>
      <c r="W266" s="569"/>
      <c r="X266" s="569"/>
      <c r="Y266" s="569"/>
      <c r="Z266" s="569"/>
      <c r="AA266" s="569"/>
      <c r="AB266" s="569"/>
    </row>
    <row r="267" spans="1:196" s="105" customFormat="1" ht="30.75" hidden="1" customHeight="1" thickBot="1" x14ac:dyDescent="0.25">
      <c r="A267" s="740"/>
      <c r="B267" s="2138"/>
      <c r="C267" s="569"/>
      <c r="D267" s="569"/>
      <c r="E267" s="2139"/>
      <c r="G267" s="732"/>
      <c r="H267" s="732"/>
      <c r="I267" s="732"/>
      <c r="L267" s="733"/>
      <c r="M267" s="733"/>
      <c r="N267" s="733"/>
      <c r="O267" s="645"/>
      <c r="P267" s="645"/>
      <c r="Q267" s="645"/>
      <c r="R267" s="734"/>
      <c r="S267" s="645"/>
      <c r="T267" s="569"/>
      <c r="U267" s="569"/>
      <c r="V267" s="569"/>
      <c r="W267" s="569"/>
      <c r="X267" s="569"/>
      <c r="Y267" s="569"/>
      <c r="Z267" s="569"/>
      <c r="AA267" s="569"/>
      <c r="AB267" s="569"/>
    </row>
    <row r="268" spans="1:196" ht="30.75" hidden="1" customHeight="1" x14ac:dyDescent="0.2">
      <c r="A268" s="741" t="s">
        <v>148</v>
      </c>
      <c r="B268" s="742"/>
      <c r="C268" s="742"/>
      <c r="D268" s="742"/>
      <c r="E268" s="743"/>
      <c r="F268" s="744" t="e">
        <f>+F220+F169</f>
        <v>#REF!</v>
      </c>
      <c r="G268" s="744" t="e">
        <f t="shared" ref="G268:R268" si="70">+G220+G169</f>
        <v>#REF!</v>
      </c>
      <c r="H268" s="744" t="e">
        <f t="shared" si="70"/>
        <v>#REF!</v>
      </c>
      <c r="I268" s="744" t="e">
        <f t="shared" si="70"/>
        <v>#REF!</v>
      </c>
      <c r="J268" s="744" t="e">
        <f t="shared" si="70"/>
        <v>#REF!</v>
      </c>
      <c r="K268" s="744" t="e">
        <f t="shared" si="70"/>
        <v>#REF!</v>
      </c>
      <c r="L268" s="744" t="e">
        <f t="shared" si="70"/>
        <v>#REF!</v>
      </c>
      <c r="M268" s="744" t="e">
        <f t="shared" si="70"/>
        <v>#REF!</v>
      </c>
      <c r="N268" s="744" t="e">
        <f t="shared" si="70"/>
        <v>#REF!</v>
      </c>
      <c r="O268" s="744" t="e">
        <f t="shared" si="70"/>
        <v>#REF!</v>
      </c>
      <c r="P268" s="744" t="e">
        <f t="shared" si="70"/>
        <v>#REF!</v>
      </c>
      <c r="Q268" s="744" t="e">
        <f t="shared" si="70"/>
        <v>#REF!</v>
      </c>
      <c r="R268" s="744" t="e">
        <f t="shared" si="70"/>
        <v>#REF!</v>
      </c>
      <c r="S268" s="675"/>
      <c r="T268" s="675"/>
      <c r="U268" s="10"/>
      <c r="V268" s="10"/>
      <c r="W268" s="10"/>
      <c r="X268" s="10"/>
      <c r="Y268" s="10"/>
      <c r="Z268" s="10"/>
      <c r="AA268" s="10"/>
      <c r="AB268" s="10"/>
    </row>
    <row r="269" spans="1:196" ht="30.75" hidden="1" customHeight="1" x14ac:dyDescent="0.2">
      <c r="A269" s="745"/>
      <c r="B269" s="746"/>
      <c r="C269" s="746"/>
      <c r="D269" s="746"/>
      <c r="E269" s="747"/>
      <c r="F269" s="748"/>
      <c r="G269" s="748"/>
      <c r="H269" s="748"/>
      <c r="I269" s="748"/>
      <c r="J269" s="748"/>
      <c r="K269" s="748"/>
      <c r="L269" s="748"/>
      <c r="M269" s="748"/>
      <c r="N269" s="748"/>
      <c r="O269" s="748"/>
      <c r="P269" s="748"/>
      <c r="Q269" s="748"/>
      <c r="R269" s="748"/>
      <c r="S269" s="748">
        <f t="shared" ref="S269:CD269" si="71">S101+S169+S220</f>
        <v>0</v>
      </c>
      <c r="T269" s="748">
        <f t="shared" si="71"/>
        <v>0</v>
      </c>
      <c r="U269" s="748">
        <f t="shared" si="71"/>
        <v>0</v>
      </c>
      <c r="V269" s="748">
        <f t="shared" si="71"/>
        <v>0</v>
      </c>
      <c r="W269" s="748">
        <f t="shared" si="71"/>
        <v>0</v>
      </c>
      <c r="X269" s="748">
        <f t="shared" si="71"/>
        <v>0</v>
      </c>
      <c r="Y269" s="748">
        <f t="shared" si="71"/>
        <v>0</v>
      </c>
      <c r="Z269" s="748">
        <f t="shared" si="71"/>
        <v>0</v>
      </c>
      <c r="AA269" s="748">
        <f t="shared" si="71"/>
        <v>0</v>
      </c>
      <c r="AB269" s="748">
        <f t="shared" si="71"/>
        <v>0</v>
      </c>
      <c r="AC269" s="748">
        <f t="shared" si="71"/>
        <v>0</v>
      </c>
      <c r="AD269" s="748">
        <f t="shared" si="71"/>
        <v>0</v>
      </c>
      <c r="AE269" s="748">
        <f t="shared" si="71"/>
        <v>0</v>
      </c>
      <c r="AF269" s="748">
        <f t="shared" si="71"/>
        <v>0</v>
      </c>
      <c r="AG269" s="748">
        <f t="shared" si="71"/>
        <v>0</v>
      </c>
      <c r="AH269" s="748">
        <f t="shared" si="71"/>
        <v>0</v>
      </c>
      <c r="AI269" s="748">
        <f t="shared" si="71"/>
        <v>0</v>
      </c>
      <c r="AJ269" s="748">
        <f t="shared" si="71"/>
        <v>0</v>
      </c>
      <c r="AK269" s="748">
        <f t="shared" si="71"/>
        <v>0</v>
      </c>
      <c r="AL269" s="748">
        <f t="shared" si="71"/>
        <v>0</v>
      </c>
      <c r="AM269" s="748">
        <f t="shared" si="71"/>
        <v>0</v>
      </c>
      <c r="AN269" s="748">
        <f t="shared" si="71"/>
        <v>0</v>
      </c>
      <c r="AO269" s="748">
        <f t="shared" si="71"/>
        <v>0</v>
      </c>
      <c r="AP269" s="748">
        <f t="shared" si="71"/>
        <v>0</v>
      </c>
      <c r="AQ269" s="748">
        <f t="shared" si="71"/>
        <v>0</v>
      </c>
      <c r="AR269" s="748">
        <f t="shared" si="71"/>
        <v>0</v>
      </c>
      <c r="AS269" s="748">
        <f t="shared" si="71"/>
        <v>0</v>
      </c>
      <c r="AT269" s="748">
        <f t="shared" si="71"/>
        <v>0</v>
      </c>
      <c r="AU269" s="748">
        <f t="shared" si="71"/>
        <v>0</v>
      </c>
      <c r="AV269" s="748">
        <f t="shared" si="71"/>
        <v>0</v>
      </c>
      <c r="AW269" s="748">
        <f t="shared" si="71"/>
        <v>0</v>
      </c>
      <c r="AX269" s="748">
        <f t="shared" si="71"/>
        <v>0</v>
      </c>
      <c r="AY269" s="748">
        <f t="shared" si="71"/>
        <v>0</v>
      </c>
      <c r="AZ269" s="748">
        <f t="shared" si="71"/>
        <v>0</v>
      </c>
      <c r="BA269" s="748">
        <f t="shared" si="71"/>
        <v>0</v>
      </c>
      <c r="BB269" s="748">
        <f t="shared" si="71"/>
        <v>0</v>
      </c>
      <c r="BC269" s="748">
        <f t="shared" si="71"/>
        <v>0</v>
      </c>
      <c r="BD269" s="748">
        <f t="shared" si="71"/>
        <v>0</v>
      </c>
      <c r="BE269" s="748">
        <f t="shared" si="71"/>
        <v>0</v>
      </c>
      <c r="BF269" s="748">
        <f t="shared" si="71"/>
        <v>0</v>
      </c>
      <c r="BG269" s="748">
        <f t="shared" si="71"/>
        <v>0</v>
      </c>
      <c r="BH269" s="748">
        <f t="shared" si="71"/>
        <v>0</v>
      </c>
      <c r="BI269" s="748">
        <f t="shared" si="71"/>
        <v>0</v>
      </c>
      <c r="BJ269" s="748">
        <f t="shared" si="71"/>
        <v>0</v>
      </c>
      <c r="BK269" s="748">
        <f t="shared" si="71"/>
        <v>0</v>
      </c>
      <c r="BL269" s="748">
        <f t="shared" si="71"/>
        <v>0</v>
      </c>
      <c r="BM269" s="748">
        <f t="shared" si="71"/>
        <v>0</v>
      </c>
      <c r="BN269" s="748">
        <f t="shared" si="71"/>
        <v>0</v>
      </c>
      <c r="BO269" s="748">
        <f t="shared" si="71"/>
        <v>0</v>
      </c>
      <c r="BP269" s="748">
        <f t="shared" si="71"/>
        <v>0</v>
      </c>
      <c r="BQ269" s="748">
        <f t="shared" si="71"/>
        <v>0</v>
      </c>
      <c r="BR269" s="748">
        <f t="shared" si="71"/>
        <v>0</v>
      </c>
      <c r="BS269" s="748">
        <f t="shared" si="71"/>
        <v>0</v>
      </c>
      <c r="BT269" s="748">
        <f t="shared" si="71"/>
        <v>0</v>
      </c>
      <c r="BU269" s="748">
        <f t="shared" si="71"/>
        <v>0</v>
      </c>
      <c r="BV269" s="748">
        <f t="shared" si="71"/>
        <v>0</v>
      </c>
      <c r="BW269" s="748">
        <f t="shared" si="71"/>
        <v>0</v>
      </c>
      <c r="BX269" s="748">
        <f t="shared" si="71"/>
        <v>0</v>
      </c>
      <c r="BY269" s="748">
        <f t="shared" si="71"/>
        <v>0</v>
      </c>
      <c r="BZ269" s="748">
        <f t="shared" si="71"/>
        <v>0</v>
      </c>
      <c r="CA269" s="748">
        <f t="shared" si="71"/>
        <v>0</v>
      </c>
      <c r="CB269" s="748">
        <f t="shared" si="71"/>
        <v>0</v>
      </c>
      <c r="CC269" s="748">
        <f t="shared" si="71"/>
        <v>0</v>
      </c>
      <c r="CD269" s="748">
        <f t="shared" si="71"/>
        <v>0</v>
      </c>
      <c r="CE269" s="748">
        <f t="shared" ref="CE269:EP269" si="72">CE101+CE169+CE220</f>
        <v>0</v>
      </c>
      <c r="CF269" s="748">
        <f t="shared" si="72"/>
        <v>0</v>
      </c>
      <c r="CG269" s="748">
        <f t="shared" si="72"/>
        <v>0</v>
      </c>
      <c r="CH269" s="748">
        <f t="shared" si="72"/>
        <v>0</v>
      </c>
      <c r="CI269" s="748">
        <f t="shared" si="72"/>
        <v>0</v>
      </c>
      <c r="CJ269" s="748">
        <f t="shared" si="72"/>
        <v>0</v>
      </c>
      <c r="CK269" s="748">
        <f t="shared" si="72"/>
        <v>0</v>
      </c>
      <c r="CL269" s="748">
        <f t="shared" si="72"/>
        <v>0</v>
      </c>
      <c r="CM269" s="748">
        <f t="shared" si="72"/>
        <v>0</v>
      </c>
      <c r="CN269" s="748">
        <f t="shared" si="72"/>
        <v>0</v>
      </c>
      <c r="CO269" s="748">
        <f t="shared" si="72"/>
        <v>0</v>
      </c>
      <c r="CP269" s="748">
        <f t="shared" si="72"/>
        <v>0</v>
      </c>
      <c r="CQ269" s="748">
        <f t="shared" si="72"/>
        <v>0</v>
      </c>
      <c r="CR269" s="748">
        <f t="shared" si="72"/>
        <v>0</v>
      </c>
      <c r="CS269" s="748">
        <f t="shared" si="72"/>
        <v>0</v>
      </c>
      <c r="CT269" s="748">
        <f t="shared" si="72"/>
        <v>0</v>
      </c>
      <c r="CU269" s="748">
        <f t="shared" si="72"/>
        <v>0</v>
      </c>
      <c r="CV269" s="748">
        <f t="shared" si="72"/>
        <v>0</v>
      </c>
      <c r="CW269" s="748">
        <f t="shared" si="72"/>
        <v>0</v>
      </c>
      <c r="CX269" s="748">
        <f t="shared" si="72"/>
        <v>0</v>
      </c>
      <c r="CY269" s="748">
        <f t="shared" si="72"/>
        <v>0</v>
      </c>
      <c r="CZ269" s="748">
        <f t="shared" si="72"/>
        <v>0</v>
      </c>
      <c r="DA269" s="748">
        <f t="shared" si="72"/>
        <v>0</v>
      </c>
      <c r="DB269" s="748">
        <f t="shared" si="72"/>
        <v>0</v>
      </c>
      <c r="DC269" s="748">
        <f t="shared" si="72"/>
        <v>0</v>
      </c>
      <c r="DD269" s="748">
        <f t="shared" si="72"/>
        <v>0</v>
      </c>
      <c r="DE269" s="748">
        <f t="shared" si="72"/>
        <v>0</v>
      </c>
      <c r="DF269" s="748">
        <f t="shared" si="72"/>
        <v>0</v>
      </c>
      <c r="DG269" s="748">
        <f t="shared" si="72"/>
        <v>0</v>
      </c>
      <c r="DH269" s="748">
        <f t="shared" si="72"/>
        <v>0</v>
      </c>
      <c r="DI269" s="748">
        <f t="shared" si="72"/>
        <v>0</v>
      </c>
      <c r="DJ269" s="748">
        <f t="shared" si="72"/>
        <v>0</v>
      </c>
      <c r="DK269" s="748">
        <f t="shared" si="72"/>
        <v>0</v>
      </c>
      <c r="DL269" s="748">
        <f t="shared" si="72"/>
        <v>0</v>
      </c>
      <c r="DM269" s="748">
        <f t="shared" si="72"/>
        <v>0</v>
      </c>
      <c r="DN269" s="748">
        <f t="shared" si="72"/>
        <v>0</v>
      </c>
      <c r="DO269" s="748">
        <f t="shared" si="72"/>
        <v>0</v>
      </c>
      <c r="DP269" s="748">
        <f t="shared" si="72"/>
        <v>0</v>
      </c>
      <c r="DQ269" s="748">
        <f t="shared" si="72"/>
        <v>0</v>
      </c>
      <c r="DR269" s="748">
        <f t="shared" si="72"/>
        <v>0</v>
      </c>
      <c r="DS269" s="748">
        <f t="shared" si="72"/>
        <v>0</v>
      </c>
      <c r="DT269" s="748">
        <f t="shared" si="72"/>
        <v>0</v>
      </c>
      <c r="DU269" s="748">
        <f t="shared" si="72"/>
        <v>0</v>
      </c>
      <c r="DV269" s="748">
        <f t="shared" si="72"/>
        <v>0</v>
      </c>
      <c r="DW269" s="748">
        <f t="shared" si="72"/>
        <v>0</v>
      </c>
      <c r="DX269" s="748">
        <f t="shared" si="72"/>
        <v>0</v>
      </c>
      <c r="DY269" s="748">
        <f t="shared" si="72"/>
        <v>0</v>
      </c>
      <c r="DZ269" s="748">
        <f t="shared" si="72"/>
        <v>0</v>
      </c>
      <c r="EA269" s="748">
        <f t="shared" si="72"/>
        <v>0</v>
      </c>
      <c r="EB269" s="748">
        <f t="shared" si="72"/>
        <v>0</v>
      </c>
      <c r="EC269" s="748">
        <f t="shared" si="72"/>
        <v>0</v>
      </c>
      <c r="ED269" s="748">
        <f t="shared" si="72"/>
        <v>0</v>
      </c>
      <c r="EE269" s="748">
        <f t="shared" si="72"/>
        <v>0</v>
      </c>
      <c r="EF269" s="748">
        <f t="shared" si="72"/>
        <v>0</v>
      </c>
      <c r="EG269" s="748">
        <f t="shared" si="72"/>
        <v>0</v>
      </c>
      <c r="EH269" s="748">
        <f t="shared" si="72"/>
        <v>0</v>
      </c>
      <c r="EI269" s="748">
        <f t="shared" si="72"/>
        <v>0</v>
      </c>
      <c r="EJ269" s="748">
        <f t="shared" si="72"/>
        <v>0</v>
      </c>
      <c r="EK269" s="748">
        <f t="shared" si="72"/>
        <v>0</v>
      </c>
      <c r="EL269" s="748">
        <f t="shared" si="72"/>
        <v>0</v>
      </c>
      <c r="EM269" s="748">
        <f t="shared" si="72"/>
        <v>0</v>
      </c>
      <c r="EN269" s="748">
        <f t="shared" si="72"/>
        <v>0</v>
      </c>
      <c r="EO269" s="748">
        <f t="shared" si="72"/>
        <v>0</v>
      </c>
      <c r="EP269" s="748">
        <f t="shared" si="72"/>
        <v>0</v>
      </c>
      <c r="EQ269" s="748">
        <f t="shared" ref="EQ269:GN269" si="73">EQ101+EQ169+EQ220</f>
        <v>0</v>
      </c>
      <c r="ER269" s="748">
        <f t="shared" si="73"/>
        <v>0</v>
      </c>
      <c r="ES269" s="748">
        <f t="shared" si="73"/>
        <v>0</v>
      </c>
      <c r="ET269" s="748">
        <f t="shared" si="73"/>
        <v>0</v>
      </c>
      <c r="EU269" s="748">
        <f t="shared" si="73"/>
        <v>0</v>
      </c>
      <c r="EV269" s="748">
        <f t="shared" si="73"/>
        <v>0</v>
      </c>
      <c r="EW269" s="748">
        <f t="shared" si="73"/>
        <v>0</v>
      </c>
      <c r="EX269" s="748">
        <f t="shared" si="73"/>
        <v>0</v>
      </c>
      <c r="EY269" s="748">
        <f t="shared" si="73"/>
        <v>0</v>
      </c>
      <c r="EZ269" s="748">
        <f t="shared" si="73"/>
        <v>0</v>
      </c>
      <c r="FA269" s="748">
        <f t="shared" si="73"/>
        <v>0</v>
      </c>
      <c r="FB269" s="748">
        <f t="shared" si="73"/>
        <v>0</v>
      </c>
      <c r="FC269" s="748">
        <f t="shared" si="73"/>
        <v>0</v>
      </c>
      <c r="FD269" s="748">
        <f t="shared" si="73"/>
        <v>0</v>
      </c>
      <c r="FE269" s="748">
        <f t="shared" si="73"/>
        <v>0</v>
      </c>
      <c r="FF269" s="748">
        <f t="shared" si="73"/>
        <v>0</v>
      </c>
      <c r="FG269" s="748">
        <f t="shared" si="73"/>
        <v>0</v>
      </c>
      <c r="FH269" s="748">
        <f t="shared" si="73"/>
        <v>0</v>
      </c>
      <c r="FI269" s="748">
        <f t="shared" si="73"/>
        <v>0</v>
      </c>
      <c r="FJ269" s="748">
        <f t="shared" si="73"/>
        <v>0</v>
      </c>
      <c r="FK269" s="748">
        <f t="shared" si="73"/>
        <v>0</v>
      </c>
      <c r="FL269" s="748">
        <f t="shared" si="73"/>
        <v>0</v>
      </c>
      <c r="FM269" s="748">
        <f t="shared" si="73"/>
        <v>0</v>
      </c>
      <c r="FN269" s="748">
        <f t="shared" si="73"/>
        <v>0</v>
      </c>
      <c r="FO269" s="748">
        <f t="shared" si="73"/>
        <v>0</v>
      </c>
      <c r="FP269" s="748">
        <f t="shared" si="73"/>
        <v>0</v>
      </c>
      <c r="FQ269" s="748">
        <f t="shared" si="73"/>
        <v>0</v>
      </c>
      <c r="FR269" s="748">
        <f t="shared" si="73"/>
        <v>0</v>
      </c>
      <c r="FS269" s="748">
        <f t="shared" si="73"/>
        <v>0</v>
      </c>
      <c r="FT269" s="748">
        <f t="shared" si="73"/>
        <v>0</v>
      </c>
      <c r="FU269" s="748">
        <f t="shared" si="73"/>
        <v>0</v>
      </c>
      <c r="FV269" s="748">
        <f t="shared" si="73"/>
        <v>0</v>
      </c>
      <c r="FW269" s="748">
        <f t="shared" si="73"/>
        <v>0</v>
      </c>
      <c r="FX269" s="748">
        <f t="shared" si="73"/>
        <v>0</v>
      </c>
      <c r="FY269" s="748">
        <f t="shared" si="73"/>
        <v>0</v>
      </c>
      <c r="FZ269" s="748">
        <f t="shared" si="73"/>
        <v>0</v>
      </c>
      <c r="GA269" s="748">
        <f t="shared" si="73"/>
        <v>0</v>
      </c>
      <c r="GB269" s="748">
        <f t="shared" si="73"/>
        <v>0</v>
      </c>
      <c r="GC269" s="748">
        <f t="shared" si="73"/>
        <v>0</v>
      </c>
      <c r="GD269" s="748">
        <f t="shared" si="73"/>
        <v>0</v>
      </c>
      <c r="GE269" s="748">
        <f t="shared" si="73"/>
        <v>0</v>
      </c>
      <c r="GF269" s="748">
        <f t="shared" si="73"/>
        <v>0</v>
      </c>
      <c r="GG269" s="748">
        <f t="shared" si="73"/>
        <v>0</v>
      </c>
      <c r="GH269" s="748">
        <f t="shared" si="73"/>
        <v>0</v>
      </c>
      <c r="GI269" s="748">
        <f t="shared" si="73"/>
        <v>0</v>
      </c>
      <c r="GJ269" s="748">
        <f t="shared" si="73"/>
        <v>0</v>
      </c>
      <c r="GK269" s="748">
        <f t="shared" si="73"/>
        <v>0</v>
      </c>
      <c r="GL269" s="748">
        <f t="shared" si="73"/>
        <v>0</v>
      </c>
      <c r="GM269" s="748">
        <f t="shared" si="73"/>
        <v>0</v>
      </c>
      <c r="GN269" s="748">
        <f t="shared" si="73"/>
        <v>0</v>
      </c>
    </row>
    <row r="270" spans="1:196" ht="30.75" hidden="1" customHeight="1" x14ac:dyDescent="0.2">
      <c r="A270" s="745"/>
      <c r="B270" s="746"/>
      <c r="C270" s="746"/>
      <c r="D270" s="746"/>
      <c r="E270" s="747"/>
      <c r="F270" s="748">
        <f t="shared" ref="F270:R279" si="74">F91</f>
        <v>0</v>
      </c>
      <c r="G270" s="748">
        <f t="shared" si="74"/>
        <v>0</v>
      </c>
      <c r="H270" s="748">
        <f t="shared" si="74"/>
        <v>0</v>
      </c>
      <c r="I270" s="748">
        <f t="shared" si="74"/>
        <v>0</v>
      </c>
      <c r="J270" s="748">
        <f t="shared" si="74"/>
        <v>0</v>
      </c>
      <c r="K270" s="748">
        <f t="shared" si="74"/>
        <v>0</v>
      </c>
      <c r="L270" s="748">
        <f t="shared" si="74"/>
        <v>0</v>
      </c>
      <c r="M270" s="748">
        <f t="shared" si="74"/>
        <v>0</v>
      </c>
      <c r="N270" s="748">
        <f t="shared" si="74"/>
        <v>0</v>
      </c>
      <c r="O270" s="748">
        <f t="shared" si="74"/>
        <v>0</v>
      </c>
      <c r="P270" s="748">
        <f t="shared" si="74"/>
        <v>0</v>
      </c>
      <c r="Q270" s="748">
        <f t="shared" si="74"/>
        <v>0</v>
      </c>
      <c r="R270" s="749">
        <f t="shared" si="74"/>
        <v>0</v>
      </c>
      <c r="S270" s="675"/>
      <c r="T270" s="675"/>
      <c r="U270" s="10"/>
      <c r="V270" s="10"/>
      <c r="W270" s="10"/>
      <c r="X270" s="10"/>
      <c r="Y270" s="10"/>
      <c r="Z270" s="10"/>
      <c r="AA270" s="10"/>
      <c r="AB270" s="10"/>
    </row>
    <row r="271" spans="1:196" ht="30.75" hidden="1" customHeight="1" x14ac:dyDescent="0.2">
      <c r="A271" s="745"/>
      <c r="B271" s="746"/>
      <c r="C271" s="746"/>
      <c r="D271" s="746"/>
      <c r="E271" s="747"/>
      <c r="F271" s="748">
        <f t="shared" si="74"/>
        <v>0</v>
      </c>
      <c r="G271" s="748">
        <f t="shared" si="74"/>
        <v>0</v>
      </c>
      <c r="H271" s="748">
        <f t="shared" si="74"/>
        <v>0</v>
      </c>
      <c r="I271" s="748">
        <f t="shared" si="74"/>
        <v>0</v>
      </c>
      <c r="J271" s="748">
        <f t="shared" si="74"/>
        <v>0</v>
      </c>
      <c r="K271" s="748">
        <f t="shared" si="74"/>
        <v>0</v>
      </c>
      <c r="L271" s="748">
        <f t="shared" si="74"/>
        <v>0</v>
      </c>
      <c r="M271" s="748">
        <f t="shared" si="74"/>
        <v>0</v>
      </c>
      <c r="N271" s="748">
        <f t="shared" si="74"/>
        <v>0</v>
      </c>
      <c r="O271" s="748">
        <f t="shared" si="74"/>
        <v>0</v>
      </c>
      <c r="P271" s="748">
        <f t="shared" si="74"/>
        <v>0</v>
      </c>
      <c r="Q271" s="748">
        <f t="shared" si="74"/>
        <v>0</v>
      </c>
      <c r="R271" s="749">
        <f t="shared" si="74"/>
        <v>0</v>
      </c>
      <c r="S271" s="675"/>
      <c r="T271" s="675"/>
      <c r="U271" s="10"/>
      <c r="V271" s="10"/>
      <c r="W271" s="10"/>
      <c r="X271" s="10"/>
      <c r="Y271" s="10"/>
      <c r="Z271" s="10"/>
      <c r="AA271" s="10"/>
      <c r="AB271" s="10"/>
    </row>
    <row r="272" spans="1:196" ht="30.75" hidden="1" customHeight="1" x14ac:dyDescent="0.2">
      <c r="A272" s="745"/>
      <c r="B272" s="746"/>
      <c r="C272" s="746"/>
      <c r="D272" s="746"/>
      <c r="E272" s="747"/>
      <c r="F272" s="748">
        <f t="shared" si="74"/>
        <v>0</v>
      </c>
      <c r="G272" s="748">
        <f t="shared" si="74"/>
        <v>0</v>
      </c>
      <c r="H272" s="748">
        <f t="shared" si="74"/>
        <v>0</v>
      </c>
      <c r="I272" s="748">
        <f t="shared" si="74"/>
        <v>0</v>
      </c>
      <c r="J272" s="748">
        <f t="shared" si="74"/>
        <v>0</v>
      </c>
      <c r="K272" s="748">
        <f t="shared" si="74"/>
        <v>0</v>
      </c>
      <c r="L272" s="748">
        <f t="shared" si="74"/>
        <v>0</v>
      </c>
      <c r="M272" s="748">
        <f t="shared" si="74"/>
        <v>0</v>
      </c>
      <c r="N272" s="748">
        <f t="shared" si="74"/>
        <v>0</v>
      </c>
      <c r="O272" s="748">
        <f t="shared" si="74"/>
        <v>0</v>
      </c>
      <c r="P272" s="748">
        <f t="shared" si="74"/>
        <v>0</v>
      </c>
      <c r="Q272" s="748">
        <f t="shared" si="74"/>
        <v>0</v>
      </c>
      <c r="R272" s="749">
        <f t="shared" si="74"/>
        <v>0</v>
      </c>
      <c r="S272" s="675"/>
      <c r="T272" s="675"/>
      <c r="U272" s="10"/>
      <c r="V272" s="10"/>
      <c r="W272" s="10"/>
      <c r="X272" s="10"/>
      <c r="Y272" s="10"/>
      <c r="Z272" s="10"/>
      <c r="AA272" s="10"/>
      <c r="AB272" s="10"/>
    </row>
    <row r="273" spans="1:28" ht="30.75" hidden="1" customHeight="1" x14ac:dyDescent="0.2">
      <c r="A273" s="745"/>
      <c r="B273" s="746"/>
      <c r="C273" s="746"/>
      <c r="D273" s="746"/>
      <c r="E273" s="747"/>
      <c r="F273" s="748">
        <f t="shared" si="74"/>
        <v>0</v>
      </c>
      <c r="G273" s="748">
        <f t="shared" si="74"/>
        <v>0</v>
      </c>
      <c r="H273" s="748">
        <f t="shared" si="74"/>
        <v>0</v>
      </c>
      <c r="I273" s="748">
        <f t="shared" si="74"/>
        <v>0</v>
      </c>
      <c r="J273" s="748">
        <f t="shared" si="74"/>
        <v>0</v>
      </c>
      <c r="K273" s="748">
        <f t="shared" si="74"/>
        <v>0</v>
      </c>
      <c r="L273" s="748">
        <f t="shared" si="74"/>
        <v>0</v>
      </c>
      <c r="M273" s="748">
        <f t="shared" si="74"/>
        <v>0</v>
      </c>
      <c r="N273" s="748">
        <f t="shared" si="74"/>
        <v>0</v>
      </c>
      <c r="O273" s="748">
        <f t="shared" si="74"/>
        <v>0</v>
      </c>
      <c r="P273" s="748">
        <f t="shared" si="74"/>
        <v>0</v>
      </c>
      <c r="Q273" s="748">
        <f t="shared" si="74"/>
        <v>0</v>
      </c>
      <c r="R273" s="749">
        <f t="shared" si="74"/>
        <v>0</v>
      </c>
      <c r="S273" s="675"/>
      <c r="T273" s="675"/>
      <c r="U273" s="10"/>
      <c r="V273" s="10"/>
      <c r="W273" s="10"/>
      <c r="X273" s="10"/>
      <c r="Y273" s="10"/>
      <c r="Z273" s="10"/>
      <c r="AA273" s="10"/>
      <c r="AB273" s="10"/>
    </row>
    <row r="274" spans="1:28" ht="30.75" hidden="1" customHeight="1" x14ac:dyDescent="0.2">
      <c r="A274" s="745"/>
      <c r="B274" s="746"/>
      <c r="C274" s="746"/>
      <c r="D274" s="746"/>
      <c r="E274" s="747"/>
      <c r="F274" s="748">
        <f t="shared" si="74"/>
        <v>0</v>
      </c>
      <c r="G274" s="748">
        <f t="shared" si="74"/>
        <v>0</v>
      </c>
      <c r="H274" s="748">
        <f t="shared" si="74"/>
        <v>0</v>
      </c>
      <c r="I274" s="748">
        <f t="shared" si="74"/>
        <v>0</v>
      </c>
      <c r="J274" s="748">
        <f t="shared" si="74"/>
        <v>0</v>
      </c>
      <c r="K274" s="748">
        <f t="shared" si="74"/>
        <v>0</v>
      </c>
      <c r="L274" s="748">
        <f t="shared" si="74"/>
        <v>0</v>
      </c>
      <c r="M274" s="748">
        <f t="shared" si="74"/>
        <v>0</v>
      </c>
      <c r="N274" s="748">
        <f t="shared" si="74"/>
        <v>0</v>
      </c>
      <c r="O274" s="748">
        <f t="shared" si="74"/>
        <v>0</v>
      </c>
      <c r="P274" s="748">
        <f t="shared" si="74"/>
        <v>0</v>
      </c>
      <c r="Q274" s="748">
        <f t="shared" si="74"/>
        <v>0</v>
      </c>
      <c r="R274" s="749">
        <f t="shared" si="74"/>
        <v>0</v>
      </c>
      <c r="S274" s="675"/>
      <c r="T274" s="675"/>
      <c r="U274" s="10"/>
      <c r="V274" s="10"/>
      <c r="W274" s="10"/>
      <c r="X274" s="10"/>
      <c r="Y274" s="10"/>
      <c r="Z274" s="10"/>
      <c r="AA274" s="10"/>
      <c r="AB274" s="10"/>
    </row>
    <row r="275" spans="1:28" ht="30.75" hidden="1" customHeight="1" x14ac:dyDescent="0.2">
      <c r="A275" s="745"/>
      <c r="B275" s="746"/>
      <c r="C275" s="746"/>
      <c r="D275" s="746"/>
      <c r="E275" s="747"/>
      <c r="F275" s="748">
        <f t="shared" si="74"/>
        <v>0</v>
      </c>
      <c r="G275" s="748">
        <f t="shared" si="74"/>
        <v>0</v>
      </c>
      <c r="H275" s="748">
        <f t="shared" si="74"/>
        <v>0</v>
      </c>
      <c r="I275" s="748">
        <f t="shared" si="74"/>
        <v>0</v>
      </c>
      <c r="J275" s="748">
        <f t="shared" si="74"/>
        <v>0</v>
      </c>
      <c r="K275" s="748">
        <f t="shared" si="74"/>
        <v>0</v>
      </c>
      <c r="L275" s="748">
        <f t="shared" si="74"/>
        <v>0</v>
      </c>
      <c r="M275" s="748">
        <f t="shared" si="74"/>
        <v>0</v>
      </c>
      <c r="N275" s="748">
        <f t="shared" si="74"/>
        <v>0</v>
      </c>
      <c r="O275" s="748">
        <f t="shared" si="74"/>
        <v>0</v>
      </c>
      <c r="P275" s="748">
        <f t="shared" si="74"/>
        <v>0</v>
      </c>
      <c r="Q275" s="748">
        <f t="shared" si="74"/>
        <v>0</v>
      </c>
      <c r="R275" s="749">
        <f t="shared" si="74"/>
        <v>0</v>
      </c>
      <c r="S275" s="675"/>
      <c r="T275" s="675"/>
      <c r="U275" s="10"/>
      <c r="V275" s="10"/>
      <c r="W275" s="10"/>
      <c r="X275" s="10"/>
      <c r="Y275" s="10"/>
      <c r="Z275" s="10"/>
      <c r="AA275" s="10"/>
      <c r="AB275" s="10"/>
    </row>
    <row r="276" spans="1:28" ht="30.75" hidden="1" customHeight="1" x14ac:dyDescent="0.2">
      <c r="A276" s="745"/>
      <c r="B276" s="746"/>
      <c r="C276" s="746"/>
      <c r="D276" s="746"/>
      <c r="E276" s="747"/>
      <c r="F276" s="748">
        <f t="shared" si="74"/>
        <v>0</v>
      </c>
      <c r="G276" s="748">
        <f t="shared" si="74"/>
        <v>0</v>
      </c>
      <c r="H276" s="748">
        <f t="shared" si="74"/>
        <v>0</v>
      </c>
      <c r="I276" s="748">
        <f t="shared" si="74"/>
        <v>0</v>
      </c>
      <c r="J276" s="748">
        <f t="shared" si="74"/>
        <v>0</v>
      </c>
      <c r="K276" s="748">
        <f t="shared" si="74"/>
        <v>0</v>
      </c>
      <c r="L276" s="748">
        <f t="shared" si="74"/>
        <v>0</v>
      </c>
      <c r="M276" s="748">
        <f t="shared" si="74"/>
        <v>0</v>
      </c>
      <c r="N276" s="748">
        <f t="shared" si="74"/>
        <v>0</v>
      </c>
      <c r="O276" s="748">
        <f t="shared" si="74"/>
        <v>0</v>
      </c>
      <c r="P276" s="748">
        <f t="shared" si="74"/>
        <v>0</v>
      </c>
      <c r="Q276" s="748">
        <f t="shared" si="74"/>
        <v>0</v>
      </c>
      <c r="R276" s="749">
        <f t="shared" si="74"/>
        <v>0</v>
      </c>
      <c r="S276" s="675"/>
      <c r="T276" s="675"/>
      <c r="U276" s="10"/>
      <c r="V276" s="10"/>
      <c r="W276" s="10"/>
      <c r="X276" s="10"/>
      <c r="Y276" s="10"/>
      <c r="Z276" s="10"/>
      <c r="AA276" s="10"/>
      <c r="AB276" s="10"/>
    </row>
    <row r="277" spans="1:28" ht="30.75" hidden="1" customHeight="1" x14ac:dyDescent="0.2">
      <c r="A277" s="745"/>
      <c r="B277" s="746"/>
      <c r="C277" s="746"/>
      <c r="D277" s="746"/>
      <c r="E277" s="747"/>
      <c r="F277" s="748">
        <f t="shared" si="74"/>
        <v>0</v>
      </c>
      <c r="G277" s="748">
        <f t="shared" si="74"/>
        <v>0</v>
      </c>
      <c r="H277" s="748">
        <f t="shared" si="74"/>
        <v>0</v>
      </c>
      <c r="I277" s="748">
        <f t="shared" si="74"/>
        <v>0</v>
      </c>
      <c r="J277" s="748">
        <f t="shared" si="74"/>
        <v>0</v>
      </c>
      <c r="K277" s="748">
        <f t="shared" si="74"/>
        <v>0</v>
      </c>
      <c r="L277" s="748">
        <f t="shared" si="74"/>
        <v>0</v>
      </c>
      <c r="M277" s="748">
        <f t="shared" si="74"/>
        <v>0</v>
      </c>
      <c r="N277" s="748">
        <f t="shared" si="74"/>
        <v>0</v>
      </c>
      <c r="O277" s="748">
        <f t="shared" si="74"/>
        <v>0</v>
      </c>
      <c r="P277" s="748">
        <f t="shared" si="74"/>
        <v>0</v>
      </c>
      <c r="Q277" s="748">
        <f t="shared" si="74"/>
        <v>0</v>
      </c>
      <c r="R277" s="749">
        <f t="shared" si="74"/>
        <v>0</v>
      </c>
      <c r="S277" s="675"/>
      <c r="T277" s="675"/>
      <c r="U277" s="10"/>
      <c r="V277" s="10"/>
      <c r="W277" s="10"/>
      <c r="X277" s="10"/>
      <c r="Y277" s="10"/>
      <c r="Z277" s="10"/>
      <c r="AA277" s="10"/>
      <c r="AB277" s="10"/>
    </row>
    <row r="278" spans="1:28" ht="30.75" hidden="1" customHeight="1" x14ac:dyDescent="0.2">
      <c r="A278" s="745"/>
      <c r="B278" s="746"/>
      <c r="C278" s="746"/>
      <c r="D278" s="746"/>
      <c r="E278" s="747"/>
      <c r="F278" s="748">
        <f t="shared" si="74"/>
        <v>0</v>
      </c>
      <c r="G278" s="748">
        <f t="shared" si="74"/>
        <v>0</v>
      </c>
      <c r="H278" s="748">
        <f t="shared" si="74"/>
        <v>0</v>
      </c>
      <c r="I278" s="748">
        <f t="shared" si="74"/>
        <v>0</v>
      </c>
      <c r="J278" s="748">
        <f t="shared" si="74"/>
        <v>0</v>
      </c>
      <c r="K278" s="748">
        <f t="shared" si="74"/>
        <v>0</v>
      </c>
      <c r="L278" s="748">
        <f t="shared" si="74"/>
        <v>0</v>
      </c>
      <c r="M278" s="748">
        <f t="shared" si="74"/>
        <v>0</v>
      </c>
      <c r="N278" s="748">
        <f t="shared" si="74"/>
        <v>0</v>
      </c>
      <c r="O278" s="748">
        <f t="shared" si="74"/>
        <v>0</v>
      </c>
      <c r="P278" s="748">
        <f t="shared" si="74"/>
        <v>0</v>
      </c>
      <c r="Q278" s="748">
        <f t="shared" si="74"/>
        <v>0</v>
      </c>
      <c r="R278" s="749">
        <f t="shared" si="74"/>
        <v>0</v>
      </c>
      <c r="S278" s="675"/>
      <c r="T278" s="675"/>
      <c r="U278" s="10"/>
      <c r="V278" s="10"/>
      <c r="W278" s="10"/>
      <c r="X278" s="10"/>
      <c r="Y278" s="10"/>
      <c r="Z278" s="10"/>
      <c r="AA278" s="10"/>
      <c r="AB278" s="10"/>
    </row>
    <row r="279" spans="1:28" ht="30.75" hidden="1" customHeight="1" x14ac:dyDescent="0.2">
      <c r="A279" s="745"/>
      <c r="B279" s="746"/>
      <c r="C279" s="746"/>
      <c r="D279" s="746"/>
      <c r="E279" s="747"/>
      <c r="F279" s="748">
        <f t="shared" si="74"/>
        <v>0</v>
      </c>
      <c r="G279" s="748">
        <f t="shared" si="74"/>
        <v>0</v>
      </c>
      <c r="H279" s="748">
        <f t="shared" si="74"/>
        <v>0</v>
      </c>
      <c r="I279" s="748">
        <f t="shared" si="74"/>
        <v>0</v>
      </c>
      <c r="J279" s="748">
        <f t="shared" si="74"/>
        <v>0</v>
      </c>
      <c r="K279" s="748">
        <f t="shared" si="74"/>
        <v>0</v>
      </c>
      <c r="L279" s="748">
        <f t="shared" si="74"/>
        <v>0</v>
      </c>
      <c r="M279" s="748">
        <f t="shared" si="74"/>
        <v>0</v>
      </c>
      <c r="N279" s="748">
        <f t="shared" si="74"/>
        <v>0</v>
      </c>
      <c r="O279" s="748">
        <f t="shared" si="74"/>
        <v>0</v>
      </c>
      <c r="P279" s="748">
        <f t="shared" si="74"/>
        <v>0</v>
      </c>
      <c r="Q279" s="748">
        <f t="shared" si="74"/>
        <v>0</v>
      </c>
      <c r="R279" s="749">
        <f t="shared" si="74"/>
        <v>0</v>
      </c>
      <c r="S279" s="675">
        <f>N279+I279</f>
        <v>0</v>
      </c>
      <c r="T279" s="675">
        <f>SUM(Q279:S279)</f>
        <v>0</v>
      </c>
      <c r="U279" s="10"/>
      <c r="V279" s="10"/>
      <c r="W279" s="10"/>
      <c r="X279" s="10"/>
      <c r="Y279" s="10"/>
      <c r="Z279" s="10"/>
      <c r="AA279" s="10"/>
      <c r="AB279" s="10"/>
    </row>
    <row r="280" spans="1:28" ht="30.75" hidden="1" customHeight="1" x14ac:dyDescent="0.2">
      <c r="A280" s="745"/>
      <c r="B280" s="746"/>
      <c r="C280" s="746"/>
      <c r="D280" s="746"/>
      <c r="E280" s="747"/>
      <c r="F280" s="748">
        <f t="shared" ref="F280:R289" si="75">F102+F117+F128+F139+F150+F172+F183+F194+F205</f>
        <v>0</v>
      </c>
      <c r="G280" s="748">
        <f t="shared" si="75"/>
        <v>0</v>
      </c>
      <c r="H280" s="748">
        <f t="shared" si="75"/>
        <v>0</v>
      </c>
      <c r="I280" s="748">
        <f t="shared" si="75"/>
        <v>0</v>
      </c>
      <c r="J280" s="748">
        <f t="shared" si="75"/>
        <v>0</v>
      </c>
      <c r="K280" s="748">
        <f t="shared" si="75"/>
        <v>0</v>
      </c>
      <c r="L280" s="748">
        <f t="shared" si="75"/>
        <v>0</v>
      </c>
      <c r="M280" s="748">
        <f t="shared" si="75"/>
        <v>0</v>
      </c>
      <c r="N280" s="748">
        <f t="shared" si="75"/>
        <v>0</v>
      </c>
      <c r="O280" s="748">
        <f t="shared" si="75"/>
        <v>0</v>
      </c>
      <c r="P280" s="748">
        <f t="shared" si="75"/>
        <v>0</v>
      </c>
      <c r="Q280" s="748">
        <f t="shared" si="75"/>
        <v>0</v>
      </c>
      <c r="R280" s="749">
        <f t="shared" si="75"/>
        <v>0</v>
      </c>
      <c r="S280" s="675"/>
      <c r="T280" s="675"/>
      <c r="U280" s="10"/>
      <c r="V280" s="10"/>
      <c r="W280" s="10"/>
      <c r="X280" s="10"/>
      <c r="Y280" s="10"/>
      <c r="Z280" s="10"/>
      <c r="AA280" s="10"/>
      <c r="AB280" s="10"/>
    </row>
    <row r="281" spans="1:28" ht="30.75" hidden="1" customHeight="1" x14ac:dyDescent="0.2">
      <c r="A281" s="745"/>
      <c r="B281" s="746"/>
      <c r="C281" s="746"/>
      <c r="D281" s="746"/>
      <c r="E281" s="747"/>
      <c r="F281" s="748">
        <f t="shared" si="75"/>
        <v>0</v>
      </c>
      <c r="G281" s="748">
        <f t="shared" si="75"/>
        <v>0</v>
      </c>
      <c r="H281" s="748">
        <f t="shared" si="75"/>
        <v>0</v>
      </c>
      <c r="I281" s="748">
        <f t="shared" si="75"/>
        <v>0</v>
      </c>
      <c r="J281" s="748">
        <f t="shared" si="75"/>
        <v>0</v>
      </c>
      <c r="K281" s="748">
        <f t="shared" si="75"/>
        <v>0</v>
      </c>
      <c r="L281" s="748">
        <f t="shared" si="75"/>
        <v>0</v>
      </c>
      <c r="M281" s="748">
        <f t="shared" si="75"/>
        <v>0</v>
      </c>
      <c r="N281" s="748">
        <f t="shared" si="75"/>
        <v>0</v>
      </c>
      <c r="O281" s="748">
        <f t="shared" si="75"/>
        <v>0</v>
      </c>
      <c r="P281" s="748">
        <f t="shared" si="75"/>
        <v>0</v>
      </c>
      <c r="Q281" s="748">
        <f t="shared" si="75"/>
        <v>0</v>
      </c>
      <c r="R281" s="749">
        <f t="shared" si="75"/>
        <v>0</v>
      </c>
      <c r="S281" s="675"/>
      <c r="T281" s="675"/>
      <c r="U281" s="10"/>
      <c r="V281" s="10"/>
      <c r="W281" s="10"/>
      <c r="X281" s="10"/>
      <c r="Y281" s="10"/>
      <c r="Z281" s="10"/>
      <c r="AA281" s="10"/>
      <c r="AB281" s="10"/>
    </row>
    <row r="282" spans="1:28" ht="30.75" hidden="1" customHeight="1" x14ac:dyDescent="0.2">
      <c r="A282" s="745"/>
      <c r="B282" s="746"/>
      <c r="C282" s="746"/>
      <c r="D282" s="746"/>
      <c r="E282" s="747"/>
      <c r="F282" s="748">
        <f t="shared" si="75"/>
        <v>0</v>
      </c>
      <c r="G282" s="748">
        <f t="shared" si="75"/>
        <v>0</v>
      </c>
      <c r="H282" s="748">
        <f t="shared" si="75"/>
        <v>0</v>
      </c>
      <c r="I282" s="748">
        <f t="shared" si="75"/>
        <v>0</v>
      </c>
      <c r="J282" s="748">
        <f t="shared" si="75"/>
        <v>0</v>
      </c>
      <c r="K282" s="748">
        <f t="shared" si="75"/>
        <v>0</v>
      </c>
      <c r="L282" s="748">
        <f t="shared" si="75"/>
        <v>0</v>
      </c>
      <c r="M282" s="748">
        <f t="shared" si="75"/>
        <v>0</v>
      </c>
      <c r="N282" s="748">
        <f t="shared" si="75"/>
        <v>0</v>
      </c>
      <c r="O282" s="748">
        <f t="shared" si="75"/>
        <v>0</v>
      </c>
      <c r="P282" s="748">
        <f t="shared" si="75"/>
        <v>0</v>
      </c>
      <c r="Q282" s="748">
        <f t="shared" si="75"/>
        <v>0</v>
      </c>
      <c r="R282" s="749">
        <f t="shared" si="75"/>
        <v>0</v>
      </c>
      <c r="S282" s="675"/>
      <c r="T282" s="675"/>
      <c r="U282" s="10"/>
      <c r="V282" s="10"/>
      <c r="W282" s="10"/>
      <c r="X282" s="10"/>
      <c r="Y282" s="10"/>
      <c r="Z282" s="10"/>
      <c r="AA282" s="10"/>
      <c r="AB282" s="10"/>
    </row>
    <row r="283" spans="1:28" ht="30.75" hidden="1" customHeight="1" x14ac:dyDescent="0.2">
      <c r="A283" s="745"/>
      <c r="B283" s="746"/>
      <c r="C283" s="746"/>
      <c r="D283" s="746"/>
      <c r="E283" s="747"/>
      <c r="F283" s="748">
        <f t="shared" si="75"/>
        <v>0</v>
      </c>
      <c r="G283" s="748">
        <f t="shared" si="75"/>
        <v>0</v>
      </c>
      <c r="H283" s="748">
        <f t="shared" si="75"/>
        <v>0</v>
      </c>
      <c r="I283" s="748">
        <f t="shared" si="75"/>
        <v>0</v>
      </c>
      <c r="J283" s="748">
        <f t="shared" si="75"/>
        <v>0</v>
      </c>
      <c r="K283" s="748">
        <f t="shared" si="75"/>
        <v>0</v>
      </c>
      <c r="L283" s="748">
        <f t="shared" si="75"/>
        <v>0</v>
      </c>
      <c r="M283" s="748">
        <f t="shared" si="75"/>
        <v>0</v>
      </c>
      <c r="N283" s="748">
        <f t="shared" si="75"/>
        <v>0</v>
      </c>
      <c r="O283" s="748">
        <f t="shared" si="75"/>
        <v>0</v>
      </c>
      <c r="P283" s="748">
        <f t="shared" si="75"/>
        <v>0</v>
      </c>
      <c r="Q283" s="748">
        <f t="shared" si="75"/>
        <v>0</v>
      </c>
      <c r="R283" s="749">
        <f t="shared" si="75"/>
        <v>0</v>
      </c>
      <c r="S283" s="675"/>
      <c r="T283" s="675"/>
      <c r="U283" s="10"/>
      <c r="V283" s="10"/>
      <c r="W283" s="10"/>
      <c r="X283" s="10"/>
      <c r="Y283" s="10"/>
      <c r="Z283" s="10"/>
      <c r="AA283" s="10"/>
      <c r="AB283" s="10"/>
    </row>
    <row r="284" spans="1:28" ht="30.75" hidden="1" customHeight="1" x14ac:dyDescent="0.2">
      <c r="A284" s="745"/>
      <c r="B284" s="746"/>
      <c r="C284" s="746"/>
      <c r="D284" s="746"/>
      <c r="E284" s="747"/>
      <c r="F284" s="748">
        <f t="shared" si="75"/>
        <v>0</v>
      </c>
      <c r="G284" s="748">
        <f t="shared" si="75"/>
        <v>0</v>
      </c>
      <c r="H284" s="748">
        <f t="shared" si="75"/>
        <v>0</v>
      </c>
      <c r="I284" s="748">
        <f t="shared" si="75"/>
        <v>0</v>
      </c>
      <c r="J284" s="748">
        <f t="shared" si="75"/>
        <v>0</v>
      </c>
      <c r="K284" s="748">
        <f t="shared" si="75"/>
        <v>0</v>
      </c>
      <c r="L284" s="748">
        <f t="shared" si="75"/>
        <v>0</v>
      </c>
      <c r="M284" s="748">
        <f t="shared" si="75"/>
        <v>0</v>
      </c>
      <c r="N284" s="748">
        <f t="shared" si="75"/>
        <v>0</v>
      </c>
      <c r="O284" s="748">
        <f t="shared" si="75"/>
        <v>0</v>
      </c>
      <c r="P284" s="748">
        <f t="shared" si="75"/>
        <v>0</v>
      </c>
      <c r="Q284" s="748">
        <f t="shared" si="75"/>
        <v>0</v>
      </c>
      <c r="R284" s="749">
        <f t="shared" si="75"/>
        <v>0</v>
      </c>
      <c r="S284" s="675"/>
      <c r="T284" s="675"/>
      <c r="U284" s="10"/>
      <c r="V284" s="10"/>
      <c r="W284" s="10"/>
      <c r="X284" s="10"/>
      <c r="Y284" s="10"/>
      <c r="Z284" s="10"/>
      <c r="AA284" s="10"/>
      <c r="AB284" s="10"/>
    </row>
    <row r="285" spans="1:28" ht="30.75" hidden="1" customHeight="1" x14ac:dyDescent="0.2">
      <c r="A285" s="745"/>
      <c r="B285" s="746"/>
      <c r="C285" s="746"/>
      <c r="D285" s="746"/>
      <c r="E285" s="747"/>
      <c r="F285" s="748">
        <f t="shared" si="75"/>
        <v>0</v>
      </c>
      <c r="G285" s="748">
        <f t="shared" si="75"/>
        <v>0</v>
      </c>
      <c r="H285" s="748">
        <f t="shared" si="75"/>
        <v>0</v>
      </c>
      <c r="I285" s="748">
        <f t="shared" si="75"/>
        <v>0</v>
      </c>
      <c r="J285" s="748">
        <f t="shared" si="75"/>
        <v>0</v>
      </c>
      <c r="K285" s="748">
        <f t="shared" si="75"/>
        <v>0</v>
      </c>
      <c r="L285" s="748">
        <f t="shared" si="75"/>
        <v>0</v>
      </c>
      <c r="M285" s="748">
        <f t="shared" si="75"/>
        <v>0</v>
      </c>
      <c r="N285" s="748">
        <f t="shared" si="75"/>
        <v>0</v>
      </c>
      <c r="O285" s="748">
        <f t="shared" si="75"/>
        <v>0</v>
      </c>
      <c r="P285" s="748">
        <f t="shared" si="75"/>
        <v>0</v>
      </c>
      <c r="Q285" s="748">
        <f t="shared" si="75"/>
        <v>0</v>
      </c>
      <c r="R285" s="749">
        <f t="shared" si="75"/>
        <v>0</v>
      </c>
      <c r="S285" s="675"/>
      <c r="T285" s="675"/>
      <c r="U285" s="10"/>
      <c r="V285" s="10"/>
      <c r="W285" s="10"/>
      <c r="X285" s="10"/>
      <c r="Y285" s="10"/>
      <c r="Z285" s="10"/>
      <c r="AA285" s="10"/>
      <c r="AB285" s="10"/>
    </row>
    <row r="286" spans="1:28" ht="30.75" hidden="1" customHeight="1" x14ac:dyDescent="0.2">
      <c r="A286" s="745"/>
      <c r="B286" s="746"/>
      <c r="C286" s="746"/>
      <c r="D286" s="746"/>
      <c r="E286" s="747"/>
      <c r="F286" s="748">
        <f t="shared" si="75"/>
        <v>0</v>
      </c>
      <c r="G286" s="748">
        <f t="shared" si="75"/>
        <v>0</v>
      </c>
      <c r="H286" s="748">
        <f t="shared" si="75"/>
        <v>0</v>
      </c>
      <c r="I286" s="748">
        <f t="shared" si="75"/>
        <v>0</v>
      </c>
      <c r="J286" s="748">
        <f t="shared" si="75"/>
        <v>0</v>
      </c>
      <c r="K286" s="748">
        <f t="shared" si="75"/>
        <v>0</v>
      </c>
      <c r="L286" s="748">
        <f t="shared" si="75"/>
        <v>0</v>
      </c>
      <c r="M286" s="748">
        <f t="shared" si="75"/>
        <v>0</v>
      </c>
      <c r="N286" s="748">
        <f t="shared" si="75"/>
        <v>0</v>
      </c>
      <c r="O286" s="748">
        <f t="shared" si="75"/>
        <v>0</v>
      </c>
      <c r="P286" s="748">
        <f t="shared" si="75"/>
        <v>0</v>
      </c>
      <c r="Q286" s="748">
        <f t="shared" si="75"/>
        <v>0</v>
      </c>
      <c r="R286" s="749">
        <f t="shared" si="75"/>
        <v>0</v>
      </c>
      <c r="S286" s="675"/>
      <c r="T286" s="675"/>
      <c r="U286" s="10"/>
      <c r="V286" s="10"/>
      <c r="W286" s="10"/>
      <c r="X286" s="10"/>
      <c r="Y286" s="10"/>
      <c r="Z286" s="10"/>
      <c r="AA286" s="10"/>
      <c r="AB286" s="10"/>
    </row>
    <row r="287" spans="1:28" ht="30.75" hidden="1" customHeight="1" x14ac:dyDescent="0.2">
      <c r="A287" s="745"/>
      <c r="B287" s="746"/>
      <c r="C287" s="746"/>
      <c r="D287" s="746"/>
      <c r="E287" s="747"/>
      <c r="F287" s="748">
        <f t="shared" si="75"/>
        <v>0</v>
      </c>
      <c r="G287" s="748">
        <f t="shared" si="75"/>
        <v>0</v>
      </c>
      <c r="H287" s="748">
        <f t="shared" si="75"/>
        <v>0</v>
      </c>
      <c r="I287" s="748">
        <f t="shared" si="75"/>
        <v>0</v>
      </c>
      <c r="J287" s="748">
        <f t="shared" si="75"/>
        <v>0</v>
      </c>
      <c r="K287" s="748">
        <f t="shared" si="75"/>
        <v>0</v>
      </c>
      <c r="L287" s="748">
        <f t="shared" si="75"/>
        <v>0</v>
      </c>
      <c r="M287" s="748">
        <f t="shared" si="75"/>
        <v>0</v>
      </c>
      <c r="N287" s="748">
        <f t="shared" si="75"/>
        <v>0</v>
      </c>
      <c r="O287" s="748">
        <f t="shared" si="75"/>
        <v>0</v>
      </c>
      <c r="P287" s="748">
        <f t="shared" si="75"/>
        <v>0</v>
      </c>
      <c r="Q287" s="748">
        <f t="shared" si="75"/>
        <v>0</v>
      </c>
      <c r="R287" s="749">
        <f t="shared" si="75"/>
        <v>0</v>
      </c>
      <c r="S287" s="675"/>
      <c r="T287" s="675"/>
      <c r="U287" s="10"/>
      <c r="V287" s="10"/>
      <c r="W287" s="10"/>
      <c r="X287" s="10"/>
      <c r="Y287" s="10"/>
      <c r="Z287" s="10"/>
      <c r="AA287" s="10"/>
      <c r="AB287" s="10"/>
    </row>
    <row r="288" spans="1:28" ht="30.75" hidden="1" customHeight="1" x14ac:dyDescent="0.2">
      <c r="A288" s="745"/>
      <c r="B288" s="746"/>
      <c r="C288" s="746"/>
      <c r="D288" s="746"/>
      <c r="E288" s="747"/>
      <c r="F288" s="748">
        <f t="shared" si="75"/>
        <v>0</v>
      </c>
      <c r="G288" s="748">
        <f t="shared" si="75"/>
        <v>0</v>
      </c>
      <c r="H288" s="748">
        <f t="shared" si="75"/>
        <v>0</v>
      </c>
      <c r="I288" s="748">
        <f t="shared" si="75"/>
        <v>0</v>
      </c>
      <c r="J288" s="748">
        <f t="shared" si="75"/>
        <v>0</v>
      </c>
      <c r="K288" s="748">
        <f t="shared" si="75"/>
        <v>0</v>
      </c>
      <c r="L288" s="748">
        <f t="shared" si="75"/>
        <v>0</v>
      </c>
      <c r="M288" s="748">
        <f t="shared" si="75"/>
        <v>0</v>
      </c>
      <c r="N288" s="748">
        <f t="shared" si="75"/>
        <v>0</v>
      </c>
      <c r="O288" s="748">
        <f t="shared" si="75"/>
        <v>0</v>
      </c>
      <c r="P288" s="748">
        <f t="shared" si="75"/>
        <v>0</v>
      </c>
      <c r="Q288" s="748">
        <f t="shared" si="75"/>
        <v>0</v>
      </c>
      <c r="R288" s="749">
        <f t="shared" si="75"/>
        <v>0</v>
      </c>
      <c r="S288" s="675"/>
      <c r="T288" s="675"/>
      <c r="U288" s="10"/>
      <c r="V288" s="10"/>
      <c r="W288" s="10"/>
      <c r="X288" s="10"/>
      <c r="Y288" s="10"/>
      <c r="Z288" s="10"/>
      <c r="AA288" s="10"/>
      <c r="AB288" s="10"/>
    </row>
    <row r="289" spans="1:29" ht="30.75" hidden="1" customHeight="1" x14ac:dyDescent="0.2">
      <c r="A289" s="745"/>
      <c r="B289" s="746"/>
      <c r="C289" s="746"/>
      <c r="D289" s="746"/>
      <c r="E289" s="747"/>
      <c r="F289" s="748">
        <f t="shared" si="75"/>
        <v>0</v>
      </c>
      <c r="G289" s="748">
        <f t="shared" si="75"/>
        <v>0</v>
      </c>
      <c r="H289" s="748">
        <f t="shared" si="75"/>
        <v>0</v>
      </c>
      <c r="I289" s="748">
        <f t="shared" si="75"/>
        <v>0</v>
      </c>
      <c r="J289" s="748">
        <f t="shared" si="75"/>
        <v>0</v>
      </c>
      <c r="K289" s="748">
        <f t="shared" si="75"/>
        <v>0</v>
      </c>
      <c r="L289" s="748">
        <f t="shared" si="75"/>
        <v>0</v>
      </c>
      <c r="M289" s="748">
        <f t="shared" si="75"/>
        <v>0</v>
      </c>
      <c r="N289" s="748">
        <f t="shared" si="75"/>
        <v>0</v>
      </c>
      <c r="O289" s="748">
        <f t="shared" si="75"/>
        <v>0</v>
      </c>
      <c r="P289" s="748">
        <f t="shared" si="75"/>
        <v>0</v>
      </c>
      <c r="Q289" s="748">
        <f t="shared" si="75"/>
        <v>0</v>
      </c>
      <c r="R289" s="749">
        <f t="shared" si="75"/>
        <v>0</v>
      </c>
      <c r="S289" s="675"/>
      <c r="T289" s="675"/>
      <c r="U289" s="10"/>
      <c r="V289" s="10"/>
      <c r="W289" s="10"/>
      <c r="X289" s="10"/>
      <c r="Y289" s="10"/>
      <c r="Z289" s="10"/>
      <c r="AA289" s="10"/>
      <c r="AB289" s="10"/>
    </row>
    <row r="290" spans="1:29" ht="49.5" hidden="1" customHeight="1" x14ac:dyDescent="0.2">
      <c r="A290" s="745"/>
      <c r="B290" s="746"/>
      <c r="C290" s="746"/>
      <c r="D290" s="746"/>
      <c r="E290" s="747"/>
      <c r="F290" s="750" t="e">
        <f>F268+F269</f>
        <v>#REF!</v>
      </c>
      <c r="G290" s="748" t="e">
        <f t="shared" ref="G290:R290" si="76">G268+G269</f>
        <v>#REF!</v>
      </c>
      <c r="H290" s="748" t="e">
        <f t="shared" si="76"/>
        <v>#REF!</v>
      </c>
      <c r="I290" s="748" t="e">
        <f t="shared" si="76"/>
        <v>#REF!</v>
      </c>
      <c r="J290" s="748" t="e">
        <f t="shared" si="76"/>
        <v>#REF!</v>
      </c>
      <c r="K290" s="748" t="e">
        <f t="shared" si="76"/>
        <v>#REF!</v>
      </c>
      <c r="L290" s="748" t="e">
        <f t="shared" si="76"/>
        <v>#REF!</v>
      </c>
      <c r="M290" s="748" t="e">
        <f t="shared" si="76"/>
        <v>#REF!</v>
      </c>
      <c r="N290" s="748" t="e">
        <f t="shared" si="76"/>
        <v>#REF!</v>
      </c>
      <c r="O290" s="748" t="e">
        <f t="shared" si="76"/>
        <v>#REF!</v>
      </c>
      <c r="P290" s="748" t="e">
        <f t="shared" si="76"/>
        <v>#REF!</v>
      </c>
      <c r="Q290" s="748" t="e">
        <f t="shared" si="76"/>
        <v>#REF!</v>
      </c>
      <c r="R290" s="749" t="e">
        <f t="shared" si="76"/>
        <v>#REF!</v>
      </c>
      <c r="S290" s="675"/>
      <c r="T290" s="675"/>
      <c r="U290" s="10"/>
      <c r="V290" s="10"/>
      <c r="W290" s="10"/>
      <c r="X290" s="10"/>
      <c r="Y290" s="10"/>
      <c r="Z290" s="10"/>
      <c r="AA290" s="10"/>
      <c r="AB290" s="10"/>
    </row>
    <row r="291" spans="1:29" ht="50.25" hidden="1" customHeight="1" x14ac:dyDescent="0.2">
      <c r="A291" s="745"/>
      <c r="B291" s="746"/>
      <c r="C291" s="746"/>
      <c r="D291" s="746"/>
      <c r="E291" s="747"/>
      <c r="F291" s="750">
        <f>SUM(F270:F289)</f>
        <v>0</v>
      </c>
      <c r="G291" s="748">
        <f t="shared" ref="G291:R291" si="77">SUM(G270:G289)</f>
        <v>0</v>
      </c>
      <c r="H291" s="748">
        <f t="shared" si="77"/>
        <v>0</v>
      </c>
      <c r="I291" s="748">
        <f t="shared" si="77"/>
        <v>0</v>
      </c>
      <c r="J291" s="748">
        <f t="shared" si="77"/>
        <v>0</v>
      </c>
      <c r="K291" s="748">
        <f t="shared" si="77"/>
        <v>0</v>
      </c>
      <c r="L291" s="748">
        <f t="shared" si="77"/>
        <v>0</v>
      </c>
      <c r="M291" s="748">
        <f t="shared" si="77"/>
        <v>0</v>
      </c>
      <c r="N291" s="748">
        <f t="shared" si="77"/>
        <v>0</v>
      </c>
      <c r="O291" s="748">
        <f t="shared" si="77"/>
        <v>0</v>
      </c>
      <c r="P291" s="748">
        <f t="shared" si="77"/>
        <v>0</v>
      </c>
      <c r="Q291" s="748">
        <f t="shared" si="77"/>
        <v>0</v>
      </c>
      <c r="R291" s="749">
        <f t="shared" si="77"/>
        <v>0</v>
      </c>
      <c r="S291" s="675"/>
      <c r="T291" s="675"/>
      <c r="U291" s="10"/>
      <c r="V291" s="10"/>
      <c r="W291" s="10"/>
      <c r="X291" s="10"/>
      <c r="Y291" s="10"/>
      <c r="Z291" s="10"/>
      <c r="AA291" s="10"/>
      <c r="AB291" s="10"/>
    </row>
    <row r="292" spans="1:29" ht="45.75" customHeight="1" thickBot="1" x14ac:dyDescent="0.25">
      <c r="A292" s="4765" t="s">
        <v>148</v>
      </c>
      <c r="B292" s="4766"/>
      <c r="C292" s="4766"/>
      <c r="D292" s="4766"/>
      <c r="E292" s="4767"/>
      <c r="F292" s="2061" t="e">
        <f>F290+F291</f>
        <v>#REF!</v>
      </c>
      <c r="G292" s="751" t="e">
        <f t="shared" ref="G292:R292" si="78">G290+G291</f>
        <v>#REF!</v>
      </c>
      <c r="H292" s="751" t="e">
        <f t="shared" si="78"/>
        <v>#REF!</v>
      </c>
      <c r="I292" s="751" t="e">
        <f t="shared" si="78"/>
        <v>#REF!</v>
      </c>
      <c r="J292" s="751" t="e">
        <f t="shared" si="78"/>
        <v>#REF!</v>
      </c>
      <c r="K292" s="751" t="e">
        <f t="shared" si="78"/>
        <v>#REF!</v>
      </c>
      <c r="L292" s="751" t="e">
        <f t="shared" si="78"/>
        <v>#REF!</v>
      </c>
      <c r="M292" s="751" t="e">
        <f t="shared" si="78"/>
        <v>#REF!</v>
      </c>
      <c r="N292" s="751" t="e">
        <f t="shared" si="78"/>
        <v>#REF!</v>
      </c>
      <c r="O292" s="751" t="e">
        <f t="shared" si="78"/>
        <v>#REF!</v>
      </c>
      <c r="P292" s="751" t="e">
        <f t="shared" si="78"/>
        <v>#REF!</v>
      </c>
      <c r="Q292" s="751" t="e">
        <f t="shared" si="78"/>
        <v>#REF!</v>
      </c>
      <c r="R292" s="752" t="e">
        <f t="shared" si="78"/>
        <v>#REF!</v>
      </c>
      <c r="S292" s="653"/>
      <c r="T292" s="653"/>
      <c r="U292" s="10"/>
      <c r="V292" s="10"/>
      <c r="W292" s="10"/>
      <c r="X292" s="10"/>
      <c r="Y292" s="10"/>
      <c r="Z292" s="10"/>
      <c r="AA292" s="10"/>
      <c r="AB292" s="10"/>
    </row>
    <row r="293" spans="1:29" s="105" customFormat="1" ht="46.5" customHeight="1" x14ac:dyDescent="0.2">
      <c r="A293" s="753"/>
      <c r="B293" s="736"/>
      <c r="C293" s="2129"/>
      <c r="D293" s="2129"/>
      <c r="E293" s="2129"/>
      <c r="F293" s="659"/>
      <c r="G293" s="659"/>
      <c r="H293" s="659"/>
      <c r="I293" s="659"/>
      <c r="J293" s="659"/>
      <c r="K293" s="659"/>
      <c r="L293" s="659"/>
      <c r="M293" s="659"/>
      <c r="N293" s="659"/>
      <c r="O293" s="659"/>
      <c r="P293" s="659"/>
      <c r="Q293" s="659"/>
      <c r="R293" s="659"/>
      <c r="S293" s="653"/>
      <c r="T293" s="653"/>
      <c r="U293" s="569"/>
      <c r="V293" s="569"/>
      <c r="W293" s="569"/>
      <c r="X293" s="569"/>
      <c r="Y293" s="569"/>
      <c r="Z293" s="569"/>
      <c r="AA293" s="569"/>
      <c r="AB293" s="569"/>
    </row>
    <row r="294" spans="1:29" s="63" customFormat="1" ht="30.75" customHeight="1" x14ac:dyDescent="0.2">
      <c r="A294" s="4768" t="s">
        <v>149</v>
      </c>
      <c r="B294" s="4768"/>
      <c r="C294" s="4768"/>
      <c r="D294" s="4768"/>
      <c r="E294" s="4768"/>
      <c r="F294" s="4768"/>
      <c r="G294" s="4768"/>
      <c r="H294" s="4768"/>
      <c r="I294" s="4769"/>
      <c r="J294" s="2125"/>
      <c r="K294" s="754"/>
      <c r="L294" s="2349" t="s">
        <v>564</v>
      </c>
      <c r="M294" s="2008">
        <f>+M49</f>
        <v>6.7799999999999999E-2</v>
      </c>
      <c r="N294" s="2143"/>
      <c r="O294" s="755"/>
      <c r="Q294" s="756"/>
      <c r="R294" s="756"/>
      <c r="S294" s="756"/>
      <c r="T294" s="756"/>
      <c r="U294" s="754"/>
      <c r="V294" s="754"/>
      <c r="W294" s="754"/>
      <c r="X294" s="754"/>
      <c r="Y294" s="754"/>
      <c r="Z294" s="754"/>
      <c r="AA294" s="754"/>
      <c r="AB294" s="754"/>
    </row>
    <row r="295" spans="1:29" ht="30.75" customHeight="1" thickBot="1" x14ac:dyDescent="0.25">
      <c r="A295" s="4751" t="s">
        <v>565</v>
      </c>
      <c r="B295" s="736"/>
      <c r="C295" s="4754" t="s">
        <v>40</v>
      </c>
      <c r="D295" s="4754"/>
      <c r="E295" s="4754"/>
      <c r="F295" s="2350"/>
      <c r="G295" s="190"/>
      <c r="H295" s="4723" t="s">
        <v>94</v>
      </c>
      <c r="I295" s="4724"/>
      <c r="J295" s="4725"/>
      <c r="K295" s="4723" t="s">
        <v>193</v>
      </c>
      <c r="L295" s="4724"/>
      <c r="M295" s="4725"/>
      <c r="N295" s="4726" t="s">
        <v>194</v>
      </c>
      <c r="O295" s="4727"/>
      <c r="P295" s="4728"/>
      <c r="Q295" s="4729" t="s">
        <v>4</v>
      </c>
      <c r="R295" s="653"/>
      <c r="S295" s="653"/>
      <c r="T295" s="653"/>
      <c r="U295" s="653"/>
      <c r="V295" s="10"/>
      <c r="W295" s="10"/>
      <c r="X295" s="10"/>
      <c r="Y295" s="10"/>
      <c r="Z295" s="10"/>
      <c r="AA295" s="10"/>
      <c r="AB295" s="10"/>
      <c r="AC295" s="10"/>
    </row>
    <row r="296" spans="1:29" ht="69" customHeight="1" x14ac:dyDescent="0.2">
      <c r="A296" s="4752"/>
      <c r="B296" s="657"/>
      <c r="C296" s="4731" t="s">
        <v>40</v>
      </c>
      <c r="D296" s="4732"/>
      <c r="E296" s="4733"/>
      <c r="F296" s="1945" t="s">
        <v>151</v>
      </c>
      <c r="G296" s="559" t="s">
        <v>101</v>
      </c>
      <c r="H296" s="627" t="s">
        <v>5</v>
      </c>
      <c r="I296" s="627" t="s">
        <v>6</v>
      </c>
      <c r="J296" s="627" t="s">
        <v>7</v>
      </c>
      <c r="K296" s="627" t="s">
        <v>5</v>
      </c>
      <c r="L296" s="627" t="s">
        <v>6</v>
      </c>
      <c r="M296" s="627" t="s">
        <v>7</v>
      </c>
      <c r="N296" s="627" t="s">
        <v>5</v>
      </c>
      <c r="O296" s="627" t="s">
        <v>6</v>
      </c>
      <c r="P296" s="627" t="s">
        <v>7</v>
      </c>
      <c r="Q296" s="473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</row>
    <row r="297" spans="1:29" ht="42" customHeight="1" thickBot="1" x14ac:dyDescent="0.25">
      <c r="A297" s="4752"/>
      <c r="B297" s="657"/>
      <c r="C297" s="4734"/>
      <c r="D297" s="4735"/>
      <c r="E297" s="4736"/>
      <c r="F297" s="2608">
        <f>+'Compra -HOJA1'!F67</f>
        <v>0</v>
      </c>
      <c r="G297" s="2609">
        <f>+'Compra -HOJA1'!G67</f>
        <v>0</v>
      </c>
      <c r="H297" s="2212">
        <f>IF(F297=0,0,$F297*G$792)</f>
        <v>0</v>
      </c>
      <c r="I297" s="2212">
        <f t="shared" ref="I297:J299" si="79">IF(H297=0,0,$F297*H$792)</f>
        <v>0</v>
      </c>
      <c r="J297" s="2212">
        <f t="shared" si="79"/>
        <v>0</v>
      </c>
      <c r="K297" s="2215">
        <f t="shared" ref="K297:M299" si="80">H297*$M$294</f>
        <v>0</v>
      </c>
      <c r="L297" s="2212">
        <f t="shared" si="80"/>
        <v>0</v>
      </c>
      <c r="M297" s="2212">
        <f t="shared" si="80"/>
        <v>0</v>
      </c>
      <c r="N297" s="2212">
        <f>H297+K297</f>
        <v>0</v>
      </c>
      <c r="O297" s="2212">
        <f>I297+L297</f>
        <v>0</v>
      </c>
      <c r="P297" s="2212">
        <f>J297+M297</f>
        <v>0</v>
      </c>
      <c r="Q297" s="2212">
        <f>SUM(N297:P297)</f>
        <v>0</v>
      </c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</row>
    <row r="298" spans="1:29" ht="42" hidden="1" customHeight="1" thickBot="1" x14ac:dyDescent="0.4">
      <c r="A298" s="4752"/>
      <c r="B298" s="657"/>
      <c r="C298" s="1972"/>
      <c r="D298" s="844"/>
      <c r="E298" s="2006"/>
      <c r="F298" s="2009"/>
      <c r="G298" s="2010"/>
      <c r="H298" s="761">
        <f>IF(F298=0,0,$F298*G$792)</f>
        <v>0</v>
      </c>
      <c r="I298" s="761">
        <f t="shared" si="79"/>
        <v>0</v>
      </c>
      <c r="J298" s="761">
        <f t="shared" si="79"/>
        <v>0</v>
      </c>
      <c r="K298" s="761">
        <f t="shared" si="80"/>
        <v>0</v>
      </c>
      <c r="L298" s="761">
        <f t="shared" si="80"/>
        <v>0</v>
      </c>
      <c r="M298" s="761">
        <f t="shared" si="80"/>
        <v>0</v>
      </c>
      <c r="N298" s="762">
        <f t="shared" ref="N298:P299" si="81">H298+K298</f>
        <v>0</v>
      </c>
      <c r="O298" s="763">
        <f t="shared" si="81"/>
        <v>0</v>
      </c>
      <c r="P298" s="763">
        <f t="shared" si="81"/>
        <v>0</v>
      </c>
      <c r="Q298" s="763">
        <f t="shared" ref="Q298:Q299" si="82">SUM(N298:P298)</f>
        <v>0</v>
      </c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</row>
    <row r="299" spans="1:29" ht="42" hidden="1" customHeight="1" x14ac:dyDescent="0.35">
      <c r="A299" s="4752"/>
      <c r="B299" s="657"/>
      <c r="C299" s="1971"/>
      <c r="D299" s="844"/>
      <c r="E299" s="2006"/>
      <c r="F299" s="2009"/>
      <c r="G299" s="2010"/>
      <c r="H299" s="761">
        <f>IF(F299=0,0,$F299*G$792)</f>
        <v>0</v>
      </c>
      <c r="I299" s="761">
        <f t="shared" si="79"/>
        <v>0</v>
      </c>
      <c r="J299" s="761">
        <f t="shared" si="79"/>
        <v>0</v>
      </c>
      <c r="K299" s="761">
        <f t="shared" si="80"/>
        <v>0</v>
      </c>
      <c r="L299" s="761">
        <f t="shared" si="80"/>
        <v>0</v>
      </c>
      <c r="M299" s="761">
        <f t="shared" si="80"/>
        <v>0</v>
      </c>
      <c r="N299" s="762">
        <f t="shared" si="81"/>
        <v>0</v>
      </c>
      <c r="O299" s="763">
        <f t="shared" si="81"/>
        <v>0</v>
      </c>
      <c r="P299" s="763">
        <f t="shared" si="81"/>
        <v>0</v>
      </c>
      <c r="Q299" s="763">
        <f t="shared" si="82"/>
        <v>0</v>
      </c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</row>
    <row r="300" spans="1:29" ht="30.75" hidden="1" customHeight="1" thickBot="1" x14ac:dyDescent="0.25">
      <c r="A300" s="4752"/>
      <c r="B300" s="657"/>
      <c r="C300" s="785"/>
      <c r="D300" s="785"/>
      <c r="E300" s="190"/>
      <c r="F300" s="2007"/>
      <c r="H300" s="540"/>
      <c r="I300" s="540"/>
      <c r="J300" s="540"/>
      <c r="K300" s="540"/>
      <c r="L300" s="540"/>
      <c r="M300" s="540"/>
      <c r="N300" s="540"/>
      <c r="O300" s="540"/>
      <c r="P300" s="540"/>
      <c r="Q300" s="84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</row>
    <row r="301" spans="1:29" ht="30.75" hidden="1" customHeight="1" thickBot="1" x14ac:dyDescent="0.25">
      <c r="A301" s="4752"/>
      <c r="B301" s="1974"/>
      <c r="C301" s="4717" t="s">
        <v>566</v>
      </c>
      <c r="D301" s="1975" t="s">
        <v>567</v>
      </c>
      <c r="E301" s="1976" t="s">
        <v>568</v>
      </c>
      <c r="F301" s="764" t="s">
        <v>154</v>
      </c>
      <c r="G301" s="764" t="s">
        <v>101</v>
      </c>
      <c r="H301" s="540"/>
      <c r="I301" s="540"/>
      <c r="J301" s="540"/>
      <c r="K301" s="540"/>
      <c r="L301" s="540"/>
      <c r="M301" s="540"/>
      <c r="N301" s="540"/>
      <c r="O301" s="540"/>
      <c r="P301" s="540"/>
      <c r="Q301" s="84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</row>
    <row r="302" spans="1:29" ht="30.75" hidden="1" customHeight="1" x14ac:dyDescent="0.3">
      <c r="A302" s="4752"/>
      <c r="B302" s="765">
        <v>1</v>
      </c>
      <c r="C302" s="4717"/>
      <c r="D302" s="766"/>
      <c r="E302" s="767">
        <f t="shared" ref="E302:E311" si="83">E29</f>
        <v>0</v>
      </c>
      <c r="F302" s="768"/>
      <c r="G302" s="768"/>
      <c r="H302" s="711">
        <f t="shared" ref="H302:H311" si="84">IF(F302=0,0,$F302*G$792)</f>
        <v>0</v>
      </c>
      <c r="I302" s="711">
        <f t="shared" ref="I302:J311" si="85">IF(H302=0,0,$F302*H$792)</f>
        <v>0</v>
      </c>
      <c r="J302" s="711">
        <f t="shared" si="85"/>
        <v>0</v>
      </c>
      <c r="K302" s="2145">
        <f t="shared" ref="K302:M311" si="86">H302*$M$294</f>
        <v>0</v>
      </c>
      <c r="L302" s="2145">
        <f t="shared" si="86"/>
        <v>0</v>
      </c>
      <c r="M302" s="2145">
        <f t="shared" si="86"/>
        <v>0</v>
      </c>
      <c r="N302" s="763">
        <f>H302+K302</f>
        <v>0</v>
      </c>
      <c r="O302" s="763">
        <f t="shared" ref="O302:P311" si="87">I302+L302</f>
        <v>0</v>
      </c>
      <c r="P302" s="763">
        <f t="shared" si="87"/>
        <v>0</v>
      </c>
      <c r="Q302" s="763">
        <f>SUM(N302:P302)</f>
        <v>0</v>
      </c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</row>
    <row r="303" spans="1:29" ht="30.75" hidden="1" customHeight="1" x14ac:dyDescent="0.3">
      <c r="A303" s="4752"/>
      <c r="B303" s="765">
        <v>2</v>
      </c>
      <c r="C303" s="4717"/>
      <c r="D303" s="769"/>
      <c r="E303" s="767">
        <f t="shared" si="83"/>
        <v>0</v>
      </c>
      <c r="F303" s="768"/>
      <c r="G303" s="768"/>
      <c r="H303" s="711">
        <f t="shared" si="84"/>
        <v>0</v>
      </c>
      <c r="I303" s="711">
        <f t="shared" si="85"/>
        <v>0</v>
      </c>
      <c r="J303" s="711">
        <f t="shared" si="85"/>
        <v>0</v>
      </c>
      <c r="K303" s="2145">
        <f t="shared" si="86"/>
        <v>0</v>
      </c>
      <c r="L303" s="2145">
        <f t="shared" si="86"/>
        <v>0</v>
      </c>
      <c r="M303" s="2145">
        <f t="shared" si="86"/>
        <v>0</v>
      </c>
      <c r="N303" s="763">
        <f t="shared" ref="N303:N311" si="88">H303+K303</f>
        <v>0</v>
      </c>
      <c r="O303" s="763">
        <f t="shared" si="87"/>
        <v>0</v>
      </c>
      <c r="P303" s="763">
        <f t="shared" si="87"/>
        <v>0</v>
      </c>
      <c r="Q303" s="763">
        <f t="shared" ref="Q303:Q311" si="89">SUM(N303:P303)</f>
        <v>0</v>
      </c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</row>
    <row r="304" spans="1:29" ht="30.75" hidden="1" customHeight="1" x14ac:dyDescent="0.3">
      <c r="A304" s="4752"/>
      <c r="B304" s="765">
        <v>3</v>
      </c>
      <c r="C304" s="4717"/>
      <c r="D304" s="769"/>
      <c r="E304" s="767">
        <f t="shared" si="83"/>
        <v>0</v>
      </c>
      <c r="F304" s="768"/>
      <c r="G304" s="768"/>
      <c r="H304" s="711">
        <f t="shared" si="84"/>
        <v>0</v>
      </c>
      <c r="I304" s="711">
        <f t="shared" si="85"/>
        <v>0</v>
      </c>
      <c r="J304" s="711">
        <f t="shared" si="85"/>
        <v>0</v>
      </c>
      <c r="K304" s="2145">
        <f t="shared" si="86"/>
        <v>0</v>
      </c>
      <c r="L304" s="2145">
        <f t="shared" si="86"/>
        <v>0</v>
      </c>
      <c r="M304" s="2145">
        <f t="shared" si="86"/>
        <v>0</v>
      </c>
      <c r="N304" s="763">
        <f t="shared" si="88"/>
        <v>0</v>
      </c>
      <c r="O304" s="763">
        <f t="shared" si="87"/>
        <v>0</v>
      </c>
      <c r="P304" s="763">
        <f t="shared" si="87"/>
        <v>0</v>
      </c>
      <c r="Q304" s="763">
        <f t="shared" si="89"/>
        <v>0</v>
      </c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</row>
    <row r="305" spans="1:29" ht="30.75" hidden="1" customHeight="1" x14ac:dyDescent="0.3">
      <c r="A305" s="4752"/>
      <c r="B305" s="765">
        <v>4</v>
      </c>
      <c r="C305" s="4717"/>
      <c r="D305" s="769"/>
      <c r="E305" s="767">
        <f t="shared" si="83"/>
        <v>0</v>
      </c>
      <c r="F305" s="768"/>
      <c r="G305" s="768"/>
      <c r="H305" s="711">
        <f t="shared" si="84"/>
        <v>0</v>
      </c>
      <c r="I305" s="711">
        <f t="shared" si="85"/>
        <v>0</v>
      </c>
      <c r="J305" s="711">
        <f t="shared" si="85"/>
        <v>0</v>
      </c>
      <c r="K305" s="2145">
        <f t="shared" si="86"/>
        <v>0</v>
      </c>
      <c r="L305" s="2145">
        <f t="shared" si="86"/>
        <v>0</v>
      </c>
      <c r="M305" s="2145">
        <f t="shared" si="86"/>
        <v>0</v>
      </c>
      <c r="N305" s="763">
        <f t="shared" si="88"/>
        <v>0</v>
      </c>
      <c r="O305" s="763">
        <f t="shared" si="87"/>
        <v>0</v>
      </c>
      <c r="P305" s="763">
        <f t="shared" si="87"/>
        <v>0</v>
      </c>
      <c r="Q305" s="763">
        <f t="shared" si="89"/>
        <v>0</v>
      </c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</row>
    <row r="306" spans="1:29" ht="30.75" hidden="1" customHeight="1" x14ac:dyDescent="0.3">
      <c r="A306" s="4752"/>
      <c r="B306" s="765">
        <v>5</v>
      </c>
      <c r="C306" s="4717"/>
      <c r="D306" s="769"/>
      <c r="E306" s="767">
        <f t="shared" si="83"/>
        <v>0</v>
      </c>
      <c r="F306" s="768"/>
      <c r="G306" s="768"/>
      <c r="H306" s="711">
        <f t="shared" si="84"/>
        <v>0</v>
      </c>
      <c r="I306" s="711">
        <f t="shared" si="85"/>
        <v>0</v>
      </c>
      <c r="J306" s="711">
        <f t="shared" si="85"/>
        <v>0</v>
      </c>
      <c r="K306" s="2145">
        <f t="shared" si="86"/>
        <v>0</v>
      </c>
      <c r="L306" s="2145">
        <f t="shared" si="86"/>
        <v>0</v>
      </c>
      <c r="M306" s="2145">
        <f t="shared" si="86"/>
        <v>0</v>
      </c>
      <c r="N306" s="763">
        <f t="shared" si="88"/>
        <v>0</v>
      </c>
      <c r="O306" s="763">
        <f t="shared" si="87"/>
        <v>0</v>
      </c>
      <c r="P306" s="763">
        <f t="shared" si="87"/>
        <v>0</v>
      </c>
      <c r="Q306" s="763">
        <f t="shared" si="89"/>
        <v>0</v>
      </c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</row>
    <row r="307" spans="1:29" ht="30.75" hidden="1" customHeight="1" x14ac:dyDescent="0.3">
      <c r="A307" s="4752"/>
      <c r="B307" s="765">
        <v>6</v>
      </c>
      <c r="C307" s="4717"/>
      <c r="D307" s="769"/>
      <c r="E307" s="767">
        <f t="shared" si="83"/>
        <v>0</v>
      </c>
      <c r="F307" s="768"/>
      <c r="G307" s="768"/>
      <c r="H307" s="711">
        <f t="shared" si="84"/>
        <v>0</v>
      </c>
      <c r="I307" s="711">
        <f t="shared" si="85"/>
        <v>0</v>
      </c>
      <c r="J307" s="711">
        <f t="shared" si="85"/>
        <v>0</v>
      </c>
      <c r="K307" s="2145">
        <f t="shared" si="86"/>
        <v>0</v>
      </c>
      <c r="L307" s="2145">
        <f t="shared" si="86"/>
        <v>0</v>
      </c>
      <c r="M307" s="2145">
        <f t="shared" si="86"/>
        <v>0</v>
      </c>
      <c r="N307" s="763">
        <f t="shared" si="88"/>
        <v>0</v>
      </c>
      <c r="O307" s="763">
        <f t="shared" si="87"/>
        <v>0</v>
      </c>
      <c r="P307" s="763">
        <f t="shared" si="87"/>
        <v>0</v>
      </c>
      <c r="Q307" s="763">
        <f t="shared" si="89"/>
        <v>0</v>
      </c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</row>
    <row r="308" spans="1:29" ht="30.75" hidden="1" customHeight="1" x14ac:dyDescent="0.3">
      <c r="A308" s="4752"/>
      <c r="B308" s="765">
        <v>7</v>
      </c>
      <c r="C308" s="4717"/>
      <c r="D308" s="769"/>
      <c r="E308" s="767">
        <f t="shared" si="83"/>
        <v>0</v>
      </c>
      <c r="F308" s="768"/>
      <c r="G308" s="768"/>
      <c r="H308" s="711">
        <f t="shared" si="84"/>
        <v>0</v>
      </c>
      <c r="I308" s="711">
        <f t="shared" si="85"/>
        <v>0</v>
      </c>
      <c r="J308" s="711">
        <f t="shared" si="85"/>
        <v>0</v>
      </c>
      <c r="K308" s="2145">
        <f t="shared" si="86"/>
        <v>0</v>
      </c>
      <c r="L308" s="2145">
        <f t="shared" si="86"/>
        <v>0</v>
      </c>
      <c r="M308" s="2145">
        <f t="shared" si="86"/>
        <v>0</v>
      </c>
      <c r="N308" s="763">
        <f t="shared" si="88"/>
        <v>0</v>
      </c>
      <c r="O308" s="763">
        <f t="shared" si="87"/>
        <v>0</v>
      </c>
      <c r="P308" s="763">
        <f t="shared" si="87"/>
        <v>0</v>
      </c>
      <c r="Q308" s="763">
        <f t="shared" si="89"/>
        <v>0</v>
      </c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</row>
    <row r="309" spans="1:29" ht="30.75" hidden="1" customHeight="1" x14ac:dyDescent="0.3">
      <c r="A309" s="4752"/>
      <c r="B309" s="765">
        <v>8</v>
      </c>
      <c r="C309" s="4717"/>
      <c r="D309" s="769"/>
      <c r="E309" s="767">
        <f t="shared" si="83"/>
        <v>0</v>
      </c>
      <c r="F309" s="768"/>
      <c r="G309" s="768"/>
      <c r="H309" s="711">
        <f t="shared" si="84"/>
        <v>0</v>
      </c>
      <c r="I309" s="711">
        <f t="shared" si="85"/>
        <v>0</v>
      </c>
      <c r="J309" s="711">
        <f t="shared" si="85"/>
        <v>0</v>
      </c>
      <c r="K309" s="2145">
        <f t="shared" si="86"/>
        <v>0</v>
      </c>
      <c r="L309" s="2145">
        <f t="shared" si="86"/>
        <v>0</v>
      </c>
      <c r="M309" s="2145">
        <f t="shared" si="86"/>
        <v>0</v>
      </c>
      <c r="N309" s="763">
        <f t="shared" si="88"/>
        <v>0</v>
      </c>
      <c r="O309" s="763">
        <f t="shared" si="87"/>
        <v>0</v>
      </c>
      <c r="P309" s="763">
        <f t="shared" si="87"/>
        <v>0</v>
      </c>
      <c r="Q309" s="763">
        <f t="shared" si="89"/>
        <v>0</v>
      </c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</row>
    <row r="310" spans="1:29" ht="14.25" hidden="1" customHeight="1" x14ac:dyDescent="0.3">
      <c r="A310" s="4752"/>
      <c r="B310" s="765">
        <v>9</v>
      </c>
      <c r="C310" s="4717"/>
      <c r="D310" s="769"/>
      <c r="E310" s="767">
        <f t="shared" si="83"/>
        <v>0</v>
      </c>
      <c r="F310" s="768"/>
      <c r="G310" s="768"/>
      <c r="H310" s="711">
        <f t="shared" si="84"/>
        <v>0</v>
      </c>
      <c r="I310" s="711">
        <f t="shared" si="85"/>
        <v>0</v>
      </c>
      <c r="J310" s="711">
        <f t="shared" si="85"/>
        <v>0</v>
      </c>
      <c r="K310" s="2145">
        <f t="shared" si="86"/>
        <v>0</v>
      </c>
      <c r="L310" s="2145">
        <f t="shared" si="86"/>
        <v>0</v>
      </c>
      <c r="M310" s="2145">
        <f t="shared" si="86"/>
        <v>0</v>
      </c>
      <c r="N310" s="763">
        <f t="shared" si="88"/>
        <v>0</v>
      </c>
      <c r="O310" s="763">
        <f t="shared" si="87"/>
        <v>0</v>
      </c>
      <c r="P310" s="763">
        <f t="shared" si="87"/>
        <v>0</v>
      </c>
      <c r="Q310" s="763">
        <f t="shared" si="89"/>
        <v>0</v>
      </c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</row>
    <row r="311" spans="1:29" ht="20.25" hidden="1" customHeight="1" thickBot="1" x14ac:dyDescent="0.35">
      <c r="A311" s="4752"/>
      <c r="B311" s="765">
        <v>10</v>
      </c>
      <c r="C311" s="4718"/>
      <c r="D311" s="770"/>
      <c r="E311" s="771">
        <f t="shared" si="83"/>
        <v>0</v>
      </c>
      <c r="F311" s="768"/>
      <c r="G311" s="768"/>
      <c r="H311" s="711">
        <f t="shared" si="84"/>
        <v>0</v>
      </c>
      <c r="I311" s="711">
        <f t="shared" si="85"/>
        <v>0</v>
      </c>
      <c r="J311" s="711">
        <f t="shared" si="85"/>
        <v>0</v>
      </c>
      <c r="K311" s="2145">
        <f t="shared" si="86"/>
        <v>0</v>
      </c>
      <c r="L311" s="2145">
        <f t="shared" si="86"/>
        <v>0</v>
      </c>
      <c r="M311" s="2145">
        <f t="shared" si="86"/>
        <v>0</v>
      </c>
      <c r="N311" s="763">
        <f t="shared" si="88"/>
        <v>0</v>
      </c>
      <c r="O311" s="763">
        <f t="shared" si="87"/>
        <v>0</v>
      </c>
      <c r="P311" s="763">
        <f t="shared" si="87"/>
        <v>0</v>
      </c>
      <c r="Q311" s="763">
        <f t="shared" si="89"/>
        <v>0</v>
      </c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</row>
    <row r="312" spans="1:29" ht="53.25" hidden="1" customHeight="1" thickBot="1" x14ac:dyDescent="0.4">
      <c r="A312" s="4753"/>
      <c r="B312" s="772"/>
      <c r="C312" s="4719" t="s">
        <v>569</v>
      </c>
      <c r="D312" s="4720"/>
      <c r="E312" s="4721"/>
      <c r="F312" s="2063">
        <f>SUM(F297:F311)</f>
        <v>0</v>
      </c>
      <c r="G312" s="2063">
        <f>SUM(G297:G311)</f>
        <v>0</v>
      </c>
      <c r="H312" s="773">
        <f t="shared" ref="H312:Q312" si="90">SUM(H297:H311)</f>
        <v>0</v>
      </c>
      <c r="I312" s="773">
        <f t="shared" si="90"/>
        <v>0</v>
      </c>
      <c r="J312" s="773">
        <f t="shared" si="90"/>
        <v>0</v>
      </c>
      <c r="K312" s="773">
        <f t="shared" si="90"/>
        <v>0</v>
      </c>
      <c r="L312" s="773">
        <f t="shared" si="90"/>
        <v>0</v>
      </c>
      <c r="M312" s="773">
        <f t="shared" si="90"/>
        <v>0</v>
      </c>
      <c r="N312" s="773">
        <f t="shared" si="90"/>
        <v>0</v>
      </c>
      <c r="O312" s="773">
        <f t="shared" si="90"/>
        <v>0</v>
      </c>
      <c r="P312" s="773">
        <f t="shared" si="90"/>
        <v>0</v>
      </c>
      <c r="Q312" s="773">
        <f t="shared" si="90"/>
        <v>0</v>
      </c>
      <c r="R312" s="2253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</row>
    <row r="313" spans="1:29" ht="53.25" hidden="1" customHeight="1" x14ac:dyDescent="0.35">
      <c r="A313" s="774"/>
      <c r="B313" s="775"/>
      <c r="C313" s="776"/>
      <c r="D313" s="776"/>
      <c r="E313" s="776"/>
      <c r="F313" s="777"/>
      <c r="G313" s="777"/>
      <c r="H313" s="778"/>
      <c r="I313" s="778"/>
      <c r="J313" s="778"/>
      <c r="K313" s="778"/>
      <c r="L313" s="778"/>
      <c r="M313" s="778"/>
      <c r="N313" s="778"/>
      <c r="O313" s="778"/>
      <c r="P313" s="778"/>
      <c r="Q313" s="778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</row>
    <row r="314" spans="1:29" s="63" customFormat="1" ht="30.75" hidden="1" customHeight="1" thickBot="1" x14ac:dyDescent="0.25">
      <c r="A314" s="4740" t="s">
        <v>570</v>
      </c>
      <c r="B314" s="4740"/>
      <c r="C314" s="4740"/>
      <c r="D314" s="4740"/>
      <c r="E314" s="4740"/>
      <c r="F314" s="4740"/>
      <c r="G314" s="4740"/>
      <c r="H314" s="4740"/>
      <c r="I314" s="4741"/>
      <c r="J314" s="2125"/>
      <c r="K314" s="754"/>
      <c r="L314" s="2143"/>
      <c r="M314" s="2143"/>
      <c r="N314" s="2143"/>
      <c r="O314" s="755"/>
      <c r="Q314" s="756"/>
      <c r="R314" s="756"/>
      <c r="S314" s="756"/>
      <c r="T314" s="756"/>
      <c r="U314" s="754"/>
      <c r="V314" s="754"/>
      <c r="W314" s="754"/>
      <c r="X314" s="754"/>
      <c r="Y314" s="754"/>
      <c r="Z314" s="754"/>
      <c r="AA314" s="754"/>
      <c r="AB314" s="754"/>
    </row>
    <row r="315" spans="1:29" ht="30.75" hidden="1" customHeight="1" thickBot="1" x14ac:dyDescent="0.25">
      <c r="A315" s="774"/>
      <c r="B315" s="736"/>
      <c r="C315" s="4742"/>
      <c r="D315" s="4743"/>
      <c r="E315" s="4744"/>
      <c r="F315" s="757"/>
      <c r="G315" s="190"/>
      <c r="H315" s="4745" t="s">
        <v>94</v>
      </c>
      <c r="I315" s="4746"/>
      <c r="J315" s="4747"/>
      <c r="K315" s="758" t="s">
        <v>193</v>
      </c>
      <c r="L315" s="2144" t="s">
        <v>571</v>
      </c>
      <c r="M315" s="759">
        <f>+M67</f>
        <v>0</v>
      </c>
      <c r="N315" s="207" t="s">
        <v>194</v>
      </c>
      <c r="O315" s="207"/>
      <c r="P315" s="207"/>
      <c r="Q315" s="615"/>
      <c r="R315" s="653"/>
      <c r="S315" s="653"/>
      <c r="T315" s="653"/>
      <c r="U315" s="653"/>
      <c r="V315" s="10"/>
      <c r="W315" s="10"/>
      <c r="X315" s="10"/>
      <c r="Y315" s="10"/>
      <c r="Z315" s="10"/>
      <c r="AA315" s="10"/>
      <c r="AB315" s="10"/>
      <c r="AC315" s="10"/>
    </row>
    <row r="316" spans="1:29" ht="30.75" hidden="1" customHeight="1" x14ac:dyDescent="0.2">
      <c r="A316" s="774"/>
      <c r="B316" s="657"/>
      <c r="C316" s="4748" t="s">
        <v>572</v>
      </c>
      <c r="D316" s="4749"/>
      <c r="E316" s="4750"/>
      <c r="F316" s="760" t="s">
        <v>154</v>
      </c>
      <c r="G316" s="584" t="s">
        <v>101</v>
      </c>
      <c r="H316" s="540" t="s">
        <v>5</v>
      </c>
      <c r="I316" s="540" t="s">
        <v>6</v>
      </c>
      <c r="J316" s="540" t="s">
        <v>7</v>
      </c>
      <c r="K316" s="540" t="s">
        <v>5</v>
      </c>
      <c r="L316" s="540" t="s">
        <v>6</v>
      </c>
      <c r="M316" s="540" t="s">
        <v>7</v>
      </c>
      <c r="N316" s="540" t="s">
        <v>5</v>
      </c>
      <c r="O316" s="540" t="s">
        <v>6</v>
      </c>
      <c r="P316" s="540" t="s">
        <v>7</v>
      </c>
      <c r="Q316" s="84" t="s">
        <v>4</v>
      </c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</row>
    <row r="317" spans="1:29" ht="30.75" hidden="1" customHeight="1" x14ac:dyDescent="0.2">
      <c r="A317" s="774"/>
      <c r="B317" s="657"/>
      <c r="C317" s="779" t="s">
        <v>572</v>
      </c>
      <c r="D317" s="780" t="s">
        <v>322</v>
      </c>
      <c r="E317" s="781" t="str">
        <f>+E528</f>
        <v xml:space="preserve">HOGARES INDIGENTES: &lt;=120 kWh/mes </v>
      </c>
      <c r="F317" s="782"/>
      <c r="G317" s="782">
        <f>+G528</f>
        <v>0</v>
      </c>
      <c r="H317" s="783">
        <f>IF(F317=0,0,F317*COEF!$J$27)</f>
        <v>0</v>
      </c>
      <c r="I317" s="784">
        <f>IF(F317=0,0,F317*COEF!$K$27)</f>
        <v>0</v>
      </c>
      <c r="J317" s="784">
        <f>IF(F317=0,0,F317*COEF!$L$27)</f>
        <v>0</v>
      </c>
      <c r="K317" s="761">
        <f t="shared" ref="K317:M344" si="91">H317*$M$294</f>
        <v>0</v>
      </c>
      <c r="L317" s="761">
        <f t="shared" si="91"/>
        <v>0</v>
      </c>
      <c r="M317" s="761">
        <f t="shared" si="91"/>
        <v>0</v>
      </c>
      <c r="N317" s="762">
        <f>H317+K317</f>
        <v>0</v>
      </c>
      <c r="O317" s="763">
        <f>I317+L317</f>
        <v>0</v>
      </c>
      <c r="P317" s="763">
        <f>J317+M317</f>
        <v>0</v>
      </c>
      <c r="Q317" s="763">
        <f>SUM(N317:P317)</f>
        <v>0</v>
      </c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</row>
    <row r="318" spans="1:29" ht="30.75" hidden="1" customHeight="1" x14ac:dyDescent="0.2">
      <c r="A318" s="774"/>
      <c r="B318" s="657"/>
      <c r="C318" s="785"/>
      <c r="D318" s="780" t="s">
        <v>322</v>
      </c>
      <c r="E318" s="781" t="str">
        <f>+E529</f>
        <v>HOGARES INDIGENTES:- Consumo &gt; 120 kWh/mes y &lt;= 150 kWh/mes</v>
      </c>
      <c r="F318" s="782"/>
      <c r="G318" s="782">
        <f>+G529</f>
        <v>0</v>
      </c>
      <c r="H318" s="783">
        <f>IF(F318=0,0,F318*COEF!$J$27)</f>
        <v>0</v>
      </c>
      <c r="I318" s="784">
        <f>IF(F318=0,0,F318*COEF!$K$27)</f>
        <v>0</v>
      </c>
      <c r="J318" s="784">
        <f>IF(F318=0,0,F318*COEF!$L$27)</f>
        <v>0</v>
      </c>
      <c r="K318" s="761">
        <f t="shared" si="91"/>
        <v>0</v>
      </c>
      <c r="L318" s="761">
        <f t="shared" si="91"/>
        <v>0</v>
      </c>
      <c r="M318" s="761">
        <f t="shared" si="91"/>
        <v>0</v>
      </c>
      <c r="N318" s="762">
        <f t="shared" ref="N318:P333" si="92">H318+K318</f>
        <v>0</v>
      </c>
      <c r="O318" s="763">
        <f t="shared" si="92"/>
        <v>0</v>
      </c>
      <c r="P318" s="763">
        <f t="shared" si="92"/>
        <v>0</v>
      </c>
      <c r="Q318" s="763">
        <f t="shared" ref="Q318:Q344" si="93">SUM(N318:P318)</f>
        <v>0</v>
      </c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</row>
    <row r="319" spans="1:29" ht="30.75" hidden="1" customHeight="1" x14ac:dyDescent="0.2">
      <c r="A319" s="774"/>
      <c r="B319" s="657"/>
      <c r="C319" s="785"/>
      <c r="D319" s="780" t="s">
        <v>322</v>
      </c>
      <c r="E319" s="781">
        <f>+E530</f>
        <v>0</v>
      </c>
      <c r="F319" s="782"/>
      <c r="G319" s="782" t="e">
        <f>+G530</f>
        <v>#REF!</v>
      </c>
      <c r="H319" s="783">
        <f>IF(F319=0,0,F319*COEF!$J$27)</f>
        <v>0</v>
      </c>
      <c r="I319" s="784">
        <f>IF(F319=0,0,F319*COEF!$K$27)</f>
        <v>0</v>
      </c>
      <c r="J319" s="784">
        <f>IF(F319=0,0,F319*COEF!$L$27)</f>
        <v>0</v>
      </c>
      <c r="K319" s="761">
        <f t="shared" si="91"/>
        <v>0</v>
      </c>
      <c r="L319" s="761">
        <f t="shared" si="91"/>
        <v>0</v>
      </c>
      <c r="M319" s="761">
        <f t="shared" si="91"/>
        <v>0</v>
      </c>
      <c r="N319" s="762">
        <f t="shared" si="92"/>
        <v>0</v>
      </c>
      <c r="O319" s="763">
        <f t="shared" si="92"/>
        <v>0</v>
      </c>
      <c r="P319" s="763">
        <f t="shared" si="92"/>
        <v>0</v>
      </c>
      <c r="Q319" s="763">
        <f t="shared" si="93"/>
        <v>0</v>
      </c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</row>
    <row r="320" spans="1:29" ht="30.75" hidden="1" customHeight="1" x14ac:dyDescent="0.2">
      <c r="A320" s="774"/>
      <c r="B320" s="657"/>
      <c r="C320" s="785"/>
      <c r="D320" s="780" t="s">
        <v>322</v>
      </c>
      <c r="E320" s="781" t="e">
        <f>+#REF!</f>
        <v>#REF!</v>
      </c>
      <c r="F320" s="782"/>
      <c r="G320" s="782" t="e">
        <f>+#REF!</f>
        <v>#REF!</v>
      </c>
      <c r="H320" s="783">
        <f>IF(F320=0,0,F320*COEF!$J$27)</f>
        <v>0</v>
      </c>
      <c r="I320" s="784">
        <f>IF(F320=0,0,F320*COEF!$K$27)</f>
        <v>0</v>
      </c>
      <c r="J320" s="784">
        <f>IF(F320=0,0,F320*COEF!$L$27)</f>
        <v>0</v>
      </c>
      <c r="K320" s="761">
        <f t="shared" si="91"/>
        <v>0</v>
      </c>
      <c r="L320" s="761">
        <f t="shared" si="91"/>
        <v>0</v>
      </c>
      <c r="M320" s="761">
        <f t="shared" si="91"/>
        <v>0</v>
      </c>
      <c r="N320" s="762">
        <f t="shared" si="92"/>
        <v>0</v>
      </c>
      <c r="O320" s="763">
        <f t="shared" si="92"/>
        <v>0</v>
      </c>
      <c r="P320" s="763">
        <f t="shared" si="92"/>
        <v>0</v>
      </c>
      <c r="Q320" s="763">
        <f t="shared" si="93"/>
        <v>0</v>
      </c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</row>
    <row r="321" spans="1:29" ht="30.75" hidden="1" customHeight="1" x14ac:dyDescent="0.2">
      <c r="A321" s="774"/>
      <c r="B321" s="657"/>
      <c r="C321" s="786"/>
      <c r="D321" s="787" t="s">
        <v>323</v>
      </c>
      <c r="E321" s="788">
        <f>+E537</f>
        <v>0</v>
      </c>
      <c r="F321" s="782"/>
      <c r="G321" s="782">
        <f>+G537</f>
        <v>0</v>
      </c>
      <c r="H321" s="783">
        <f>IF(F321=0,0,F321*COEF!$J$27)</f>
        <v>0</v>
      </c>
      <c r="I321" s="784">
        <f>IF(F321=0,0,F321*COEF!$K$27)</f>
        <v>0</v>
      </c>
      <c r="J321" s="784">
        <f>IF(F321=0,0,F321*COEF!$L$27)</f>
        <v>0</v>
      </c>
      <c r="K321" s="761">
        <f t="shared" si="91"/>
        <v>0</v>
      </c>
      <c r="L321" s="761">
        <f t="shared" si="91"/>
        <v>0</v>
      </c>
      <c r="M321" s="761">
        <f t="shared" si="91"/>
        <v>0</v>
      </c>
      <c r="N321" s="762">
        <f t="shared" si="92"/>
        <v>0</v>
      </c>
      <c r="O321" s="763">
        <f t="shared" si="92"/>
        <v>0</v>
      </c>
      <c r="P321" s="763">
        <f t="shared" si="92"/>
        <v>0</v>
      </c>
      <c r="Q321" s="763">
        <f t="shared" si="93"/>
        <v>0</v>
      </c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</row>
    <row r="322" spans="1:29" ht="30.75" hidden="1" customHeight="1" x14ac:dyDescent="0.2">
      <c r="A322" s="774"/>
      <c r="B322" s="657"/>
      <c r="C322" s="786"/>
      <c r="D322" s="787" t="s">
        <v>323</v>
      </c>
      <c r="E322" s="788" t="str">
        <f t="shared" ref="E322:G323" si="94">+E538</f>
        <v>HOGARES POBRES O CARENCIADOS - Consumo &gt; 150 y &lt; =300  kWh/mes</v>
      </c>
      <c r="F322" s="782"/>
      <c r="G322" s="782">
        <f t="shared" si="94"/>
        <v>0</v>
      </c>
      <c r="H322" s="783">
        <f>IF(F322=0,0,F322*COEF!$J$27)</f>
        <v>0</v>
      </c>
      <c r="I322" s="784">
        <f>IF(F322=0,0,F322*COEF!$K$27)</f>
        <v>0</v>
      </c>
      <c r="J322" s="784">
        <f>IF(F322=0,0,F322*COEF!$L$27)</f>
        <v>0</v>
      </c>
      <c r="K322" s="761">
        <f t="shared" si="91"/>
        <v>0</v>
      </c>
      <c r="L322" s="761">
        <f t="shared" si="91"/>
        <v>0</v>
      </c>
      <c r="M322" s="761">
        <f t="shared" si="91"/>
        <v>0</v>
      </c>
      <c r="N322" s="762">
        <f t="shared" si="92"/>
        <v>0</v>
      </c>
      <c r="O322" s="763">
        <f t="shared" si="92"/>
        <v>0</v>
      </c>
      <c r="P322" s="763">
        <f t="shared" si="92"/>
        <v>0</v>
      </c>
      <c r="Q322" s="763">
        <f t="shared" si="93"/>
        <v>0</v>
      </c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</row>
    <row r="323" spans="1:29" ht="30.75" hidden="1" customHeight="1" x14ac:dyDescent="0.2">
      <c r="A323" s="774"/>
      <c r="B323" s="657"/>
      <c r="C323" s="786"/>
      <c r="D323" s="787" t="s">
        <v>323</v>
      </c>
      <c r="E323" s="788" t="str">
        <f t="shared" si="94"/>
        <v xml:space="preserve">HOGARES POBRES O CARENCIADOS - Consumo &gt;300 y &lt; =500  kWh/mes </v>
      </c>
      <c r="F323" s="782"/>
      <c r="G323" s="782">
        <f t="shared" si="94"/>
        <v>0</v>
      </c>
      <c r="H323" s="783">
        <f>IF(F323=0,0,F323*COEF!$J$27)</f>
        <v>0</v>
      </c>
      <c r="I323" s="784">
        <f>IF(F323=0,0,F323*COEF!$K$27)</f>
        <v>0</v>
      </c>
      <c r="J323" s="784">
        <f>IF(F323=0,0,F323*COEF!$L$27)</f>
        <v>0</v>
      </c>
      <c r="K323" s="761">
        <f t="shared" si="91"/>
        <v>0</v>
      </c>
      <c r="L323" s="761">
        <f t="shared" si="91"/>
        <v>0</v>
      </c>
      <c r="M323" s="761">
        <f t="shared" si="91"/>
        <v>0</v>
      </c>
      <c r="N323" s="762">
        <f t="shared" si="92"/>
        <v>0</v>
      </c>
      <c r="O323" s="763">
        <f t="shared" si="92"/>
        <v>0</v>
      </c>
      <c r="P323" s="763">
        <f t="shared" si="92"/>
        <v>0</v>
      </c>
      <c r="Q323" s="763">
        <f t="shared" si="93"/>
        <v>0</v>
      </c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</row>
    <row r="324" spans="1:29" ht="30.75" hidden="1" customHeight="1" x14ac:dyDescent="0.2">
      <c r="A324" s="774"/>
      <c r="B324" s="657"/>
      <c r="C324" s="786"/>
      <c r="D324" s="787" t="s">
        <v>323</v>
      </c>
      <c r="E324" s="788" t="str">
        <f t="shared" ref="E324:G326" si="95">+E541</f>
        <v xml:space="preserve">HOGARES INDIGENTES: - Consumo &gt;150  y &lt;= 300 kWh/mes </v>
      </c>
      <c r="F324" s="789"/>
      <c r="G324" s="789">
        <f t="shared" si="95"/>
        <v>0</v>
      </c>
      <c r="H324" s="783">
        <f>IF(F324=0,0,F324*COEF!$J$27)</f>
        <v>0</v>
      </c>
      <c r="I324" s="784">
        <f>IF(F324=0,0,F324*COEF!$K$27)</f>
        <v>0</v>
      </c>
      <c r="J324" s="784">
        <f>IF(F324=0,0,F324*COEF!$L$27)</f>
        <v>0</v>
      </c>
      <c r="K324" s="761">
        <f t="shared" si="91"/>
        <v>0</v>
      </c>
      <c r="L324" s="761">
        <f t="shared" si="91"/>
        <v>0</v>
      </c>
      <c r="M324" s="761">
        <f t="shared" si="91"/>
        <v>0</v>
      </c>
      <c r="N324" s="762">
        <f t="shared" si="92"/>
        <v>0</v>
      </c>
      <c r="O324" s="763">
        <f t="shared" si="92"/>
        <v>0</v>
      </c>
      <c r="P324" s="763">
        <f t="shared" si="92"/>
        <v>0</v>
      </c>
      <c r="Q324" s="763">
        <f t="shared" si="93"/>
        <v>0</v>
      </c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</row>
    <row r="325" spans="1:29" ht="30.75" hidden="1" customHeight="1" x14ac:dyDescent="0.2">
      <c r="A325" s="774"/>
      <c r="B325" s="657"/>
      <c r="C325" s="786"/>
      <c r="D325" s="787" t="s">
        <v>323</v>
      </c>
      <c r="E325" s="788" t="str">
        <f t="shared" si="95"/>
        <v xml:space="preserve">HOGARES INDIGENTES:- Consumo &gt;300  y &lt;= 500 kWh/mes </v>
      </c>
      <c r="F325" s="789"/>
      <c r="G325" s="789">
        <f t="shared" si="95"/>
        <v>0</v>
      </c>
      <c r="H325" s="783">
        <f>IF(F325=0,0,F325*COEF!$J$27)</f>
        <v>0</v>
      </c>
      <c r="I325" s="784">
        <f>IF(F325=0,0,F325*COEF!$K$27)</f>
        <v>0</v>
      </c>
      <c r="J325" s="784">
        <f>IF(F325=0,0,F325*COEF!$L$27)</f>
        <v>0</v>
      </c>
      <c r="K325" s="761">
        <f t="shared" si="91"/>
        <v>0</v>
      </c>
      <c r="L325" s="761">
        <f t="shared" si="91"/>
        <v>0</v>
      </c>
      <c r="M325" s="761">
        <f t="shared" si="91"/>
        <v>0</v>
      </c>
      <c r="N325" s="762">
        <f t="shared" si="92"/>
        <v>0</v>
      </c>
      <c r="O325" s="763">
        <f t="shared" si="92"/>
        <v>0</v>
      </c>
      <c r="P325" s="763">
        <f t="shared" si="92"/>
        <v>0</v>
      </c>
      <c r="Q325" s="763">
        <f t="shared" si="93"/>
        <v>0</v>
      </c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</row>
    <row r="326" spans="1:29" ht="30.75" hidden="1" customHeight="1" x14ac:dyDescent="0.2">
      <c r="A326" s="774"/>
      <c r="B326" s="657"/>
      <c r="C326" s="786"/>
      <c r="D326" s="787" t="s">
        <v>323</v>
      </c>
      <c r="E326" s="788" t="str">
        <f t="shared" si="95"/>
        <v>HOGARES INDIGENTES:- Consumo &gt;300  y &lt;= 500 kWh/mes -ZF</v>
      </c>
      <c r="F326" s="789"/>
      <c r="G326" s="789" t="e">
        <f t="shared" si="95"/>
        <v>#REF!</v>
      </c>
      <c r="H326" s="783">
        <f>IF(F326=0,0,F326*COEF!$J$27)</f>
        <v>0</v>
      </c>
      <c r="I326" s="784">
        <f>IF(F326=0,0,F326*COEF!$K$27)</f>
        <v>0</v>
      </c>
      <c r="J326" s="784">
        <f>IF(F326=0,0,F326*COEF!$L$27)</f>
        <v>0</v>
      </c>
      <c r="K326" s="761">
        <f t="shared" si="91"/>
        <v>0</v>
      </c>
      <c r="L326" s="761">
        <f t="shared" si="91"/>
        <v>0</v>
      </c>
      <c r="M326" s="761">
        <f t="shared" si="91"/>
        <v>0</v>
      </c>
      <c r="N326" s="762">
        <f t="shared" si="92"/>
        <v>0</v>
      </c>
      <c r="O326" s="763">
        <f t="shared" si="92"/>
        <v>0</v>
      </c>
      <c r="P326" s="763">
        <f t="shared" si="92"/>
        <v>0</v>
      </c>
      <c r="Q326" s="763">
        <f t="shared" si="93"/>
        <v>0</v>
      </c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</row>
    <row r="327" spans="1:29" ht="30.75" hidden="1" customHeight="1" x14ac:dyDescent="0.2">
      <c r="A327" s="774"/>
      <c r="B327" s="657"/>
      <c r="C327" s="786"/>
      <c r="D327" s="790" t="s">
        <v>324</v>
      </c>
      <c r="E327" s="791">
        <f>+E551</f>
        <v>0</v>
      </c>
      <c r="F327" s="789"/>
      <c r="G327" s="789" t="e">
        <f>+G551</f>
        <v>#REF!</v>
      </c>
      <c r="H327" s="783">
        <f>IF(F327=0,0,F327*COEF!$J$27)</f>
        <v>0</v>
      </c>
      <c r="I327" s="784">
        <f>IF(F327=0,0,F327*COEF!$K$27)</f>
        <v>0</v>
      </c>
      <c r="J327" s="784">
        <f>IF(F327=0,0,F327*COEF!$L$27)</f>
        <v>0</v>
      </c>
      <c r="K327" s="761">
        <f t="shared" si="91"/>
        <v>0</v>
      </c>
      <c r="L327" s="761">
        <f t="shared" si="91"/>
        <v>0</v>
      </c>
      <c r="M327" s="761">
        <f t="shared" si="91"/>
        <v>0</v>
      </c>
      <c r="N327" s="762">
        <f t="shared" si="92"/>
        <v>0</v>
      </c>
      <c r="O327" s="763">
        <f t="shared" si="92"/>
        <v>0</v>
      </c>
      <c r="P327" s="763">
        <f t="shared" si="92"/>
        <v>0</v>
      </c>
      <c r="Q327" s="763">
        <f t="shared" si="93"/>
        <v>0</v>
      </c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</row>
    <row r="328" spans="1:29" ht="30.75" hidden="1" customHeight="1" x14ac:dyDescent="0.2">
      <c r="A328" s="774"/>
      <c r="B328" s="657"/>
      <c r="C328" s="786"/>
      <c r="D328" s="790" t="s">
        <v>324</v>
      </c>
      <c r="E328" s="791" t="str">
        <f t="shared" ref="E328:G329" si="96">+E552</f>
        <v xml:space="preserve">HOGARES POBRES O CARENCIADOS  - Consumo &gt; 500 y &lt;=700  kWh/mes </v>
      </c>
      <c r="F328" s="789"/>
      <c r="G328" s="789">
        <f t="shared" si="96"/>
        <v>0</v>
      </c>
      <c r="H328" s="783">
        <f>IF(F328=0,0,F328*COEF!$J$27)</f>
        <v>0</v>
      </c>
      <c r="I328" s="784">
        <f>IF(F328=0,0,F328*COEF!$K$27)</f>
        <v>0</v>
      </c>
      <c r="J328" s="784">
        <f>IF(F328=0,0,F328*COEF!$L$27)</f>
        <v>0</v>
      </c>
      <c r="K328" s="761">
        <f t="shared" si="91"/>
        <v>0</v>
      </c>
      <c r="L328" s="761">
        <f t="shared" si="91"/>
        <v>0</v>
      </c>
      <c r="M328" s="761">
        <f t="shared" si="91"/>
        <v>0</v>
      </c>
      <c r="N328" s="762">
        <f t="shared" si="92"/>
        <v>0</v>
      </c>
      <c r="O328" s="763">
        <f t="shared" si="92"/>
        <v>0</v>
      </c>
      <c r="P328" s="763">
        <f t="shared" si="92"/>
        <v>0</v>
      </c>
      <c r="Q328" s="763">
        <f t="shared" si="93"/>
        <v>0</v>
      </c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</row>
    <row r="329" spans="1:29" ht="30.75" hidden="1" customHeight="1" x14ac:dyDescent="0.2">
      <c r="A329" s="774"/>
      <c r="B329" s="657"/>
      <c r="C329" s="786"/>
      <c r="D329" s="790" t="s">
        <v>324</v>
      </c>
      <c r="E329" s="791" t="str">
        <f t="shared" si="96"/>
        <v>HOGARES POBRES O CARENCIADOS  - Consumo &gt; 500 y &lt;=700  kWh/mes -ZONA FRIA</v>
      </c>
      <c r="F329" s="789"/>
      <c r="G329" s="789" t="e">
        <f t="shared" si="96"/>
        <v>#REF!</v>
      </c>
      <c r="H329" s="783">
        <f>IF(F329=0,0,F329*COEF!$J$27)</f>
        <v>0</v>
      </c>
      <c r="I329" s="784">
        <f>IF(F329=0,0,F329*COEF!$K$27)</f>
        <v>0</v>
      </c>
      <c r="J329" s="784">
        <f>IF(F329=0,0,F329*COEF!$L$27)</f>
        <v>0</v>
      </c>
      <c r="K329" s="761">
        <f t="shared" si="91"/>
        <v>0</v>
      </c>
      <c r="L329" s="761">
        <f t="shared" si="91"/>
        <v>0</v>
      </c>
      <c r="M329" s="761">
        <f t="shared" si="91"/>
        <v>0</v>
      </c>
      <c r="N329" s="762">
        <f t="shared" si="92"/>
        <v>0</v>
      </c>
      <c r="O329" s="763">
        <f t="shared" si="92"/>
        <v>0</v>
      </c>
      <c r="P329" s="763">
        <f t="shared" si="92"/>
        <v>0</v>
      </c>
      <c r="Q329" s="763">
        <f t="shared" si="93"/>
        <v>0</v>
      </c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</row>
    <row r="330" spans="1:29" ht="30.75" hidden="1" customHeight="1" x14ac:dyDescent="0.2">
      <c r="A330" s="774"/>
      <c r="B330" s="657"/>
      <c r="C330" s="786"/>
      <c r="D330" s="790"/>
      <c r="E330" s="791" t="str">
        <f>+E555</f>
        <v>HOGARES INDIGENTES - Consumo &gt; 500 y &lt;= 700 kWh/mes -ZONA FRIA</v>
      </c>
      <c r="F330" s="789"/>
      <c r="G330" s="789" t="e">
        <f>+G555</f>
        <v>#REF!</v>
      </c>
      <c r="H330" s="783">
        <f>IF(F330=0,0,F330*COEF!$J$27)</f>
        <v>0</v>
      </c>
      <c r="I330" s="784">
        <f>IF(F330=0,0,F330*COEF!$K$27)</f>
        <v>0</v>
      </c>
      <c r="J330" s="784">
        <f>IF(F330=0,0,F330*COEF!$L$27)</f>
        <v>0</v>
      </c>
      <c r="K330" s="761">
        <f t="shared" si="91"/>
        <v>0</v>
      </c>
      <c r="L330" s="761">
        <f t="shared" si="91"/>
        <v>0</v>
      </c>
      <c r="M330" s="761">
        <f t="shared" si="91"/>
        <v>0</v>
      </c>
      <c r="N330" s="762">
        <f t="shared" si="92"/>
        <v>0</v>
      </c>
      <c r="O330" s="763">
        <f t="shared" si="92"/>
        <v>0</v>
      </c>
      <c r="P330" s="763">
        <f t="shared" si="92"/>
        <v>0</v>
      </c>
      <c r="Q330" s="763">
        <f t="shared" si="93"/>
        <v>0</v>
      </c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</row>
    <row r="331" spans="1:29" ht="30.75" hidden="1" customHeight="1" x14ac:dyDescent="0.2">
      <c r="A331" s="774"/>
      <c r="B331" s="657"/>
      <c r="C331" s="786"/>
      <c r="D331" s="790"/>
      <c r="E331" s="791">
        <f t="shared" ref="E331:G332" si="97">+E556</f>
        <v>0</v>
      </c>
      <c r="F331" s="789"/>
      <c r="G331" s="789" t="e">
        <f t="shared" si="97"/>
        <v>#REF!</v>
      </c>
      <c r="H331" s="783">
        <f>IF(F331=0,0,F331*COEF!$J$27)</f>
        <v>0</v>
      </c>
      <c r="I331" s="784">
        <f>IF(F331=0,0,F331*COEF!$K$27)</f>
        <v>0</v>
      </c>
      <c r="J331" s="784">
        <f>IF(F331=0,0,F331*COEF!$L$27)</f>
        <v>0</v>
      </c>
      <c r="K331" s="761">
        <f t="shared" si="91"/>
        <v>0</v>
      </c>
      <c r="L331" s="761">
        <f t="shared" si="91"/>
        <v>0</v>
      </c>
      <c r="M331" s="761">
        <f t="shared" si="91"/>
        <v>0</v>
      </c>
      <c r="N331" s="762">
        <f t="shared" si="92"/>
        <v>0</v>
      </c>
      <c r="O331" s="763">
        <f t="shared" si="92"/>
        <v>0</v>
      </c>
      <c r="P331" s="763">
        <f t="shared" si="92"/>
        <v>0</v>
      </c>
      <c r="Q331" s="763">
        <f t="shared" si="93"/>
        <v>0</v>
      </c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</row>
    <row r="332" spans="1:29" ht="30.75" hidden="1" customHeight="1" x14ac:dyDescent="0.2">
      <c r="A332" s="774"/>
      <c r="B332" s="657"/>
      <c r="C332" s="786"/>
      <c r="D332" s="790"/>
      <c r="E332" s="791">
        <f t="shared" si="97"/>
        <v>0</v>
      </c>
      <c r="F332" s="789"/>
      <c r="G332" s="789">
        <f t="shared" si="97"/>
        <v>0</v>
      </c>
      <c r="H332" s="783">
        <f>IF(F332=0,0,F332*COEF!$J$27)</f>
        <v>0</v>
      </c>
      <c r="I332" s="784">
        <f>IF(F332=0,0,F332*COEF!$K$27)</f>
        <v>0</v>
      </c>
      <c r="J332" s="784">
        <f>IF(F332=0,0,F332*COEF!$L$27)</f>
        <v>0</v>
      </c>
      <c r="K332" s="761">
        <f t="shared" si="91"/>
        <v>0</v>
      </c>
      <c r="L332" s="761">
        <f t="shared" si="91"/>
        <v>0</v>
      </c>
      <c r="M332" s="761">
        <f t="shared" si="91"/>
        <v>0</v>
      </c>
      <c r="N332" s="762">
        <f t="shared" si="92"/>
        <v>0</v>
      </c>
      <c r="O332" s="763">
        <f t="shared" si="92"/>
        <v>0</v>
      </c>
      <c r="P332" s="763">
        <f t="shared" si="92"/>
        <v>0</v>
      </c>
      <c r="Q332" s="763">
        <f t="shared" si="93"/>
        <v>0</v>
      </c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</row>
    <row r="333" spans="1:29" ht="30.75" hidden="1" customHeight="1" x14ac:dyDescent="0.2">
      <c r="A333" s="774"/>
      <c r="B333" s="657"/>
      <c r="C333" s="786"/>
      <c r="D333" s="786" t="s">
        <v>325</v>
      </c>
      <c r="E333" s="792" t="str">
        <f>+E565</f>
        <v>HOGARES POBRES O CARENCIADOS  - Consumo &gt; 700  y &lt;= 1400 kWh/mes -ZONA FRIA</v>
      </c>
      <c r="F333" s="789"/>
      <c r="G333" s="789" t="e">
        <f>+G565</f>
        <v>#REF!</v>
      </c>
      <c r="H333" s="783">
        <f>IF(F333=0,0,F333*COEF!$J$27)</f>
        <v>0</v>
      </c>
      <c r="I333" s="784">
        <f>IF(F333=0,0,F333*COEF!$K$27)</f>
        <v>0</v>
      </c>
      <c r="J333" s="784">
        <f>IF(F333=0,0,F333*COEF!$L$27)</f>
        <v>0</v>
      </c>
      <c r="K333" s="761">
        <f t="shared" si="91"/>
        <v>0</v>
      </c>
      <c r="L333" s="761">
        <f t="shared" si="91"/>
        <v>0</v>
      </c>
      <c r="M333" s="761">
        <f t="shared" si="91"/>
        <v>0</v>
      </c>
      <c r="N333" s="762">
        <f t="shared" si="92"/>
        <v>0</v>
      </c>
      <c r="O333" s="763">
        <f t="shared" si="92"/>
        <v>0</v>
      </c>
      <c r="P333" s="763">
        <f t="shared" si="92"/>
        <v>0</v>
      </c>
      <c r="Q333" s="763">
        <f t="shared" si="93"/>
        <v>0</v>
      </c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</row>
    <row r="334" spans="1:29" ht="30.75" hidden="1" customHeight="1" x14ac:dyDescent="0.2">
      <c r="A334" s="774"/>
      <c r="B334" s="657"/>
      <c r="C334" s="786"/>
      <c r="D334" s="786" t="s">
        <v>325</v>
      </c>
      <c r="E334" s="792" t="str">
        <f t="shared" ref="E334:G335" si="98">+E566</f>
        <v xml:space="preserve">HOGARES INDIGENTES- Consumo &gt; 700 y &lt;= 1400  kWh/mes </v>
      </c>
      <c r="F334" s="789"/>
      <c r="G334" s="789">
        <f t="shared" si="98"/>
        <v>0</v>
      </c>
      <c r="H334" s="783">
        <f>IF(F334=0,0,F334*COEF!$J$27)</f>
        <v>0</v>
      </c>
      <c r="I334" s="784">
        <f>IF(F334=0,0,F334*COEF!$K$27)</f>
        <v>0</v>
      </c>
      <c r="J334" s="784">
        <f>IF(F334=0,0,F334*COEF!$L$27)</f>
        <v>0</v>
      </c>
      <c r="K334" s="761">
        <f t="shared" si="91"/>
        <v>0</v>
      </c>
      <c r="L334" s="761">
        <f t="shared" si="91"/>
        <v>0</v>
      </c>
      <c r="M334" s="761">
        <f t="shared" si="91"/>
        <v>0</v>
      </c>
      <c r="N334" s="762">
        <f t="shared" ref="N334:P344" si="99">H334+K334</f>
        <v>0</v>
      </c>
      <c r="O334" s="763">
        <f t="shared" si="99"/>
        <v>0</v>
      </c>
      <c r="P334" s="763">
        <f t="shared" si="99"/>
        <v>0</v>
      </c>
      <c r="Q334" s="763">
        <f t="shared" si="93"/>
        <v>0</v>
      </c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</row>
    <row r="335" spans="1:29" ht="30.75" hidden="1" customHeight="1" x14ac:dyDescent="0.2">
      <c r="A335" s="774"/>
      <c r="B335" s="657"/>
      <c r="C335" s="786"/>
      <c r="D335" s="786" t="s">
        <v>325</v>
      </c>
      <c r="E335" s="792" t="str">
        <f t="shared" si="98"/>
        <v>HOGARES INDIGENTES- Consumo &gt; 700 y &lt;= 1400  kWh/mes -ZONA FRIA</v>
      </c>
      <c r="F335" s="789"/>
      <c r="G335" s="789" t="e">
        <f t="shared" si="98"/>
        <v>#REF!</v>
      </c>
      <c r="H335" s="783">
        <f>IF(F335=0,0,F335*COEF!$J$27)</f>
        <v>0</v>
      </c>
      <c r="I335" s="784">
        <f>IF(F335=0,0,F335*COEF!$K$27)</f>
        <v>0</v>
      </c>
      <c r="J335" s="784">
        <f>IF(F335=0,0,F335*COEF!$L$27)</f>
        <v>0</v>
      </c>
      <c r="K335" s="761">
        <f t="shared" si="91"/>
        <v>0</v>
      </c>
      <c r="L335" s="761">
        <f t="shared" si="91"/>
        <v>0</v>
      </c>
      <c r="M335" s="761">
        <f t="shared" si="91"/>
        <v>0</v>
      </c>
      <c r="N335" s="762">
        <f t="shared" si="99"/>
        <v>0</v>
      </c>
      <c r="O335" s="763">
        <f t="shared" si="99"/>
        <v>0</v>
      </c>
      <c r="P335" s="763">
        <f t="shared" si="99"/>
        <v>0</v>
      </c>
      <c r="Q335" s="763">
        <f t="shared" si="93"/>
        <v>0</v>
      </c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</row>
    <row r="336" spans="1:29" ht="30.75" hidden="1" customHeight="1" x14ac:dyDescent="0.2">
      <c r="A336" s="774"/>
      <c r="B336" s="657"/>
      <c r="C336" s="786"/>
      <c r="D336" s="786"/>
      <c r="E336" s="792">
        <f t="shared" ref="E336:G338" si="100">+E569</f>
        <v>0</v>
      </c>
      <c r="F336" s="789"/>
      <c r="G336" s="789">
        <f t="shared" si="100"/>
        <v>0</v>
      </c>
      <c r="H336" s="783">
        <f>IF(F336=0,0,F336*COEF!$J$27)</f>
        <v>0</v>
      </c>
      <c r="I336" s="784">
        <f>IF(F336=0,0,F336*COEF!$K$27)</f>
        <v>0</v>
      </c>
      <c r="J336" s="784">
        <f>IF(F336=0,0,F336*COEF!$L$27)</f>
        <v>0</v>
      </c>
      <c r="K336" s="761">
        <f t="shared" si="91"/>
        <v>0</v>
      </c>
      <c r="L336" s="761">
        <f t="shared" si="91"/>
        <v>0</v>
      </c>
      <c r="M336" s="761">
        <f t="shared" si="91"/>
        <v>0</v>
      </c>
      <c r="N336" s="762">
        <f t="shared" si="99"/>
        <v>0</v>
      </c>
      <c r="O336" s="763">
        <f t="shared" si="99"/>
        <v>0</v>
      </c>
      <c r="P336" s="763">
        <f t="shared" si="99"/>
        <v>0</v>
      </c>
      <c r="Q336" s="763">
        <f t="shared" si="93"/>
        <v>0</v>
      </c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</row>
    <row r="337" spans="1:29" ht="30.75" hidden="1" customHeight="1" x14ac:dyDescent="0.2">
      <c r="A337" s="774"/>
      <c r="B337" s="657"/>
      <c r="C337" s="786"/>
      <c r="D337" s="786"/>
      <c r="E337" s="792">
        <f t="shared" si="100"/>
        <v>0</v>
      </c>
      <c r="F337" s="789"/>
      <c r="G337" s="789">
        <f t="shared" si="100"/>
        <v>0</v>
      </c>
      <c r="H337" s="783">
        <f>IF(F337=0,0,F337*COEF!$J$27)</f>
        <v>0</v>
      </c>
      <c r="I337" s="784">
        <f>IF(F337=0,0,F337*COEF!$K$27)</f>
        <v>0</v>
      </c>
      <c r="J337" s="784">
        <f>IF(F337=0,0,F337*COEF!$L$27)</f>
        <v>0</v>
      </c>
      <c r="K337" s="761">
        <f t="shared" si="91"/>
        <v>0</v>
      </c>
      <c r="L337" s="761">
        <f t="shared" si="91"/>
        <v>0</v>
      </c>
      <c r="M337" s="761">
        <f t="shared" si="91"/>
        <v>0</v>
      </c>
      <c r="N337" s="762">
        <f t="shared" si="99"/>
        <v>0</v>
      </c>
      <c r="O337" s="763">
        <f t="shared" si="99"/>
        <v>0</v>
      </c>
      <c r="P337" s="763">
        <f t="shared" si="99"/>
        <v>0</v>
      </c>
      <c r="Q337" s="763">
        <f t="shared" si="93"/>
        <v>0</v>
      </c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</row>
    <row r="338" spans="1:29" ht="30.75" hidden="1" customHeight="1" x14ac:dyDescent="0.2">
      <c r="A338" s="774"/>
      <c r="B338" s="657"/>
      <c r="C338" s="786"/>
      <c r="D338" s="786"/>
      <c r="E338" s="792">
        <f t="shared" si="100"/>
        <v>0</v>
      </c>
      <c r="F338" s="789"/>
      <c r="G338" s="789" t="e">
        <f t="shared" si="100"/>
        <v>#REF!</v>
      </c>
      <c r="H338" s="783">
        <f>IF(F338=0,0,F338*COEF!$J$27)</f>
        <v>0</v>
      </c>
      <c r="I338" s="784">
        <f>IF(F338=0,0,F338*COEF!$K$27)</f>
        <v>0</v>
      </c>
      <c r="J338" s="784">
        <f>IF(F338=0,0,F338*COEF!$L$27)</f>
        <v>0</v>
      </c>
      <c r="K338" s="761">
        <f t="shared" si="91"/>
        <v>0</v>
      </c>
      <c r="L338" s="761">
        <f t="shared" si="91"/>
        <v>0</v>
      </c>
      <c r="M338" s="761">
        <f t="shared" si="91"/>
        <v>0</v>
      </c>
      <c r="N338" s="762">
        <f t="shared" si="99"/>
        <v>0</v>
      </c>
      <c r="O338" s="763">
        <f t="shared" si="99"/>
        <v>0</v>
      </c>
      <c r="P338" s="763">
        <f t="shared" si="99"/>
        <v>0</v>
      </c>
      <c r="Q338" s="763">
        <f t="shared" si="93"/>
        <v>0</v>
      </c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</row>
    <row r="339" spans="1:29" ht="30.75" hidden="1" customHeight="1" x14ac:dyDescent="0.2">
      <c r="A339" s="774"/>
      <c r="B339" s="657"/>
      <c r="C339" s="786"/>
      <c r="D339" s="793" t="s">
        <v>326</v>
      </c>
      <c r="E339" s="793" t="str">
        <f>+E579</f>
        <v>HOGARES INDIGENTES- - Consumo &gt; 1400  kWh/mes -ZONA FRIA</v>
      </c>
      <c r="F339" s="789"/>
      <c r="G339" s="789" t="e">
        <f>+G579</f>
        <v>#REF!</v>
      </c>
      <c r="H339" s="783">
        <f>IF(F339=0,0,F339*COEF!$J$27)</f>
        <v>0</v>
      </c>
      <c r="I339" s="784">
        <f>IF(F339=0,0,F339*COEF!$K$27)</f>
        <v>0</v>
      </c>
      <c r="J339" s="784">
        <f>IF(F339=0,0,F339*COEF!$L$27)</f>
        <v>0</v>
      </c>
      <c r="K339" s="761">
        <f t="shared" si="91"/>
        <v>0</v>
      </c>
      <c r="L339" s="761">
        <f t="shared" si="91"/>
        <v>0</v>
      </c>
      <c r="M339" s="761">
        <f t="shared" si="91"/>
        <v>0</v>
      </c>
      <c r="N339" s="762">
        <f t="shared" si="99"/>
        <v>0</v>
      </c>
      <c r="O339" s="763">
        <f t="shared" si="99"/>
        <v>0</v>
      </c>
      <c r="P339" s="763">
        <f t="shared" si="99"/>
        <v>0</v>
      </c>
      <c r="Q339" s="763">
        <f t="shared" si="93"/>
        <v>0</v>
      </c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</row>
    <row r="340" spans="1:29" ht="30.75" hidden="1" customHeight="1" x14ac:dyDescent="0.2">
      <c r="A340" s="774"/>
      <c r="B340" s="657"/>
      <c r="C340" s="786"/>
      <c r="D340" s="793" t="s">
        <v>326</v>
      </c>
      <c r="E340" s="793">
        <f t="shared" ref="E340:G340" si="101">+E580</f>
        <v>0</v>
      </c>
      <c r="F340" s="789"/>
      <c r="G340" s="789" t="e">
        <f t="shared" si="101"/>
        <v>#REF!</v>
      </c>
      <c r="H340" s="783">
        <f>IF(F340=0,0,F340*COEF!$J$27)</f>
        <v>0</v>
      </c>
      <c r="I340" s="784">
        <f>IF(F340=0,0,F340*COEF!$K$27)</f>
        <v>0</v>
      </c>
      <c r="J340" s="784">
        <f>IF(F340=0,0,F340*COEF!$L$27)</f>
        <v>0</v>
      </c>
      <c r="K340" s="761">
        <f t="shared" si="91"/>
        <v>0</v>
      </c>
      <c r="L340" s="761">
        <f t="shared" si="91"/>
        <v>0</v>
      </c>
      <c r="M340" s="761">
        <f t="shared" si="91"/>
        <v>0</v>
      </c>
      <c r="N340" s="762">
        <f t="shared" si="99"/>
        <v>0</v>
      </c>
      <c r="O340" s="763">
        <f t="shared" si="99"/>
        <v>0</v>
      </c>
      <c r="P340" s="763">
        <f t="shared" si="99"/>
        <v>0</v>
      </c>
      <c r="Q340" s="763">
        <f t="shared" si="93"/>
        <v>0</v>
      </c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</row>
    <row r="341" spans="1:29" ht="30.75" hidden="1" customHeight="1" x14ac:dyDescent="0.2">
      <c r="A341" s="774"/>
      <c r="B341" s="657"/>
      <c r="C341" s="786"/>
      <c r="D341" s="793" t="s">
        <v>326</v>
      </c>
      <c r="E341" s="793" t="e">
        <f>+#REF!</f>
        <v>#REF!</v>
      </c>
      <c r="F341" s="789"/>
      <c r="G341" s="789" t="e">
        <f>+#REF!</f>
        <v>#REF!</v>
      </c>
      <c r="H341" s="783">
        <f>IF(F341=0,0,F341*COEF!$J$27)</f>
        <v>0</v>
      </c>
      <c r="I341" s="784">
        <f>IF(F341=0,0,F341*COEF!$K$27)</f>
        <v>0</v>
      </c>
      <c r="J341" s="784">
        <f>IF(F341=0,0,F341*COEF!$L$27)</f>
        <v>0</v>
      </c>
      <c r="K341" s="761">
        <f t="shared" si="91"/>
        <v>0</v>
      </c>
      <c r="L341" s="761">
        <f t="shared" si="91"/>
        <v>0</v>
      </c>
      <c r="M341" s="761">
        <f t="shared" si="91"/>
        <v>0</v>
      </c>
      <c r="N341" s="762">
        <f t="shared" si="99"/>
        <v>0</v>
      </c>
      <c r="O341" s="763">
        <f t="shared" si="99"/>
        <v>0</v>
      </c>
      <c r="P341" s="763">
        <f t="shared" si="99"/>
        <v>0</v>
      </c>
      <c r="Q341" s="763">
        <f t="shared" si="93"/>
        <v>0</v>
      </c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</row>
    <row r="342" spans="1:29" ht="30.75" hidden="1" customHeight="1" x14ac:dyDescent="0.2">
      <c r="A342" s="774"/>
      <c r="B342" s="657"/>
      <c r="C342" s="786"/>
      <c r="D342" s="793"/>
      <c r="E342" s="793" t="e">
        <f>+#REF!</f>
        <v>#REF!</v>
      </c>
      <c r="F342" s="789"/>
      <c r="G342" s="789" t="e">
        <f>+#REF!</f>
        <v>#REF!</v>
      </c>
      <c r="H342" s="783">
        <f>IF(F342=0,0,F342*COEF!$J$27)</f>
        <v>0</v>
      </c>
      <c r="I342" s="784">
        <f>IF(F342=0,0,F342*COEF!$K$27)</f>
        <v>0</v>
      </c>
      <c r="J342" s="784">
        <f>IF(F342=0,0,F342*COEF!$L$27)</f>
        <v>0</v>
      </c>
      <c r="K342" s="761">
        <f t="shared" si="91"/>
        <v>0</v>
      </c>
      <c r="L342" s="761">
        <f t="shared" si="91"/>
        <v>0</v>
      </c>
      <c r="M342" s="761">
        <f t="shared" si="91"/>
        <v>0</v>
      </c>
      <c r="N342" s="762">
        <f t="shared" si="99"/>
        <v>0</v>
      </c>
      <c r="O342" s="763">
        <f t="shared" si="99"/>
        <v>0</v>
      </c>
      <c r="P342" s="763">
        <f t="shared" si="99"/>
        <v>0</v>
      </c>
      <c r="Q342" s="763">
        <f t="shared" si="93"/>
        <v>0</v>
      </c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</row>
    <row r="343" spans="1:29" ht="30.75" hidden="1" customHeight="1" x14ac:dyDescent="0.2">
      <c r="A343" s="774"/>
      <c r="B343" s="657"/>
      <c r="C343" s="786"/>
      <c r="D343" s="793"/>
      <c r="E343" s="793" t="e">
        <f>+#REF!</f>
        <v>#REF!</v>
      </c>
      <c r="F343" s="789"/>
      <c r="G343" s="789" t="e">
        <f>+#REF!</f>
        <v>#REF!</v>
      </c>
      <c r="H343" s="783">
        <f>IF(F343=0,0,F343*COEF!$J$27)</f>
        <v>0</v>
      </c>
      <c r="I343" s="784">
        <f>IF(F343=0,0,F343*COEF!$K$27)</f>
        <v>0</v>
      </c>
      <c r="J343" s="784">
        <f>IF(F343=0,0,F343*COEF!$L$27)</f>
        <v>0</v>
      </c>
      <c r="K343" s="761">
        <f t="shared" si="91"/>
        <v>0</v>
      </c>
      <c r="L343" s="761">
        <f t="shared" si="91"/>
        <v>0</v>
      </c>
      <c r="M343" s="761">
        <f t="shared" si="91"/>
        <v>0</v>
      </c>
      <c r="N343" s="762">
        <f t="shared" si="99"/>
        <v>0</v>
      </c>
      <c r="O343" s="763">
        <f t="shared" si="99"/>
        <v>0</v>
      </c>
      <c r="P343" s="763">
        <f t="shared" si="99"/>
        <v>0</v>
      </c>
      <c r="Q343" s="763">
        <f t="shared" si="93"/>
        <v>0</v>
      </c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</row>
    <row r="344" spans="1:29" ht="30.75" hidden="1" customHeight="1" x14ac:dyDescent="0.2">
      <c r="A344" s="774"/>
      <c r="B344" s="657"/>
      <c r="C344" s="786"/>
      <c r="D344" s="793"/>
      <c r="E344" s="793" t="e">
        <f>+#REF!</f>
        <v>#REF!</v>
      </c>
      <c r="F344" s="789"/>
      <c r="G344" s="789" t="e">
        <f>+#REF!</f>
        <v>#REF!</v>
      </c>
      <c r="H344" s="783">
        <f>IF(F344=0,0,F344*COEF!$J$27)</f>
        <v>0</v>
      </c>
      <c r="I344" s="784">
        <f>IF(F344=0,0,F344*COEF!$K$27)</f>
        <v>0</v>
      </c>
      <c r="J344" s="784">
        <f>IF(F344=0,0,F344*COEF!$L$27)</f>
        <v>0</v>
      </c>
      <c r="K344" s="761">
        <f t="shared" si="91"/>
        <v>0</v>
      </c>
      <c r="L344" s="761">
        <f t="shared" si="91"/>
        <v>0</v>
      </c>
      <c r="M344" s="761">
        <f t="shared" si="91"/>
        <v>0</v>
      </c>
      <c r="N344" s="762">
        <f t="shared" si="99"/>
        <v>0</v>
      </c>
      <c r="O344" s="763">
        <f t="shared" si="99"/>
        <v>0</v>
      </c>
      <c r="P344" s="763">
        <f t="shared" si="99"/>
        <v>0</v>
      </c>
      <c r="Q344" s="763">
        <f t="shared" si="93"/>
        <v>0</v>
      </c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</row>
    <row r="345" spans="1:29" s="800" customFormat="1" ht="53.25" hidden="1" customHeight="1" x14ac:dyDescent="0.4">
      <c r="A345" s="794"/>
      <c r="B345" s="795"/>
      <c r="C345" s="796"/>
      <c r="D345" s="795"/>
      <c r="E345" s="797"/>
      <c r="F345" s="798">
        <f t="shared" ref="F345:Q345" si="102">SUM(F317:F339)</f>
        <v>0</v>
      </c>
      <c r="G345" s="798" t="e">
        <f t="shared" si="102"/>
        <v>#REF!</v>
      </c>
      <c r="H345" s="798">
        <f t="shared" si="102"/>
        <v>0</v>
      </c>
      <c r="I345" s="798">
        <f t="shared" si="102"/>
        <v>0</v>
      </c>
      <c r="J345" s="798">
        <f t="shared" si="102"/>
        <v>0</v>
      </c>
      <c r="K345" s="798">
        <f t="shared" si="102"/>
        <v>0</v>
      </c>
      <c r="L345" s="798">
        <f t="shared" si="102"/>
        <v>0</v>
      </c>
      <c r="M345" s="798">
        <f t="shared" si="102"/>
        <v>0</v>
      </c>
      <c r="N345" s="798">
        <f t="shared" si="102"/>
        <v>0</v>
      </c>
      <c r="O345" s="798">
        <f t="shared" si="102"/>
        <v>0</v>
      </c>
      <c r="P345" s="798">
        <f t="shared" si="102"/>
        <v>0</v>
      </c>
      <c r="Q345" s="798">
        <f t="shared" si="102"/>
        <v>0</v>
      </c>
      <c r="R345" s="799"/>
      <c r="S345" s="799"/>
      <c r="T345" s="799"/>
      <c r="U345" s="799"/>
      <c r="V345" s="799"/>
      <c r="W345" s="799"/>
      <c r="X345" s="799"/>
      <c r="Y345" s="799"/>
      <c r="Z345" s="799"/>
      <c r="AA345" s="799"/>
      <c r="AB345" s="799"/>
      <c r="AC345" s="799"/>
    </row>
    <row r="346" spans="1:29" ht="53.25" hidden="1" customHeight="1" x14ac:dyDescent="0.35">
      <c r="A346" s="774"/>
      <c r="B346" s="775"/>
      <c r="C346" s="776"/>
      <c r="D346" s="776"/>
      <c r="E346" s="776"/>
      <c r="F346" s="777"/>
      <c r="G346" s="777"/>
      <c r="H346" s="778"/>
      <c r="I346" s="778"/>
      <c r="J346" s="778"/>
      <c r="K346" s="778"/>
      <c r="L346" s="778"/>
      <c r="M346" s="778"/>
      <c r="N346" s="778"/>
      <c r="O346" s="778"/>
      <c r="P346" s="778"/>
      <c r="Q346" s="778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</row>
    <row r="347" spans="1:29" s="105" customFormat="1" ht="30.75" hidden="1" customHeight="1" thickBot="1" x14ac:dyDescent="0.35">
      <c r="A347" s="801"/>
      <c r="B347" s="681"/>
      <c r="C347" s="802"/>
      <c r="D347" s="802"/>
      <c r="E347" s="802"/>
      <c r="F347" s="803"/>
      <c r="H347" s="803"/>
      <c r="I347" s="803"/>
      <c r="J347" s="803"/>
      <c r="K347" s="803"/>
      <c r="L347" s="803"/>
      <c r="M347" s="803"/>
      <c r="N347" s="803"/>
      <c r="O347" s="803"/>
      <c r="P347" s="803"/>
      <c r="Q347" s="803"/>
      <c r="R347" s="569"/>
      <c r="S347" s="569"/>
      <c r="T347" s="569"/>
      <c r="U347" s="569"/>
      <c r="V347" s="569"/>
      <c r="W347" s="569"/>
      <c r="X347" s="569"/>
      <c r="Y347" s="569"/>
      <c r="Z347" s="569"/>
      <c r="AA347" s="569"/>
      <c r="AB347" s="569"/>
      <c r="AC347" s="569"/>
    </row>
    <row r="348" spans="1:29" ht="30.75" hidden="1" customHeight="1" thickBot="1" x14ac:dyDescent="0.25">
      <c r="A348" s="657"/>
      <c r="B348" s="657"/>
      <c r="C348" s="2142"/>
      <c r="D348" s="2142"/>
      <c r="F348" s="2142"/>
      <c r="H348" s="4043" t="s">
        <v>1</v>
      </c>
      <c r="I348" s="4044"/>
      <c r="J348" s="4045"/>
      <c r="K348" s="4005" t="s">
        <v>152</v>
      </c>
      <c r="L348" s="4006"/>
      <c r="M348" s="4007"/>
      <c r="N348" s="4737" t="s">
        <v>4</v>
      </c>
      <c r="O348" s="4738"/>
      <c r="P348" s="4738"/>
      <c r="Q348" s="4739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</row>
    <row r="349" spans="1:29" ht="30.75" hidden="1" customHeight="1" x14ac:dyDescent="0.35">
      <c r="A349" s="657"/>
      <c r="B349" s="657"/>
      <c r="C349" s="2142"/>
      <c r="D349" s="2142"/>
      <c r="F349" s="2123" t="s">
        <v>154</v>
      </c>
      <c r="G349" s="804" t="s">
        <v>4</v>
      </c>
      <c r="H349" s="805" t="s">
        <v>5</v>
      </c>
      <c r="I349" s="805" t="s">
        <v>6</v>
      </c>
      <c r="J349" s="805" t="s">
        <v>7</v>
      </c>
      <c r="K349" s="806" t="s">
        <v>5</v>
      </c>
      <c r="L349" s="806" t="s">
        <v>6</v>
      </c>
      <c r="M349" s="806" t="s">
        <v>7</v>
      </c>
      <c r="N349" s="615" t="s">
        <v>5</v>
      </c>
      <c r="O349" s="615" t="s">
        <v>6</v>
      </c>
      <c r="P349" s="615" t="s">
        <v>7</v>
      </c>
      <c r="Q349" s="207" t="s">
        <v>4</v>
      </c>
      <c r="R349" s="2135" t="s">
        <v>152</v>
      </c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</row>
    <row r="350" spans="1:29" ht="30.75" hidden="1" customHeight="1" x14ac:dyDescent="0.4">
      <c r="A350" s="657"/>
      <c r="B350" s="657"/>
      <c r="C350" s="2142"/>
      <c r="D350" s="2142"/>
      <c r="E350" s="807" t="s">
        <v>155</v>
      </c>
      <c r="F350" s="808">
        <f>F10</f>
        <v>0</v>
      </c>
      <c r="G350" s="809">
        <f>+F10</f>
        <v>0</v>
      </c>
      <c r="H350" s="810">
        <f>G10</f>
        <v>0</v>
      </c>
      <c r="I350" s="810">
        <f>H10</f>
        <v>0</v>
      </c>
      <c r="J350" s="810">
        <f>I10</f>
        <v>0</v>
      </c>
      <c r="K350" s="811"/>
      <c r="L350" s="812"/>
      <c r="M350" s="812"/>
      <c r="N350" s="416">
        <f t="shared" ref="N350:P355" si="103">+H350+K350</f>
        <v>0</v>
      </c>
      <c r="O350" s="416">
        <f t="shared" si="103"/>
        <v>0</v>
      </c>
      <c r="P350" s="416">
        <f t="shared" si="103"/>
        <v>0</v>
      </c>
      <c r="Q350" s="810">
        <f t="shared" ref="Q350:Q355" si="104">SUM(N350:P350)</f>
        <v>0</v>
      </c>
      <c r="R350" s="10">
        <f>+SUM(K350:M350)</f>
        <v>0</v>
      </c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</row>
    <row r="351" spans="1:29" ht="30.75" hidden="1" customHeight="1" x14ac:dyDescent="0.4">
      <c r="A351" s="657"/>
      <c r="B351" s="657"/>
      <c r="C351" s="2142"/>
      <c r="D351" s="2142"/>
      <c r="E351" s="807" t="s">
        <v>156</v>
      </c>
      <c r="F351" s="813">
        <f>F14</f>
        <v>0</v>
      </c>
      <c r="G351" s="814">
        <f>+F14</f>
        <v>0</v>
      </c>
      <c r="H351" s="810">
        <f>G14</f>
        <v>0</v>
      </c>
      <c r="I351" s="810">
        <f>H14</f>
        <v>0</v>
      </c>
      <c r="J351" s="810">
        <f>I14</f>
        <v>0</v>
      </c>
      <c r="K351" s="811"/>
      <c r="L351" s="815"/>
      <c r="M351" s="816"/>
      <c r="N351" s="416">
        <f t="shared" si="103"/>
        <v>0</v>
      </c>
      <c r="O351" s="416">
        <f t="shared" si="103"/>
        <v>0</v>
      </c>
      <c r="P351" s="416">
        <f t="shared" si="103"/>
        <v>0</v>
      </c>
      <c r="Q351" s="810">
        <f t="shared" si="104"/>
        <v>0</v>
      </c>
      <c r="R351" s="10">
        <f>+SUM(K351:M351)</f>
        <v>0</v>
      </c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</row>
    <row r="352" spans="1:29" ht="30.75" hidden="1" customHeight="1" x14ac:dyDescent="0.4">
      <c r="A352" s="657"/>
      <c r="B352" s="657"/>
      <c r="C352" s="2142"/>
      <c r="D352" s="2142"/>
      <c r="E352" s="807" t="s">
        <v>429</v>
      </c>
      <c r="F352" s="813">
        <f>F46</f>
        <v>0</v>
      </c>
      <c r="G352" s="814">
        <f>+F46</f>
        <v>0</v>
      </c>
      <c r="H352" s="810">
        <f>G46</f>
        <v>0</v>
      </c>
      <c r="I352" s="810">
        <f>H46</f>
        <v>0</v>
      </c>
      <c r="J352" s="810">
        <f>I46</f>
        <v>0</v>
      </c>
      <c r="K352" s="817">
        <f>L46</f>
        <v>0</v>
      </c>
      <c r="L352" s="818">
        <f>M46</f>
        <v>0</v>
      </c>
      <c r="M352" s="818">
        <f>N46</f>
        <v>0</v>
      </c>
      <c r="N352" s="416">
        <f t="shared" si="103"/>
        <v>0</v>
      </c>
      <c r="O352" s="416">
        <f t="shared" si="103"/>
        <v>0</v>
      </c>
      <c r="P352" s="416">
        <f t="shared" si="103"/>
        <v>0</v>
      </c>
      <c r="Q352" s="810">
        <f t="shared" si="104"/>
        <v>0</v>
      </c>
      <c r="R352" s="819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</row>
    <row r="353" spans="1:29" ht="30.75" hidden="1" customHeight="1" x14ac:dyDescent="0.4">
      <c r="A353" s="657"/>
      <c r="B353" s="657"/>
      <c r="C353" s="2142"/>
      <c r="D353" s="2142"/>
      <c r="E353" s="807" t="s">
        <v>18</v>
      </c>
      <c r="F353" s="813">
        <f>F83</f>
        <v>0</v>
      </c>
      <c r="G353" s="814">
        <f>+F83</f>
        <v>0</v>
      </c>
      <c r="H353" s="810">
        <f>G83</f>
        <v>0</v>
      </c>
      <c r="I353" s="810">
        <f>H83</f>
        <v>0</v>
      </c>
      <c r="J353" s="810">
        <f>I83</f>
        <v>0</v>
      </c>
      <c r="K353" s="820">
        <f>L83</f>
        <v>0</v>
      </c>
      <c r="L353" s="821">
        <f>M83</f>
        <v>0</v>
      </c>
      <c r="M353" s="821">
        <f>N83</f>
        <v>0</v>
      </c>
      <c r="N353" s="416">
        <f t="shared" si="103"/>
        <v>0</v>
      </c>
      <c r="O353" s="416">
        <f t="shared" si="103"/>
        <v>0</v>
      </c>
      <c r="P353" s="416">
        <f t="shared" si="103"/>
        <v>0</v>
      </c>
      <c r="Q353" s="810">
        <f t="shared" si="104"/>
        <v>0</v>
      </c>
      <c r="R353" s="2223">
        <f>+H353+I353+J353</f>
        <v>0</v>
      </c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</row>
    <row r="354" spans="1:29" ht="30.75" hidden="1" customHeight="1" x14ac:dyDescent="0.4">
      <c r="A354" s="657"/>
      <c r="B354" s="657"/>
      <c r="C354" s="2142"/>
      <c r="D354" s="2142"/>
      <c r="E354" s="807" t="s">
        <v>157</v>
      </c>
      <c r="F354" s="813" t="e">
        <f>F292</f>
        <v>#REF!</v>
      </c>
      <c r="G354" s="814" t="e">
        <f>+F114+F165+F220</f>
        <v>#REF!</v>
      </c>
      <c r="H354" s="810" t="e">
        <f>G292</f>
        <v>#REF!</v>
      </c>
      <c r="I354" s="810" t="e">
        <f>H292</f>
        <v>#REF!</v>
      </c>
      <c r="J354" s="810" t="e">
        <f>I292</f>
        <v>#REF!</v>
      </c>
      <c r="K354" s="820" t="e">
        <f>L292</f>
        <v>#REF!</v>
      </c>
      <c r="L354" s="821" t="e">
        <f>M292</f>
        <v>#REF!</v>
      </c>
      <c r="M354" s="821" t="e">
        <f>N292</f>
        <v>#REF!</v>
      </c>
      <c r="N354" s="416" t="e">
        <f t="shared" si="103"/>
        <v>#REF!</v>
      </c>
      <c r="O354" s="416" t="e">
        <f t="shared" si="103"/>
        <v>#REF!</v>
      </c>
      <c r="P354" s="416" t="e">
        <f t="shared" si="103"/>
        <v>#REF!</v>
      </c>
      <c r="Q354" s="810" t="e">
        <f t="shared" si="104"/>
        <v>#REF!</v>
      </c>
      <c r="R354" s="2223" t="e">
        <f t="shared" ref="R354:R355" si="105">+H354+I354+J354</f>
        <v>#REF!</v>
      </c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</row>
    <row r="355" spans="1:29" ht="30.75" hidden="1" customHeight="1" x14ac:dyDescent="0.4">
      <c r="A355" s="657"/>
      <c r="B355" s="657"/>
      <c r="C355" s="2142"/>
      <c r="D355" s="2142"/>
      <c r="E355" s="807" t="s">
        <v>158</v>
      </c>
      <c r="F355" s="813">
        <f>F312</f>
        <v>0</v>
      </c>
      <c r="G355" s="814">
        <f>+F297</f>
        <v>0</v>
      </c>
      <c r="H355" s="810">
        <f t="shared" ref="H355:M355" si="106">H312</f>
        <v>0</v>
      </c>
      <c r="I355" s="810">
        <f t="shared" si="106"/>
        <v>0</v>
      </c>
      <c r="J355" s="810">
        <f t="shared" si="106"/>
        <v>0</v>
      </c>
      <c r="K355" s="822">
        <f t="shared" si="106"/>
        <v>0</v>
      </c>
      <c r="L355" s="823">
        <f t="shared" si="106"/>
        <v>0</v>
      </c>
      <c r="M355" s="823">
        <f t="shared" si="106"/>
        <v>0</v>
      </c>
      <c r="N355" s="416">
        <f t="shared" si="103"/>
        <v>0</v>
      </c>
      <c r="O355" s="416">
        <f t="shared" si="103"/>
        <v>0</v>
      </c>
      <c r="P355" s="416">
        <f t="shared" si="103"/>
        <v>0</v>
      </c>
      <c r="Q355" s="810">
        <f t="shared" si="104"/>
        <v>0</v>
      </c>
      <c r="R355" s="2223">
        <f t="shared" si="105"/>
        <v>0</v>
      </c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</row>
    <row r="356" spans="1:29" ht="30.75" hidden="1" customHeight="1" x14ac:dyDescent="0.4">
      <c r="A356" s="657"/>
      <c r="B356" s="657"/>
      <c r="C356" s="2142"/>
      <c r="D356" s="2142"/>
      <c r="E356" s="807">
        <v>5500</v>
      </c>
      <c r="F356" s="808">
        <f>+F345</f>
        <v>0</v>
      </c>
      <c r="G356" s="814"/>
      <c r="H356" s="810">
        <f>+H345</f>
        <v>0</v>
      </c>
      <c r="I356" s="810">
        <f t="shared" ref="I356:Q356" si="107">+I345</f>
        <v>0</v>
      </c>
      <c r="J356" s="810">
        <f t="shared" si="107"/>
        <v>0</v>
      </c>
      <c r="K356" s="824">
        <f t="shared" si="107"/>
        <v>0</v>
      </c>
      <c r="L356" s="824">
        <f t="shared" si="107"/>
        <v>0</v>
      </c>
      <c r="M356" s="824">
        <f t="shared" si="107"/>
        <v>0</v>
      </c>
      <c r="N356" s="825">
        <f t="shared" si="107"/>
        <v>0</v>
      </c>
      <c r="O356" s="825">
        <f t="shared" si="107"/>
        <v>0</v>
      </c>
      <c r="P356" s="825">
        <f t="shared" si="107"/>
        <v>0</v>
      </c>
      <c r="Q356" s="824">
        <f t="shared" si="107"/>
        <v>0</v>
      </c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</row>
    <row r="357" spans="1:29" ht="30.75" hidden="1" customHeight="1" x14ac:dyDescent="0.4">
      <c r="A357" s="657"/>
      <c r="B357" s="657"/>
      <c r="C357" s="2142"/>
      <c r="D357" s="2142"/>
      <c r="F357" s="826" t="e">
        <f>SUM(H357:J357)</f>
        <v>#REF!</v>
      </c>
      <c r="G357" s="2222" t="e">
        <f>+G350-SUM(G351:G355)</f>
        <v>#REF!</v>
      </c>
      <c r="H357" s="827" t="e">
        <f>+H350-SUM(H351:H356)</f>
        <v>#REF!</v>
      </c>
      <c r="I357" s="827" t="e">
        <f>+I350-SUM(I351:I356)</f>
        <v>#REF!</v>
      </c>
      <c r="J357" s="827" t="e">
        <f>+J350-SUM(J351:J356)</f>
        <v>#REF!</v>
      </c>
      <c r="K357" s="828" t="e">
        <f>SUM(K350:K356)</f>
        <v>#REF!</v>
      </c>
      <c r="L357" s="828" t="e">
        <f>SUM(L350:L355)</f>
        <v>#REF!</v>
      </c>
      <c r="M357" s="828" t="e">
        <f>SUM(M350:M355)</f>
        <v>#REF!</v>
      </c>
      <c r="N357" s="2232" t="e">
        <f>N350-SUM(N351:N356)</f>
        <v>#REF!</v>
      </c>
      <c r="O357" s="2232" t="e">
        <f>O350-SUM(O351:O356)</f>
        <v>#REF!</v>
      </c>
      <c r="P357" s="2232" t="e">
        <f>P350-SUM(P351:P356)</f>
        <v>#REF!</v>
      </c>
      <c r="Q357" s="829" t="e">
        <f>Q350-SUM(Q351:Q356)</f>
        <v>#REF!</v>
      </c>
      <c r="R357" s="2135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</row>
    <row r="358" spans="1:29" ht="30.75" hidden="1" customHeight="1" x14ac:dyDescent="0.35">
      <c r="A358" s="657"/>
      <c r="B358" s="657"/>
      <c r="C358" s="2142"/>
      <c r="D358" s="2142"/>
      <c r="E358" s="830" t="s">
        <v>154</v>
      </c>
      <c r="F358" s="831" t="e">
        <f>SUM(F351:F355)</f>
        <v>#REF!</v>
      </c>
      <c r="H358" s="832"/>
      <c r="I358" s="832"/>
      <c r="J358" s="833" t="e">
        <f>SUM(H357:J357)</f>
        <v>#REF!</v>
      </c>
      <c r="K358" s="834"/>
      <c r="L358" s="834"/>
      <c r="M358" s="835" t="e">
        <f>SUM(K357:M357)</f>
        <v>#REF!</v>
      </c>
      <c r="N358" s="832" t="e">
        <f>SUM(N351:N357)</f>
        <v>#REF!</v>
      </c>
      <c r="O358" s="832" t="e">
        <f>SUM(O351:O357)</f>
        <v>#REF!</v>
      </c>
      <c r="P358" s="832" t="e">
        <f>SUM(P351:P357)</f>
        <v>#REF!</v>
      </c>
      <c r="Q358" s="832" t="e">
        <f>SUM(Q351:Q357)</f>
        <v>#REF!</v>
      </c>
      <c r="R358" s="836" t="e">
        <f>+J358-M358</f>
        <v>#REF!</v>
      </c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</row>
    <row r="359" spans="1:29" ht="30.75" hidden="1" customHeight="1" x14ac:dyDescent="0.35">
      <c r="A359" s="657"/>
      <c r="B359" s="657"/>
      <c r="C359" s="2142"/>
      <c r="D359" s="2142"/>
      <c r="F359" s="831" t="e">
        <f>+F427</f>
        <v>#REF!</v>
      </c>
      <c r="G359" s="837" t="s">
        <v>241</v>
      </c>
      <c r="H359" s="832" t="e">
        <f>SUM(H354:M354)</f>
        <v>#REF!</v>
      </c>
      <c r="I359" s="832"/>
      <c r="J359" s="832"/>
      <c r="K359" s="838"/>
      <c r="L359" s="839"/>
      <c r="M359" s="840"/>
      <c r="N359" s="675"/>
      <c r="O359" s="675"/>
      <c r="P359" s="841"/>
      <c r="Q359" s="675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</row>
    <row r="360" spans="1:29" ht="30.75" hidden="1" customHeight="1" thickBot="1" x14ac:dyDescent="0.25">
      <c r="A360" s="842"/>
      <c r="B360" s="842"/>
      <c r="C360" s="2142"/>
      <c r="D360" s="2142"/>
      <c r="F360" s="831" t="e">
        <f>SUM(F358:F359)</f>
        <v>#REF!</v>
      </c>
      <c r="H360" s="843"/>
      <c r="I360" s="843"/>
      <c r="J360" s="843"/>
      <c r="K360" s="2146"/>
      <c r="L360" s="10"/>
      <c r="M360" s="834"/>
      <c r="N360" s="675"/>
      <c r="O360" s="675"/>
      <c r="P360" s="841"/>
      <c r="Q360" s="675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</row>
    <row r="361" spans="1:29" ht="27.75" customHeight="1" x14ac:dyDescent="0.2">
      <c r="A361" s="4755" t="s">
        <v>159</v>
      </c>
      <c r="B361" s="4756"/>
      <c r="C361" s="4756"/>
      <c r="D361" s="4756"/>
      <c r="E361" s="4756"/>
      <c r="F361" s="4756"/>
      <c r="G361" s="4756"/>
      <c r="H361" s="4757"/>
      <c r="I361" s="843"/>
      <c r="J361" s="843"/>
      <c r="K361" s="2146"/>
      <c r="L361" s="10"/>
      <c r="M361" s="834"/>
      <c r="N361" s="675"/>
      <c r="O361" s="675"/>
      <c r="P361" s="841"/>
      <c r="Q361" s="675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</row>
    <row r="362" spans="1:29" ht="30.75" customHeight="1" thickBot="1" x14ac:dyDescent="0.25">
      <c r="A362" s="4758"/>
      <c r="B362" s="4759"/>
      <c r="C362" s="4759"/>
      <c r="D362" s="4759"/>
      <c r="E362" s="4759"/>
      <c r="F362" s="4759"/>
      <c r="G362" s="4759"/>
      <c r="H362" s="4760"/>
      <c r="I362" s="843"/>
      <c r="J362" s="843"/>
      <c r="K362" s="2146"/>
      <c r="L362" s="10"/>
      <c r="M362" s="834"/>
      <c r="N362" s="675"/>
      <c r="O362" s="675"/>
      <c r="P362" s="841"/>
      <c r="Q362" s="675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</row>
    <row r="363" spans="1:29" ht="30.75" customHeight="1" x14ac:dyDescent="0.2">
      <c r="A363" s="3813" t="s">
        <v>160</v>
      </c>
      <c r="B363" s="3813"/>
      <c r="C363" s="3813"/>
      <c r="D363" s="3813"/>
      <c r="E363" s="3814"/>
      <c r="F363" s="3939" t="s">
        <v>151</v>
      </c>
      <c r="G363" s="3788" t="s">
        <v>101</v>
      </c>
      <c r="H363" s="3754" t="s">
        <v>161</v>
      </c>
      <c r="I363" s="4709" t="s">
        <v>162</v>
      </c>
      <c r="J363" s="843"/>
      <c r="K363" s="2146"/>
      <c r="L363" s="10"/>
      <c r="M363" s="834"/>
      <c r="N363" s="675"/>
      <c r="O363" s="675"/>
      <c r="P363" s="841"/>
      <c r="Q363" s="675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</row>
    <row r="364" spans="1:29" ht="52.5" customHeight="1" thickBot="1" x14ac:dyDescent="0.25">
      <c r="A364" s="3813"/>
      <c r="B364" s="3815"/>
      <c r="C364" s="3815"/>
      <c r="D364" s="3815"/>
      <c r="E364" s="3816"/>
      <c r="F364" s="3940"/>
      <c r="G364" s="3789"/>
      <c r="H364" s="3755"/>
      <c r="I364" s="4709"/>
      <c r="J364" s="843"/>
      <c r="K364" s="2146"/>
      <c r="L364" s="10"/>
      <c r="M364" s="834"/>
      <c r="N364" s="675"/>
      <c r="O364" s="675"/>
      <c r="P364" s="841"/>
      <c r="Q364" s="675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</row>
    <row r="365" spans="1:29" ht="93.75" customHeight="1" thickBot="1" x14ac:dyDescent="0.4">
      <c r="A365" s="4033" t="s">
        <v>163</v>
      </c>
      <c r="B365" s="4710" t="s">
        <v>41</v>
      </c>
      <c r="C365" s="4688" t="s">
        <v>164</v>
      </c>
      <c r="D365" s="3737"/>
      <c r="E365" s="3738"/>
      <c r="F365" s="2610">
        <f>+'Compra -HOJA1'!F84</f>
        <v>0</v>
      </c>
      <c r="G365" s="2610">
        <f>+'Compra -HOJA1'!G84</f>
        <v>0</v>
      </c>
      <c r="H365" s="2648" t="str">
        <f>+IF(G365=0,"S.D.",IF((F365/G365)&lt;151,"O.K.","VERIFICAR"))</f>
        <v>S.D.</v>
      </c>
      <c r="I365" s="2649" t="str">
        <f t="shared" ref="I365:I426" si="108">+IF(AND(F365&gt;0,G365=0),"FALTA CANT USUARIOS",IF(AND(G365&gt;0,F365=0),"FALTAN KWH FACT"," "))</f>
        <v xml:space="preserve"> </v>
      </c>
      <c r="J365" s="843"/>
      <c r="K365" s="2146"/>
      <c r="L365" s="10"/>
      <c r="M365" s="834"/>
      <c r="N365" s="675"/>
      <c r="O365" s="675"/>
      <c r="P365" s="841"/>
      <c r="Q365" s="675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</row>
    <row r="366" spans="1:29" ht="93.75" customHeight="1" thickBot="1" x14ac:dyDescent="0.4">
      <c r="A366" s="4034"/>
      <c r="B366" s="4711"/>
      <c r="C366" s="3790" t="s">
        <v>573</v>
      </c>
      <c r="D366" s="3790"/>
      <c r="E366" s="3790"/>
      <c r="F366" s="2610">
        <f>+'Compra -HOJA1'!F85</f>
        <v>0</v>
      </c>
      <c r="G366" s="2610">
        <f>+'Compra -HOJA1'!G85</f>
        <v>0</v>
      </c>
      <c r="H366" s="1971" t="str">
        <f t="shared" ref="H366:H368" si="109">+IF(G366=0,"S.D.",IF((F366/G366)&lt;151,"O.K.","VERIFICAR"))</f>
        <v>S.D.</v>
      </c>
      <c r="I366" s="2650" t="str">
        <f t="shared" si="108"/>
        <v xml:space="preserve"> </v>
      </c>
      <c r="J366" s="843"/>
      <c r="K366" s="2146"/>
      <c r="L366" s="10"/>
      <c r="M366" s="834"/>
      <c r="N366" s="675"/>
      <c r="O366" s="675"/>
      <c r="P366" s="841"/>
      <c r="Q366" s="675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</row>
    <row r="367" spans="1:29" ht="93.75" customHeight="1" thickBot="1" x14ac:dyDescent="0.4">
      <c r="A367" s="4034"/>
      <c r="B367" s="4711"/>
      <c r="C367" s="4681" t="s">
        <v>574</v>
      </c>
      <c r="D367" s="4681"/>
      <c r="E367" s="4681"/>
      <c r="F367" s="2610" t="e">
        <f>+'Compra -HOJA1'!#REF!</f>
        <v>#REF!</v>
      </c>
      <c r="G367" s="2610" t="e">
        <f>+'Compra -HOJA1'!#REF!</f>
        <v>#REF!</v>
      </c>
      <c r="H367" s="1971" t="e">
        <f t="shared" si="109"/>
        <v>#REF!</v>
      </c>
      <c r="I367" s="2650" t="e">
        <f t="shared" si="108"/>
        <v>#REF!</v>
      </c>
      <c r="J367" s="843"/>
      <c r="K367" s="2146"/>
      <c r="L367" s="10"/>
      <c r="M367" s="834"/>
      <c r="N367" s="675"/>
      <c r="O367" s="675"/>
      <c r="P367" s="841"/>
      <c r="Q367" s="675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</row>
    <row r="368" spans="1:29" ht="93.75" customHeight="1" thickBot="1" x14ac:dyDescent="0.4">
      <c r="A368" s="4034"/>
      <c r="B368" s="4711"/>
      <c r="C368" s="4434" t="s">
        <v>575</v>
      </c>
      <c r="D368" s="4713"/>
      <c r="E368" s="4714"/>
      <c r="F368" s="2610">
        <f>+'Compra -HOJA1'!F86</f>
        <v>0</v>
      </c>
      <c r="G368" s="2610">
        <f>+'Compra -HOJA1'!G86</f>
        <v>0</v>
      </c>
      <c r="H368" s="1971" t="str">
        <f t="shared" si="109"/>
        <v>S.D.</v>
      </c>
      <c r="I368" s="2650" t="str">
        <f t="shared" si="108"/>
        <v xml:space="preserve"> </v>
      </c>
      <c r="J368" s="843"/>
      <c r="K368" s="2146"/>
      <c r="L368" s="10"/>
      <c r="M368" s="834"/>
      <c r="N368" s="675"/>
      <c r="O368" s="675"/>
      <c r="P368" s="841"/>
      <c r="Q368" s="675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</row>
    <row r="369" spans="1:29" ht="93.75" customHeight="1" thickBot="1" x14ac:dyDescent="0.4">
      <c r="A369" s="4034"/>
      <c r="B369" s="4711"/>
      <c r="C369" s="4715" t="s">
        <v>167</v>
      </c>
      <c r="D369" s="3921" t="s">
        <v>576</v>
      </c>
      <c r="E369" s="3922"/>
      <c r="F369" s="2610">
        <f>+'Compra -HOJA1'!F87</f>
        <v>0</v>
      </c>
      <c r="G369" s="2610">
        <f>+'Compra -HOJA1'!G87</f>
        <v>0</v>
      </c>
      <c r="H369" s="1972" t="str">
        <f>+IF(G369=0,"S.D.",IF((F369/G369)&lt;=120,"O.K.","VERIFICAR"))</f>
        <v>S.D.</v>
      </c>
      <c r="I369" s="2650" t="str">
        <f t="shared" si="108"/>
        <v xml:space="preserve"> </v>
      </c>
      <c r="J369" s="843"/>
      <c r="K369" s="2146"/>
      <c r="L369" s="10"/>
      <c r="M369" s="834"/>
      <c r="N369" s="675"/>
      <c r="O369" s="675"/>
      <c r="P369" s="841"/>
      <c r="Q369" s="675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</row>
    <row r="370" spans="1:29" ht="93.75" customHeight="1" thickBot="1" x14ac:dyDescent="0.4">
      <c r="A370" s="4034"/>
      <c r="B370" s="4711"/>
      <c r="C370" s="3979"/>
      <c r="D370" s="3921" t="s">
        <v>577</v>
      </c>
      <c r="E370" s="3922"/>
      <c r="F370" s="2610">
        <f>+'Compra -HOJA1'!F88</f>
        <v>0</v>
      </c>
      <c r="G370" s="2610">
        <f>+'Compra -HOJA1'!G88</f>
        <v>0</v>
      </c>
      <c r="H370" s="1972" t="str">
        <f>+IF(G370=0,"S.D.",IF(AND((F370/G370)&gt;120,(F370/G370)&lt;=150),"O.K.","VERIFICAR"))</f>
        <v>S.D.</v>
      </c>
      <c r="I370" s="2650" t="str">
        <f t="shared" si="108"/>
        <v xml:space="preserve"> </v>
      </c>
      <c r="J370" s="843"/>
      <c r="K370" s="2146"/>
      <c r="L370" s="10"/>
      <c r="M370" s="834"/>
      <c r="N370" s="675"/>
      <c r="O370" s="675"/>
      <c r="P370" s="841"/>
      <c r="Q370" s="675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</row>
    <row r="371" spans="1:29" ht="93.75" customHeight="1" thickBot="1" x14ac:dyDescent="0.4">
      <c r="A371" s="4034"/>
      <c r="B371" s="4711"/>
      <c r="C371" s="3979"/>
      <c r="D371" s="3693" t="s">
        <v>578</v>
      </c>
      <c r="E371" s="3681"/>
      <c r="F371" s="2610">
        <f>+'Compra -HOJA1'!F89</f>
        <v>0</v>
      </c>
      <c r="G371" s="2610">
        <f>+'Compra -HOJA1'!G89</f>
        <v>0</v>
      </c>
      <c r="H371" s="1972" t="str">
        <f>+IF(G371=0,"S.D.",IF((F371/G371)&lt;=120,"O.K.","VERIFICAR"))</f>
        <v>S.D.</v>
      </c>
      <c r="I371" s="2650" t="str">
        <f t="shared" si="108"/>
        <v xml:space="preserve"> </v>
      </c>
      <c r="J371" s="843"/>
      <c r="K371" s="2146"/>
      <c r="L371" s="10"/>
      <c r="M371" s="834"/>
      <c r="N371" s="675"/>
      <c r="O371" s="675"/>
      <c r="P371" s="841"/>
      <c r="Q371" s="675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</row>
    <row r="372" spans="1:29" ht="93.75" customHeight="1" thickBot="1" x14ac:dyDescent="0.4">
      <c r="A372" s="4034"/>
      <c r="B372" s="4711"/>
      <c r="C372" s="4716"/>
      <c r="D372" s="3693" t="s">
        <v>579</v>
      </c>
      <c r="E372" s="3681"/>
      <c r="F372" s="2610">
        <f>+'Compra -HOJA1'!F90</f>
        <v>0</v>
      </c>
      <c r="G372" s="2610">
        <f>+'Compra -HOJA1'!G90</f>
        <v>0</v>
      </c>
      <c r="H372" s="1972" t="str">
        <f>+IF(G372=0,"S.D.",IF(AND((F372/G372)&gt;120,(F372/G372)&lt;=150),"O.K.","VERIFICAR"))</f>
        <v>S.D.</v>
      </c>
      <c r="I372" s="2650" t="str">
        <f t="shared" si="108"/>
        <v xml:space="preserve"> </v>
      </c>
      <c r="J372" s="843"/>
      <c r="K372" s="2146"/>
      <c r="L372" s="10"/>
      <c r="M372" s="834"/>
      <c r="N372" s="675"/>
      <c r="O372" s="675"/>
      <c r="P372" s="841"/>
      <c r="Q372" s="675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</row>
    <row r="373" spans="1:29" ht="93.75" customHeight="1" thickBot="1" x14ac:dyDescent="0.4">
      <c r="A373" s="4034"/>
      <c r="B373" s="4712"/>
      <c r="C373" s="4694" t="s">
        <v>580</v>
      </c>
      <c r="D373" s="4695"/>
      <c r="E373" s="4696"/>
      <c r="F373" s="2610" t="e">
        <f>+'Compra -HOJA1'!#REF!</f>
        <v>#REF!</v>
      </c>
      <c r="G373" s="2610" t="e">
        <f>+'Compra -HOJA1'!#REF!</f>
        <v>#REF!</v>
      </c>
      <c r="H373" s="2651" t="e">
        <f>+IF(G373=0,"S.D.",IF((F373/G373)&lt;151,"O.K.","VERIFICAR"))</f>
        <v>#REF!</v>
      </c>
      <c r="I373" s="2652" t="e">
        <f t="shared" si="108"/>
        <v>#REF!</v>
      </c>
      <c r="J373" s="843"/>
      <c r="K373" s="2146"/>
      <c r="L373" s="10"/>
      <c r="M373" s="834"/>
      <c r="N373" s="675"/>
      <c r="O373" s="675"/>
      <c r="P373" s="841"/>
      <c r="Q373" s="675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</row>
    <row r="374" spans="1:29" ht="93.75" customHeight="1" thickBot="1" x14ac:dyDescent="0.4">
      <c r="A374" s="4034"/>
      <c r="B374" s="4697" t="s">
        <v>52</v>
      </c>
      <c r="C374" s="4688" t="s">
        <v>164</v>
      </c>
      <c r="D374" s="3737"/>
      <c r="E374" s="3738"/>
      <c r="F374" s="2610">
        <f>+'Compra -HOJA1'!F99</f>
        <v>0</v>
      </c>
      <c r="G374" s="2610">
        <f>+'Compra -HOJA1'!G99</f>
        <v>0</v>
      </c>
      <c r="H374" s="2648" t="str">
        <f>+IF(G374=0,"S.D.",IF(AND((F374/G374)&gt;150,(F374/G374)&lt;=500),"O.K.","VERIFICAR"))</f>
        <v>S.D.</v>
      </c>
      <c r="I374" s="2649" t="str">
        <f t="shared" si="108"/>
        <v xml:space="preserve"> </v>
      </c>
      <c r="J374" s="843"/>
      <c r="K374" s="2146"/>
      <c r="L374" s="10"/>
      <c r="M374" s="834"/>
      <c r="N374" s="675"/>
      <c r="O374" s="675"/>
      <c r="P374" s="841"/>
      <c r="Q374" s="675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</row>
    <row r="375" spans="1:29" ht="93.75" customHeight="1" thickBot="1" x14ac:dyDescent="0.5">
      <c r="A375" s="4034"/>
      <c r="B375" s="4698"/>
      <c r="C375" s="3791" t="s">
        <v>170</v>
      </c>
      <c r="D375" s="3790"/>
      <c r="E375" s="4722"/>
      <c r="F375" s="2610">
        <f>+'Compra -HOJA1'!F100</f>
        <v>0</v>
      </c>
      <c r="G375" s="2610">
        <f>+'Compra -HOJA1'!G100</f>
        <v>0</v>
      </c>
      <c r="H375" s="2597" t="str">
        <f>+IF(G375=0,"S.D.",IF(AND((F375/G375)&gt;150,(F375/G375)&lt;=350),"O.K.","VERIFICAR"))</f>
        <v>S.D.</v>
      </c>
      <c r="I375" s="2650" t="str">
        <f t="shared" si="108"/>
        <v xml:space="preserve"> </v>
      </c>
      <c r="J375" s="843"/>
      <c r="K375" s="2146"/>
      <c r="L375" s="10"/>
      <c r="M375" s="834"/>
      <c r="N375" s="675"/>
      <c r="O375" s="675"/>
      <c r="P375" s="841"/>
      <c r="Q375" s="675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</row>
    <row r="376" spans="1:29" ht="93.75" customHeight="1" thickBot="1" x14ac:dyDescent="0.4">
      <c r="A376" s="4034"/>
      <c r="B376" s="4698"/>
      <c r="C376" s="3931" t="s">
        <v>171</v>
      </c>
      <c r="D376" s="3932"/>
      <c r="E376" s="4708"/>
      <c r="F376" s="2610">
        <f>+'Compra -HOJA1'!F101</f>
        <v>0</v>
      </c>
      <c r="G376" s="2610">
        <f>+'Compra -HOJA1'!G101</f>
        <v>0</v>
      </c>
      <c r="H376" s="1971" t="str">
        <f>+IF(G376=0,"S.D.",IF(AND((F376/G376)&gt;150,(F376/G376)&lt;=500),"O.K.","VERIFICAR"))</f>
        <v>S.D.</v>
      </c>
      <c r="I376" s="2650" t="str">
        <f t="shared" si="108"/>
        <v xml:space="preserve"> </v>
      </c>
      <c r="J376" s="843"/>
      <c r="K376" s="2146"/>
      <c r="L376" s="10"/>
      <c r="M376" s="834"/>
      <c r="N376" s="675"/>
      <c r="O376" s="675"/>
      <c r="P376" s="841"/>
      <c r="Q376" s="675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</row>
    <row r="377" spans="1:29" ht="93.75" customHeight="1" thickBot="1" x14ac:dyDescent="0.4">
      <c r="A377" s="4034"/>
      <c r="B377" s="4698"/>
      <c r="C377" s="4678" t="s">
        <v>581</v>
      </c>
      <c r="D377" s="4679"/>
      <c r="E377" s="4680"/>
      <c r="F377" s="2610" t="e">
        <f>+'Compra -HOJA1'!#REF!</f>
        <v>#REF!</v>
      </c>
      <c r="G377" s="2610" t="e">
        <f>+'Compra -HOJA1'!#REF!</f>
        <v>#REF!</v>
      </c>
      <c r="H377" s="1971" t="e">
        <f>+IF(G377=0,"S.D.",IF(AND((F377/G377)&gt;150,(F377/G377)&lt;=500),"O.K.","VERIFICAR"))</f>
        <v>#REF!</v>
      </c>
      <c r="I377" s="2650" t="e">
        <f t="shared" si="108"/>
        <v>#REF!</v>
      </c>
      <c r="J377" s="843"/>
      <c r="K377" s="2146"/>
      <c r="L377" s="10"/>
      <c r="M377" s="834"/>
      <c r="N377" s="675"/>
      <c r="O377" s="675"/>
      <c r="P377" s="841"/>
      <c r="Q377" s="675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</row>
    <row r="378" spans="1:29" ht="93.75" customHeight="1" thickBot="1" x14ac:dyDescent="0.4">
      <c r="A378" s="4034"/>
      <c r="B378" s="4698"/>
      <c r="C378" s="4681" t="s">
        <v>574</v>
      </c>
      <c r="D378" s="4681"/>
      <c r="E378" s="4681"/>
      <c r="F378" s="2610" t="e">
        <f>+'Compra -HOJA1'!#REF!</f>
        <v>#REF!</v>
      </c>
      <c r="G378" s="2610" t="e">
        <f>+'Compra -HOJA1'!#REF!</f>
        <v>#REF!</v>
      </c>
      <c r="H378" s="1971" t="e">
        <f t="shared" ref="H378" si="110">+IF(G378=0,"S.D.",IF(AND((F378/G378)&gt;150,(F378/G378)&lt;=500),"O.K.","VERIFICAR"))</f>
        <v>#REF!</v>
      </c>
      <c r="I378" s="2650" t="e">
        <f t="shared" si="108"/>
        <v>#REF!</v>
      </c>
      <c r="J378" s="843"/>
      <c r="K378" s="2146"/>
      <c r="L378" s="10"/>
      <c r="M378" s="834"/>
      <c r="N378" s="675"/>
      <c r="O378" s="675"/>
      <c r="P378" s="841"/>
      <c r="Q378" s="675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</row>
    <row r="379" spans="1:29" ht="93.75" customHeight="1" thickBot="1" x14ac:dyDescent="0.4">
      <c r="A379" s="4034"/>
      <c r="B379" s="4698"/>
      <c r="C379" s="3800" t="s">
        <v>172</v>
      </c>
      <c r="D379" s="3800"/>
      <c r="E379" s="3800"/>
      <c r="F379" s="2610">
        <f>+'Compra -HOJA1'!F103</f>
        <v>0</v>
      </c>
      <c r="G379" s="2610">
        <f>+'Compra -HOJA1'!G103</f>
        <v>0</v>
      </c>
      <c r="H379" s="1971" t="str">
        <f>+IF(G379=0,"S.D.",IF(AND((F379/G379)&gt;150,(F379/G379)&lt;=250),"O.K.","VERIFICAR"))</f>
        <v>S.D.</v>
      </c>
      <c r="I379" s="2650" t="str">
        <f t="shared" si="108"/>
        <v xml:space="preserve"> </v>
      </c>
      <c r="J379" s="843"/>
      <c r="K379" s="2146"/>
      <c r="L379" s="10"/>
      <c r="M379" s="834"/>
      <c r="N379" s="675"/>
      <c r="O379" s="675"/>
      <c r="P379" s="841"/>
      <c r="Q379" s="675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</row>
    <row r="380" spans="1:29" ht="93.75" customHeight="1" thickBot="1" x14ac:dyDescent="0.4">
      <c r="A380" s="4034"/>
      <c r="B380" s="4698"/>
      <c r="C380" s="3800" t="s">
        <v>173</v>
      </c>
      <c r="D380" s="3800"/>
      <c r="E380" s="3800"/>
      <c r="F380" s="2610">
        <f>+'Compra -HOJA1'!F104</f>
        <v>0</v>
      </c>
      <c r="G380" s="2610">
        <f>+'Compra -HOJA1'!G104</f>
        <v>0</v>
      </c>
      <c r="H380" s="1971" t="str">
        <f>+IF(G380=0,"S.D.",IF(AND((F380/G380)&gt;150,(F380/G380)&lt;=500),"O.K.","VERIFICAR"))</f>
        <v>S.D.</v>
      </c>
      <c r="I380" s="2650" t="str">
        <f t="shared" si="108"/>
        <v xml:space="preserve"> </v>
      </c>
      <c r="J380" s="843"/>
      <c r="K380" s="2146"/>
      <c r="L380" s="10"/>
      <c r="M380" s="834"/>
      <c r="N380" s="675"/>
      <c r="O380" s="675"/>
      <c r="P380" s="841"/>
      <c r="Q380" s="675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</row>
    <row r="381" spans="1:29" ht="93.75" customHeight="1" thickBot="1" x14ac:dyDescent="0.4">
      <c r="A381" s="4034"/>
      <c r="B381" s="4698"/>
      <c r="C381" s="4692" t="s">
        <v>582</v>
      </c>
      <c r="D381" s="4692"/>
      <c r="E381" s="4692"/>
      <c r="F381" s="2610" t="e">
        <f>+'Compra -HOJA1'!#REF!</f>
        <v>#REF!</v>
      </c>
      <c r="G381" s="2610" t="e">
        <f>+'Compra -HOJA1'!#REF!</f>
        <v>#REF!</v>
      </c>
      <c r="H381" s="1971" t="e">
        <f>+IF(G381=0,"S.D.",IF(AND((F381/G381)&gt;150,(F381/G381)&lt;=500),"O.K.","VERIFICAR"))</f>
        <v>#REF!</v>
      </c>
      <c r="I381" s="2650" t="e">
        <f t="shared" si="108"/>
        <v>#REF!</v>
      </c>
      <c r="J381" s="843"/>
      <c r="K381" s="2146"/>
      <c r="L381" s="10"/>
      <c r="M381" s="834"/>
      <c r="N381" s="675"/>
      <c r="O381" s="675"/>
      <c r="P381" s="841"/>
      <c r="Q381" s="675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</row>
    <row r="382" spans="1:29" ht="93.75" customHeight="1" thickBot="1" x14ac:dyDescent="0.4">
      <c r="A382" s="4034"/>
      <c r="B382" s="4698"/>
      <c r="C382" s="4687" t="s">
        <v>167</v>
      </c>
      <c r="D382" s="3692" t="s">
        <v>583</v>
      </c>
      <c r="E382" s="3679"/>
      <c r="F382" s="2610">
        <f>+'Compra -HOJA1'!F106</f>
        <v>0</v>
      </c>
      <c r="G382" s="2610">
        <f>+'Compra -HOJA1'!G106</f>
        <v>0</v>
      </c>
      <c r="H382" s="1972" t="str">
        <f>+IF(G382=0,"S.D.",IF(AND((F382/G382)&gt;150,(F382/G382)&lt;=300),"O.K.","VERIFICAR"))</f>
        <v>S.D.</v>
      </c>
      <c r="I382" s="2650" t="str">
        <f t="shared" si="108"/>
        <v xml:space="preserve"> </v>
      </c>
      <c r="J382" s="843"/>
      <c r="K382" s="2146"/>
      <c r="L382" s="10"/>
      <c r="M382" s="834"/>
      <c r="N382" s="675"/>
      <c r="O382" s="675"/>
      <c r="P382" s="841"/>
      <c r="Q382" s="675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</row>
    <row r="383" spans="1:29" ht="93.75" customHeight="1" thickBot="1" x14ac:dyDescent="0.4">
      <c r="A383" s="4034"/>
      <c r="B383" s="4698"/>
      <c r="C383" s="3661"/>
      <c r="D383" s="3692" t="s">
        <v>584</v>
      </c>
      <c r="E383" s="3679"/>
      <c r="F383" s="2610">
        <f>+'Compra -HOJA1'!F107</f>
        <v>0</v>
      </c>
      <c r="G383" s="2610">
        <f>+'Compra -HOJA1'!G107</f>
        <v>0</v>
      </c>
      <c r="H383" s="1972" t="str">
        <f>+IF(G383=0,"S.D.",IF(AND((F383/G383)&gt;300,(F383/G383)&lt;=500),"O.K.","VERIFICAR"))</f>
        <v>S.D.</v>
      </c>
      <c r="I383" s="2650" t="str">
        <f t="shared" si="108"/>
        <v xml:space="preserve"> </v>
      </c>
      <c r="J383" s="843"/>
      <c r="K383" s="2146"/>
      <c r="L383" s="10"/>
      <c r="M383" s="834"/>
      <c r="N383" s="675"/>
      <c r="O383" s="675"/>
      <c r="P383" s="841"/>
      <c r="Q383" s="675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</row>
    <row r="384" spans="1:29" ht="93.75" customHeight="1" thickBot="1" x14ac:dyDescent="0.4">
      <c r="A384" s="4034"/>
      <c r="B384" s="4698"/>
      <c r="C384" s="3661"/>
      <c r="D384" s="4685" t="s">
        <v>585</v>
      </c>
      <c r="E384" s="4686"/>
      <c r="F384" s="2610" t="e">
        <f>+'Compra -HOJA1'!#REF!</f>
        <v>#REF!</v>
      </c>
      <c r="G384" s="2610" t="e">
        <f>+'Compra -HOJA1'!#REF!</f>
        <v>#REF!</v>
      </c>
      <c r="H384" s="1972" t="e">
        <f>+IF(G384=0,"S.D.",IF(AND((F384/G384)&gt;300,(F384/G384)&lt;=500),"O.K.","VERIFICAR"))</f>
        <v>#REF!</v>
      </c>
      <c r="I384" s="2650" t="e">
        <f t="shared" si="108"/>
        <v>#REF!</v>
      </c>
      <c r="J384" s="843"/>
      <c r="K384" s="2146"/>
      <c r="L384" s="10"/>
      <c r="M384" s="834"/>
      <c r="N384" s="675"/>
      <c r="O384" s="675"/>
      <c r="P384" s="841"/>
      <c r="Q384" s="675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</row>
    <row r="385" spans="1:29" ht="93.75" customHeight="1" thickBot="1" x14ac:dyDescent="0.4">
      <c r="A385" s="4034"/>
      <c r="B385" s="4698"/>
      <c r="C385" s="3661"/>
      <c r="D385" s="3693" t="s">
        <v>586</v>
      </c>
      <c r="E385" s="3681"/>
      <c r="F385" s="2610">
        <f>+'Compra -HOJA1'!F110</f>
        <v>0</v>
      </c>
      <c r="G385" s="2610">
        <f>+'Compra -HOJA1'!G110</f>
        <v>0</v>
      </c>
      <c r="H385" s="1972" t="str">
        <f>+IF(G385=0,"S.D.",IF(AND((F385/G385)&gt;150,(F385/G385)&lt;=300),"O.K.","VERIFICAR"))</f>
        <v>S.D.</v>
      </c>
      <c r="I385" s="2650" t="str">
        <f t="shared" si="108"/>
        <v xml:space="preserve"> </v>
      </c>
      <c r="J385" s="843"/>
      <c r="K385" s="2146"/>
      <c r="L385" s="10"/>
      <c r="M385" s="834"/>
      <c r="N385" s="675"/>
      <c r="O385" s="675"/>
      <c r="P385" s="841"/>
      <c r="Q385" s="675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</row>
    <row r="386" spans="1:29" ht="93.75" customHeight="1" thickBot="1" x14ac:dyDescent="0.4">
      <c r="A386" s="4034"/>
      <c r="B386" s="4698"/>
      <c r="C386" s="3661"/>
      <c r="D386" s="3693" t="s">
        <v>56</v>
      </c>
      <c r="E386" s="3681"/>
      <c r="F386" s="2610">
        <f>+'Compra -HOJA1'!F111</f>
        <v>0</v>
      </c>
      <c r="G386" s="2610">
        <f>+'Compra -HOJA1'!G111</f>
        <v>0</v>
      </c>
      <c r="H386" s="1972" t="str">
        <f>+IF(G386=0,"S.D.",IF(AND((F386/G386)&gt;300,(F386/G386)&lt;=5000),"O.K.","VERIFICAR"))</f>
        <v>S.D.</v>
      </c>
      <c r="I386" s="2650" t="str">
        <f t="shared" si="108"/>
        <v xml:space="preserve"> </v>
      </c>
      <c r="J386" s="843"/>
      <c r="K386" s="2146"/>
      <c r="L386" s="10"/>
      <c r="M386" s="834"/>
      <c r="N386" s="675"/>
      <c r="O386" s="675"/>
      <c r="P386" s="841"/>
      <c r="Q386" s="675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</row>
    <row r="387" spans="1:29" ht="93.75" customHeight="1" thickBot="1" x14ac:dyDescent="0.4">
      <c r="A387" s="4034"/>
      <c r="B387" s="4698"/>
      <c r="C387" s="3661"/>
      <c r="D387" s="4691" t="s">
        <v>587</v>
      </c>
      <c r="E387" s="4693"/>
      <c r="F387" s="2610" t="e">
        <f>+'Compra -HOJA1'!#REF!</f>
        <v>#REF!</v>
      </c>
      <c r="G387" s="2610" t="e">
        <f>+'Compra -HOJA1'!#REF!</f>
        <v>#REF!</v>
      </c>
      <c r="H387" s="1972" t="e">
        <f>+IF(G387=0,"S.D.",IF(AND((F387/G387)&gt;300,(F387/G387)&lt;=500),"O.K.","VERIFICAR"))</f>
        <v>#REF!</v>
      </c>
      <c r="I387" s="2650" t="e">
        <f t="shared" si="108"/>
        <v>#REF!</v>
      </c>
      <c r="J387" s="843"/>
      <c r="K387" s="2146"/>
      <c r="L387" s="10"/>
      <c r="M387" s="834"/>
      <c r="N387" s="675"/>
      <c r="O387" s="675"/>
      <c r="P387" s="841"/>
      <c r="Q387" s="675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</row>
    <row r="388" spans="1:29" ht="93.75" customHeight="1" thickBot="1" x14ac:dyDescent="0.4">
      <c r="A388" s="4034"/>
      <c r="B388" s="4699"/>
      <c r="C388" s="4694" t="s">
        <v>580</v>
      </c>
      <c r="D388" s="4695"/>
      <c r="E388" s="4696"/>
      <c r="F388" s="2610" t="e">
        <f>+'Compra -HOJA1'!#REF!</f>
        <v>#REF!</v>
      </c>
      <c r="G388" s="2610" t="e">
        <f>+'Compra -HOJA1'!#REF!</f>
        <v>#REF!</v>
      </c>
      <c r="H388" s="2651" t="e">
        <f>+IF(G388=0,"S.D.",IF(AND((F388/G388)&gt;150,(F388/G388)&lt;=500),"O.K.","VERIFICAR"))</f>
        <v>#REF!</v>
      </c>
      <c r="I388" s="2652" t="e">
        <f t="shared" si="108"/>
        <v>#REF!</v>
      </c>
      <c r="J388" s="843"/>
      <c r="K388" s="2146"/>
      <c r="L388" s="10"/>
      <c r="M388" s="834"/>
      <c r="N388" s="675"/>
      <c r="O388" s="675"/>
      <c r="P388" s="841"/>
      <c r="Q388" s="675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</row>
    <row r="389" spans="1:29" ht="93.75" customHeight="1" thickBot="1" x14ac:dyDescent="0.4">
      <c r="A389" s="4034"/>
      <c r="B389" s="4700" t="s">
        <v>57</v>
      </c>
      <c r="C389" s="4688" t="s">
        <v>164</v>
      </c>
      <c r="D389" s="3737"/>
      <c r="E389" s="3738"/>
      <c r="F389" s="2610">
        <f>+'Compra -HOJA1'!F128</f>
        <v>0</v>
      </c>
      <c r="G389" s="2610">
        <f>+'Compra -HOJA1'!G128</f>
        <v>0</v>
      </c>
      <c r="H389" s="2648" t="str">
        <f>IF(G389=0,"S.D.",+IF(AND((F389/G389)&gt;500,(F389/G389)&lt;=700),"O.K.","VERIFICAR"))</f>
        <v>S.D.</v>
      </c>
      <c r="I389" s="2649" t="str">
        <f t="shared" si="108"/>
        <v xml:space="preserve"> </v>
      </c>
      <c r="J389" s="843"/>
      <c r="K389" s="2146"/>
      <c r="L389" s="10"/>
      <c r="M389" s="834"/>
      <c r="N389" s="675"/>
      <c r="O389" s="675"/>
      <c r="P389" s="841"/>
      <c r="Q389" s="675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</row>
    <row r="390" spans="1:29" ht="93.75" customHeight="1" thickBot="1" x14ac:dyDescent="0.4">
      <c r="A390" s="4034"/>
      <c r="B390" s="4701"/>
      <c r="C390" s="3790" t="s">
        <v>179</v>
      </c>
      <c r="D390" s="3790"/>
      <c r="E390" s="3790"/>
      <c r="F390" s="2610">
        <f>+'Compra -HOJA1'!F129</f>
        <v>0</v>
      </c>
      <c r="G390" s="2610">
        <f>+'Compra -HOJA1'!G129</f>
        <v>0</v>
      </c>
      <c r="H390" s="1971" t="str">
        <f t="shared" ref="H390:H394" si="111">IF(G390=0,"S.D.",+IF(AND((F390/G390)&gt;500,(F390/G390)&lt;=700),"O.K.","VERIFICAR"))</f>
        <v>S.D.</v>
      </c>
      <c r="I390" s="2650" t="str">
        <f t="shared" si="108"/>
        <v xml:space="preserve"> </v>
      </c>
      <c r="J390" s="843"/>
      <c r="K390" s="2146"/>
      <c r="L390" s="10"/>
      <c r="M390" s="834"/>
      <c r="N390" s="675"/>
      <c r="O390" s="675"/>
      <c r="P390" s="841"/>
      <c r="Q390" s="675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</row>
    <row r="391" spans="1:29" ht="93.75" customHeight="1" thickBot="1" x14ac:dyDescent="0.4">
      <c r="A391" s="4034"/>
      <c r="B391" s="4701"/>
      <c r="C391" s="4678" t="s">
        <v>588</v>
      </c>
      <c r="D391" s="4679"/>
      <c r="E391" s="4680"/>
      <c r="F391" s="2610" t="e">
        <f>+'Compra -HOJA1'!#REF!</f>
        <v>#REF!</v>
      </c>
      <c r="G391" s="2610" t="e">
        <f>+'Compra -HOJA1'!#REF!</f>
        <v>#REF!</v>
      </c>
      <c r="H391" s="1971" t="e">
        <f t="shared" si="111"/>
        <v>#REF!</v>
      </c>
      <c r="I391" s="2650" t="e">
        <f t="shared" si="108"/>
        <v>#REF!</v>
      </c>
      <c r="J391" s="843"/>
      <c r="K391" s="2146"/>
      <c r="L391" s="10"/>
      <c r="M391" s="834"/>
      <c r="N391" s="675"/>
      <c r="O391" s="675"/>
      <c r="P391" s="841"/>
      <c r="Q391" s="675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</row>
    <row r="392" spans="1:29" ht="93.75" customHeight="1" thickBot="1" x14ac:dyDescent="0.4">
      <c r="A392" s="4034"/>
      <c r="B392" s="4701"/>
      <c r="C392" s="4681" t="s">
        <v>574</v>
      </c>
      <c r="D392" s="4681"/>
      <c r="E392" s="4681"/>
      <c r="F392" s="2610" t="e">
        <f>+'Compra -HOJA1'!#REF!</f>
        <v>#REF!</v>
      </c>
      <c r="G392" s="2610" t="e">
        <f>+'Compra -HOJA1'!#REF!</f>
        <v>#REF!</v>
      </c>
      <c r="H392" s="1971" t="e">
        <f t="shared" si="111"/>
        <v>#REF!</v>
      </c>
      <c r="I392" s="2650" t="e">
        <f t="shared" si="108"/>
        <v>#REF!</v>
      </c>
      <c r="J392" s="843"/>
      <c r="K392" s="2146"/>
      <c r="L392" s="10"/>
      <c r="M392" s="834"/>
      <c r="N392" s="675"/>
      <c r="O392" s="675"/>
      <c r="P392" s="841"/>
      <c r="Q392" s="675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</row>
    <row r="393" spans="1:29" ht="93.75" customHeight="1" thickBot="1" x14ac:dyDescent="0.4">
      <c r="A393" s="4034"/>
      <c r="B393" s="4701"/>
      <c r="C393" s="3968" t="s">
        <v>180</v>
      </c>
      <c r="D393" s="3919"/>
      <c r="E393" s="3920"/>
      <c r="F393" s="2610">
        <f>+'Compra -HOJA1'!F131</f>
        <v>0</v>
      </c>
      <c r="G393" s="2610">
        <f>+'Compra -HOJA1'!G131</f>
        <v>0</v>
      </c>
      <c r="H393" s="1971" t="str">
        <f t="shared" si="111"/>
        <v>S.D.</v>
      </c>
      <c r="I393" s="2650" t="str">
        <f t="shared" si="108"/>
        <v xml:space="preserve"> </v>
      </c>
      <c r="J393" s="843"/>
      <c r="K393" s="2146"/>
      <c r="L393" s="10"/>
      <c r="M393" s="834"/>
      <c r="N393" s="675"/>
      <c r="O393" s="675"/>
      <c r="P393" s="841"/>
      <c r="Q393" s="675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</row>
    <row r="394" spans="1:29" ht="93.75" customHeight="1" thickBot="1" x14ac:dyDescent="0.4">
      <c r="A394" s="4034"/>
      <c r="B394" s="4701"/>
      <c r="C394" s="4682" t="s">
        <v>589</v>
      </c>
      <c r="D394" s="4683"/>
      <c r="E394" s="4684"/>
      <c r="F394" s="2610" t="e">
        <f>+'Compra -HOJA1'!#REF!</f>
        <v>#REF!</v>
      </c>
      <c r="G394" s="2610" t="e">
        <f>+'Compra -HOJA1'!#REF!</f>
        <v>#REF!</v>
      </c>
      <c r="H394" s="2402" t="e">
        <f t="shared" si="111"/>
        <v>#REF!</v>
      </c>
      <c r="I394" s="2650" t="e">
        <f t="shared" si="108"/>
        <v>#REF!</v>
      </c>
      <c r="J394" s="843"/>
      <c r="K394" s="2146"/>
      <c r="L394" s="10"/>
      <c r="M394" s="834"/>
      <c r="N394" s="675"/>
      <c r="O394" s="675"/>
      <c r="P394" s="841"/>
      <c r="Q394" s="675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</row>
    <row r="395" spans="1:29" ht="93.75" customHeight="1" thickBot="1" x14ac:dyDescent="0.4">
      <c r="A395" s="4034"/>
      <c r="B395" s="4701"/>
      <c r="C395" s="4687" t="s">
        <v>167</v>
      </c>
      <c r="D395" s="3692" t="s">
        <v>59</v>
      </c>
      <c r="E395" s="3679"/>
      <c r="F395" s="2610">
        <f>+'Compra -HOJA1'!F133</f>
        <v>0</v>
      </c>
      <c r="G395" s="2610">
        <f>+'Compra -HOJA1'!G133</f>
        <v>0</v>
      </c>
      <c r="H395" s="1972" t="str">
        <f>IF(G395=0,"S.D.",+IF(AND((F395/G395)&gt;500,(F395/G395)&lt;=700),"O.K.","VERIFICAR"))</f>
        <v>S.D.</v>
      </c>
      <c r="I395" s="2650" t="str">
        <f t="shared" si="108"/>
        <v xml:space="preserve"> </v>
      </c>
      <c r="J395" s="843"/>
      <c r="K395" s="2146"/>
      <c r="L395" s="10"/>
      <c r="M395" s="834"/>
      <c r="N395" s="675"/>
      <c r="O395" s="675"/>
      <c r="P395" s="841"/>
      <c r="Q395" s="675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</row>
    <row r="396" spans="1:29" ht="93.75" customHeight="1" thickBot="1" x14ac:dyDescent="0.4">
      <c r="A396" s="4034"/>
      <c r="B396" s="4701"/>
      <c r="C396" s="3661"/>
      <c r="D396" s="4685" t="s">
        <v>590</v>
      </c>
      <c r="E396" s="4686"/>
      <c r="F396" s="2610" t="e">
        <f>+'Compra -HOJA1'!#REF!</f>
        <v>#REF!</v>
      </c>
      <c r="G396" s="2610" t="e">
        <f>+'Compra -HOJA1'!#REF!</f>
        <v>#REF!</v>
      </c>
      <c r="H396" s="1972" t="e">
        <f>IF(G396=0,"S.D.",+IF(AND((F396/G396)&gt;500,(F396/G396)&lt;=700),"O.K.","VERIFICAR"))</f>
        <v>#REF!</v>
      </c>
      <c r="I396" s="2650" t="e">
        <f t="shared" si="108"/>
        <v>#REF!</v>
      </c>
      <c r="J396" s="843"/>
      <c r="K396" s="2146"/>
      <c r="L396" s="10"/>
      <c r="M396" s="834"/>
      <c r="N396" s="675"/>
      <c r="O396" s="675"/>
      <c r="P396" s="841"/>
      <c r="Q396" s="675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</row>
    <row r="397" spans="1:29" ht="93.75" customHeight="1" thickBot="1" x14ac:dyDescent="0.4">
      <c r="A397" s="4034"/>
      <c r="B397" s="4701"/>
      <c r="C397" s="3661"/>
      <c r="D397" s="3693" t="s">
        <v>60</v>
      </c>
      <c r="E397" s="3681"/>
      <c r="F397" s="2610">
        <f>+'Compra -HOJA1'!F135</f>
        <v>0</v>
      </c>
      <c r="G397" s="2610">
        <f>+'Compra -HOJA1'!G135</f>
        <v>0</v>
      </c>
      <c r="H397" s="1973" t="str">
        <f>IF(G397=0,"S.D.",+IF(AND((F397/G397)&gt;500,(F397/G397)&lt;=700),"O.K.","VERIFICAR"))</f>
        <v>S.D.</v>
      </c>
      <c r="I397" s="2650" t="str">
        <f t="shared" si="108"/>
        <v xml:space="preserve"> </v>
      </c>
      <c r="J397" s="843"/>
      <c r="K397" s="2146"/>
      <c r="L397" s="10"/>
      <c r="M397" s="834"/>
      <c r="N397" s="675"/>
      <c r="O397" s="675"/>
      <c r="P397" s="841"/>
      <c r="Q397" s="675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</row>
    <row r="398" spans="1:29" ht="93.75" customHeight="1" thickBot="1" x14ac:dyDescent="0.4">
      <c r="A398" s="4034"/>
      <c r="B398" s="4701"/>
      <c r="C398" s="4689"/>
      <c r="D398" s="4691" t="s">
        <v>591</v>
      </c>
      <c r="E398" s="4693"/>
      <c r="F398" s="2610" t="e">
        <f>+'Compra -HOJA1'!#REF!</f>
        <v>#REF!</v>
      </c>
      <c r="G398" s="2610" t="e">
        <f>+'Compra -HOJA1'!#REF!</f>
        <v>#REF!</v>
      </c>
      <c r="H398" s="1973" t="e">
        <f>IF(G398=0,"S.D.",+IF(AND((F398/G398)&gt;500,(F398/G398)&lt;=700),"O.K.","VERIFICAR"))</f>
        <v>#REF!</v>
      </c>
      <c r="I398" s="2650" t="e">
        <f t="shared" si="108"/>
        <v>#REF!</v>
      </c>
      <c r="J398" s="843"/>
      <c r="K398" s="2146"/>
      <c r="L398" s="10"/>
      <c r="M398" s="834"/>
      <c r="N398" s="675"/>
      <c r="O398" s="675"/>
      <c r="P398" s="841"/>
      <c r="Q398" s="675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</row>
    <row r="399" spans="1:29" ht="93.75" customHeight="1" thickBot="1" x14ac:dyDescent="0.4">
      <c r="A399" s="4034"/>
      <c r="B399" s="4702"/>
      <c r="C399" s="4694" t="s">
        <v>580</v>
      </c>
      <c r="D399" s="4695"/>
      <c r="E399" s="4696"/>
      <c r="F399" s="2610" t="e">
        <f>+'Compra -HOJA1'!#REF!</f>
        <v>#REF!</v>
      </c>
      <c r="G399" s="2610" t="e">
        <f>+'Compra -HOJA1'!#REF!</f>
        <v>#REF!</v>
      </c>
      <c r="H399" s="2651" t="e">
        <f>IF(G399=0,"S.D.",+IF(AND((F399/G399)&gt;500,(F399/G399)&lt;=700),"O.K.","VERIFICAR"))</f>
        <v>#REF!</v>
      </c>
      <c r="I399" s="2652" t="e">
        <f t="shared" si="108"/>
        <v>#REF!</v>
      </c>
      <c r="J399" s="843"/>
      <c r="K399" s="2146"/>
      <c r="L399" s="10"/>
      <c r="M399" s="834"/>
      <c r="N399" s="675"/>
      <c r="O399" s="675"/>
      <c r="P399" s="841"/>
      <c r="Q399" s="675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</row>
    <row r="400" spans="1:29" ht="93.75" customHeight="1" thickBot="1" x14ac:dyDescent="0.4">
      <c r="A400" s="4034"/>
      <c r="B400" s="4703" t="s">
        <v>62</v>
      </c>
      <c r="C400" s="4688" t="s">
        <v>164</v>
      </c>
      <c r="D400" s="3737"/>
      <c r="E400" s="3738"/>
      <c r="F400" s="2610">
        <f>+'Compra -HOJA1'!F143</f>
        <v>0</v>
      </c>
      <c r="G400" s="2610">
        <f>+'Compra -HOJA1'!G143</f>
        <v>0</v>
      </c>
      <c r="H400" s="2648" t="str">
        <f>IF(G400=0,"S.D.",+IF(AND((F400/G400)&gt;700,(F400/G400)&lt;=1400),"O.K.","VERIFICAR"))</f>
        <v>S.D.</v>
      </c>
      <c r="I400" s="2649" t="str">
        <f t="shared" si="108"/>
        <v xml:space="preserve"> </v>
      </c>
      <c r="J400" s="843"/>
      <c r="K400" s="2146"/>
      <c r="L400" s="10"/>
      <c r="M400" s="834"/>
      <c r="N400" s="675"/>
      <c r="O400" s="675"/>
      <c r="P400" s="841"/>
      <c r="Q400" s="675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</row>
    <row r="401" spans="1:29" ht="93.75" customHeight="1" thickBot="1" x14ac:dyDescent="0.4">
      <c r="A401" s="4034"/>
      <c r="B401" s="4704"/>
      <c r="C401" s="3790" t="s">
        <v>179</v>
      </c>
      <c r="D401" s="3790"/>
      <c r="E401" s="3790"/>
      <c r="F401" s="2610">
        <f>+'Compra -HOJA1'!F144</f>
        <v>0</v>
      </c>
      <c r="G401" s="2610">
        <f>+'Compra -HOJA1'!G144</f>
        <v>0</v>
      </c>
      <c r="H401" s="1971" t="str">
        <f t="shared" ref="H401:H405" si="112">IF(G401=0,"S.D.",+IF(AND((F401/G401)&gt;700,(F401/G401)&lt;=1400),"O.K.","VERIFICAR"))</f>
        <v>S.D.</v>
      </c>
      <c r="I401" s="2650" t="str">
        <f t="shared" si="108"/>
        <v xml:space="preserve"> </v>
      </c>
      <c r="J401" s="843"/>
      <c r="K401" s="2146"/>
      <c r="L401" s="10"/>
      <c r="M401" s="834"/>
      <c r="N401" s="675"/>
      <c r="O401" s="675"/>
      <c r="P401" s="841"/>
      <c r="Q401" s="675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</row>
    <row r="402" spans="1:29" ht="93.75" customHeight="1" thickBot="1" x14ac:dyDescent="0.4">
      <c r="A402" s="4034"/>
      <c r="B402" s="4704"/>
      <c r="C402" s="4678" t="s">
        <v>588</v>
      </c>
      <c r="D402" s="4679"/>
      <c r="E402" s="4680"/>
      <c r="F402" s="2610" t="e">
        <f>+'Compra -HOJA1'!#REF!</f>
        <v>#REF!</v>
      </c>
      <c r="G402" s="2610" t="e">
        <f>+'Compra -HOJA1'!#REF!</f>
        <v>#REF!</v>
      </c>
      <c r="H402" s="1971" t="e">
        <f t="shared" si="112"/>
        <v>#REF!</v>
      </c>
      <c r="I402" s="2650" t="e">
        <f t="shared" si="108"/>
        <v>#REF!</v>
      </c>
      <c r="J402" s="843"/>
      <c r="K402" s="2146"/>
      <c r="L402" s="10"/>
      <c r="M402" s="834"/>
      <c r="N402" s="675"/>
      <c r="O402" s="675"/>
      <c r="P402" s="841"/>
      <c r="Q402" s="675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</row>
    <row r="403" spans="1:29" ht="93.75" customHeight="1" thickBot="1" x14ac:dyDescent="0.4">
      <c r="A403" s="4034"/>
      <c r="B403" s="4704"/>
      <c r="C403" s="4681" t="s">
        <v>574</v>
      </c>
      <c r="D403" s="4681"/>
      <c r="E403" s="4681"/>
      <c r="F403" s="2610" t="e">
        <f>+'Compra -HOJA1'!#REF!</f>
        <v>#REF!</v>
      </c>
      <c r="G403" s="2610" t="e">
        <f>+'Compra -HOJA1'!#REF!</f>
        <v>#REF!</v>
      </c>
      <c r="H403" s="1971" t="e">
        <f t="shared" si="112"/>
        <v>#REF!</v>
      </c>
      <c r="I403" s="2650" t="e">
        <f t="shared" si="108"/>
        <v>#REF!</v>
      </c>
      <c r="J403" s="843"/>
      <c r="K403" s="2146"/>
      <c r="L403" s="10"/>
      <c r="M403" s="834"/>
      <c r="N403" s="675"/>
      <c r="O403" s="675"/>
      <c r="P403" s="841"/>
      <c r="Q403" s="675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</row>
    <row r="404" spans="1:29" ht="93.75" customHeight="1" thickBot="1" x14ac:dyDescent="0.4">
      <c r="A404" s="4034"/>
      <c r="B404" s="4704"/>
      <c r="C404" s="3968" t="s">
        <v>182</v>
      </c>
      <c r="D404" s="3919"/>
      <c r="E404" s="3920"/>
      <c r="F404" s="2610">
        <f>+'Compra -HOJA1'!F146</f>
        <v>0</v>
      </c>
      <c r="G404" s="2610">
        <f>+'Compra -HOJA1'!G146</f>
        <v>0</v>
      </c>
      <c r="H404" s="1971" t="str">
        <f t="shared" si="112"/>
        <v>S.D.</v>
      </c>
      <c r="I404" s="2650" t="str">
        <f t="shared" si="108"/>
        <v xml:space="preserve"> </v>
      </c>
      <c r="J404" s="843"/>
      <c r="K404" s="2146"/>
      <c r="L404" s="10"/>
      <c r="M404" s="834"/>
      <c r="N404" s="675"/>
      <c r="O404" s="675"/>
      <c r="P404" s="841"/>
      <c r="Q404" s="675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</row>
    <row r="405" spans="1:29" ht="93.75" customHeight="1" thickBot="1" x14ac:dyDescent="0.4">
      <c r="A405" s="4034"/>
      <c r="B405" s="4704"/>
      <c r="C405" s="4682" t="s">
        <v>589</v>
      </c>
      <c r="D405" s="4683"/>
      <c r="E405" s="4684"/>
      <c r="F405" s="2610" t="e">
        <f>+'Compra -HOJA1'!#REF!</f>
        <v>#REF!</v>
      </c>
      <c r="G405" s="2610" t="e">
        <f>+'Compra -HOJA1'!#REF!</f>
        <v>#REF!</v>
      </c>
      <c r="H405" s="2402" t="e">
        <f t="shared" si="112"/>
        <v>#REF!</v>
      </c>
      <c r="I405" s="2650" t="e">
        <f t="shared" si="108"/>
        <v>#REF!</v>
      </c>
      <c r="J405" s="843"/>
      <c r="K405" s="2146"/>
      <c r="L405" s="10"/>
      <c r="M405" s="834"/>
      <c r="N405" s="675"/>
      <c r="O405" s="675"/>
      <c r="P405" s="841"/>
      <c r="Q405" s="675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</row>
    <row r="406" spans="1:29" ht="93.75" customHeight="1" thickBot="1" x14ac:dyDescent="0.4">
      <c r="A406" s="4034"/>
      <c r="B406" s="4704"/>
      <c r="C406" s="4687" t="s">
        <v>167</v>
      </c>
      <c r="D406" s="3692" t="s">
        <v>64</v>
      </c>
      <c r="E406" s="3679"/>
      <c r="F406" s="2610">
        <f>+'Compra -HOJA1'!F148</f>
        <v>0</v>
      </c>
      <c r="G406" s="2610">
        <f>+'Compra -HOJA1'!G148</f>
        <v>0</v>
      </c>
      <c r="H406" s="1972" t="str">
        <f>IF(G406=0,"S.D.",+IF(AND((F406/G406)&gt;700,(F406/G406)&lt;=1400),"O.K.","VERIFICAR"))</f>
        <v>S.D.</v>
      </c>
      <c r="I406" s="2650" t="str">
        <f t="shared" si="108"/>
        <v xml:space="preserve"> </v>
      </c>
      <c r="J406" s="843"/>
      <c r="K406" s="2146"/>
      <c r="L406" s="10"/>
      <c r="M406" s="834"/>
      <c r="N406" s="675"/>
      <c r="O406" s="675"/>
      <c r="P406" s="841"/>
      <c r="Q406" s="675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</row>
    <row r="407" spans="1:29" ht="93.75" customHeight="1" thickBot="1" x14ac:dyDescent="0.4">
      <c r="A407" s="4034"/>
      <c r="B407" s="4704"/>
      <c r="C407" s="3661"/>
      <c r="D407" s="4685" t="s">
        <v>592</v>
      </c>
      <c r="E407" s="4686"/>
      <c r="F407" s="2610" t="e">
        <f>+'Compra -HOJA1'!#REF!</f>
        <v>#REF!</v>
      </c>
      <c r="G407" s="2610" t="e">
        <f>+'Compra -HOJA1'!#REF!</f>
        <v>#REF!</v>
      </c>
      <c r="H407" s="1972" t="e">
        <f t="shared" ref="H407:H409" si="113">IF(G407=0,"S.D.",+IF(AND((F407/G407)&gt;700,(F407/G407)&lt;=1400),"O.K.","VERIFICAR"))</f>
        <v>#REF!</v>
      </c>
      <c r="I407" s="2650" t="e">
        <f t="shared" si="108"/>
        <v>#REF!</v>
      </c>
      <c r="J407" s="843"/>
      <c r="K407" s="2146"/>
      <c r="L407" s="10"/>
      <c r="M407" s="834"/>
      <c r="N407" s="675"/>
      <c r="O407" s="675"/>
      <c r="P407" s="841"/>
      <c r="Q407" s="675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</row>
    <row r="408" spans="1:29" ht="93.75" customHeight="1" thickBot="1" x14ac:dyDescent="0.4">
      <c r="A408" s="4034"/>
      <c r="B408" s="4704"/>
      <c r="C408" s="3661"/>
      <c r="D408" s="3693" t="s">
        <v>65</v>
      </c>
      <c r="E408" s="3681"/>
      <c r="F408" s="2610">
        <f>+'Compra -HOJA1'!F150</f>
        <v>0</v>
      </c>
      <c r="G408" s="2610">
        <f>+'Compra -HOJA1'!G150</f>
        <v>0</v>
      </c>
      <c r="H408" s="1972" t="str">
        <f t="shared" si="113"/>
        <v>S.D.</v>
      </c>
      <c r="I408" s="2650" t="str">
        <f t="shared" si="108"/>
        <v xml:space="preserve"> </v>
      </c>
      <c r="J408" s="843"/>
      <c r="K408" s="2146"/>
      <c r="L408" s="10"/>
      <c r="M408" s="834"/>
      <c r="N408" s="675"/>
      <c r="O408" s="675"/>
      <c r="P408" s="841"/>
      <c r="Q408" s="675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</row>
    <row r="409" spans="1:29" ht="93.75" customHeight="1" thickBot="1" x14ac:dyDescent="0.4">
      <c r="A409" s="4034"/>
      <c r="B409" s="4704"/>
      <c r="C409" s="4689"/>
      <c r="D409" s="4690" t="s">
        <v>593</v>
      </c>
      <c r="E409" s="4691"/>
      <c r="F409" s="2610" t="e">
        <f>+'Compra -HOJA1'!#REF!</f>
        <v>#REF!</v>
      </c>
      <c r="G409" s="2610" t="e">
        <f>+'Compra -HOJA1'!#REF!</f>
        <v>#REF!</v>
      </c>
      <c r="H409" s="1972" t="e">
        <f t="shared" si="113"/>
        <v>#REF!</v>
      </c>
      <c r="I409" s="2650" t="e">
        <f t="shared" si="108"/>
        <v>#REF!</v>
      </c>
      <c r="J409" s="843"/>
      <c r="K409" s="2146"/>
      <c r="L409" s="10"/>
      <c r="M409" s="834"/>
      <c r="N409" s="675"/>
      <c r="O409" s="675"/>
      <c r="P409" s="841"/>
      <c r="Q409" s="675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</row>
    <row r="410" spans="1:29" s="556" customFormat="1" ht="93.75" customHeight="1" thickBot="1" x14ac:dyDescent="0.4">
      <c r="A410" s="4034"/>
      <c r="B410" s="4705"/>
      <c r="C410" s="4694" t="s">
        <v>580</v>
      </c>
      <c r="D410" s="4695"/>
      <c r="E410" s="4696"/>
      <c r="F410" s="2610" t="e">
        <f>+'Compra -HOJA1'!#REF!</f>
        <v>#REF!</v>
      </c>
      <c r="G410" s="2610" t="e">
        <f>+'Compra -HOJA1'!#REF!</f>
        <v>#REF!</v>
      </c>
      <c r="H410" s="2651" t="e">
        <f>IF(G410=0,"S.D.",+IF(AND((F410/G410)&gt;700,(F410/G410)&lt;=1400),"O.K.","VERIFICAR"))</f>
        <v>#REF!</v>
      </c>
      <c r="I410" s="2652" t="e">
        <f t="shared" si="108"/>
        <v>#REF!</v>
      </c>
      <c r="J410" s="846"/>
      <c r="K410" s="2147"/>
      <c r="L410" s="847"/>
      <c r="M410" s="848"/>
      <c r="N410" s="849"/>
      <c r="O410" s="849"/>
      <c r="P410" s="850"/>
      <c r="Q410" s="849"/>
      <c r="R410" s="847"/>
      <c r="S410" s="847"/>
      <c r="T410" s="847"/>
      <c r="U410" s="847"/>
      <c r="V410" s="847"/>
      <c r="W410" s="847"/>
      <c r="X410" s="847"/>
      <c r="Y410" s="847"/>
      <c r="Z410" s="847"/>
      <c r="AA410" s="847"/>
      <c r="AB410" s="847"/>
      <c r="AC410" s="847"/>
    </row>
    <row r="411" spans="1:29" ht="93.75" customHeight="1" thickBot="1" x14ac:dyDescent="0.4">
      <c r="A411" s="4034"/>
      <c r="B411" s="4706" t="s">
        <v>67</v>
      </c>
      <c r="C411" s="4688" t="s">
        <v>164</v>
      </c>
      <c r="D411" s="3737"/>
      <c r="E411" s="3738"/>
      <c r="F411" s="2610">
        <f>+'Compra -HOJA1'!F158</f>
        <v>0</v>
      </c>
      <c r="G411" s="2610">
        <f>+'Compra -HOJA1'!G158</f>
        <v>0</v>
      </c>
      <c r="H411" s="2653" t="str">
        <f>IF(G411=0,"S.D.",+IF(AND((F411/G411)&gt;1400,(F411/G411)&lt;=2999),"O.K.","VERIFICAR"))</f>
        <v>S.D.</v>
      </c>
      <c r="I411" s="2649" t="str">
        <f t="shared" si="108"/>
        <v xml:space="preserve"> </v>
      </c>
      <c r="J411" s="843"/>
      <c r="K411" s="2146"/>
      <c r="L411" s="10"/>
      <c r="M411" s="834"/>
      <c r="N411" s="675"/>
      <c r="O411" s="675"/>
      <c r="P411" s="841"/>
      <c r="Q411" s="675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</row>
    <row r="412" spans="1:29" ht="93.75" customHeight="1" thickBot="1" x14ac:dyDescent="0.4">
      <c r="A412" s="4034"/>
      <c r="B412" s="4707"/>
      <c r="C412" s="3790" t="s">
        <v>179</v>
      </c>
      <c r="D412" s="3790"/>
      <c r="E412" s="3790"/>
      <c r="F412" s="2610">
        <f>+'Compra -HOJA1'!F159</f>
        <v>0</v>
      </c>
      <c r="G412" s="2610">
        <f>+'Compra -HOJA1'!G159</f>
        <v>0</v>
      </c>
      <c r="H412" s="1973" t="str">
        <f t="shared" ref="H412:H421" si="114">IF(G412=0,"S.D.",+IF(AND((F412/G412)&gt;1400,(F412/G412)&lt;=2999),"O.K.","VERIFICAR"))</f>
        <v>S.D.</v>
      </c>
      <c r="I412" s="2650" t="str">
        <f t="shared" si="108"/>
        <v xml:space="preserve"> </v>
      </c>
      <c r="J412" s="843"/>
      <c r="K412" s="2146"/>
      <c r="L412" s="10"/>
      <c r="M412" s="834"/>
      <c r="N412" s="675"/>
      <c r="O412" s="675"/>
      <c r="P412" s="841"/>
      <c r="Q412" s="675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</row>
    <row r="413" spans="1:29" ht="93.75" customHeight="1" thickBot="1" x14ac:dyDescent="0.4">
      <c r="A413" s="4034"/>
      <c r="B413" s="4707"/>
      <c r="C413" s="4678" t="s">
        <v>588</v>
      </c>
      <c r="D413" s="4679"/>
      <c r="E413" s="4680"/>
      <c r="F413" s="2610" t="e">
        <f>+'Compra -HOJA1'!#REF!</f>
        <v>#REF!</v>
      </c>
      <c r="G413" s="2610" t="e">
        <f>+'Compra -HOJA1'!#REF!</f>
        <v>#REF!</v>
      </c>
      <c r="H413" s="1973" t="e">
        <f t="shared" si="114"/>
        <v>#REF!</v>
      </c>
      <c r="I413" s="2650" t="e">
        <f t="shared" si="108"/>
        <v>#REF!</v>
      </c>
      <c r="J413" s="843"/>
      <c r="K413" s="2146"/>
      <c r="L413" s="10"/>
      <c r="M413" s="834"/>
      <c r="N413" s="675"/>
      <c r="O413" s="675"/>
      <c r="P413" s="841"/>
      <c r="Q413" s="675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</row>
    <row r="414" spans="1:29" ht="93.75" customHeight="1" thickBot="1" x14ac:dyDescent="0.4">
      <c r="A414" s="4034"/>
      <c r="B414" s="4707"/>
      <c r="C414" s="4681" t="s">
        <v>574</v>
      </c>
      <c r="D414" s="4681"/>
      <c r="E414" s="4681"/>
      <c r="F414" s="2610" t="e">
        <f>+'Compra -HOJA1'!#REF!</f>
        <v>#REF!</v>
      </c>
      <c r="G414" s="2610" t="e">
        <f>+'Compra -HOJA1'!#REF!</f>
        <v>#REF!</v>
      </c>
      <c r="H414" s="1973" t="e">
        <f t="shared" si="114"/>
        <v>#REF!</v>
      </c>
      <c r="I414" s="2650" t="e">
        <f t="shared" si="108"/>
        <v>#REF!</v>
      </c>
      <c r="J414" s="843"/>
      <c r="K414" s="2146"/>
      <c r="L414" s="10"/>
      <c r="M414" s="834"/>
      <c r="N414" s="675"/>
      <c r="O414" s="675"/>
      <c r="P414" s="841"/>
      <c r="Q414" s="675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</row>
    <row r="415" spans="1:29" ht="93.75" customHeight="1" thickBot="1" x14ac:dyDescent="0.4">
      <c r="A415" s="4034"/>
      <c r="B415" s="4707"/>
      <c r="C415" s="3968" t="s">
        <v>180</v>
      </c>
      <c r="D415" s="3919"/>
      <c r="E415" s="3920"/>
      <c r="F415" s="2610">
        <f>+'Compra -HOJA1'!F161</f>
        <v>0</v>
      </c>
      <c r="G415" s="2610">
        <f>+'Compra -HOJA1'!G161</f>
        <v>0</v>
      </c>
      <c r="H415" s="1973" t="str">
        <f t="shared" si="114"/>
        <v>S.D.</v>
      </c>
      <c r="I415" s="2650" t="str">
        <f t="shared" si="108"/>
        <v xml:space="preserve"> </v>
      </c>
      <c r="J415" s="843"/>
      <c r="K415" s="2146"/>
      <c r="L415" s="10"/>
      <c r="M415" s="834"/>
      <c r="N415" s="675"/>
      <c r="O415" s="675"/>
      <c r="P415" s="841"/>
      <c r="Q415" s="675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</row>
    <row r="416" spans="1:29" ht="93.75" customHeight="1" thickBot="1" x14ac:dyDescent="0.4">
      <c r="A416" s="4034"/>
      <c r="B416" s="4707"/>
      <c r="C416" s="4682" t="s">
        <v>589</v>
      </c>
      <c r="D416" s="4683"/>
      <c r="E416" s="4684"/>
      <c r="F416" s="2610" t="e">
        <f>+'Compra -HOJA1'!#REF!</f>
        <v>#REF!</v>
      </c>
      <c r="G416" s="2610" t="e">
        <f>+'Compra -HOJA1'!#REF!</f>
        <v>#REF!</v>
      </c>
      <c r="H416" s="1973" t="e">
        <f t="shared" si="114"/>
        <v>#REF!</v>
      </c>
      <c r="I416" s="2650" t="e">
        <f t="shared" si="108"/>
        <v>#REF!</v>
      </c>
      <c r="J416" s="843"/>
      <c r="K416" s="2146"/>
      <c r="L416" s="10"/>
      <c r="M416" s="834"/>
      <c r="N416" s="675"/>
      <c r="O416" s="675"/>
      <c r="P416" s="841"/>
      <c r="Q416" s="675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</row>
    <row r="417" spans="1:44" ht="93.75" customHeight="1" thickBot="1" x14ac:dyDescent="0.4">
      <c r="A417" s="4034"/>
      <c r="B417" s="4707"/>
      <c r="C417" s="4687" t="s">
        <v>167</v>
      </c>
      <c r="D417" s="3692" t="s">
        <v>68</v>
      </c>
      <c r="E417" s="3679"/>
      <c r="F417" s="2610">
        <f>+'Compra -HOJA1'!F163</f>
        <v>0</v>
      </c>
      <c r="G417" s="2610">
        <f>+'Compra -HOJA1'!G163</f>
        <v>0</v>
      </c>
      <c r="H417" s="1973" t="str">
        <f t="shared" si="114"/>
        <v>S.D.</v>
      </c>
      <c r="I417" s="2650" t="str">
        <f t="shared" si="108"/>
        <v xml:space="preserve"> </v>
      </c>
      <c r="J417" s="843"/>
      <c r="K417" s="2146"/>
      <c r="L417" s="10"/>
      <c r="M417" s="834"/>
      <c r="N417" s="675"/>
      <c r="O417" s="675"/>
      <c r="P417" s="841"/>
      <c r="Q417" s="675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</row>
    <row r="418" spans="1:44" ht="93.75" customHeight="1" thickBot="1" x14ac:dyDescent="0.4">
      <c r="A418" s="4034"/>
      <c r="B418" s="4707"/>
      <c r="C418" s="3661"/>
      <c r="D418" s="4685" t="s">
        <v>594</v>
      </c>
      <c r="E418" s="4686"/>
      <c r="F418" s="2610" t="e">
        <f>+'Compra -HOJA1'!#REF!</f>
        <v>#REF!</v>
      </c>
      <c r="G418" s="2610" t="e">
        <f>+'Compra -HOJA1'!#REF!</f>
        <v>#REF!</v>
      </c>
      <c r="H418" s="1973" t="e">
        <f t="shared" si="114"/>
        <v>#REF!</v>
      </c>
      <c r="I418" s="2650" t="e">
        <f t="shared" si="108"/>
        <v>#REF!</v>
      </c>
      <c r="J418" s="843"/>
      <c r="K418" s="2146"/>
      <c r="L418" s="10"/>
      <c r="M418" s="834"/>
      <c r="N418" s="675"/>
      <c r="O418" s="675"/>
      <c r="P418" s="841"/>
      <c r="Q418" s="675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</row>
    <row r="419" spans="1:44" ht="93.75" customHeight="1" thickBot="1" x14ac:dyDescent="0.4">
      <c r="A419" s="4034"/>
      <c r="B419" s="4707"/>
      <c r="C419" s="3661"/>
      <c r="D419" s="3693" t="s">
        <v>69</v>
      </c>
      <c r="E419" s="3681"/>
      <c r="F419" s="2610">
        <f>+'Compra -HOJA1'!F165</f>
        <v>0</v>
      </c>
      <c r="G419" s="2610">
        <f>+'Compra -HOJA1'!G165</f>
        <v>0</v>
      </c>
      <c r="H419" s="1973" t="str">
        <f t="shared" si="114"/>
        <v>S.D.</v>
      </c>
      <c r="I419" s="2650" t="str">
        <f t="shared" si="108"/>
        <v xml:space="preserve"> </v>
      </c>
      <c r="J419" s="843"/>
      <c r="K419" s="2146"/>
      <c r="L419" s="10"/>
      <c r="M419" s="834"/>
      <c r="N419" s="675"/>
      <c r="O419" s="675"/>
      <c r="P419" s="841"/>
      <c r="Q419" s="675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</row>
    <row r="420" spans="1:44" ht="93.75" customHeight="1" thickBot="1" x14ac:dyDescent="0.4">
      <c r="A420" s="4034"/>
      <c r="B420" s="4707"/>
      <c r="C420" s="4689"/>
      <c r="D420" s="4690" t="s">
        <v>595</v>
      </c>
      <c r="E420" s="4691"/>
      <c r="F420" s="2610" t="e">
        <f>+'Compra -HOJA1'!#REF!</f>
        <v>#REF!</v>
      </c>
      <c r="G420" s="2610" t="e">
        <f>+'Compra -HOJA1'!#REF!</f>
        <v>#REF!</v>
      </c>
      <c r="H420" s="1973" t="e">
        <f t="shared" si="114"/>
        <v>#REF!</v>
      </c>
      <c r="I420" s="2650" t="e">
        <f t="shared" si="108"/>
        <v>#REF!</v>
      </c>
      <c r="J420" s="843"/>
      <c r="K420" s="2146"/>
      <c r="L420" s="10"/>
      <c r="M420" s="834"/>
      <c r="N420" s="675"/>
      <c r="O420" s="675"/>
      <c r="P420" s="841"/>
      <c r="Q420" s="675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</row>
    <row r="421" spans="1:44" ht="93.75" customHeight="1" thickBot="1" x14ac:dyDescent="0.4">
      <c r="A421" s="4034"/>
      <c r="B421" s="4707"/>
      <c r="C421" s="4694" t="s">
        <v>580</v>
      </c>
      <c r="D421" s="4695"/>
      <c r="E421" s="4696"/>
      <c r="F421" s="2610" t="e">
        <f>+'Compra -HOJA1'!#REF!</f>
        <v>#REF!</v>
      </c>
      <c r="G421" s="2610" t="e">
        <f>+'Compra -HOJA1'!#REF!</f>
        <v>#REF!</v>
      </c>
      <c r="H421" s="2651" t="e">
        <f t="shared" si="114"/>
        <v>#REF!</v>
      </c>
      <c r="I421" s="2652" t="e">
        <f t="shared" si="108"/>
        <v>#REF!</v>
      </c>
      <c r="J421" s="843"/>
      <c r="K421" s="2146"/>
      <c r="L421" s="10"/>
      <c r="M421" s="834"/>
      <c r="N421" s="675"/>
      <c r="O421" s="675"/>
      <c r="P421" s="841"/>
      <c r="Q421" s="675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</row>
    <row r="422" spans="1:44" ht="93.75" customHeight="1" thickBot="1" x14ac:dyDescent="0.4">
      <c r="A422" s="4639" t="s">
        <v>186</v>
      </c>
      <c r="B422" s="4641" t="s">
        <v>21</v>
      </c>
      <c r="C422" s="3739" t="s">
        <v>187</v>
      </c>
      <c r="D422" s="3740"/>
      <c r="E422" s="4644"/>
      <c r="F422" s="2610">
        <f>+'Compra -HOJA1'!F173</f>
        <v>0</v>
      </c>
      <c r="G422" s="2610">
        <f>+'Compra -HOJA1'!G173</f>
        <v>0</v>
      </c>
      <c r="H422" s="2654" t="str">
        <f>IF(G422=0,"S.D.",+IF((F422/G422)&lt;=800,"O.K.","VERIFICAR"))</f>
        <v>S.D.</v>
      </c>
      <c r="I422" s="2649" t="str">
        <f t="shared" si="108"/>
        <v xml:space="preserve"> </v>
      </c>
      <c r="J422" s="843"/>
      <c r="K422" s="2146"/>
      <c r="L422" s="10"/>
      <c r="M422" s="834"/>
      <c r="N422" s="675"/>
      <c r="O422" s="675"/>
      <c r="P422" s="841"/>
      <c r="Q422" s="675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</row>
    <row r="423" spans="1:44" ht="93.75" customHeight="1" thickBot="1" x14ac:dyDescent="0.4">
      <c r="A423" s="4640"/>
      <c r="B423" s="4642"/>
      <c r="C423" s="4592" t="s">
        <v>188</v>
      </c>
      <c r="D423" s="4593"/>
      <c r="E423" s="4645"/>
      <c r="F423" s="2610">
        <f>+'Compra -HOJA1'!F174</f>
        <v>0</v>
      </c>
      <c r="G423" s="2610">
        <f>+'Compra -HOJA1'!G174</f>
        <v>0</v>
      </c>
      <c r="H423" s="1973" t="str">
        <f>IF(G423=0,"S.D.",+IF(AND((F423/G423)&gt;800,(F423/G423)&lt;2000),"O.K.","VERIFICAR"))</f>
        <v>S.D.</v>
      </c>
      <c r="I423" s="2650" t="str">
        <f t="shared" si="108"/>
        <v xml:space="preserve"> </v>
      </c>
      <c r="J423" s="843"/>
      <c r="K423" s="2146"/>
      <c r="L423" s="10"/>
      <c r="M423" s="834"/>
      <c r="N423" s="675"/>
      <c r="O423" s="675"/>
      <c r="P423" s="841"/>
      <c r="Q423" s="675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</row>
    <row r="424" spans="1:44" ht="93.75" customHeight="1" thickBot="1" x14ac:dyDescent="0.4">
      <c r="A424" s="4640"/>
      <c r="B424" s="4643"/>
      <c r="C424" s="4606" t="s">
        <v>596</v>
      </c>
      <c r="D424" s="4606"/>
      <c r="E424" s="4606"/>
      <c r="F424" s="2610" t="e">
        <f>+'Compra -HOJA1'!#REF!</f>
        <v>#REF!</v>
      </c>
      <c r="G424" s="2610" t="e">
        <f>+'Compra -HOJA1'!#REF!</f>
        <v>#REF!</v>
      </c>
      <c r="H424" s="2651" t="e">
        <f>IF(G424=0,"S.D.",+IF(AND((F424/G424)&gt;0,(F424/G424)&lt;2000),"O.K.","VERIFICAR"))</f>
        <v>#REF!</v>
      </c>
      <c r="I424" s="2652" t="e">
        <f t="shared" si="108"/>
        <v>#REF!</v>
      </c>
      <c r="J424" s="843"/>
      <c r="K424" s="2146"/>
      <c r="L424" s="10"/>
      <c r="M424" s="834"/>
      <c r="N424" s="675"/>
      <c r="O424" s="675"/>
      <c r="P424" s="841"/>
      <c r="Q424" s="675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</row>
    <row r="425" spans="1:44" ht="96" customHeight="1" thickBot="1" x14ac:dyDescent="0.4">
      <c r="A425" s="4640"/>
      <c r="B425" s="4646" t="s">
        <v>71</v>
      </c>
      <c r="C425" s="3794" t="s">
        <v>189</v>
      </c>
      <c r="D425" s="3795"/>
      <c r="E425" s="3795"/>
      <c r="F425" s="2610">
        <f>+'Compra -HOJA1'!F175</f>
        <v>0</v>
      </c>
      <c r="G425" s="2610">
        <f>+'Compra -HOJA1'!G175</f>
        <v>0</v>
      </c>
      <c r="H425" s="2654" t="str">
        <f>IF(G425=0,"S.D.",+IF(AND((F425/G425)&gt;1999,(F425/G425)&lt;=3000),"O.K.","VERIFICAR"))</f>
        <v>S.D.</v>
      </c>
      <c r="I425" s="2649" t="str">
        <f t="shared" si="108"/>
        <v xml:space="preserve"> </v>
      </c>
      <c r="J425" s="843"/>
      <c r="K425" s="2146"/>
      <c r="L425" s="10"/>
      <c r="M425" s="834"/>
      <c r="N425" s="675"/>
      <c r="O425" s="675"/>
      <c r="P425" s="841"/>
      <c r="Q425" s="675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</row>
    <row r="426" spans="1:44" ht="96" customHeight="1" thickBot="1" x14ac:dyDescent="0.4">
      <c r="A426" s="2121"/>
      <c r="B426" s="4647"/>
      <c r="C426" s="4606" t="s">
        <v>596</v>
      </c>
      <c r="D426" s="4606"/>
      <c r="E426" s="4606"/>
      <c r="F426" s="2610" t="e">
        <f>+'Compra -HOJA1'!#REF!</f>
        <v>#REF!</v>
      </c>
      <c r="G426" s="2610" t="e">
        <f>+'Compra -HOJA1'!#REF!</f>
        <v>#REF!</v>
      </c>
      <c r="H426" s="2655" t="e">
        <f>IF(G426=0,"S.D.",+IF(AND((F426/G426)&gt;1999,(F426/G426)&lt;=3000),"O.K.","VERIFICAR"))</f>
        <v>#REF!</v>
      </c>
      <c r="I426" s="2652" t="e">
        <f t="shared" si="108"/>
        <v>#REF!</v>
      </c>
      <c r="J426" s="843"/>
      <c r="K426" s="2146"/>
      <c r="L426" s="10"/>
      <c r="M426" s="834"/>
      <c r="N426" s="675"/>
      <c r="O426" s="675"/>
      <c r="P426" s="841"/>
      <c r="Q426" s="675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</row>
    <row r="427" spans="1:44" ht="57.75" customHeight="1" thickBot="1" x14ac:dyDescent="0.25">
      <c r="A427" s="3810" t="s">
        <v>190</v>
      </c>
      <c r="B427" s="3811"/>
      <c r="C427" s="3811"/>
      <c r="D427" s="3811"/>
      <c r="E427" s="3812"/>
      <c r="F427" s="2167" t="e">
        <f>SUM(F365:F426)</f>
        <v>#REF!</v>
      </c>
      <c r="G427" s="2167" t="e">
        <f>SUM(G365:G426)</f>
        <v>#REF!</v>
      </c>
      <c r="I427" s="843"/>
      <c r="J427" s="843"/>
      <c r="K427" s="2146"/>
      <c r="L427" s="10"/>
      <c r="M427" s="834"/>
      <c r="N427" s="675"/>
      <c r="O427" s="675"/>
      <c r="P427" s="841"/>
      <c r="Q427" s="675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</row>
    <row r="428" spans="1:44" ht="30.75" customHeight="1" thickBot="1" x14ac:dyDescent="0.4">
      <c r="D428" s="852"/>
      <c r="E428" s="853" t="s">
        <v>597</v>
      </c>
      <c r="F428" s="854" t="e">
        <f>+IF((F427-F592)=0," O.K.", (F427-F592))</f>
        <v>#REF!</v>
      </c>
      <c r="G428" s="851"/>
      <c r="H428" s="851"/>
      <c r="I428" s="843"/>
      <c r="J428" s="843"/>
      <c r="K428" s="2146"/>
      <c r="L428" s="10"/>
      <c r="M428" s="834"/>
      <c r="N428" s="675"/>
      <c r="O428" s="675"/>
      <c r="P428" s="841"/>
      <c r="Q428" s="675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</row>
    <row r="429" spans="1:44" ht="30.75" customHeight="1" thickBot="1" x14ac:dyDescent="0.4">
      <c r="D429" s="852"/>
      <c r="E429" s="853"/>
      <c r="F429" s="854"/>
      <c r="I429" s="843"/>
      <c r="J429" s="843"/>
      <c r="K429" s="2146"/>
      <c r="L429" s="10"/>
      <c r="M429" s="834"/>
      <c r="N429" s="675"/>
      <c r="O429" s="675"/>
      <c r="P429" s="841"/>
      <c r="Q429" s="675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</row>
    <row r="430" spans="1:44" ht="30.75" customHeight="1" x14ac:dyDescent="0.2">
      <c r="A430" s="3813" t="s">
        <v>160</v>
      </c>
      <c r="B430" s="3813"/>
      <c r="C430" s="3813"/>
      <c r="D430" s="3813"/>
      <c r="E430" s="3814"/>
      <c r="F430" s="3717" t="s">
        <v>191</v>
      </c>
      <c r="G430" s="3702" t="s">
        <v>101</v>
      </c>
      <c r="I430" s="4041" t="s">
        <v>192</v>
      </c>
      <c r="J430" s="3934"/>
      <c r="K430" s="3935"/>
      <c r="L430" s="3933" t="s">
        <v>193</v>
      </c>
      <c r="M430" s="3934"/>
      <c r="N430" s="3935"/>
      <c r="O430" s="3763" t="s">
        <v>194</v>
      </c>
      <c r="P430" s="3764"/>
      <c r="Q430" s="3764"/>
      <c r="R430" s="1965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</row>
    <row r="431" spans="1:44" ht="30.75" customHeight="1" thickBot="1" x14ac:dyDescent="0.25">
      <c r="A431" s="3813"/>
      <c r="B431" s="3815"/>
      <c r="C431" s="3815"/>
      <c r="D431" s="3815"/>
      <c r="E431" s="3816"/>
      <c r="F431" s="3717"/>
      <c r="G431" s="3702"/>
      <c r="I431" s="1966" t="s">
        <v>5</v>
      </c>
      <c r="J431" s="585" t="s">
        <v>6</v>
      </c>
      <c r="K431" s="585" t="s">
        <v>7</v>
      </c>
      <c r="L431" s="585" t="s">
        <v>5</v>
      </c>
      <c r="M431" s="585" t="s">
        <v>6</v>
      </c>
      <c r="N431" s="585" t="s">
        <v>7</v>
      </c>
      <c r="O431" s="585" t="s">
        <v>5</v>
      </c>
      <c r="P431" s="585" t="s">
        <v>6</v>
      </c>
      <c r="Q431" s="585" t="s">
        <v>7</v>
      </c>
      <c r="R431" s="1967" t="s">
        <v>4</v>
      </c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</row>
    <row r="432" spans="1:44" ht="52.5" customHeight="1" x14ac:dyDescent="0.2">
      <c r="A432" s="4033" t="s">
        <v>163</v>
      </c>
      <c r="B432" s="3952" t="s">
        <v>41</v>
      </c>
      <c r="C432" s="3906" t="s">
        <v>164</v>
      </c>
      <c r="D432" s="3907"/>
      <c r="E432" s="3908"/>
      <c r="F432" s="2351">
        <f t="shared" ref="F432:G435" si="115">+F365</f>
        <v>0</v>
      </c>
      <c r="G432" s="2351">
        <f t="shared" si="115"/>
        <v>0</v>
      </c>
      <c r="H432" s="12"/>
      <c r="I432" s="1968">
        <f>IF(F432=0,0,$F432*COEF!$J$27)</f>
        <v>0</v>
      </c>
      <c r="J432" s="858">
        <f>IF(F432=0,0,$F432*COEF!$K$27)</f>
        <v>0</v>
      </c>
      <c r="K432" s="858">
        <f>IF(F432=0,0,$F432*COEF!$L$27)</f>
        <v>0</v>
      </c>
      <c r="L432" s="859" t="e">
        <f t="shared" ref="L432:L448" si="116">+I432*I$595</f>
        <v>#REF!</v>
      </c>
      <c r="M432" s="859" t="e">
        <f t="shared" ref="M432:M448" si="117">+J432*J$595</f>
        <v>#REF!</v>
      </c>
      <c r="N432" s="859" t="e">
        <f t="shared" ref="N432:N448" si="118">+K432*K$595</f>
        <v>#REF!</v>
      </c>
      <c r="O432" s="860" t="e">
        <f>I432+L432</f>
        <v>#REF!</v>
      </c>
      <c r="P432" s="860" t="e">
        <f>J432+M432</f>
        <v>#REF!</v>
      </c>
      <c r="Q432" s="860" t="e">
        <f>K432+N432</f>
        <v>#REF!</v>
      </c>
      <c r="R432" s="1969" t="e">
        <f>SUM(O432:Q432)</f>
        <v>#REF!</v>
      </c>
      <c r="S432" s="675">
        <f>SUM(I432:K432)</f>
        <v>0</v>
      </c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R432" s="25">
        <f>SUM(I432:K432)</f>
        <v>0</v>
      </c>
    </row>
    <row r="433" spans="1:29" ht="52.5" customHeight="1" x14ac:dyDescent="0.2">
      <c r="A433" s="4034"/>
      <c r="B433" s="3953"/>
      <c r="C433" s="3913" t="s">
        <v>179</v>
      </c>
      <c r="D433" s="3913"/>
      <c r="E433" s="3913"/>
      <c r="F433" s="2351">
        <f t="shared" si="115"/>
        <v>0</v>
      </c>
      <c r="G433" s="2351">
        <f t="shared" si="115"/>
        <v>0</v>
      </c>
      <c r="H433" s="12"/>
      <c r="I433" s="1968">
        <f>IF(F433=0,0,$F433*COEF!$J$27)</f>
        <v>0</v>
      </c>
      <c r="J433" s="858">
        <f>IF(F433=0,0,$F433*COEF!$K$27)</f>
        <v>0</v>
      </c>
      <c r="K433" s="858">
        <f>IF(F433=0,0,$F433*COEF!$L$27)</f>
        <v>0</v>
      </c>
      <c r="L433" s="859" t="e">
        <f t="shared" si="116"/>
        <v>#REF!</v>
      </c>
      <c r="M433" s="859" t="e">
        <f t="shared" si="117"/>
        <v>#REF!</v>
      </c>
      <c r="N433" s="859" t="e">
        <f t="shared" si="118"/>
        <v>#REF!</v>
      </c>
      <c r="O433" s="860" t="e">
        <f t="shared" ref="O433:Q508" si="119">I433+L433</f>
        <v>#REF!</v>
      </c>
      <c r="P433" s="860" t="e">
        <f t="shared" si="119"/>
        <v>#REF!</v>
      </c>
      <c r="Q433" s="860" t="e">
        <f t="shared" si="119"/>
        <v>#REF!</v>
      </c>
      <c r="R433" s="1969" t="e">
        <f t="shared" ref="R433:R508" si="120">SUM(O433:Q433)</f>
        <v>#REF!</v>
      </c>
      <c r="S433" s="675">
        <f t="shared" ref="S433:S517" si="121">SUM(I433:K433)</f>
        <v>0</v>
      </c>
      <c r="T433" s="10"/>
      <c r="U433" s="10"/>
      <c r="V433" s="10"/>
      <c r="W433" s="10"/>
      <c r="X433" s="10"/>
      <c r="Y433" s="10"/>
      <c r="Z433" s="10"/>
      <c r="AA433" s="10"/>
      <c r="AB433" s="10"/>
      <c r="AC433" s="10"/>
    </row>
    <row r="434" spans="1:29" ht="52.5" customHeight="1" x14ac:dyDescent="0.2">
      <c r="A434" s="4034"/>
      <c r="B434" s="3953"/>
      <c r="C434" s="4594" t="s">
        <v>598</v>
      </c>
      <c r="D434" s="4594"/>
      <c r="E434" s="4594"/>
      <c r="F434" s="2351" t="e">
        <f t="shared" si="115"/>
        <v>#REF!</v>
      </c>
      <c r="G434" s="2351" t="e">
        <f t="shared" si="115"/>
        <v>#REF!</v>
      </c>
      <c r="H434" s="12"/>
      <c r="I434" s="1968" t="e">
        <f>IF(F434=0,0,$F434*COEF!$J$27)</f>
        <v>#REF!</v>
      </c>
      <c r="J434" s="858" t="e">
        <f>IF(F434=0,0,$F434*COEF!$K$27)</f>
        <v>#REF!</v>
      </c>
      <c r="K434" s="858" t="e">
        <f>IF(F434=0,0,$F434*COEF!$L$27)</f>
        <v>#REF!</v>
      </c>
      <c r="L434" s="859" t="e">
        <f t="shared" si="116"/>
        <v>#REF!</v>
      </c>
      <c r="M434" s="859" t="e">
        <f t="shared" si="117"/>
        <v>#REF!</v>
      </c>
      <c r="N434" s="859" t="e">
        <f t="shared" si="118"/>
        <v>#REF!</v>
      </c>
      <c r="O434" s="860" t="e">
        <f t="shared" si="119"/>
        <v>#REF!</v>
      </c>
      <c r="P434" s="860" t="e">
        <f t="shared" si="119"/>
        <v>#REF!</v>
      </c>
      <c r="Q434" s="860" t="e">
        <f t="shared" si="119"/>
        <v>#REF!</v>
      </c>
      <c r="R434" s="1969" t="e">
        <f t="shared" si="120"/>
        <v>#REF!</v>
      </c>
      <c r="S434" s="675" t="e">
        <f t="shared" si="121"/>
        <v>#REF!</v>
      </c>
      <c r="T434" s="10"/>
      <c r="U434" s="10"/>
      <c r="V434" s="10"/>
      <c r="W434" s="10"/>
      <c r="X434" s="10"/>
      <c r="Y434" s="10"/>
      <c r="Z434" s="10"/>
      <c r="AA434" s="10"/>
      <c r="AB434" s="10"/>
      <c r="AC434" s="10"/>
    </row>
    <row r="435" spans="1:29" ht="52.5" customHeight="1" x14ac:dyDescent="0.2">
      <c r="A435" s="4034"/>
      <c r="B435" s="3953"/>
      <c r="C435" s="3912" t="s">
        <v>195</v>
      </c>
      <c r="D435" s="3912"/>
      <c r="E435" s="3912"/>
      <c r="F435" s="2351">
        <f t="shared" si="115"/>
        <v>0</v>
      </c>
      <c r="G435" s="2351">
        <f t="shared" si="115"/>
        <v>0</v>
      </c>
      <c r="H435" s="12"/>
      <c r="I435" s="1968">
        <f>IF(F435=0,0,$F435*COEF!$J$27)</f>
        <v>0</v>
      </c>
      <c r="J435" s="858">
        <f>IF(F435=0,0,$F435*COEF!$K$27)</f>
        <v>0</v>
      </c>
      <c r="K435" s="858">
        <f>IF(F435=0,0,$F435*COEF!$L$27)</f>
        <v>0</v>
      </c>
      <c r="L435" s="859" t="e">
        <f t="shared" si="116"/>
        <v>#REF!</v>
      </c>
      <c r="M435" s="859" t="e">
        <f t="shared" si="117"/>
        <v>#REF!</v>
      </c>
      <c r="N435" s="859" t="e">
        <f t="shared" si="118"/>
        <v>#REF!</v>
      </c>
      <c r="O435" s="860" t="e">
        <f t="shared" si="119"/>
        <v>#REF!</v>
      </c>
      <c r="P435" s="860" t="e">
        <f t="shared" si="119"/>
        <v>#REF!</v>
      </c>
      <c r="Q435" s="860" t="e">
        <f t="shared" si="119"/>
        <v>#REF!</v>
      </c>
      <c r="R435" s="1969" t="e">
        <f t="shared" si="120"/>
        <v>#REF!</v>
      </c>
      <c r="S435" s="675">
        <f t="shared" si="121"/>
        <v>0</v>
      </c>
      <c r="T435" s="10"/>
      <c r="U435" s="10"/>
      <c r="V435" s="10"/>
      <c r="W435" s="10"/>
      <c r="X435" s="10"/>
      <c r="Y435" s="10"/>
      <c r="Z435" s="10"/>
      <c r="AA435" s="10"/>
      <c r="AB435" s="10"/>
      <c r="AC435" s="10"/>
    </row>
    <row r="436" spans="1:29" ht="52.5" customHeight="1" x14ac:dyDescent="0.2">
      <c r="A436" s="4034"/>
      <c r="B436" s="3953"/>
      <c r="C436" s="3652" t="s">
        <v>167</v>
      </c>
      <c r="D436" s="3910" t="s">
        <v>46</v>
      </c>
      <c r="E436" s="3911"/>
      <c r="F436" s="2351">
        <f t="shared" ref="F436:G441" si="122">+F369</f>
        <v>0</v>
      </c>
      <c r="G436" s="2351">
        <f t="shared" si="122"/>
        <v>0</v>
      </c>
      <c r="H436" s="12"/>
      <c r="I436" s="1968">
        <f>IF(F436=0,0,$F436*COEF!$J$27)</f>
        <v>0</v>
      </c>
      <c r="J436" s="858">
        <f>IF(F436=0,0,$F436*COEF!$K$27)</f>
        <v>0</v>
      </c>
      <c r="K436" s="858">
        <f>IF(F436=0,0,$F436*COEF!$L$27)</f>
        <v>0</v>
      </c>
      <c r="L436" s="859" t="e">
        <f t="shared" si="116"/>
        <v>#REF!</v>
      </c>
      <c r="M436" s="859" t="e">
        <f t="shared" si="117"/>
        <v>#REF!</v>
      </c>
      <c r="N436" s="859" t="e">
        <f t="shared" si="118"/>
        <v>#REF!</v>
      </c>
      <c r="O436" s="860" t="e">
        <f t="shared" si="119"/>
        <v>#REF!</v>
      </c>
      <c r="P436" s="860" t="e">
        <f t="shared" si="119"/>
        <v>#REF!</v>
      </c>
      <c r="Q436" s="860" t="e">
        <f t="shared" si="119"/>
        <v>#REF!</v>
      </c>
      <c r="R436" s="1969" t="e">
        <f t="shared" si="120"/>
        <v>#REF!</v>
      </c>
      <c r="S436" s="675">
        <f t="shared" si="121"/>
        <v>0</v>
      </c>
      <c r="T436" s="10"/>
      <c r="U436" s="10"/>
      <c r="V436" s="10"/>
      <c r="W436" s="10"/>
      <c r="X436" s="10"/>
      <c r="Y436" s="10"/>
      <c r="Z436" s="10"/>
      <c r="AA436" s="10"/>
      <c r="AB436" s="10"/>
      <c r="AC436" s="10"/>
    </row>
    <row r="437" spans="1:29" ht="52.5" customHeight="1" x14ac:dyDescent="0.2">
      <c r="A437" s="4034"/>
      <c r="B437" s="3953"/>
      <c r="C437" s="3909"/>
      <c r="D437" s="3910" t="s">
        <v>47</v>
      </c>
      <c r="E437" s="3911"/>
      <c r="F437" s="2351">
        <f t="shared" si="122"/>
        <v>0</v>
      </c>
      <c r="G437" s="2351">
        <f t="shared" si="122"/>
        <v>0</v>
      </c>
      <c r="H437" s="12"/>
      <c r="I437" s="1968">
        <f>IF(F437=0,0,$F437*COEF!$J$27)</f>
        <v>0</v>
      </c>
      <c r="J437" s="858">
        <f>IF(F437=0,0,$F437*COEF!$K$27)</f>
        <v>0</v>
      </c>
      <c r="K437" s="858">
        <f>IF(F437=0,0,$F437*COEF!$L$27)</f>
        <v>0</v>
      </c>
      <c r="L437" s="859" t="e">
        <f t="shared" si="116"/>
        <v>#REF!</v>
      </c>
      <c r="M437" s="859" t="e">
        <f t="shared" si="117"/>
        <v>#REF!</v>
      </c>
      <c r="N437" s="859" t="e">
        <f t="shared" si="118"/>
        <v>#REF!</v>
      </c>
      <c r="O437" s="860" t="e">
        <f t="shared" si="119"/>
        <v>#REF!</v>
      </c>
      <c r="P437" s="860" t="e">
        <f t="shared" si="119"/>
        <v>#REF!</v>
      </c>
      <c r="Q437" s="860" t="e">
        <f t="shared" si="119"/>
        <v>#REF!</v>
      </c>
      <c r="R437" s="1969" t="e">
        <f t="shared" si="120"/>
        <v>#REF!</v>
      </c>
      <c r="S437" s="675">
        <f t="shared" si="121"/>
        <v>0</v>
      </c>
      <c r="T437" s="10"/>
      <c r="U437" s="10"/>
      <c r="V437" s="10"/>
      <c r="W437" s="10"/>
      <c r="X437" s="10"/>
      <c r="Y437" s="10"/>
      <c r="Z437" s="10"/>
      <c r="AA437" s="10"/>
      <c r="AB437" s="10"/>
      <c r="AC437" s="10"/>
    </row>
    <row r="438" spans="1:29" ht="52.5" customHeight="1" x14ac:dyDescent="0.2">
      <c r="A438" s="4034"/>
      <c r="B438" s="3953"/>
      <c r="C438" s="3909"/>
      <c r="D438" s="3650" t="s">
        <v>169</v>
      </c>
      <c r="E438" s="3651"/>
      <c r="F438" s="2351">
        <f t="shared" si="122"/>
        <v>0</v>
      </c>
      <c r="G438" s="2351">
        <f t="shared" si="122"/>
        <v>0</v>
      </c>
      <c r="H438" s="12"/>
      <c r="I438" s="1968">
        <f>IF(F438=0,0,$F438*COEF!$J$27)</f>
        <v>0</v>
      </c>
      <c r="J438" s="858">
        <f>IF(F438=0,0,$F438*COEF!$K$27)</f>
        <v>0</v>
      </c>
      <c r="K438" s="858">
        <f>IF(F438=0,0,$F438*COEF!$L$27)</f>
        <v>0</v>
      </c>
      <c r="L438" s="859" t="e">
        <f t="shared" si="116"/>
        <v>#REF!</v>
      </c>
      <c r="M438" s="859" t="e">
        <f t="shared" si="117"/>
        <v>#REF!</v>
      </c>
      <c r="N438" s="859" t="e">
        <f t="shared" si="118"/>
        <v>#REF!</v>
      </c>
      <c r="O438" s="860" t="e">
        <f t="shared" si="119"/>
        <v>#REF!</v>
      </c>
      <c r="P438" s="860" t="e">
        <f t="shared" si="119"/>
        <v>#REF!</v>
      </c>
      <c r="Q438" s="860" t="e">
        <f t="shared" si="119"/>
        <v>#REF!</v>
      </c>
      <c r="R438" s="1969" t="e">
        <f t="shared" si="120"/>
        <v>#REF!</v>
      </c>
      <c r="S438" s="675">
        <f t="shared" si="121"/>
        <v>0</v>
      </c>
      <c r="T438" s="10"/>
      <c r="U438" s="10"/>
      <c r="V438" s="10"/>
      <c r="W438" s="10"/>
      <c r="X438" s="10"/>
      <c r="Y438" s="10"/>
      <c r="Z438" s="10"/>
      <c r="AA438" s="10"/>
      <c r="AB438" s="10"/>
      <c r="AC438" s="10"/>
    </row>
    <row r="439" spans="1:29" ht="52.5" customHeight="1" x14ac:dyDescent="0.2">
      <c r="A439" s="4034"/>
      <c r="B439" s="3953"/>
      <c r="C439" s="3653"/>
      <c r="D439" s="3650" t="s">
        <v>49</v>
      </c>
      <c r="E439" s="3651"/>
      <c r="F439" s="2351">
        <f t="shared" si="122"/>
        <v>0</v>
      </c>
      <c r="G439" s="2351">
        <f t="shared" si="122"/>
        <v>0</v>
      </c>
      <c r="H439" s="12"/>
      <c r="I439" s="1968">
        <f>IF(F439=0,0,$F439*COEF!$J$27)</f>
        <v>0</v>
      </c>
      <c r="J439" s="858">
        <f>IF(F439=0,0,$F439*COEF!$K$27)</f>
        <v>0</v>
      </c>
      <c r="K439" s="858">
        <f>IF(F439=0,0,$F439*COEF!$L$27)</f>
        <v>0</v>
      </c>
      <c r="L439" s="859" t="e">
        <f t="shared" si="116"/>
        <v>#REF!</v>
      </c>
      <c r="M439" s="859" t="e">
        <f t="shared" si="117"/>
        <v>#REF!</v>
      </c>
      <c r="N439" s="859" t="e">
        <f t="shared" si="118"/>
        <v>#REF!</v>
      </c>
      <c r="O439" s="860" t="e">
        <f t="shared" si="119"/>
        <v>#REF!</v>
      </c>
      <c r="P439" s="860" t="e">
        <f t="shared" si="119"/>
        <v>#REF!</v>
      </c>
      <c r="Q439" s="860" t="e">
        <f t="shared" si="119"/>
        <v>#REF!</v>
      </c>
      <c r="R439" s="1969" t="e">
        <f t="shared" si="120"/>
        <v>#REF!</v>
      </c>
      <c r="S439" s="675">
        <f t="shared" si="121"/>
        <v>0</v>
      </c>
      <c r="T439" s="10"/>
      <c r="U439" s="10"/>
      <c r="V439" s="10"/>
      <c r="W439" s="10"/>
      <c r="X439" s="10"/>
      <c r="Y439" s="10"/>
      <c r="Z439" s="10"/>
      <c r="AA439" s="10"/>
      <c r="AB439" s="10"/>
      <c r="AC439" s="10"/>
    </row>
    <row r="440" spans="1:29" ht="52.5" customHeight="1" thickBot="1" x14ac:dyDescent="0.25">
      <c r="A440" s="4034"/>
      <c r="B440" s="4611"/>
      <c r="C440" s="2077" t="s">
        <v>50</v>
      </c>
      <c r="D440" s="4613" t="s">
        <v>580</v>
      </c>
      <c r="E440" s="4614"/>
      <c r="F440" s="2409" t="e">
        <f t="shared" si="122"/>
        <v>#REF!</v>
      </c>
      <c r="G440" s="2409" t="e">
        <f t="shared" si="122"/>
        <v>#REF!</v>
      </c>
      <c r="H440" s="12"/>
      <c r="I440" s="1968" t="e">
        <f>IF(F440=0,0,$F440*COEF!$J$27)</f>
        <v>#REF!</v>
      </c>
      <c r="J440" s="858" t="e">
        <f>IF(F440=0,0,$F440*COEF!$K$27)</f>
        <v>#REF!</v>
      </c>
      <c r="K440" s="858" t="e">
        <f>IF(F440=0,0,$F440*COEF!$L$27)</f>
        <v>#REF!</v>
      </c>
      <c r="L440" s="859" t="e">
        <f t="shared" si="116"/>
        <v>#REF!</v>
      </c>
      <c r="M440" s="859" t="e">
        <f t="shared" si="117"/>
        <v>#REF!</v>
      </c>
      <c r="N440" s="859" t="e">
        <f t="shared" si="118"/>
        <v>#REF!</v>
      </c>
      <c r="O440" s="860" t="e">
        <f t="shared" si="119"/>
        <v>#REF!</v>
      </c>
      <c r="P440" s="860" t="e">
        <f t="shared" si="119"/>
        <v>#REF!</v>
      </c>
      <c r="Q440" s="860" t="e">
        <f t="shared" si="119"/>
        <v>#REF!</v>
      </c>
      <c r="R440" s="1969" t="e">
        <f t="shared" si="120"/>
        <v>#REF!</v>
      </c>
      <c r="S440" s="675" t="e">
        <f t="shared" si="121"/>
        <v>#REF!</v>
      </c>
      <c r="T440" s="10"/>
      <c r="U440" s="10"/>
      <c r="V440" s="10"/>
      <c r="W440" s="10"/>
      <c r="X440" s="10"/>
      <c r="Y440" s="10"/>
      <c r="Z440" s="10"/>
      <c r="AA440" s="10"/>
      <c r="AB440" s="10"/>
      <c r="AC440" s="10"/>
    </row>
    <row r="441" spans="1:29" ht="52.5" customHeight="1" x14ac:dyDescent="0.2">
      <c r="A441" s="4034"/>
      <c r="B441" s="4017" t="s">
        <v>52</v>
      </c>
      <c r="C441" s="4022" t="s">
        <v>164</v>
      </c>
      <c r="D441" s="4023"/>
      <c r="E441" s="4024"/>
      <c r="F441" s="2410">
        <f t="shared" si="122"/>
        <v>0</v>
      </c>
      <c r="G441" s="2411">
        <f t="shared" si="122"/>
        <v>0</v>
      </c>
      <c r="H441" s="12"/>
      <c r="I441" s="1968">
        <f>IF(F441=0,0,$F441*COEF!$J$27)</f>
        <v>0</v>
      </c>
      <c r="J441" s="858">
        <f>IF(F441=0,0,$F441*COEF!$K$27)</f>
        <v>0</v>
      </c>
      <c r="K441" s="858">
        <f>IF(F441=0,0,$F441*COEF!$L$27)</f>
        <v>0</v>
      </c>
      <c r="L441" s="859" t="e">
        <f t="shared" si="116"/>
        <v>#REF!</v>
      </c>
      <c r="M441" s="859" t="e">
        <f t="shared" si="117"/>
        <v>#REF!</v>
      </c>
      <c r="N441" s="859" t="e">
        <f t="shared" si="118"/>
        <v>#REF!</v>
      </c>
      <c r="O441" s="860" t="e">
        <f t="shared" si="119"/>
        <v>#REF!</v>
      </c>
      <c r="P441" s="860" t="e">
        <f t="shared" si="119"/>
        <v>#REF!</v>
      </c>
      <c r="Q441" s="860" t="e">
        <f t="shared" si="119"/>
        <v>#REF!</v>
      </c>
      <c r="R441" s="1969" t="e">
        <f t="shared" si="120"/>
        <v>#REF!</v>
      </c>
      <c r="S441" s="675">
        <f t="shared" si="121"/>
        <v>0</v>
      </c>
      <c r="T441" s="10"/>
      <c r="U441" s="10"/>
      <c r="V441" s="10"/>
      <c r="W441" s="10"/>
      <c r="X441" s="10"/>
      <c r="Y441" s="10"/>
      <c r="Z441" s="10"/>
      <c r="AA441" s="10"/>
      <c r="AB441" s="10"/>
      <c r="AC441" s="10"/>
    </row>
    <row r="442" spans="1:29" ht="52.5" customHeight="1" x14ac:dyDescent="0.2">
      <c r="A442" s="4034"/>
      <c r="B442" s="4018"/>
      <c r="C442" s="3949" t="s">
        <v>196</v>
      </c>
      <c r="D442" s="3913"/>
      <c r="E442" s="3913"/>
      <c r="F442" s="2352">
        <f>+F375+350*G444</f>
        <v>0</v>
      </c>
      <c r="G442" s="2412">
        <f>+G375+G444</f>
        <v>0</v>
      </c>
      <c r="H442" s="12"/>
      <c r="I442" s="1968">
        <f>IF(F442=0,0,$F442*COEF!$J$27)</f>
        <v>0</v>
      </c>
      <c r="J442" s="858">
        <f>IF(F442=0,0,$F442*COEF!$K$27)</f>
        <v>0</v>
      </c>
      <c r="K442" s="858">
        <f>IF(F442=0,0,$F442*COEF!$L$27)</f>
        <v>0</v>
      </c>
      <c r="L442" s="859" t="e">
        <f t="shared" si="116"/>
        <v>#REF!</v>
      </c>
      <c r="M442" s="859" t="e">
        <f t="shared" si="117"/>
        <v>#REF!</v>
      </c>
      <c r="N442" s="859" t="e">
        <f t="shared" si="118"/>
        <v>#REF!</v>
      </c>
      <c r="O442" s="860" t="e">
        <f t="shared" si="119"/>
        <v>#REF!</v>
      </c>
      <c r="P442" s="860" t="e">
        <f t="shared" si="119"/>
        <v>#REF!</v>
      </c>
      <c r="Q442" s="860" t="e">
        <f t="shared" si="119"/>
        <v>#REF!</v>
      </c>
      <c r="R442" s="1969" t="e">
        <f t="shared" si="120"/>
        <v>#REF!</v>
      </c>
      <c r="S442" s="675">
        <f t="shared" si="121"/>
        <v>0</v>
      </c>
      <c r="T442" s="10"/>
      <c r="U442" s="10"/>
      <c r="V442" s="10"/>
      <c r="W442" s="10"/>
      <c r="X442" s="10"/>
      <c r="Y442" s="10"/>
      <c r="Z442" s="10"/>
      <c r="AA442" s="10"/>
      <c r="AB442" s="10"/>
      <c r="AC442" s="10"/>
    </row>
    <row r="443" spans="1:29" ht="52.5" customHeight="1" x14ac:dyDescent="0.2">
      <c r="A443" s="4034"/>
      <c r="B443" s="4018"/>
      <c r="C443" s="4087" t="s">
        <v>599</v>
      </c>
      <c r="D443" s="4088"/>
      <c r="E443" s="4088"/>
      <c r="F443" s="2351" t="e">
        <f>+F377</f>
        <v>#REF!</v>
      </c>
      <c r="G443" s="2413" t="e">
        <f>+G377</f>
        <v>#REF!</v>
      </c>
      <c r="H443" s="12"/>
      <c r="I443" s="1968" t="e">
        <f>IF(F443=0,0,$F443*COEF!$J$27)</f>
        <v>#REF!</v>
      </c>
      <c r="J443" s="858" t="e">
        <f>IF(F443=0,0,$F443*COEF!$K$27)</f>
        <v>#REF!</v>
      </c>
      <c r="K443" s="858" t="e">
        <f>IF(F443=0,0,$F443*COEF!$L$27)</f>
        <v>#REF!</v>
      </c>
      <c r="L443" s="859" t="e">
        <f t="shared" si="116"/>
        <v>#REF!</v>
      </c>
      <c r="M443" s="859" t="e">
        <f t="shared" si="117"/>
        <v>#REF!</v>
      </c>
      <c r="N443" s="859" t="e">
        <f t="shared" si="118"/>
        <v>#REF!</v>
      </c>
      <c r="O443" s="860" t="e">
        <f t="shared" si="119"/>
        <v>#REF!</v>
      </c>
      <c r="P443" s="860" t="e">
        <f t="shared" si="119"/>
        <v>#REF!</v>
      </c>
      <c r="Q443" s="860" t="e">
        <f t="shared" si="119"/>
        <v>#REF!</v>
      </c>
      <c r="R443" s="1969" t="e">
        <f t="shared" si="120"/>
        <v>#REF!</v>
      </c>
      <c r="S443" s="675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</row>
    <row r="444" spans="1:29" ht="52.5" customHeight="1" x14ac:dyDescent="0.2">
      <c r="A444" s="4034"/>
      <c r="B444" s="4018"/>
      <c r="C444" s="4637" t="s">
        <v>197</v>
      </c>
      <c r="D444" s="4098"/>
      <c r="E444" s="3965"/>
      <c r="F444" s="2352">
        <f>+F376-(350*G444)</f>
        <v>0</v>
      </c>
      <c r="G444" s="2412">
        <f>+G376</f>
        <v>0</v>
      </c>
      <c r="H444" s="12"/>
      <c r="I444" s="1968">
        <f>IF(F444=0,0,$F444*COEF!$J$27)</f>
        <v>0</v>
      </c>
      <c r="J444" s="858">
        <f>IF(F444=0,0,$F444*COEF!$K$27)</f>
        <v>0</v>
      </c>
      <c r="K444" s="858">
        <f>IF(F444=0,0,$F444*COEF!$L$27)</f>
        <v>0</v>
      </c>
      <c r="L444" s="859" t="e">
        <f t="shared" si="116"/>
        <v>#REF!</v>
      </c>
      <c r="M444" s="859" t="e">
        <f t="shared" si="117"/>
        <v>#REF!</v>
      </c>
      <c r="N444" s="859" t="e">
        <f t="shared" si="118"/>
        <v>#REF!</v>
      </c>
      <c r="O444" s="860" t="e">
        <f t="shared" si="119"/>
        <v>#REF!</v>
      </c>
      <c r="P444" s="860" t="e">
        <f t="shared" si="119"/>
        <v>#REF!</v>
      </c>
      <c r="Q444" s="860" t="e">
        <f t="shared" si="119"/>
        <v>#REF!</v>
      </c>
      <c r="R444" s="1969" t="e">
        <f t="shared" si="120"/>
        <v>#REF!</v>
      </c>
      <c r="S444" s="675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</row>
    <row r="445" spans="1:29" ht="52.5" customHeight="1" x14ac:dyDescent="0.2">
      <c r="A445" s="4034"/>
      <c r="B445" s="4018"/>
      <c r="C445" s="4638" t="s">
        <v>598</v>
      </c>
      <c r="D445" s="4594"/>
      <c r="E445" s="4594"/>
      <c r="F445" s="2351" t="e">
        <f>+F378</f>
        <v>#REF!</v>
      </c>
      <c r="G445" s="2413" t="e">
        <f>+G378</f>
        <v>#REF!</v>
      </c>
      <c r="H445" s="12"/>
      <c r="I445" s="1968" t="e">
        <f>IF(F445=0,0,$F445*COEF!$J$27)</f>
        <v>#REF!</v>
      </c>
      <c r="J445" s="858" t="e">
        <f>IF(F445=0,0,$F445*COEF!$K$27)</f>
        <v>#REF!</v>
      </c>
      <c r="K445" s="858" t="e">
        <f>IF(F445=0,0,$F445*COEF!$L$27)</f>
        <v>#REF!</v>
      </c>
      <c r="L445" s="859" t="e">
        <f t="shared" si="116"/>
        <v>#REF!</v>
      </c>
      <c r="M445" s="859" t="e">
        <f t="shared" si="117"/>
        <v>#REF!</v>
      </c>
      <c r="N445" s="859" t="e">
        <f t="shared" si="118"/>
        <v>#REF!</v>
      </c>
      <c r="O445" s="860" t="e">
        <f t="shared" si="119"/>
        <v>#REF!</v>
      </c>
      <c r="P445" s="860" t="e">
        <f t="shared" si="119"/>
        <v>#REF!</v>
      </c>
      <c r="Q445" s="860" t="e">
        <f t="shared" si="119"/>
        <v>#REF!</v>
      </c>
      <c r="R445" s="1969" t="e">
        <f t="shared" si="120"/>
        <v>#REF!</v>
      </c>
      <c r="S445" s="675" t="e">
        <f t="shared" si="121"/>
        <v>#REF!</v>
      </c>
      <c r="T445" s="10"/>
      <c r="U445" s="10"/>
      <c r="V445" s="10"/>
      <c r="W445" s="10"/>
      <c r="X445" s="10"/>
      <c r="Y445" s="10"/>
      <c r="Z445" s="10"/>
      <c r="AA445" s="10"/>
      <c r="AB445" s="10"/>
      <c r="AC445" s="10"/>
    </row>
    <row r="446" spans="1:29" ht="52.5" customHeight="1" x14ac:dyDescent="0.2">
      <c r="A446" s="4034"/>
      <c r="B446" s="4018"/>
      <c r="C446" s="3946" t="s">
        <v>198</v>
      </c>
      <c r="D446" s="3912"/>
      <c r="E446" s="3912"/>
      <c r="F446" s="2352">
        <f>+F379+250*G448</f>
        <v>0</v>
      </c>
      <c r="G446" s="2412">
        <f>+G379+G448</f>
        <v>0</v>
      </c>
      <c r="H446" s="12"/>
      <c r="I446" s="1968">
        <f>IF(F446=0,0,$F446*COEF!$J$27)</f>
        <v>0</v>
      </c>
      <c r="J446" s="858">
        <f>IF(F446=0,0,$F446*COEF!$K$27)</f>
        <v>0</v>
      </c>
      <c r="K446" s="858">
        <f>IF(F446=0,0,$F446*COEF!$L$27)</f>
        <v>0</v>
      </c>
      <c r="L446" s="859" t="e">
        <f t="shared" si="116"/>
        <v>#REF!</v>
      </c>
      <c r="M446" s="859" t="e">
        <f t="shared" si="117"/>
        <v>#REF!</v>
      </c>
      <c r="N446" s="859" t="e">
        <f t="shared" si="118"/>
        <v>#REF!</v>
      </c>
      <c r="O446" s="860" t="e">
        <f t="shared" si="119"/>
        <v>#REF!</v>
      </c>
      <c r="P446" s="860" t="e">
        <f t="shared" si="119"/>
        <v>#REF!</v>
      </c>
      <c r="Q446" s="860" t="e">
        <f t="shared" si="119"/>
        <v>#REF!</v>
      </c>
      <c r="R446" s="1969" t="e">
        <f t="shared" si="120"/>
        <v>#REF!</v>
      </c>
      <c r="S446" s="675">
        <f t="shared" si="121"/>
        <v>0</v>
      </c>
      <c r="T446" s="10"/>
      <c r="U446" s="10"/>
      <c r="V446" s="10"/>
      <c r="W446" s="10"/>
      <c r="X446" s="10"/>
      <c r="Y446" s="10"/>
      <c r="Z446" s="10"/>
      <c r="AA446" s="10"/>
      <c r="AB446" s="10"/>
      <c r="AC446" s="10"/>
    </row>
    <row r="447" spans="1:29" ht="52.5" customHeight="1" x14ac:dyDescent="0.2">
      <c r="A447" s="4034"/>
      <c r="B447" s="4018"/>
      <c r="C447" s="4089" t="s">
        <v>600</v>
      </c>
      <c r="D447" s="4090"/>
      <c r="E447" s="4091"/>
      <c r="F447" s="2351" t="e">
        <f>+F381</f>
        <v>#REF!</v>
      </c>
      <c r="G447" s="2413" t="e">
        <f>+G381</f>
        <v>#REF!</v>
      </c>
      <c r="H447" s="12"/>
      <c r="I447" s="1968" t="e">
        <f>IF(F447=0,0,$F447*COEF!$J$27)</f>
        <v>#REF!</v>
      </c>
      <c r="J447" s="858" t="e">
        <f>IF(F447=0,0,$F447*COEF!$K$27)</f>
        <v>#REF!</v>
      </c>
      <c r="K447" s="858" t="e">
        <f>IF(F447=0,0,$F447*COEF!$L$27)</f>
        <v>#REF!</v>
      </c>
      <c r="L447" s="859" t="e">
        <f t="shared" si="116"/>
        <v>#REF!</v>
      </c>
      <c r="M447" s="859" t="e">
        <f t="shared" si="117"/>
        <v>#REF!</v>
      </c>
      <c r="N447" s="859" t="e">
        <f t="shared" si="118"/>
        <v>#REF!</v>
      </c>
      <c r="O447" s="860" t="e">
        <f t="shared" si="119"/>
        <v>#REF!</v>
      </c>
      <c r="P447" s="860" t="e">
        <f t="shared" si="119"/>
        <v>#REF!</v>
      </c>
      <c r="Q447" s="860" t="e">
        <f t="shared" si="119"/>
        <v>#REF!</v>
      </c>
      <c r="R447" s="1969" t="e">
        <f t="shared" si="120"/>
        <v>#REF!</v>
      </c>
      <c r="S447" s="675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</row>
    <row r="448" spans="1:29" ht="52.5" customHeight="1" x14ac:dyDescent="0.2">
      <c r="A448" s="4034"/>
      <c r="B448" s="4018"/>
      <c r="C448" s="4637" t="s">
        <v>199</v>
      </c>
      <c r="D448" s="4098"/>
      <c r="E448" s="3965"/>
      <c r="F448" s="2352">
        <f>+F380-(250*G448)</f>
        <v>0</v>
      </c>
      <c r="G448" s="2412">
        <f>+G380</f>
        <v>0</v>
      </c>
      <c r="H448" s="12"/>
      <c r="I448" s="1968">
        <f>IF(F448=0,0,$F448*COEF!$J$27)</f>
        <v>0</v>
      </c>
      <c r="J448" s="858">
        <f>IF(F448=0,0,$F448*COEF!$K$27)</f>
        <v>0</v>
      </c>
      <c r="K448" s="858">
        <f>IF(F448=0,0,$F448*COEF!$L$27)</f>
        <v>0</v>
      </c>
      <c r="L448" s="859" t="e">
        <f t="shared" si="116"/>
        <v>#REF!</v>
      </c>
      <c r="M448" s="859" t="e">
        <f t="shared" si="117"/>
        <v>#REF!</v>
      </c>
      <c r="N448" s="859" t="e">
        <f t="shared" si="118"/>
        <v>#REF!</v>
      </c>
      <c r="O448" s="860" t="e">
        <f t="shared" si="119"/>
        <v>#REF!</v>
      </c>
      <c r="P448" s="860" t="e">
        <f t="shared" si="119"/>
        <v>#REF!</v>
      </c>
      <c r="Q448" s="860" t="e">
        <f t="shared" si="119"/>
        <v>#REF!</v>
      </c>
      <c r="R448" s="1969" t="e">
        <f t="shared" si="120"/>
        <v>#REF!</v>
      </c>
      <c r="S448" s="675">
        <f t="shared" si="121"/>
        <v>0</v>
      </c>
      <c r="T448" s="10"/>
      <c r="U448" s="10"/>
      <c r="V448" s="10"/>
      <c r="W448" s="10"/>
      <c r="X448" s="10"/>
      <c r="Y448" s="10"/>
      <c r="Z448" s="10"/>
      <c r="AA448" s="10"/>
      <c r="AB448" s="10"/>
      <c r="AC448" s="10"/>
    </row>
    <row r="449" spans="1:29" ht="52.5" customHeight="1" x14ac:dyDescent="0.2">
      <c r="A449" s="4034"/>
      <c r="B449" s="4018"/>
      <c r="C449" s="3686" t="s">
        <v>167</v>
      </c>
      <c r="D449" s="4649" t="s">
        <v>601</v>
      </c>
      <c r="E449" s="4650"/>
      <c r="F449" s="2439">
        <f>+IF(H451&lt;=350,F452+F455+F453+F456,(350*(G453+G456)+F452+F455))</f>
        <v>0</v>
      </c>
      <c r="G449" s="2439">
        <f>+G452+G453+G455+G456</f>
        <v>0</v>
      </c>
      <c r="H449" s="12"/>
      <c r="I449" s="1968"/>
      <c r="J449" s="858"/>
      <c r="K449" s="858"/>
      <c r="L449" s="859"/>
      <c r="M449" s="859"/>
      <c r="N449" s="859"/>
      <c r="O449" s="860"/>
      <c r="P449" s="860"/>
      <c r="Q449" s="860"/>
      <c r="R449" s="1969"/>
      <c r="S449" s="675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</row>
    <row r="450" spans="1:29" ht="52.5" customHeight="1" x14ac:dyDescent="0.2">
      <c r="A450" s="4034"/>
      <c r="B450" s="4018"/>
      <c r="C450" s="3687"/>
      <c r="D450" s="4650" t="s">
        <v>602</v>
      </c>
      <c r="E450" s="4651"/>
      <c r="F450" s="2439" t="e">
        <f>+F454+F457</f>
        <v>#REF!</v>
      </c>
      <c r="G450" s="2439" t="e">
        <f>+G454+G457</f>
        <v>#REF!</v>
      </c>
      <c r="H450" s="12" t="e">
        <f>SUM(G449:G451)</f>
        <v>#REF!</v>
      </c>
      <c r="I450" s="1968"/>
      <c r="J450" s="858"/>
      <c r="K450" s="858"/>
      <c r="L450" s="859"/>
      <c r="M450" s="859"/>
      <c r="N450" s="859"/>
      <c r="O450" s="860"/>
      <c r="P450" s="860"/>
      <c r="Q450" s="860"/>
      <c r="R450" s="1969"/>
      <c r="S450" s="675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</row>
    <row r="451" spans="1:29" ht="52.5" customHeight="1" x14ac:dyDescent="0.2">
      <c r="A451" s="4034"/>
      <c r="B451" s="4018"/>
      <c r="C451" s="3687"/>
      <c r="D451" s="4650" t="s">
        <v>603</v>
      </c>
      <c r="E451" s="4651"/>
      <c r="F451" s="2439">
        <f>+IF(H451&gt;350,(F453+F456)-(350*G451),0)</f>
        <v>0</v>
      </c>
      <c r="G451" s="2440">
        <f>+G453+G456</f>
        <v>0</v>
      </c>
      <c r="H451" s="12">
        <f>+IF((G453+G456)=0,0,(F453+F456)/(G453+G456))</f>
        <v>0</v>
      </c>
      <c r="I451" s="1968"/>
      <c r="J451" s="858"/>
      <c r="K451" s="858"/>
      <c r="L451" s="859"/>
      <c r="M451" s="859"/>
      <c r="N451" s="859"/>
      <c r="O451" s="860"/>
      <c r="P451" s="860"/>
      <c r="Q451" s="860"/>
      <c r="R451" s="1969"/>
      <c r="S451" s="675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</row>
    <row r="452" spans="1:29" ht="52.5" customHeight="1" x14ac:dyDescent="0.2">
      <c r="A452" s="4034"/>
      <c r="B452" s="4018"/>
      <c r="C452" s="3687"/>
      <c r="D452" s="3648" t="s">
        <v>53</v>
      </c>
      <c r="E452" s="3649"/>
      <c r="F452" s="2351">
        <f t="shared" ref="F452:G459" si="123">+F382</f>
        <v>0</v>
      </c>
      <c r="G452" s="2413">
        <f t="shared" si="123"/>
        <v>0</v>
      </c>
      <c r="H452" s="12" t="e">
        <f>SUM(F449:F451)</f>
        <v>#REF!</v>
      </c>
      <c r="I452" s="1968">
        <f>IF(F452=0,0,$F452*COEF!$J$27)</f>
        <v>0</v>
      </c>
      <c r="J452" s="858">
        <f>IF(F452=0,0,$F452*COEF!$K$27)</f>
        <v>0</v>
      </c>
      <c r="K452" s="858">
        <f>IF(F452=0,0,$F452*COEF!$L$27)</f>
        <v>0</v>
      </c>
      <c r="L452" s="859" t="e">
        <f t="shared" ref="L452:L467" si="124">+I452*I$595</f>
        <v>#REF!</v>
      </c>
      <c r="M452" s="859" t="e">
        <f t="shared" ref="M452:M467" si="125">+J452*J$595</f>
        <v>#REF!</v>
      </c>
      <c r="N452" s="859" t="e">
        <f t="shared" ref="N452:N467" si="126">+K452*K$595</f>
        <v>#REF!</v>
      </c>
      <c r="O452" s="860" t="e">
        <f t="shared" si="119"/>
        <v>#REF!</v>
      </c>
      <c r="P452" s="860" t="e">
        <f t="shared" si="119"/>
        <v>#REF!</v>
      </c>
      <c r="Q452" s="860" t="e">
        <f t="shared" si="119"/>
        <v>#REF!</v>
      </c>
      <c r="R452" s="1969" t="e">
        <f t="shared" si="120"/>
        <v>#REF!</v>
      </c>
      <c r="S452" s="675">
        <f t="shared" si="121"/>
        <v>0</v>
      </c>
      <c r="T452" s="10"/>
      <c r="U452" s="10"/>
      <c r="V452" s="10"/>
      <c r="W452" s="10"/>
      <c r="X452" s="10"/>
      <c r="Y452" s="10"/>
      <c r="Z452" s="10"/>
      <c r="AA452" s="10"/>
      <c r="AB452" s="10"/>
      <c r="AC452" s="10"/>
    </row>
    <row r="453" spans="1:29" ht="52.5" customHeight="1" x14ac:dyDescent="0.2">
      <c r="A453" s="4034"/>
      <c r="B453" s="4018"/>
      <c r="C453" s="3687"/>
      <c r="D453" s="3648" t="s">
        <v>54</v>
      </c>
      <c r="E453" s="3649"/>
      <c r="F453" s="2351">
        <f t="shared" si="123"/>
        <v>0</v>
      </c>
      <c r="G453" s="2413">
        <f t="shared" si="123"/>
        <v>0</v>
      </c>
      <c r="H453" s="12"/>
      <c r="I453" s="1968">
        <f>IF(F453=0,0,$F453*COEF!$J$27)</f>
        <v>0</v>
      </c>
      <c r="J453" s="858">
        <f>IF(F453=0,0,$F453*COEF!$K$27)</f>
        <v>0</v>
      </c>
      <c r="K453" s="858">
        <f>IF(F453=0,0,$F453*COEF!$L$27)</f>
        <v>0</v>
      </c>
      <c r="L453" s="859" t="e">
        <f t="shared" si="124"/>
        <v>#REF!</v>
      </c>
      <c r="M453" s="859" t="e">
        <f t="shared" si="125"/>
        <v>#REF!</v>
      </c>
      <c r="N453" s="859" t="e">
        <f t="shared" si="126"/>
        <v>#REF!</v>
      </c>
      <c r="O453" s="860" t="e">
        <f t="shared" si="119"/>
        <v>#REF!</v>
      </c>
      <c r="P453" s="860" t="e">
        <f t="shared" si="119"/>
        <v>#REF!</v>
      </c>
      <c r="Q453" s="860" t="e">
        <f t="shared" si="119"/>
        <v>#REF!</v>
      </c>
      <c r="R453" s="1969" t="e">
        <f t="shared" si="120"/>
        <v>#REF!</v>
      </c>
      <c r="S453" s="675">
        <f t="shared" si="121"/>
        <v>0</v>
      </c>
      <c r="T453" s="10"/>
      <c r="U453" s="10"/>
      <c r="V453" s="10"/>
      <c r="W453" s="10"/>
      <c r="X453" s="10"/>
      <c r="Y453" s="10"/>
      <c r="Z453" s="10"/>
      <c r="AA453" s="10"/>
      <c r="AB453" s="10"/>
      <c r="AC453" s="10"/>
    </row>
    <row r="454" spans="1:29" ht="52.5" customHeight="1" x14ac:dyDescent="0.2">
      <c r="A454" s="4034"/>
      <c r="B454" s="4018"/>
      <c r="C454" s="3687"/>
      <c r="D454" s="4092" t="s">
        <v>604</v>
      </c>
      <c r="E454" s="4093"/>
      <c r="F454" s="2351" t="e">
        <f t="shared" si="123"/>
        <v>#REF!</v>
      </c>
      <c r="G454" s="2413" t="e">
        <f t="shared" si="123"/>
        <v>#REF!</v>
      </c>
      <c r="H454" s="12"/>
      <c r="I454" s="1968" t="e">
        <f>IF(F454=0,0,$F454*COEF!$J$27)</f>
        <v>#REF!</v>
      </c>
      <c r="J454" s="858" t="e">
        <f>IF(F454=0,0,$F454*COEF!$K$27)</f>
        <v>#REF!</v>
      </c>
      <c r="K454" s="858" t="e">
        <f>IF(F454=0,0,$F454*COEF!$L$27)</f>
        <v>#REF!</v>
      </c>
      <c r="L454" s="859" t="e">
        <f t="shared" si="124"/>
        <v>#REF!</v>
      </c>
      <c r="M454" s="859" t="e">
        <f t="shared" si="125"/>
        <v>#REF!</v>
      </c>
      <c r="N454" s="859" t="e">
        <f t="shared" si="126"/>
        <v>#REF!</v>
      </c>
      <c r="O454" s="860" t="e">
        <f t="shared" si="119"/>
        <v>#REF!</v>
      </c>
      <c r="P454" s="860" t="e">
        <f t="shared" si="119"/>
        <v>#REF!</v>
      </c>
      <c r="Q454" s="860" t="e">
        <f t="shared" si="119"/>
        <v>#REF!</v>
      </c>
      <c r="R454" s="1969" t="e">
        <f t="shared" si="120"/>
        <v>#REF!</v>
      </c>
      <c r="S454" s="675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</row>
    <row r="455" spans="1:29" ht="52.5" customHeight="1" x14ac:dyDescent="0.2">
      <c r="A455" s="4034"/>
      <c r="B455" s="4018"/>
      <c r="C455" s="3687"/>
      <c r="D455" s="3650" t="s">
        <v>55</v>
      </c>
      <c r="E455" s="3651"/>
      <c r="F455" s="2351">
        <f t="shared" si="123"/>
        <v>0</v>
      </c>
      <c r="G455" s="2413">
        <f t="shared" si="123"/>
        <v>0</v>
      </c>
      <c r="H455" s="12"/>
      <c r="I455" s="1968">
        <f>IF(F455=0,0,$F455*COEF!$J$27)</f>
        <v>0</v>
      </c>
      <c r="J455" s="858">
        <f>IF(F455=0,0,$F455*COEF!$K$27)</f>
        <v>0</v>
      </c>
      <c r="K455" s="858">
        <f>IF(F455=0,0,$F455*COEF!$L$27)</f>
        <v>0</v>
      </c>
      <c r="L455" s="859" t="e">
        <f t="shared" si="124"/>
        <v>#REF!</v>
      </c>
      <c r="M455" s="859" t="e">
        <f t="shared" si="125"/>
        <v>#REF!</v>
      </c>
      <c r="N455" s="859" t="e">
        <f t="shared" si="126"/>
        <v>#REF!</v>
      </c>
      <c r="O455" s="860" t="e">
        <f t="shared" si="119"/>
        <v>#REF!</v>
      </c>
      <c r="P455" s="860" t="e">
        <f t="shared" si="119"/>
        <v>#REF!</v>
      </c>
      <c r="Q455" s="860" t="e">
        <f t="shared" si="119"/>
        <v>#REF!</v>
      </c>
      <c r="R455" s="1969" t="e">
        <f t="shared" si="120"/>
        <v>#REF!</v>
      </c>
      <c r="S455" s="675">
        <f t="shared" si="121"/>
        <v>0</v>
      </c>
      <c r="T455" s="10"/>
      <c r="U455" s="10"/>
      <c r="V455" s="10"/>
      <c r="W455" s="10"/>
      <c r="X455" s="10"/>
      <c r="Y455" s="10"/>
      <c r="Z455" s="10"/>
      <c r="AA455" s="10"/>
      <c r="AB455" s="10"/>
      <c r="AC455" s="10"/>
    </row>
    <row r="456" spans="1:29" ht="52.5" customHeight="1" x14ac:dyDescent="0.2">
      <c r="A456" s="4034"/>
      <c r="B456" s="4018"/>
      <c r="C456" s="4096"/>
      <c r="D456" s="3650" t="s">
        <v>56</v>
      </c>
      <c r="E456" s="3651"/>
      <c r="F456" s="2351">
        <f t="shared" si="123"/>
        <v>0</v>
      </c>
      <c r="G456" s="2413">
        <f t="shared" si="123"/>
        <v>0</v>
      </c>
      <c r="H456" s="12" t="e">
        <f>SUM(G452:G457)</f>
        <v>#REF!</v>
      </c>
      <c r="I456" s="1968">
        <f>IF(F456=0,0,$F456*COEF!$J$27)</f>
        <v>0</v>
      </c>
      <c r="J456" s="858">
        <f>IF(F456=0,0,$F456*COEF!$K$27)</f>
        <v>0</v>
      </c>
      <c r="K456" s="858">
        <f>IF(F456=0,0,$F456*COEF!$L$27)</f>
        <v>0</v>
      </c>
      <c r="L456" s="859" t="e">
        <f t="shared" si="124"/>
        <v>#REF!</v>
      </c>
      <c r="M456" s="859" t="e">
        <f t="shared" si="125"/>
        <v>#REF!</v>
      </c>
      <c r="N456" s="859" t="e">
        <f t="shared" si="126"/>
        <v>#REF!</v>
      </c>
      <c r="O456" s="860" t="e">
        <f t="shared" si="119"/>
        <v>#REF!</v>
      </c>
      <c r="P456" s="860" t="e">
        <f t="shared" si="119"/>
        <v>#REF!</v>
      </c>
      <c r="Q456" s="860" t="e">
        <f t="shared" si="119"/>
        <v>#REF!</v>
      </c>
      <c r="R456" s="1969" t="e">
        <f t="shared" si="120"/>
        <v>#REF!</v>
      </c>
      <c r="S456" s="675">
        <f t="shared" si="121"/>
        <v>0</v>
      </c>
      <c r="T456" s="10"/>
      <c r="U456" s="10"/>
      <c r="V456" s="10"/>
      <c r="W456" s="10"/>
      <c r="X456" s="10"/>
      <c r="Y456" s="10"/>
      <c r="Z456" s="10"/>
      <c r="AA456" s="10"/>
      <c r="AB456" s="10"/>
      <c r="AC456" s="10"/>
    </row>
    <row r="457" spans="1:29" ht="52.5" customHeight="1" x14ac:dyDescent="0.2">
      <c r="A457" s="4034"/>
      <c r="B457" s="4018"/>
      <c r="C457" s="2405"/>
      <c r="D457" s="4094" t="s">
        <v>605</v>
      </c>
      <c r="E457" s="4095"/>
      <c r="F457" s="2351" t="e">
        <f t="shared" si="123"/>
        <v>#REF!</v>
      </c>
      <c r="G457" s="2413" t="e">
        <f t="shared" si="123"/>
        <v>#REF!</v>
      </c>
      <c r="H457" s="12" t="e">
        <f>SUM(F452:F457)</f>
        <v>#REF!</v>
      </c>
      <c r="I457" s="1968" t="e">
        <f>IF(F457=0,0,$F457*COEF!$J$27)</f>
        <v>#REF!</v>
      </c>
      <c r="J457" s="858" t="e">
        <f>IF(F457=0,0,$F457*COEF!$K$27)</f>
        <v>#REF!</v>
      </c>
      <c r="K457" s="858" t="e">
        <f>IF(F457=0,0,$F457*COEF!$L$27)</f>
        <v>#REF!</v>
      </c>
      <c r="L457" s="859" t="e">
        <f t="shared" si="124"/>
        <v>#REF!</v>
      </c>
      <c r="M457" s="859" t="e">
        <f t="shared" si="125"/>
        <v>#REF!</v>
      </c>
      <c r="N457" s="859" t="e">
        <f t="shared" si="126"/>
        <v>#REF!</v>
      </c>
      <c r="O457" s="860" t="e">
        <f t="shared" si="119"/>
        <v>#REF!</v>
      </c>
      <c r="P457" s="860" t="e">
        <f t="shared" si="119"/>
        <v>#REF!</v>
      </c>
      <c r="Q457" s="860" t="e">
        <f t="shared" si="119"/>
        <v>#REF!</v>
      </c>
      <c r="R457" s="1969" t="e">
        <f t="shared" si="120"/>
        <v>#REF!</v>
      </c>
      <c r="S457" s="675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</row>
    <row r="458" spans="1:29" ht="52.5" customHeight="1" thickBot="1" x14ac:dyDescent="0.25">
      <c r="A458" s="4034"/>
      <c r="B458" s="4615"/>
      <c r="C458" s="2414" t="s">
        <v>50</v>
      </c>
      <c r="D458" s="4652" t="s">
        <v>580</v>
      </c>
      <c r="E458" s="4631"/>
      <c r="F458" s="2415" t="e">
        <f t="shared" si="123"/>
        <v>#REF!</v>
      </c>
      <c r="G458" s="2416" t="e">
        <f t="shared" si="123"/>
        <v>#REF!</v>
      </c>
      <c r="H458" s="12"/>
      <c r="I458" s="1968" t="e">
        <f>IF(F458=0,0,$F458*COEF!$J$27)</f>
        <v>#REF!</v>
      </c>
      <c r="J458" s="858" t="e">
        <f>IF(F458=0,0,$F458*COEF!$K$27)</f>
        <v>#REF!</v>
      </c>
      <c r="K458" s="858" t="e">
        <f>IF(F458=0,0,$F458*COEF!$L$27)</f>
        <v>#REF!</v>
      </c>
      <c r="L458" s="859" t="e">
        <f t="shared" si="124"/>
        <v>#REF!</v>
      </c>
      <c r="M458" s="859" t="e">
        <f t="shared" si="125"/>
        <v>#REF!</v>
      </c>
      <c r="N458" s="859" t="e">
        <f t="shared" si="126"/>
        <v>#REF!</v>
      </c>
      <c r="O458" s="860" t="e">
        <f t="shared" si="119"/>
        <v>#REF!</v>
      </c>
      <c r="P458" s="860" t="e">
        <f t="shared" si="119"/>
        <v>#REF!</v>
      </c>
      <c r="Q458" s="860" t="e">
        <f t="shared" si="119"/>
        <v>#REF!</v>
      </c>
      <c r="R458" s="1969" t="e">
        <f t="shared" si="120"/>
        <v>#REF!</v>
      </c>
      <c r="S458" s="675" t="e">
        <f t="shared" si="121"/>
        <v>#REF!</v>
      </c>
      <c r="T458" s="10"/>
      <c r="U458" s="10"/>
      <c r="V458" s="10"/>
      <c r="W458" s="10"/>
      <c r="X458" s="10"/>
      <c r="Y458" s="10"/>
      <c r="Z458" s="10"/>
      <c r="AA458" s="10"/>
      <c r="AB458" s="10"/>
      <c r="AC458" s="10"/>
    </row>
    <row r="459" spans="1:29" ht="52.5" customHeight="1" x14ac:dyDescent="0.2">
      <c r="A459" s="4034"/>
      <c r="B459" s="3963" t="s">
        <v>57</v>
      </c>
      <c r="C459" s="3960" t="s">
        <v>164</v>
      </c>
      <c r="D459" s="4023"/>
      <c r="E459" s="4024"/>
      <c r="F459" s="2410">
        <f t="shared" si="123"/>
        <v>0</v>
      </c>
      <c r="G459" s="2411">
        <f t="shared" si="123"/>
        <v>0</v>
      </c>
      <c r="H459" s="12"/>
      <c r="I459" s="1968">
        <f>IF(F459=0,0,$F459*COEF!$J$27)</f>
        <v>0</v>
      </c>
      <c r="J459" s="858">
        <f>IF(F459=0,0,$F459*COEF!$K$27)</f>
        <v>0</v>
      </c>
      <c r="K459" s="858">
        <f>IF(F459=0,0,$F459*COEF!$L$27)</f>
        <v>0</v>
      </c>
      <c r="L459" s="859" t="e">
        <f t="shared" si="124"/>
        <v>#REF!</v>
      </c>
      <c r="M459" s="859" t="e">
        <f t="shared" si="125"/>
        <v>#REF!</v>
      </c>
      <c r="N459" s="859" t="e">
        <f t="shared" si="126"/>
        <v>#REF!</v>
      </c>
      <c r="O459" s="860" t="e">
        <f t="shared" si="119"/>
        <v>#REF!</v>
      </c>
      <c r="P459" s="860" t="e">
        <f t="shared" si="119"/>
        <v>#REF!</v>
      </c>
      <c r="Q459" s="860" t="e">
        <f t="shared" si="119"/>
        <v>#REF!</v>
      </c>
      <c r="R459" s="1969" t="e">
        <f t="shared" si="120"/>
        <v>#REF!</v>
      </c>
      <c r="S459" s="675">
        <f t="shared" si="121"/>
        <v>0</v>
      </c>
      <c r="T459" s="10"/>
      <c r="U459" s="10"/>
      <c r="V459" s="10"/>
      <c r="W459" s="10"/>
      <c r="X459" s="10"/>
      <c r="Y459" s="10"/>
      <c r="Z459" s="10"/>
      <c r="AA459" s="10"/>
      <c r="AB459" s="10"/>
      <c r="AC459" s="10"/>
    </row>
    <row r="460" spans="1:29" ht="52.5" customHeight="1" x14ac:dyDescent="0.2">
      <c r="A460" s="4034"/>
      <c r="B460" s="3964"/>
      <c r="C460" s="3913" t="s">
        <v>179</v>
      </c>
      <c r="D460" s="3913"/>
      <c r="E460" s="3913"/>
      <c r="F460" s="2352">
        <f>+G460*350</f>
        <v>0</v>
      </c>
      <c r="G460" s="2412">
        <f>+G390</f>
        <v>0</v>
      </c>
      <c r="H460" s="12"/>
      <c r="I460" s="1968">
        <f>IF(F460=0,0,$F460*COEF!$J$27)</f>
        <v>0</v>
      </c>
      <c r="J460" s="858">
        <f>IF(F460=0,0,$F460*COEF!$K$27)</f>
        <v>0</v>
      </c>
      <c r="K460" s="858">
        <f>IF(F460=0,0,$F460*COEF!$L$27)</f>
        <v>0</v>
      </c>
      <c r="L460" s="859" t="e">
        <f t="shared" si="124"/>
        <v>#REF!</v>
      </c>
      <c r="M460" s="859" t="e">
        <f t="shared" si="125"/>
        <v>#REF!</v>
      </c>
      <c r="N460" s="859" t="e">
        <f t="shared" si="126"/>
        <v>#REF!</v>
      </c>
      <c r="O460" s="860" t="e">
        <f t="shared" si="119"/>
        <v>#REF!</v>
      </c>
      <c r="P460" s="860" t="e">
        <f t="shared" si="119"/>
        <v>#REF!</v>
      </c>
      <c r="Q460" s="860" t="e">
        <f t="shared" si="119"/>
        <v>#REF!</v>
      </c>
      <c r="R460" s="1969" t="e">
        <f t="shared" si="120"/>
        <v>#REF!</v>
      </c>
      <c r="S460" s="675">
        <f t="shared" si="121"/>
        <v>0</v>
      </c>
      <c r="T460" s="10"/>
      <c r="U460" s="10"/>
      <c r="V460" s="10"/>
      <c r="W460" s="10"/>
      <c r="X460" s="10"/>
      <c r="Y460" s="10"/>
      <c r="Z460" s="10"/>
      <c r="AA460" s="10"/>
      <c r="AB460" s="10"/>
      <c r="AC460" s="10"/>
    </row>
    <row r="461" spans="1:29" ht="52.5" customHeight="1" x14ac:dyDescent="0.2">
      <c r="A461" s="4034"/>
      <c r="B461" s="3964"/>
      <c r="C461" s="4088" t="s">
        <v>606</v>
      </c>
      <c r="D461" s="4088"/>
      <c r="E461" s="4088"/>
      <c r="F461" s="2351" t="e">
        <f>+F391</f>
        <v>#REF!</v>
      </c>
      <c r="G461" s="2413" t="e">
        <f>+G391</f>
        <v>#REF!</v>
      </c>
      <c r="H461" s="12"/>
      <c r="I461" s="1968" t="e">
        <f>IF(F461=0,0,$F461*COEF!$J$27)</f>
        <v>#REF!</v>
      </c>
      <c r="J461" s="858" t="e">
        <f>IF(F461=0,0,$F461*COEF!$K$27)</f>
        <v>#REF!</v>
      </c>
      <c r="K461" s="858" t="e">
        <f>IF(F461=0,0,$F461*COEF!$L$27)</f>
        <v>#REF!</v>
      </c>
      <c r="L461" s="859" t="e">
        <f t="shared" si="124"/>
        <v>#REF!</v>
      </c>
      <c r="M461" s="859" t="e">
        <f t="shared" si="125"/>
        <v>#REF!</v>
      </c>
      <c r="N461" s="859" t="e">
        <f t="shared" si="126"/>
        <v>#REF!</v>
      </c>
      <c r="O461" s="860" t="e">
        <f t="shared" si="119"/>
        <v>#REF!</v>
      </c>
      <c r="P461" s="860" t="e">
        <f t="shared" si="119"/>
        <v>#REF!</v>
      </c>
      <c r="Q461" s="860" t="e">
        <f t="shared" si="119"/>
        <v>#REF!</v>
      </c>
      <c r="R461" s="1969" t="e">
        <f t="shared" si="120"/>
        <v>#REF!</v>
      </c>
      <c r="S461" s="675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</row>
    <row r="462" spans="1:29" ht="52.5" customHeight="1" x14ac:dyDescent="0.2">
      <c r="A462" s="4034"/>
      <c r="B462" s="3964"/>
      <c r="C462" s="4098" t="s">
        <v>204</v>
      </c>
      <c r="D462" s="4098"/>
      <c r="E462" s="3965"/>
      <c r="F462" s="2352">
        <f>+F390-(350*G462)</f>
        <v>0</v>
      </c>
      <c r="G462" s="2412">
        <f>+G390</f>
        <v>0</v>
      </c>
      <c r="H462" s="12"/>
      <c r="I462" s="1968">
        <f>IF(F462=0,0,$F462*COEF!$J$27)</f>
        <v>0</v>
      </c>
      <c r="J462" s="858">
        <f>IF(F462=0,0,$F462*COEF!$K$27)</f>
        <v>0</v>
      </c>
      <c r="K462" s="858">
        <f>IF(F462=0,0,$F462*COEF!$L$27)</f>
        <v>0</v>
      </c>
      <c r="L462" s="859" t="e">
        <f t="shared" si="124"/>
        <v>#REF!</v>
      </c>
      <c r="M462" s="859" t="e">
        <f t="shared" si="125"/>
        <v>#REF!</v>
      </c>
      <c r="N462" s="859" t="e">
        <f t="shared" si="126"/>
        <v>#REF!</v>
      </c>
      <c r="O462" s="860" t="e">
        <f t="shared" si="119"/>
        <v>#REF!</v>
      </c>
      <c r="P462" s="860" t="e">
        <f t="shared" si="119"/>
        <v>#REF!</v>
      </c>
      <c r="Q462" s="860" t="e">
        <f t="shared" si="119"/>
        <v>#REF!</v>
      </c>
      <c r="R462" s="1969" t="e">
        <f t="shared" si="120"/>
        <v>#REF!</v>
      </c>
      <c r="S462" s="675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</row>
    <row r="463" spans="1:29" ht="52.5" customHeight="1" x14ac:dyDescent="0.2">
      <c r="A463" s="4034"/>
      <c r="B463" s="3964"/>
      <c r="C463" s="4594" t="s">
        <v>598</v>
      </c>
      <c r="D463" s="4594"/>
      <c r="E463" s="4594"/>
      <c r="F463" s="2351" t="e">
        <f>+F392</f>
        <v>#REF!</v>
      </c>
      <c r="G463" s="2413" t="e">
        <f>+G392</f>
        <v>#REF!</v>
      </c>
      <c r="H463" s="12"/>
      <c r="I463" s="1968" t="e">
        <f>IF(F463=0,0,$F463*COEF!$J$27)</f>
        <v>#REF!</v>
      </c>
      <c r="J463" s="858" t="e">
        <f>IF(F463=0,0,$F463*COEF!$K$27)</f>
        <v>#REF!</v>
      </c>
      <c r="K463" s="858" t="e">
        <f>IF(F463=0,0,$F463*COEF!$L$27)</f>
        <v>#REF!</v>
      </c>
      <c r="L463" s="859" t="e">
        <f t="shared" si="124"/>
        <v>#REF!</v>
      </c>
      <c r="M463" s="859" t="e">
        <f t="shared" si="125"/>
        <v>#REF!</v>
      </c>
      <c r="N463" s="859" t="e">
        <f t="shared" si="126"/>
        <v>#REF!</v>
      </c>
      <c r="O463" s="860" t="e">
        <f t="shared" si="119"/>
        <v>#REF!</v>
      </c>
      <c r="P463" s="860" t="e">
        <f t="shared" si="119"/>
        <v>#REF!</v>
      </c>
      <c r="Q463" s="860" t="e">
        <f t="shared" si="119"/>
        <v>#REF!</v>
      </c>
      <c r="R463" s="1969" t="e">
        <f t="shared" si="120"/>
        <v>#REF!</v>
      </c>
      <c r="S463" s="675" t="e">
        <f t="shared" si="121"/>
        <v>#REF!</v>
      </c>
      <c r="T463" s="10"/>
      <c r="U463" s="10"/>
      <c r="V463" s="10"/>
      <c r="W463" s="10"/>
      <c r="X463" s="10"/>
      <c r="Y463" s="10"/>
      <c r="Z463" s="10"/>
      <c r="AA463" s="10"/>
      <c r="AB463" s="10"/>
      <c r="AC463" s="10"/>
    </row>
    <row r="464" spans="1:29" ht="52.5" customHeight="1" x14ac:dyDescent="0.2">
      <c r="A464" s="4034"/>
      <c r="B464" s="3964"/>
      <c r="C464" s="3912" t="s">
        <v>205</v>
      </c>
      <c r="D464" s="3912"/>
      <c r="E464" s="3912"/>
      <c r="F464" s="2352">
        <f>250*G466</f>
        <v>0</v>
      </c>
      <c r="G464" s="2412">
        <f>+G466</f>
        <v>0</v>
      </c>
      <c r="H464" s="12"/>
      <c r="I464" s="1968">
        <f>IF(F464=0,0,$F464*COEF!$J$27)</f>
        <v>0</v>
      </c>
      <c r="J464" s="858">
        <f>IF(F464=0,0,$F464*COEF!$K$27)</f>
        <v>0</v>
      </c>
      <c r="K464" s="858">
        <f>IF(F464=0,0,$F464*COEF!$L$27)</f>
        <v>0</v>
      </c>
      <c r="L464" s="859" t="e">
        <f t="shared" si="124"/>
        <v>#REF!</v>
      </c>
      <c r="M464" s="859" t="e">
        <f t="shared" si="125"/>
        <v>#REF!</v>
      </c>
      <c r="N464" s="859" t="e">
        <f t="shared" si="126"/>
        <v>#REF!</v>
      </c>
      <c r="O464" s="860" t="e">
        <f t="shared" si="119"/>
        <v>#REF!</v>
      </c>
      <c r="P464" s="860" t="e">
        <f t="shared" si="119"/>
        <v>#REF!</v>
      </c>
      <c r="Q464" s="860" t="e">
        <f t="shared" si="119"/>
        <v>#REF!</v>
      </c>
      <c r="R464" s="1969" t="e">
        <f t="shared" si="120"/>
        <v>#REF!</v>
      </c>
      <c r="S464" s="675">
        <f t="shared" si="121"/>
        <v>0</v>
      </c>
      <c r="T464" s="10"/>
      <c r="U464" s="10"/>
      <c r="V464" s="10"/>
      <c r="W464" s="10"/>
      <c r="X464" s="10"/>
      <c r="Y464" s="10"/>
      <c r="Z464" s="10"/>
      <c r="AA464" s="10"/>
      <c r="AB464" s="10"/>
      <c r="AC464" s="10"/>
    </row>
    <row r="465" spans="1:29" ht="52.5" customHeight="1" x14ac:dyDescent="0.2">
      <c r="A465" s="4034"/>
      <c r="B465" s="3964"/>
      <c r="C465" s="3912" t="s">
        <v>607</v>
      </c>
      <c r="D465" s="3912"/>
      <c r="E465" s="3912"/>
      <c r="F465" s="2352" t="e">
        <f>+G467*500</f>
        <v>#REF!</v>
      </c>
      <c r="G465" s="2412" t="e">
        <f>+G467</f>
        <v>#REF!</v>
      </c>
      <c r="H465" s="12"/>
      <c r="I465" s="1968" t="e">
        <f>IF(F465=0,0,$F465*COEF!$J$27)</f>
        <v>#REF!</v>
      </c>
      <c r="J465" s="858" t="e">
        <f>IF(F465=0,0,$F465*COEF!$K$27)</f>
        <v>#REF!</v>
      </c>
      <c r="K465" s="858" t="e">
        <f>IF(F465=0,0,$F465*COEF!$L$27)</f>
        <v>#REF!</v>
      </c>
      <c r="L465" s="859" t="e">
        <f t="shared" si="124"/>
        <v>#REF!</v>
      </c>
      <c r="M465" s="859" t="e">
        <f t="shared" si="125"/>
        <v>#REF!</v>
      </c>
      <c r="N465" s="859" t="e">
        <f t="shared" si="126"/>
        <v>#REF!</v>
      </c>
      <c r="O465" s="860" t="e">
        <f t="shared" si="119"/>
        <v>#REF!</v>
      </c>
      <c r="P465" s="860" t="e">
        <f t="shared" si="119"/>
        <v>#REF!</v>
      </c>
      <c r="Q465" s="860" t="e">
        <f t="shared" si="119"/>
        <v>#REF!</v>
      </c>
      <c r="R465" s="1969" t="e">
        <f t="shared" si="120"/>
        <v>#REF!</v>
      </c>
      <c r="S465" s="675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</row>
    <row r="466" spans="1:29" ht="52.5" customHeight="1" x14ac:dyDescent="0.2">
      <c r="A466" s="4034"/>
      <c r="B466" s="3964"/>
      <c r="C466" s="3809" t="s">
        <v>206</v>
      </c>
      <c r="D466" s="4098"/>
      <c r="E466" s="3965"/>
      <c r="F466" s="2407">
        <f>+F393-250*G466</f>
        <v>0</v>
      </c>
      <c r="G466" s="2417">
        <f>+G393</f>
        <v>0</v>
      </c>
      <c r="H466" s="12"/>
      <c r="I466" s="1968">
        <f>IF(F466=0,0,$F466*COEF!$J$27)</f>
        <v>0</v>
      </c>
      <c r="J466" s="858">
        <f>IF(F466=0,0,$F466*COEF!$K$27)</f>
        <v>0</v>
      </c>
      <c r="K466" s="858">
        <f>IF(F466=0,0,$F466*COEF!$L$27)</f>
        <v>0</v>
      </c>
      <c r="L466" s="859" t="e">
        <f t="shared" si="124"/>
        <v>#REF!</v>
      </c>
      <c r="M466" s="859" t="e">
        <f t="shared" si="125"/>
        <v>#REF!</v>
      </c>
      <c r="N466" s="859" t="e">
        <f t="shared" si="126"/>
        <v>#REF!</v>
      </c>
      <c r="O466" s="860" t="e">
        <f t="shared" si="119"/>
        <v>#REF!</v>
      </c>
      <c r="P466" s="860" t="e">
        <f t="shared" si="119"/>
        <v>#REF!</v>
      </c>
      <c r="Q466" s="860" t="e">
        <f t="shared" si="119"/>
        <v>#REF!</v>
      </c>
      <c r="R466" s="1969" t="e">
        <f t="shared" si="120"/>
        <v>#REF!</v>
      </c>
      <c r="S466" s="675">
        <f t="shared" si="121"/>
        <v>0</v>
      </c>
      <c r="T466" s="10"/>
      <c r="U466" s="10"/>
      <c r="V466" s="10"/>
      <c r="W466" s="10"/>
      <c r="X466" s="10"/>
      <c r="Y466" s="10"/>
      <c r="Z466" s="10"/>
      <c r="AA466" s="10"/>
      <c r="AB466" s="10"/>
      <c r="AC466" s="10"/>
    </row>
    <row r="467" spans="1:29" ht="52.5" customHeight="1" x14ac:dyDescent="0.2">
      <c r="A467" s="4034"/>
      <c r="B467" s="3964"/>
      <c r="C467" s="3809" t="s">
        <v>608</v>
      </c>
      <c r="D467" s="4098"/>
      <c r="E467" s="3965"/>
      <c r="F467" s="2407" t="e">
        <f>+F394-500*G467</f>
        <v>#REF!</v>
      </c>
      <c r="G467" s="2417" t="e">
        <f>+G394</f>
        <v>#REF!</v>
      </c>
      <c r="H467" s="12"/>
      <c r="I467" s="1968" t="e">
        <f>IF(F467=0,0,$F467*COEF!$J$27)</f>
        <v>#REF!</v>
      </c>
      <c r="J467" s="858" t="e">
        <f>IF(F467=0,0,$F467*COEF!$K$27)</f>
        <v>#REF!</v>
      </c>
      <c r="K467" s="858" t="e">
        <f>IF(F467=0,0,$F467*COEF!$L$27)</f>
        <v>#REF!</v>
      </c>
      <c r="L467" s="859" t="e">
        <f t="shared" si="124"/>
        <v>#REF!</v>
      </c>
      <c r="M467" s="859" t="e">
        <f t="shared" si="125"/>
        <v>#REF!</v>
      </c>
      <c r="N467" s="859" t="e">
        <f t="shared" si="126"/>
        <v>#REF!</v>
      </c>
      <c r="O467" s="860" t="e">
        <f t="shared" si="119"/>
        <v>#REF!</v>
      </c>
      <c r="P467" s="860" t="e">
        <f t="shared" si="119"/>
        <v>#REF!</v>
      </c>
      <c r="Q467" s="860" t="e">
        <f t="shared" si="119"/>
        <v>#REF!</v>
      </c>
      <c r="R467" s="1969" t="e">
        <f t="shared" si="120"/>
        <v>#REF!</v>
      </c>
      <c r="S467" s="675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</row>
    <row r="468" spans="1:29" ht="52.5" customHeight="1" x14ac:dyDescent="0.2">
      <c r="A468" s="4034"/>
      <c r="B468" s="3964"/>
      <c r="C468" s="3686" t="s">
        <v>58</v>
      </c>
      <c r="D468" s="4649" t="s">
        <v>601</v>
      </c>
      <c r="E468" s="4650"/>
      <c r="F468" s="2439">
        <f>350*(G471+G473)</f>
        <v>0</v>
      </c>
      <c r="G468" s="2439">
        <f>+G471+G473</f>
        <v>0</v>
      </c>
      <c r="H468" s="12"/>
      <c r="I468" s="1968"/>
      <c r="J468" s="858"/>
      <c r="K468" s="858"/>
      <c r="L468" s="859"/>
      <c r="M468" s="859"/>
      <c r="N468" s="859"/>
      <c r="O468" s="860"/>
      <c r="P468" s="860"/>
      <c r="Q468" s="860"/>
      <c r="R468" s="1969"/>
      <c r="S468" s="675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</row>
    <row r="469" spans="1:29" ht="52.5" customHeight="1" x14ac:dyDescent="0.2">
      <c r="A469" s="4034"/>
      <c r="B469" s="3964"/>
      <c r="C469" s="3687"/>
      <c r="D469" s="4650" t="s">
        <v>602</v>
      </c>
      <c r="E469" s="4651"/>
      <c r="F469" s="2439" t="e">
        <f>+F472+F474</f>
        <v>#REF!</v>
      </c>
      <c r="G469" s="2439" t="e">
        <f>+G472+G474</f>
        <v>#REF!</v>
      </c>
      <c r="H469" s="12"/>
      <c r="I469" s="1968"/>
      <c r="J469" s="858"/>
      <c r="K469" s="858"/>
      <c r="L469" s="859"/>
      <c r="M469" s="859"/>
      <c r="N469" s="859"/>
      <c r="O469" s="860"/>
      <c r="P469" s="860"/>
      <c r="Q469" s="860"/>
      <c r="R469" s="1969"/>
      <c r="S469" s="675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</row>
    <row r="470" spans="1:29" ht="52.5" customHeight="1" x14ac:dyDescent="0.2">
      <c r="A470" s="4034"/>
      <c r="B470" s="3964"/>
      <c r="C470" s="3687"/>
      <c r="D470" s="4650" t="s">
        <v>603</v>
      </c>
      <c r="E470" s="4651"/>
      <c r="F470" s="2439">
        <f>+IF((F471+F473)=0,0,(F471+F473)-350*(G470))</f>
        <v>0</v>
      </c>
      <c r="G470" s="2440">
        <f>+G471+G473</f>
        <v>0</v>
      </c>
      <c r="H470" s="12" t="e">
        <f>SUM(F468:F470)</f>
        <v>#REF!</v>
      </c>
      <c r="I470" s="1968"/>
      <c r="J470" s="858"/>
      <c r="K470" s="858"/>
      <c r="L470" s="859"/>
      <c r="M470" s="859"/>
      <c r="N470" s="859"/>
      <c r="O470" s="860"/>
      <c r="P470" s="860"/>
      <c r="Q470" s="860"/>
      <c r="R470" s="1969"/>
      <c r="S470" s="675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</row>
    <row r="471" spans="1:29" ht="52.5" customHeight="1" x14ac:dyDescent="0.2">
      <c r="A471" s="4034"/>
      <c r="B471" s="3964"/>
      <c r="C471" s="3687"/>
      <c r="D471" s="3648" t="s">
        <v>59</v>
      </c>
      <c r="E471" s="3649"/>
      <c r="F471" s="2351">
        <f t="shared" ref="F471:G476" si="127">+F395</f>
        <v>0</v>
      </c>
      <c r="G471" s="2413">
        <f t="shared" si="127"/>
        <v>0</v>
      </c>
      <c r="H471" s="12"/>
      <c r="I471" s="1968">
        <f>IF(F471=0,0,$F471*COEF!$J$27)</f>
        <v>0</v>
      </c>
      <c r="J471" s="858">
        <f>IF(F471=0,0,$F471*COEF!$K$27)</f>
        <v>0</v>
      </c>
      <c r="K471" s="858">
        <f>IF(F471=0,0,$F471*COEF!$L$27)</f>
        <v>0</v>
      </c>
      <c r="L471" s="859" t="e">
        <f t="shared" ref="L471:L485" si="128">+I471*I$595</f>
        <v>#REF!</v>
      </c>
      <c r="M471" s="859" t="e">
        <f t="shared" ref="M471:M485" si="129">+J471*J$595</f>
        <v>#REF!</v>
      </c>
      <c r="N471" s="859" t="e">
        <f t="shared" ref="N471:N485" si="130">+K471*K$595</f>
        <v>#REF!</v>
      </c>
      <c r="O471" s="860" t="e">
        <f t="shared" si="119"/>
        <v>#REF!</v>
      </c>
      <c r="P471" s="860" t="e">
        <f t="shared" si="119"/>
        <v>#REF!</v>
      </c>
      <c r="Q471" s="860" t="e">
        <f t="shared" si="119"/>
        <v>#REF!</v>
      </c>
      <c r="R471" s="1969" t="e">
        <f t="shared" si="120"/>
        <v>#REF!</v>
      </c>
      <c r="S471" s="675">
        <f t="shared" si="121"/>
        <v>0</v>
      </c>
      <c r="T471" s="10"/>
      <c r="U471" s="10"/>
      <c r="V471" s="10"/>
      <c r="W471" s="10"/>
      <c r="X471" s="10"/>
      <c r="Y471" s="10"/>
      <c r="Z471" s="10"/>
      <c r="AA471" s="10"/>
      <c r="AB471" s="10"/>
      <c r="AC471" s="10"/>
    </row>
    <row r="472" spans="1:29" ht="52.5" customHeight="1" x14ac:dyDescent="0.2">
      <c r="A472" s="4034"/>
      <c r="B472" s="3964"/>
      <c r="C472" s="3687"/>
      <c r="D472" s="4092" t="s">
        <v>590</v>
      </c>
      <c r="E472" s="4093"/>
      <c r="F472" s="2351" t="e">
        <f t="shared" si="127"/>
        <v>#REF!</v>
      </c>
      <c r="G472" s="2413" t="e">
        <f t="shared" si="127"/>
        <v>#REF!</v>
      </c>
      <c r="H472" s="12"/>
      <c r="I472" s="1968" t="e">
        <f>IF(F472=0,0,$F472*COEF!$J$27)</f>
        <v>#REF!</v>
      </c>
      <c r="J472" s="858" t="e">
        <f>IF(F472=0,0,$F472*COEF!$K$27)</f>
        <v>#REF!</v>
      </c>
      <c r="K472" s="858" t="e">
        <f>IF(F472=0,0,$F472*COEF!$L$27)</f>
        <v>#REF!</v>
      </c>
      <c r="L472" s="859" t="e">
        <f t="shared" si="128"/>
        <v>#REF!</v>
      </c>
      <c r="M472" s="859" t="e">
        <f t="shared" si="129"/>
        <v>#REF!</v>
      </c>
      <c r="N472" s="859" t="e">
        <f t="shared" si="130"/>
        <v>#REF!</v>
      </c>
      <c r="O472" s="860" t="e">
        <f t="shared" si="119"/>
        <v>#REF!</v>
      </c>
      <c r="P472" s="860" t="e">
        <f t="shared" si="119"/>
        <v>#REF!</v>
      </c>
      <c r="Q472" s="860" t="e">
        <f t="shared" si="119"/>
        <v>#REF!</v>
      </c>
      <c r="R472" s="1969" t="e">
        <f t="shared" si="120"/>
        <v>#REF!</v>
      </c>
      <c r="S472" s="675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</row>
    <row r="473" spans="1:29" ht="52.5" customHeight="1" x14ac:dyDescent="0.2">
      <c r="A473" s="4034"/>
      <c r="B473" s="3964"/>
      <c r="C473" s="4096"/>
      <c r="D473" s="3650" t="s">
        <v>60</v>
      </c>
      <c r="E473" s="3651"/>
      <c r="F473" s="2351">
        <f t="shared" si="127"/>
        <v>0</v>
      </c>
      <c r="G473" s="2413">
        <f t="shared" si="127"/>
        <v>0</v>
      </c>
      <c r="H473" s="12"/>
      <c r="I473" s="1968">
        <f>IF(F473=0,0,$F473*COEF!$J$27)</f>
        <v>0</v>
      </c>
      <c r="J473" s="858">
        <f>IF(F473=0,0,$F473*COEF!$K$27)</f>
        <v>0</v>
      </c>
      <c r="K473" s="858">
        <f>IF(F473=0,0,$F473*COEF!$L$27)</f>
        <v>0</v>
      </c>
      <c r="L473" s="859" t="e">
        <f t="shared" si="128"/>
        <v>#REF!</v>
      </c>
      <c r="M473" s="859" t="e">
        <f t="shared" si="129"/>
        <v>#REF!</v>
      </c>
      <c r="N473" s="859" t="e">
        <f t="shared" si="130"/>
        <v>#REF!</v>
      </c>
      <c r="O473" s="860" t="e">
        <f t="shared" si="119"/>
        <v>#REF!</v>
      </c>
      <c r="P473" s="860" t="e">
        <f t="shared" si="119"/>
        <v>#REF!</v>
      </c>
      <c r="Q473" s="860" t="e">
        <f t="shared" si="119"/>
        <v>#REF!</v>
      </c>
      <c r="R473" s="1969" t="e">
        <f t="shared" si="120"/>
        <v>#REF!</v>
      </c>
      <c r="S473" s="675">
        <f t="shared" si="121"/>
        <v>0</v>
      </c>
      <c r="T473" s="10"/>
      <c r="U473" s="10"/>
      <c r="V473" s="10"/>
      <c r="W473" s="10"/>
      <c r="X473" s="10"/>
      <c r="Y473" s="10"/>
      <c r="Z473" s="10"/>
      <c r="AA473" s="10"/>
      <c r="AB473" s="10"/>
      <c r="AC473" s="10"/>
    </row>
    <row r="474" spans="1:29" ht="52.5" customHeight="1" x14ac:dyDescent="0.2">
      <c r="A474" s="4034"/>
      <c r="B474" s="3964"/>
      <c r="C474" s="2400"/>
      <c r="D474" s="4094" t="s">
        <v>591</v>
      </c>
      <c r="E474" s="4095"/>
      <c r="F474" s="2351" t="e">
        <f t="shared" si="127"/>
        <v>#REF!</v>
      </c>
      <c r="G474" s="2413" t="e">
        <f t="shared" si="127"/>
        <v>#REF!</v>
      </c>
      <c r="H474" s="12" t="e">
        <f>SUM(F471:F474)</f>
        <v>#REF!</v>
      </c>
      <c r="I474" s="1968" t="e">
        <f>IF(F474=0,0,$F474*COEF!$J$27)</f>
        <v>#REF!</v>
      </c>
      <c r="J474" s="858" t="e">
        <f>IF(F474=0,0,$F474*COEF!$K$27)</f>
        <v>#REF!</v>
      </c>
      <c r="K474" s="858" t="e">
        <f>IF(F474=0,0,$F474*COEF!$L$27)</f>
        <v>#REF!</v>
      </c>
      <c r="L474" s="859" t="e">
        <f t="shared" si="128"/>
        <v>#REF!</v>
      </c>
      <c r="M474" s="859" t="e">
        <f t="shared" si="129"/>
        <v>#REF!</v>
      </c>
      <c r="N474" s="859" t="e">
        <f t="shared" si="130"/>
        <v>#REF!</v>
      </c>
      <c r="O474" s="860" t="e">
        <f t="shared" si="119"/>
        <v>#REF!</v>
      </c>
      <c r="P474" s="860" t="e">
        <f t="shared" si="119"/>
        <v>#REF!</v>
      </c>
      <c r="Q474" s="860" t="e">
        <f t="shared" si="119"/>
        <v>#REF!</v>
      </c>
      <c r="R474" s="1969" t="e">
        <f t="shared" si="120"/>
        <v>#REF!</v>
      </c>
      <c r="S474" s="675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</row>
    <row r="475" spans="1:29" ht="52.5" customHeight="1" thickBot="1" x14ac:dyDescent="0.25">
      <c r="A475" s="4034"/>
      <c r="B475" s="4619"/>
      <c r="C475" s="2418" t="s">
        <v>61</v>
      </c>
      <c r="D475" s="4652" t="s">
        <v>580</v>
      </c>
      <c r="E475" s="4631"/>
      <c r="F475" s="2415" t="e">
        <f t="shared" si="127"/>
        <v>#REF!</v>
      </c>
      <c r="G475" s="2416" t="e">
        <f t="shared" si="127"/>
        <v>#REF!</v>
      </c>
      <c r="H475" s="12" t="e">
        <f>SUM(F459:F475)</f>
        <v>#REF!</v>
      </c>
      <c r="I475" s="1968" t="e">
        <f>IF(F475=0,0,$F475*COEF!$J$27)</f>
        <v>#REF!</v>
      </c>
      <c r="J475" s="858" t="e">
        <f>IF(F475=0,0,$F475*COEF!$K$27)</f>
        <v>#REF!</v>
      </c>
      <c r="K475" s="858" t="e">
        <f>IF(F475=0,0,$F475*COEF!$L$27)</f>
        <v>#REF!</v>
      </c>
      <c r="L475" s="859" t="e">
        <f t="shared" si="128"/>
        <v>#REF!</v>
      </c>
      <c r="M475" s="859" t="e">
        <f t="shared" si="129"/>
        <v>#REF!</v>
      </c>
      <c r="N475" s="859" t="e">
        <f t="shared" si="130"/>
        <v>#REF!</v>
      </c>
      <c r="O475" s="860" t="e">
        <f t="shared" si="119"/>
        <v>#REF!</v>
      </c>
      <c r="P475" s="860" t="e">
        <f t="shared" si="119"/>
        <v>#REF!</v>
      </c>
      <c r="Q475" s="860" t="e">
        <f t="shared" si="119"/>
        <v>#REF!</v>
      </c>
      <c r="R475" s="1969" t="e">
        <f t="shared" si="120"/>
        <v>#REF!</v>
      </c>
      <c r="S475" s="675" t="e">
        <f t="shared" si="121"/>
        <v>#REF!</v>
      </c>
      <c r="T475" s="10"/>
      <c r="U475" s="10"/>
      <c r="V475" s="10"/>
      <c r="W475" s="10"/>
      <c r="X475" s="10"/>
      <c r="Y475" s="10"/>
      <c r="Z475" s="10"/>
      <c r="AA475" s="10"/>
      <c r="AB475" s="10"/>
      <c r="AC475" s="10"/>
    </row>
    <row r="476" spans="1:29" ht="52.5" customHeight="1" x14ac:dyDescent="0.2">
      <c r="A476" s="4034"/>
      <c r="B476" s="4031" t="s">
        <v>62</v>
      </c>
      <c r="C476" s="4023" t="s">
        <v>164</v>
      </c>
      <c r="D476" s="4023"/>
      <c r="E476" s="4024"/>
      <c r="F476" s="2410">
        <f t="shared" si="127"/>
        <v>0</v>
      </c>
      <c r="G476" s="2411">
        <f t="shared" si="127"/>
        <v>0</v>
      </c>
      <c r="H476" s="12"/>
      <c r="I476" s="1968">
        <f>IF(F476=0,0,$F476*COEF!$J$27)</f>
        <v>0</v>
      </c>
      <c r="J476" s="858">
        <f>IF(F476=0,0,$F476*COEF!$K$27)</f>
        <v>0</v>
      </c>
      <c r="K476" s="858">
        <f>IF(F476=0,0,$F476*COEF!$L$27)</f>
        <v>0</v>
      </c>
      <c r="L476" s="859" t="e">
        <f t="shared" si="128"/>
        <v>#REF!</v>
      </c>
      <c r="M476" s="859" t="e">
        <f t="shared" si="129"/>
        <v>#REF!</v>
      </c>
      <c r="N476" s="859" t="e">
        <f t="shared" si="130"/>
        <v>#REF!</v>
      </c>
      <c r="O476" s="860" t="e">
        <f t="shared" si="119"/>
        <v>#REF!</v>
      </c>
      <c r="P476" s="860" t="e">
        <f t="shared" si="119"/>
        <v>#REF!</v>
      </c>
      <c r="Q476" s="860" t="e">
        <f t="shared" si="119"/>
        <v>#REF!</v>
      </c>
      <c r="R476" s="1969" t="e">
        <f t="shared" si="120"/>
        <v>#REF!</v>
      </c>
      <c r="S476" s="675">
        <f t="shared" si="121"/>
        <v>0</v>
      </c>
      <c r="T476" s="10"/>
      <c r="U476" s="10"/>
      <c r="V476" s="10"/>
      <c r="W476" s="10"/>
      <c r="X476" s="10"/>
      <c r="Y476" s="10"/>
      <c r="Z476" s="10"/>
      <c r="AA476" s="10"/>
      <c r="AB476" s="10"/>
      <c r="AC476" s="10"/>
    </row>
    <row r="477" spans="1:29" ht="52.5" customHeight="1" x14ac:dyDescent="0.2">
      <c r="A477" s="4034"/>
      <c r="B477" s="4032"/>
      <c r="C477" s="4025" t="s">
        <v>207</v>
      </c>
      <c r="D477" s="3913"/>
      <c r="E477" s="3913"/>
      <c r="F477" s="2351">
        <f>350*G479</f>
        <v>0</v>
      </c>
      <c r="G477" s="2413">
        <f>+G479</f>
        <v>0</v>
      </c>
      <c r="H477" s="12"/>
      <c r="I477" s="1968">
        <f>IF(F477=0,0,$F477*COEF!$J$27)</f>
        <v>0</v>
      </c>
      <c r="J477" s="858">
        <f>IF(F477=0,0,$F477*COEF!$K$27)</f>
        <v>0</v>
      </c>
      <c r="K477" s="858">
        <f>IF(F477=0,0,$F477*COEF!$L$27)</f>
        <v>0</v>
      </c>
      <c r="L477" s="859" t="e">
        <f t="shared" si="128"/>
        <v>#REF!</v>
      </c>
      <c r="M477" s="859" t="e">
        <f t="shared" si="129"/>
        <v>#REF!</v>
      </c>
      <c r="N477" s="859" t="e">
        <f t="shared" si="130"/>
        <v>#REF!</v>
      </c>
      <c r="O477" s="860" t="e">
        <f t="shared" si="119"/>
        <v>#REF!</v>
      </c>
      <c r="P477" s="860" t="e">
        <f t="shared" si="119"/>
        <v>#REF!</v>
      </c>
      <c r="Q477" s="860" t="e">
        <f t="shared" si="119"/>
        <v>#REF!</v>
      </c>
      <c r="R477" s="1969" t="e">
        <f t="shared" si="120"/>
        <v>#REF!</v>
      </c>
      <c r="S477" s="675">
        <f t="shared" si="121"/>
        <v>0</v>
      </c>
      <c r="T477" s="10"/>
      <c r="U477" s="10"/>
      <c r="V477" s="10"/>
      <c r="W477" s="10"/>
      <c r="X477" s="10"/>
      <c r="Y477" s="10"/>
      <c r="Z477" s="10"/>
      <c r="AA477" s="10"/>
      <c r="AB477" s="10"/>
      <c r="AC477" s="10"/>
    </row>
    <row r="478" spans="1:29" ht="52.5" customHeight="1" x14ac:dyDescent="0.2">
      <c r="A478" s="4034"/>
      <c r="B478" s="4032"/>
      <c r="C478" s="4097" t="s">
        <v>609</v>
      </c>
      <c r="D478" s="4088"/>
      <c r="E478" s="4088"/>
      <c r="F478" s="2351" t="e">
        <f>700*G480</f>
        <v>#REF!</v>
      </c>
      <c r="G478" s="2413" t="e">
        <f>+G480</f>
        <v>#REF!</v>
      </c>
      <c r="H478" s="12"/>
      <c r="I478" s="1968" t="e">
        <f>IF(F478=0,0,$F478*COEF!$J$27)</f>
        <v>#REF!</v>
      </c>
      <c r="J478" s="858" t="e">
        <f>IF(F478=0,0,$F478*COEF!$K$27)</f>
        <v>#REF!</v>
      </c>
      <c r="K478" s="858" t="e">
        <f>IF(F478=0,0,$F478*COEF!$L$27)</f>
        <v>#REF!</v>
      </c>
      <c r="L478" s="859" t="e">
        <f t="shared" si="128"/>
        <v>#REF!</v>
      </c>
      <c r="M478" s="859" t="e">
        <f t="shared" si="129"/>
        <v>#REF!</v>
      </c>
      <c r="N478" s="859" t="e">
        <f t="shared" si="130"/>
        <v>#REF!</v>
      </c>
      <c r="O478" s="860" t="e">
        <f t="shared" si="119"/>
        <v>#REF!</v>
      </c>
      <c r="P478" s="860" t="e">
        <f t="shared" si="119"/>
        <v>#REF!</v>
      </c>
      <c r="Q478" s="860" t="e">
        <f t="shared" si="119"/>
        <v>#REF!</v>
      </c>
      <c r="R478" s="1969" t="e">
        <f t="shared" si="120"/>
        <v>#REF!</v>
      </c>
      <c r="S478" s="675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</row>
    <row r="479" spans="1:29" ht="52.5" customHeight="1" x14ac:dyDescent="0.2">
      <c r="A479" s="4034"/>
      <c r="B479" s="4032"/>
      <c r="C479" s="4098" t="s">
        <v>204</v>
      </c>
      <c r="D479" s="4098"/>
      <c r="E479" s="3965"/>
      <c r="F479" s="2408">
        <f>+F401-350*G479</f>
        <v>0</v>
      </c>
      <c r="G479" s="2419">
        <f>+G401</f>
        <v>0</v>
      </c>
      <c r="H479" s="12"/>
      <c r="I479" s="1968">
        <f>IF(F479=0,0,$F479*COEF!$J$27)</f>
        <v>0</v>
      </c>
      <c r="J479" s="858">
        <f>IF(F479=0,0,$F479*COEF!$K$27)</f>
        <v>0</v>
      </c>
      <c r="K479" s="858">
        <f>IF(F479=0,0,$F479*COEF!$L$27)</f>
        <v>0</v>
      </c>
      <c r="L479" s="859" t="e">
        <f t="shared" si="128"/>
        <v>#REF!</v>
      </c>
      <c r="M479" s="859" t="e">
        <f t="shared" si="129"/>
        <v>#REF!</v>
      </c>
      <c r="N479" s="859" t="e">
        <f t="shared" si="130"/>
        <v>#REF!</v>
      </c>
      <c r="O479" s="860" t="e">
        <f t="shared" si="119"/>
        <v>#REF!</v>
      </c>
      <c r="P479" s="860" t="e">
        <f t="shared" si="119"/>
        <v>#REF!</v>
      </c>
      <c r="Q479" s="860" t="e">
        <f t="shared" si="119"/>
        <v>#REF!</v>
      </c>
      <c r="R479" s="1969" t="e">
        <f t="shared" si="120"/>
        <v>#REF!</v>
      </c>
      <c r="S479" s="675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</row>
    <row r="480" spans="1:29" ht="52.5" customHeight="1" x14ac:dyDescent="0.2">
      <c r="A480" s="4034"/>
      <c r="B480" s="4032"/>
      <c r="C480" s="4098" t="s">
        <v>610</v>
      </c>
      <c r="D480" s="4098"/>
      <c r="E480" s="3965"/>
      <c r="F480" s="2408" t="e">
        <f>+F402-700*G480</f>
        <v>#REF!</v>
      </c>
      <c r="G480" s="2419" t="e">
        <f>+G402</f>
        <v>#REF!</v>
      </c>
      <c r="H480" s="12"/>
      <c r="I480" s="1968" t="e">
        <f>IF(F480=0,0,$F480*COEF!$J$27)</f>
        <v>#REF!</v>
      </c>
      <c r="J480" s="858" t="e">
        <f>IF(F480=0,0,$F480*COEF!$K$27)</f>
        <v>#REF!</v>
      </c>
      <c r="K480" s="858" t="e">
        <f>IF(F480=0,0,$F480*COEF!$L$27)</f>
        <v>#REF!</v>
      </c>
      <c r="L480" s="859" t="e">
        <f t="shared" si="128"/>
        <v>#REF!</v>
      </c>
      <c r="M480" s="859" t="e">
        <f t="shared" si="129"/>
        <v>#REF!</v>
      </c>
      <c r="N480" s="859" t="e">
        <f t="shared" si="130"/>
        <v>#REF!</v>
      </c>
      <c r="O480" s="860" t="e">
        <f t="shared" si="119"/>
        <v>#REF!</v>
      </c>
      <c r="P480" s="860" t="e">
        <f t="shared" si="119"/>
        <v>#REF!</v>
      </c>
      <c r="Q480" s="860" t="e">
        <f t="shared" si="119"/>
        <v>#REF!</v>
      </c>
      <c r="R480" s="1969" t="e">
        <f t="shared" si="120"/>
        <v>#REF!</v>
      </c>
      <c r="S480" s="675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</row>
    <row r="481" spans="1:29" ht="52.5" customHeight="1" x14ac:dyDescent="0.2">
      <c r="A481" s="4034"/>
      <c r="B481" s="4032"/>
      <c r="C481" s="4594" t="s">
        <v>598</v>
      </c>
      <c r="D481" s="4594"/>
      <c r="E481" s="4594"/>
      <c r="F481" s="2351" t="e">
        <f>+F403</f>
        <v>#REF!</v>
      </c>
      <c r="G481" s="2413" t="e">
        <f>+G403</f>
        <v>#REF!</v>
      </c>
      <c r="H481" s="12"/>
      <c r="I481" s="1968" t="e">
        <f>IF(F481=0,0,$F481*COEF!$J$27)</f>
        <v>#REF!</v>
      </c>
      <c r="J481" s="858" t="e">
        <f>IF(F481=0,0,$F481*COEF!$K$27)</f>
        <v>#REF!</v>
      </c>
      <c r="K481" s="858" t="e">
        <f>IF(F481=0,0,$F481*COEF!$L$27)</f>
        <v>#REF!</v>
      </c>
      <c r="L481" s="859" t="e">
        <f t="shared" si="128"/>
        <v>#REF!</v>
      </c>
      <c r="M481" s="859" t="e">
        <f t="shared" si="129"/>
        <v>#REF!</v>
      </c>
      <c r="N481" s="859" t="e">
        <f t="shared" si="130"/>
        <v>#REF!</v>
      </c>
      <c r="O481" s="860" t="e">
        <f t="shared" si="119"/>
        <v>#REF!</v>
      </c>
      <c r="P481" s="860" t="e">
        <f t="shared" si="119"/>
        <v>#REF!</v>
      </c>
      <c r="Q481" s="860" t="e">
        <f t="shared" si="119"/>
        <v>#REF!</v>
      </c>
      <c r="R481" s="1969" t="e">
        <f t="shared" si="120"/>
        <v>#REF!</v>
      </c>
      <c r="S481" s="675" t="e">
        <f t="shared" si="121"/>
        <v>#REF!</v>
      </c>
      <c r="T481" s="10"/>
      <c r="U481" s="10"/>
      <c r="V481" s="10"/>
      <c r="W481" s="10"/>
      <c r="X481" s="10"/>
      <c r="Y481" s="10"/>
      <c r="Z481" s="10"/>
      <c r="AA481" s="10"/>
      <c r="AB481" s="10"/>
      <c r="AC481" s="10"/>
    </row>
    <row r="482" spans="1:29" ht="52.5" customHeight="1" x14ac:dyDescent="0.2">
      <c r="A482" s="4034"/>
      <c r="B482" s="4032"/>
      <c r="C482" s="3948" t="s">
        <v>198</v>
      </c>
      <c r="D482" s="3912"/>
      <c r="E482" s="3912"/>
      <c r="F482" s="2352">
        <f>250*G484</f>
        <v>0</v>
      </c>
      <c r="G482" s="2412">
        <f>+G484</f>
        <v>0</v>
      </c>
      <c r="H482" s="12"/>
      <c r="I482" s="1968">
        <f>IF(F482=0,0,$F482*COEF!$J$27)</f>
        <v>0</v>
      </c>
      <c r="J482" s="858">
        <f>IF(F482=0,0,$F482*COEF!$K$27)</f>
        <v>0</v>
      </c>
      <c r="K482" s="858">
        <f>IF(F482=0,0,$F482*COEF!$L$27)</f>
        <v>0</v>
      </c>
      <c r="L482" s="859" t="e">
        <f t="shared" si="128"/>
        <v>#REF!</v>
      </c>
      <c r="M482" s="859" t="e">
        <f t="shared" si="129"/>
        <v>#REF!</v>
      </c>
      <c r="N482" s="859" t="e">
        <f t="shared" si="130"/>
        <v>#REF!</v>
      </c>
      <c r="O482" s="860" t="e">
        <f t="shared" si="119"/>
        <v>#REF!</v>
      </c>
      <c r="P482" s="860" t="e">
        <f t="shared" si="119"/>
        <v>#REF!</v>
      </c>
      <c r="Q482" s="860" t="e">
        <f t="shared" si="119"/>
        <v>#REF!</v>
      </c>
      <c r="R482" s="1969" t="e">
        <f t="shared" si="120"/>
        <v>#REF!</v>
      </c>
      <c r="S482" s="675">
        <f t="shared" si="121"/>
        <v>0</v>
      </c>
      <c r="T482" s="10"/>
      <c r="U482" s="10"/>
      <c r="V482" s="10"/>
      <c r="W482" s="10"/>
      <c r="X482" s="10"/>
      <c r="Y482" s="10"/>
      <c r="Z482" s="10"/>
      <c r="AA482" s="10"/>
      <c r="AB482" s="10"/>
      <c r="AC482" s="10"/>
    </row>
    <row r="483" spans="1:29" ht="52.5" customHeight="1" x14ac:dyDescent="0.2">
      <c r="A483" s="4034"/>
      <c r="B483" s="4032"/>
      <c r="C483" s="4099" t="s">
        <v>611</v>
      </c>
      <c r="D483" s="4090"/>
      <c r="E483" s="4090"/>
      <c r="F483" s="2352" t="e">
        <f>500*G485</f>
        <v>#REF!</v>
      </c>
      <c r="G483" s="2412" t="e">
        <f>+G485</f>
        <v>#REF!</v>
      </c>
      <c r="H483" s="12"/>
      <c r="I483" s="1968" t="e">
        <f>IF(F483=0,0,$F483*COEF!$J$27)</f>
        <v>#REF!</v>
      </c>
      <c r="J483" s="858" t="e">
        <f>IF(F483=0,0,$F483*COEF!$K$27)</f>
        <v>#REF!</v>
      </c>
      <c r="K483" s="858" t="e">
        <f>IF(F483=0,0,$F483*COEF!$L$27)</f>
        <v>#REF!</v>
      </c>
      <c r="L483" s="859" t="e">
        <f t="shared" si="128"/>
        <v>#REF!</v>
      </c>
      <c r="M483" s="859" t="e">
        <f t="shared" si="129"/>
        <v>#REF!</v>
      </c>
      <c r="N483" s="859" t="e">
        <f t="shared" si="130"/>
        <v>#REF!</v>
      </c>
      <c r="O483" s="860" t="e">
        <f t="shared" si="119"/>
        <v>#REF!</v>
      </c>
      <c r="P483" s="860" t="e">
        <f t="shared" si="119"/>
        <v>#REF!</v>
      </c>
      <c r="Q483" s="860" t="e">
        <f t="shared" si="119"/>
        <v>#REF!</v>
      </c>
      <c r="R483" s="1969" t="e">
        <f t="shared" si="120"/>
        <v>#REF!</v>
      </c>
      <c r="S483" s="675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</row>
    <row r="484" spans="1:29" ht="52.5" customHeight="1" x14ac:dyDescent="0.2">
      <c r="A484" s="4034"/>
      <c r="B484" s="4032"/>
      <c r="C484" s="4098" t="s">
        <v>208</v>
      </c>
      <c r="D484" s="4098"/>
      <c r="E484" s="3965"/>
      <c r="F484" s="2407">
        <f>+F404-250*G484</f>
        <v>0</v>
      </c>
      <c r="G484" s="2417">
        <f>+G404</f>
        <v>0</v>
      </c>
      <c r="H484" s="12"/>
      <c r="I484" s="1968">
        <f>IF(F484=0,0,$F484*COEF!$J$27)</f>
        <v>0</v>
      </c>
      <c r="J484" s="858">
        <f>IF(F484=0,0,$F484*COEF!$K$27)</f>
        <v>0</v>
      </c>
      <c r="K484" s="858">
        <f>IF(F484=0,0,$F484*COEF!$L$27)</f>
        <v>0</v>
      </c>
      <c r="L484" s="859" t="e">
        <f t="shared" si="128"/>
        <v>#REF!</v>
      </c>
      <c r="M484" s="859" t="e">
        <f t="shared" si="129"/>
        <v>#REF!</v>
      </c>
      <c r="N484" s="859" t="e">
        <f t="shared" si="130"/>
        <v>#REF!</v>
      </c>
      <c r="O484" s="860" t="e">
        <f t="shared" si="119"/>
        <v>#REF!</v>
      </c>
      <c r="P484" s="860" t="e">
        <f t="shared" si="119"/>
        <v>#REF!</v>
      </c>
      <c r="Q484" s="860" t="e">
        <f t="shared" si="119"/>
        <v>#REF!</v>
      </c>
      <c r="R484" s="1969" t="e">
        <f t="shared" si="120"/>
        <v>#REF!</v>
      </c>
      <c r="S484" s="675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</row>
    <row r="485" spans="1:29" ht="52.5" customHeight="1" x14ac:dyDescent="0.2">
      <c r="A485" s="4034"/>
      <c r="B485" s="4032"/>
      <c r="C485" s="4098" t="s">
        <v>612</v>
      </c>
      <c r="D485" s="4098"/>
      <c r="E485" s="3965"/>
      <c r="F485" s="2407" t="e">
        <f>+F405-500*G485</f>
        <v>#REF!</v>
      </c>
      <c r="G485" s="2417" t="e">
        <f>+G405</f>
        <v>#REF!</v>
      </c>
      <c r="H485" s="12"/>
      <c r="I485" s="1968" t="e">
        <f>IF(F485=0,0,$F485*COEF!$J$27)</f>
        <v>#REF!</v>
      </c>
      <c r="J485" s="858" t="e">
        <f>IF(F485=0,0,$F485*COEF!$K$27)</f>
        <v>#REF!</v>
      </c>
      <c r="K485" s="858" t="e">
        <f>IF(F485=0,0,$F485*COEF!$L$27)</f>
        <v>#REF!</v>
      </c>
      <c r="L485" s="859" t="e">
        <f t="shared" si="128"/>
        <v>#REF!</v>
      </c>
      <c r="M485" s="859" t="e">
        <f t="shared" si="129"/>
        <v>#REF!</v>
      </c>
      <c r="N485" s="859" t="e">
        <f t="shared" si="130"/>
        <v>#REF!</v>
      </c>
      <c r="O485" s="860" t="e">
        <f t="shared" si="119"/>
        <v>#REF!</v>
      </c>
      <c r="P485" s="860" t="e">
        <f t="shared" si="119"/>
        <v>#REF!</v>
      </c>
      <c r="Q485" s="860" t="e">
        <f t="shared" si="119"/>
        <v>#REF!</v>
      </c>
      <c r="R485" s="1969" t="e">
        <f t="shared" si="120"/>
        <v>#REF!</v>
      </c>
      <c r="S485" s="675" t="e">
        <f t="shared" si="121"/>
        <v>#REF!</v>
      </c>
      <c r="T485" s="10"/>
      <c r="U485" s="10"/>
      <c r="V485" s="10"/>
      <c r="W485" s="10"/>
      <c r="X485" s="10"/>
      <c r="Y485" s="10"/>
      <c r="Z485" s="10"/>
      <c r="AA485" s="10"/>
      <c r="AB485" s="10"/>
      <c r="AC485" s="10"/>
    </row>
    <row r="486" spans="1:29" ht="52.5" customHeight="1" x14ac:dyDescent="0.2">
      <c r="A486" s="4034"/>
      <c r="B486" s="4032"/>
      <c r="C486" s="4119" t="s">
        <v>45</v>
      </c>
      <c r="D486" s="4649" t="s">
        <v>601</v>
      </c>
      <c r="E486" s="4650"/>
      <c r="F486" s="2439">
        <f>350*(G489+G491)</f>
        <v>0</v>
      </c>
      <c r="G486" s="2439">
        <f>+G489+G491</f>
        <v>0</v>
      </c>
      <c r="H486" s="12"/>
      <c r="I486" s="1968"/>
      <c r="J486" s="858"/>
      <c r="K486" s="858"/>
      <c r="L486" s="859"/>
      <c r="M486" s="859"/>
      <c r="N486" s="859"/>
      <c r="O486" s="860"/>
      <c r="P486" s="860"/>
      <c r="Q486" s="860"/>
      <c r="R486" s="1969"/>
      <c r="S486" s="675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</row>
    <row r="487" spans="1:29" ht="52.5" customHeight="1" x14ac:dyDescent="0.2">
      <c r="A487" s="4034"/>
      <c r="B487" s="4032"/>
      <c r="C487" s="4120"/>
      <c r="D487" s="4650" t="s">
        <v>602</v>
      </c>
      <c r="E487" s="4651"/>
      <c r="F487" s="2439" t="e">
        <f>700*(G490+G492)</f>
        <v>#REF!</v>
      </c>
      <c r="G487" s="2439" t="e">
        <f>+G490+G492</f>
        <v>#REF!</v>
      </c>
      <c r="H487" s="12"/>
      <c r="I487" s="1968"/>
      <c r="J487" s="858"/>
      <c r="K487" s="858"/>
      <c r="L487" s="859"/>
      <c r="M487" s="859"/>
      <c r="N487" s="859"/>
      <c r="O487" s="860"/>
      <c r="P487" s="860"/>
      <c r="Q487" s="860"/>
      <c r="R487" s="1969"/>
      <c r="S487" s="675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</row>
    <row r="488" spans="1:29" ht="52.5" customHeight="1" x14ac:dyDescent="0.2">
      <c r="A488" s="4034"/>
      <c r="B488" s="4032"/>
      <c r="C488" s="4120"/>
      <c r="D488" s="4650" t="s">
        <v>603</v>
      </c>
      <c r="E488" s="4651"/>
      <c r="F488" s="2439" t="e">
        <f>+((F489+F491)-(350*(G489+G491))+((F490+F492)-(700*(G490+G492))))</f>
        <v>#REF!</v>
      </c>
      <c r="G488" s="2440" t="e">
        <f>+G487+G486</f>
        <v>#REF!</v>
      </c>
      <c r="H488" s="12" t="e">
        <f>SUM(F486:F488)</f>
        <v>#REF!</v>
      </c>
      <c r="I488" s="1968"/>
      <c r="J488" s="858"/>
      <c r="K488" s="858"/>
      <c r="L488" s="859"/>
      <c r="M488" s="859"/>
      <c r="N488" s="859"/>
      <c r="O488" s="860"/>
      <c r="P488" s="860"/>
      <c r="Q488" s="860"/>
      <c r="R488" s="1969"/>
      <c r="S488" s="675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</row>
    <row r="489" spans="1:29" ht="52.5" customHeight="1" x14ac:dyDescent="0.2">
      <c r="A489" s="4034"/>
      <c r="B489" s="4032"/>
      <c r="C489" s="4120"/>
      <c r="D489" s="3648" t="s">
        <v>64</v>
      </c>
      <c r="E489" s="3649"/>
      <c r="F489" s="2351">
        <f t="shared" ref="F489:G494" si="131">+F406</f>
        <v>0</v>
      </c>
      <c r="G489" s="2413">
        <f t="shared" si="131"/>
        <v>0</v>
      </c>
      <c r="H489" s="12"/>
      <c r="I489" s="1968">
        <f>IF(F489=0,0,$F489*COEF!$J$27)</f>
        <v>0</v>
      </c>
      <c r="J489" s="858">
        <f>IF(F489=0,0,$F489*COEF!$K$27)</f>
        <v>0</v>
      </c>
      <c r="K489" s="858">
        <f>IF(F489=0,0,$F489*COEF!$L$27)</f>
        <v>0</v>
      </c>
      <c r="L489" s="859" t="e">
        <f t="shared" ref="L489:L503" si="132">+I489*I$595</f>
        <v>#REF!</v>
      </c>
      <c r="M489" s="859" t="e">
        <f t="shared" ref="M489:M503" si="133">+J489*J$595</f>
        <v>#REF!</v>
      </c>
      <c r="N489" s="859" t="e">
        <f t="shared" ref="N489:N503" si="134">+K489*K$595</f>
        <v>#REF!</v>
      </c>
      <c r="O489" s="860" t="e">
        <f t="shared" si="119"/>
        <v>#REF!</v>
      </c>
      <c r="P489" s="860" t="e">
        <f t="shared" si="119"/>
        <v>#REF!</v>
      </c>
      <c r="Q489" s="860" t="e">
        <f t="shared" si="119"/>
        <v>#REF!</v>
      </c>
      <c r="R489" s="1969" t="e">
        <f t="shared" si="120"/>
        <v>#REF!</v>
      </c>
      <c r="S489" s="675">
        <f t="shared" si="121"/>
        <v>0</v>
      </c>
      <c r="T489" s="10"/>
      <c r="U489" s="10"/>
      <c r="V489" s="10"/>
      <c r="W489" s="10"/>
      <c r="X489" s="10"/>
      <c r="Y489" s="10"/>
      <c r="Z489" s="10"/>
      <c r="AA489" s="10"/>
      <c r="AB489" s="10"/>
      <c r="AC489" s="10"/>
    </row>
    <row r="490" spans="1:29" ht="52.5" customHeight="1" x14ac:dyDescent="0.2">
      <c r="A490" s="4034"/>
      <c r="B490" s="4032"/>
      <c r="C490" s="4120"/>
      <c r="D490" s="4092" t="s">
        <v>613</v>
      </c>
      <c r="E490" s="4093"/>
      <c r="F490" s="2351" t="e">
        <f t="shared" si="131"/>
        <v>#REF!</v>
      </c>
      <c r="G490" s="2413" t="e">
        <f t="shared" si="131"/>
        <v>#REF!</v>
      </c>
      <c r="H490" s="12"/>
      <c r="I490" s="1968" t="e">
        <f>IF(F490=0,0,$F490*COEF!$J$27)</f>
        <v>#REF!</v>
      </c>
      <c r="J490" s="858" t="e">
        <f>IF(F490=0,0,$F490*COEF!$K$27)</f>
        <v>#REF!</v>
      </c>
      <c r="K490" s="858" t="e">
        <f>IF(F490=0,0,$F490*COEF!$L$27)</f>
        <v>#REF!</v>
      </c>
      <c r="L490" s="859" t="e">
        <f t="shared" si="132"/>
        <v>#REF!</v>
      </c>
      <c r="M490" s="859" t="e">
        <f t="shared" si="133"/>
        <v>#REF!</v>
      </c>
      <c r="N490" s="859" t="e">
        <f t="shared" si="134"/>
        <v>#REF!</v>
      </c>
      <c r="O490" s="860" t="e">
        <f t="shared" si="119"/>
        <v>#REF!</v>
      </c>
      <c r="P490" s="860" t="e">
        <f t="shared" si="119"/>
        <v>#REF!</v>
      </c>
      <c r="Q490" s="860" t="e">
        <f t="shared" si="119"/>
        <v>#REF!</v>
      </c>
      <c r="R490" s="1969" t="e">
        <f t="shared" si="120"/>
        <v>#REF!</v>
      </c>
      <c r="S490" s="675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</row>
    <row r="491" spans="1:29" ht="52.5" customHeight="1" x14ac:dyDescent="0.2">
      <c r="A491" s="4034"/>
      <c r="B491" s="4032"/>
      <c r="C491" s="4121"/>
      <c r="D491" s="3650" t="s">
        <v>65</v>
      </c>
      <c r="E491" s="3651"/>
      <c r="F491" s="2351">
        <f t="shared" si="131"/>
        <v>0</v>
      </c>
      <c r="G491" s="2413">
        <f t="shared" si="131"/>
        <v>0</v>
      </c>
      <c r="H491" s="12"/>
      <c r="I491" s="1968">
        <f>IF(F491=0,0,$F491*COEF!$J$27)</f>
        <v>0</v>
      </c>
      <c r="J491" s="858">
        <f>IF(F491=0,0,$F491*COEF!$K$27)</f>
        <v>0</v>
      </c>
      <c r="K491" s="858">
        <f>IF(F491=0,0,$F491*COEF!$L$27)</f>
        <v>0</v>
      </c>
      <c r="L491" s="859" t="e">
        <f t="shared" si="132"/>
        <v>#REF!</v>
      </c>
      <c r="M491" s="859" t="e">
        <f t="shared" si="133"/>
        <v>#REF!</v>
      </c>
      <c r="N491" s="859" t="e">
        <f t="shared" si="134"/>
        <v>#REF!</v>
      </c>
      <c r="O491" s="860" t="e">
        <f t="shared" si="119"/>
        <v>#REF!</v>
      </c>
      <c r="P491" s="860" t="e">
        <f t="shared" si="119"/>
        <v>#REF!</v>
      </c>
      <c r="Q491" s="860" t="e">
        <f t="shared" si="119"/>
        <v>#REF!</v>
      </c>
      <c r="R491" s="1969" t="e">
        <f t="shared" si="120"/>
        <v>#REF!</v>
      </c>
      <c r="S491" s="675">
        <f t="shared" si="121"/>
        <v>0</v>
      </c>
      <c r="T491" s="10"/>
      <c r="U491" s="10"/>
      <c r="V491" s="10"/>
      <c r="W491" s="10"/>
      <c r="X491" s="10"/>
      <c r="Y491" s="10"/>
      <c r="Z491" s="10"/>
      <c r="AA491" s="10"/>
      <c r="AB491" s="10"/>
      <c r="AC491" s="10"/>
    </row>
    <row r="492" spans="1:29" ht="52.5" customHeight="1" x14ac:dyDescent="0.2">
      <c r="A492" s="4034"/>
      <c r="B492" s="4032"/>
      <c r="C492" s="2401"/>
      <c r="D492" s="4094" t="s">
        <v>614</v>
      </c>
      <c r="E492" s="4095"/>
      <c r="F492" s="2351" t="e">
        <f t="shared" si="131"/>
        <v>#REF!</v>
      </c>
      <c r="G492" s="2413" t="e">
        <f t="shared" si="131"/>
        <v>#REF!</v>
      </c>
      <c r="H492" s="12" t="e">
        <f>SUM(F489:F492)</f>
        <v>#REF!</v>
      </c>
      <c r="I492" s="1968" t="e">
        <f>IF(F492=0,0,$F492*COEF!$J$27)</f>
        <v>#REF!</v>
      </c>
      <c r="J492" s="858" t="e">
        <f>IF(F492=0,0,$F492*COEF!$K$27)</f>
        <v>#REF!</v>
      </c>
      <c r="K492" s="858" t="e">
        <f>IF(F492=0,0,$F492*COEF!$L$27)</f>
        <v>#REF!</v>
      </c>
      <c r="L492" s="859" t="e">
        <f t="shared" si="132"/>
        <v>#REF!</v>
      </c>
      <c r="M492" s="859" t="e">
        <f t="shared" si="133"/>
        <v>#REF!</v>
      </c>
      <c r="N492" s="859" t="e">
        <f t="shared" si="134"/>
        <v>#REF!</v>
      </c>
      <c r="O492" s="860" t="e">
        <f t="shared" si="119"/>
        <v>#REF!</v>
      </c>
      <c r="P492" s="860" t="e">
        <f t="shared" si="119"/>
        <v>#REF!</v>
      </c>
      <c r="Q492" s="860" t="e">
        <f t="shared" si="119"/>
        <v>#REF!</v>
      </c>
      <c r="R492" s="1969" t="e">
        <f t="shared" si="120"/>
        <v>#REF!</v>
      </c>
      <c r="S492" s="675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</row>
    <row r="493" spans="1:29" ht="52.5" customHeight="1" thickBot="1" x14ac:dyDescent="0.25">
      <c r="A493" s="4034"/>
      <c r="B493" s="4648"/>
      <c r="C493" s="2003" t="s">
        <v>66</v>
      </c>
      <c r="D493" s="4652" t="s">
        <v>580</v>
      </c>
      <c r="E493" s="4631"/>
      <c r="F493" s="2415" t="e">
        <f t="shared" si="131"/>
        <v>#REF!</v>
      </c>
      <c r="G493" s="2416" t="e">
        <f t="shared" si="131"/>
        <v>#REF!</v>
      </c>
      <c r="H493" s="12" t="e">
        <f>SUM(F476:F493)</f>
        <v>#REF!</v>
      </c>
      <c r="I493" s="1968" t="e">
        <f>IF(F493=0,0,$F493*COEF!$J$27)</f>
        <v>#REF!</v>
      </c>
      <c r="J493" s="858" t="e">
        <f>IF(F493=0,0,$F493*COEF!$K$27)</f>
        <v>#REF!</v>
      </c>
      <c r="K493" s="858" t="e">
        <f>IF(F493=0,0,$F493*COEF!$L$27)</f>
        <v>#REF!</v>
      </c>
      <c r="L493" s="859" t="e">
        <f t="shared" si="132"/>
        <v>#REF!</v>
      </c>
      <c r="M493" s="859" t="e">
        <f t="shared" si="133"/>
        <v>#REF!</v>
      </c>
      <c r="N493" s="859" t="e">
        <f t="shared" si="134"/>
        <v>#REF!</v>
      </c>
      <c r="O493" s="860" t="e">
        <f t="shared" si="119"/>
        <v>#REF!</v>
      </c>
      <c r="P493" s="860" t="e">
        <f t="shared" si="119"/>
        <v>#REF!</v>
      </c>
      <c r="Q493" s="860" t="e">
        <f t="shared" si="119"/>
        <v>#REF!</v>
      </c>
      <c r="R493" s="1969" t="e">
        <f t="shared" si="120"/>
        <v>#REF!</v>
      </c>
      <c r="S493" s="675" t="e">
        <f t="shared" si="121"/>
        <v>#REF!</v>
      </c>
      <c r="T493" s="10"/>
      <c r="U493" s="10"/>
      <c r="V493" s="10"/>
      <c r="W493" s="10"/>
      <c r="X493" s="10"/>
      <c r="Y493" s="10"/>
      <c r="Z493" s="10"/>
      <c r="AA493" s="10"/>
      <c r="AB493" s="10"/>
      <c r="AC493" s="10"/>
    </row>
    <row r="494" spans="1:29" ht="52.5" customHeight="1" x14ac:dyDescent="0.2">
      <c r="A494" s="4034"/>
      <c r="B494" s="4029" t="s">
        <v>67</v>
      </c>
      <c r="C494" s="3960" t="s">
        <v>164</v>
      </c>
      <c r="D494" s="4023"/>
      <c r="E494" s="4024"/>
      <c r="F494" s="2410">
        <f t="shared" si="131"/>
        <v>0</v>
      </c>
      <c r="G494" s="2411">
        <f t="shared" si="131"/>
        <v>0</v>
      </c>
      <c r="H494" s="12"/>
      <c r="I494" s="1968">
        <f>IF(F494=0,0,$F494*COEF!$J$27)</f>
        <v>0</v>
      </c>
      <c r="J494" s="858">
        <f>IF(F494=0,0,$F494*COEF!$K$27)</f>
        <v>0</v>
      </c>
      <c r="K494" s="858">
        <f>IF(F494=0,0,$F494*COEF!$L$27)</f>
        <v>0</v>
      </c>
      <c r="L494" s="859" t="e">
        <f t="shared" si="132"/>
        <v>#REF!</v>
      </c>
      <c r="M494" s="859" t="e">
        <f t="shared" si="133"/>
        <v>#REF!</v>
      </c>
      <c r="N494" s="859" t="e">
        <f t="shared" si="134"/>
        <v>#REF!</v>
      </c>
      <c r="O494" s="860" t="e">
        <f t="shared" si="119"/>
        <v>#REF!</v>
      </c>
      <c r="P494" s="860" t="e">
        <f t="shared" si="119"/>
        <v>#REF!</v>
      </c>
      <c r="Q494" s="860" t="e">
        <f t="shared" si="119"/>
        <v>#REF!</v>
      </c>
      <c r="R494" s="1969" t="e">
        <f t="shared" si="120"/>
        <v>#REF!</v>
      </c>
      <c r="S494" s="675">
        <f t="shared" si="121"/>
        <v>0</v>
      </c>
      <c r="T494" s="10"/>
      <c r="U494" s="10"/>
      <c r="V494" s="10"/>
      <c r="W494" s="10"/>
      <c r="X494" s="10"/>
      <c r="Y494" s="10"/>
      <c r="Z494" s="10"/>
      <c r="AA494" s="10"/>
      <c r="AB494" s="10"/>
      <c r="AC494" s="10"/>
    </row>
    <row r="495" spans="1:29" ht="52.5" customHeight="1" x14ac:dyDescent="0.2">
      <c r="A495" s="4034"/>
      <c r="B495" s="4030"/>
      <c r="C495" s="4025" t="s">
        <v>207</v>
      </c>
      <c r="D495" s="3913"/>
      <c r="E495" s="3913"/>
      <c r="F495" s="2351">
        <f>350*G497</f>
        <v>0</v>
      </c>
      <c r="G495" s="2413">
        <f>+G412</f>
        <v>0</v>
      </c>
      <c r="H495" s="12"/>
      <c r="I495" s="1968">
        <f>IF(F495=0,0,$F495*COEF!$J$27)</f>
        <v>0</v>
      </c>
      <c r="J495" s="858">
        <f>IF(F495=0,0,$F495*COEF!$K$27)</f>
        <v>0</v>
      </c>
      <c r="K495" s="858">
        <f>IF(F495=0,0,$F495*COEF!$L$27)</f>
        <v>0</v>
      </c>
      <c r="L495" s="859" t="e">
        <f t="shared" si="132"/>
        <v>#REF!</v>
      </c>
      <c r="M495" s="859" t="e">
        <f t="shared" si="133"/>
        <v>#REF!</v>
      </c>
      <c r="N495" s="859" t="e">
        <f t="shared" si="134"/>
        <v>#REF!</v>
      </c>
      <c r="O495" s="860" t="e">
        <f t="shared" si="119"/>
        <v>#REF!</v>
      </c>
      <c r="P495" s="860" t="e">
        <f t="shared" si="119"/>
        <v>#REF!</v>
      </c>
      <c r="Q495" s="860" t="e">
        <f t="shared" si="119"/>
        <v>#REF!</v>
      </c>
      <c r="R495" s="1969" t="e">
        <f t="shared" si="120"/>
        <v>#REF!</v>
      </c>
      <c r="S495" s="675">
        <f t="shared" si="121"/>
        <v>0</v>
      </c>
      <c r="T495" s="10"/>
      <c r="U495" s="10"/>
      <c r="V495" s="10"/>
      <c r="W495" s="10"/>
      <c r="X495" s="10"/>
      <c r="Y495" s="10"/>
      <c r="Z495" s="10"/>
      <c r="AA495" s="10"/>
      <c r="AB495" s="10"/>
      <c r="AC495" s="10"/>
    </row>
    <row r="496" spans="1:29" ht="52.5" customHeight="1" x14ac:dyDescent="0.2">
      <c r="A496" s="4034"/>
      <c r="B496" s="4030"/>
      <c r="C496" s="4097" t="s">
        <v>609</v>
      </c>
      <c r="D496" s="4088"/>
      <c r="E496" s="4088"/>
      <c r="F496" s="2351" t="e">
        <f>700*G498</f>
        <v>#REF!</v>
      </c>
      <c r="G496" s="2413" t="e">
        <f>+G413</f>
        <v>#REF!</v>
      </c>
      <c r="H496" s="12"/>
      <c r="I496" s="1968" t="e">
        <f>IF(F496=0,0,$F496*COEF!$J$27)</f>
        <v>#REF!</v>
      </c>
      <c r="J496" s="858" t="e">
        <f>IF(F496=0,0,$F496*COEF!$K$27)</f>
        <v>#REF!</v>
      </c>
      <c r="K496" s="858" t="e">
        <f>IF(F496=0,0,$F496*COEF!$L$27)</f>
        <v>#REF!</v>
      </c>
      <c r="L496" s="859" t="e">
        <f t="shared" si="132"/>
        <v>#REF!</v>
      </c>
      <c r="M496" s="859" t="e">
        <f t="shared" si="133"/>
        <v>#REF!</v>
      </c>
      <c r="N496" s="859" t="e">
        <f t="shared" si="134"/>
        <v>#REF!</v>
      </c>
      <c r="O496" s="860" t="e">
        <f t="shared" si="119"/>
        <v>#REF!</v>
      </c>
      <c r="P496" s="860" t="e">
        <f t="shared" si="119"/>
        <v>#REF!</v>
      </c>
      <c r="Q496" s="860" t="e">
        <f t="shared" si="119"/>
        <v>#REF!</v>
      </c>
      <c r="R496" s="1969" t="e">
        <f t="shared" si="120"/>
        <v>#REF!</v>
      </c>
      <c r="S496" s="675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</row>
    <row r="497" spans="1:29" ht="52.5" customHeight="1" x14ac:dyDescent="0.2">
      <c r="A497" s="4034"/>
      <c r="B497" s="4030"/>
      <c r="C497" s="4098" t="s">
        <v>204</v>
      </c>
      <c r="D497" s="4098"/>
      <c r="E497" s="3965"/>
      <c r="F497" s="2407">
        <f>+F412-350*G497</f>
        <v>0</v>
      </c>
      <c r="G497" s="2417">
        <f>+G412</f>
        <v>0</v>
      </c>
      <c r="H497" s="12"/>
      <c r="I497" s="1968">
        <f>IF(F497=0,0,$F497*COEF!$J$27)</f>
        <v>0</v>
      </c>
      <c r="J497" s="858">
        <f>IF(F497=0,0,$F497*COEF!$K$27)</f>
        <v>0</v>
      </c>
      <c r="K497" s="858">
        <f>IF(F497=0,0,$F497*COEF!$L$27)</f>
        <v>0</v>
      </c>
      <c r="L497" s="859" t="e">
        <f t="shared" si="132"/>
        <v>#REF!</v>
      </c>
      <c r="M497" s="859" t="e">
        <f t="shared" si="133"/>
        <v>#REF!</v>
      </c>
      <c r="N497" s="859" t="e">
        <f t="shared" si="134"/>
        <v>#REF!</v>
      </c>
      <c r="O497" s="860" t="e">
        <f t="shared" si="119"/>
        <v>#REF!</v>
      </c>
      <c r="P497" s="860" t="e">
        <f t="shared" si="119"/>
        <v>#REF!</v>
      </c>
      <c r="Q497" s="860" t="e">
        <f t="shared" si="119"/>
        <v>#REF!</v>
      </c>
      <c r="R497" s="1969" t="e">
        <f t="shared" si="120"/>
        <v>#REF!</v>
      </c>
      <c r="S497" s="675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</row>
    <row r="498" spans="1:29" ht="52.5" customHeight="1" x14ac:dyDescent="0.2">
      <c r="A498" s="4034"/>
      <c r="B498" s="4030"/>
      <c r="C498" s="4098" t="s">
        <v>615</v>
      </c>
      <c r="D498" s="4098"/>
      <c r="E498" s="3965"/>
      <c r="F498" s="2407" t="e">
        <f>+F413-700*G498</f>
        <v>#REF!</v>
      </c>
      <c r="G498" s="2417" t="e">
        <f>+G413</f>
        <v>#REF!</v>
      </c>
      <c r="H498" s="12"/>
      <c r="I498" s="1968" t="e">
        <f>IF(F498=0,0,$F498*COEF!$J$27)</f>
        <v>#REF!</v>
      </c>
      <c r="J498" s="858" t="e">
        <f>IF(F498=0,0,$F498*COEF!$K$27)</f>
        <v>#REF!</v>
      </c>
      <c r="K498" s="858" t="e">
        <f>IF(F498=0,0,$F498*COEF!$L$27)</f>
        <v>#REF!</v>
      </c>
      <c r="L498" s="859" t="e">
        <f t="shared" si="132"/>
        <v>#REF!</v>
      </c>
      <c r="M498" s="859" t="e">
        <f t="shared" si="133"/>
        <v>#REF!</v>
      </c>
      <c r="N498" s="859" t="e">
        <f t="shared" si="134"/>
        <v>#REF!</v>
      </c>
      <c r="O498" s="860" t="e">
        <f t="shared" si="119"/>
        <v>#REF!</v>
      </c>
      <c r="P498" s="860" t="e">
        <f t="shared" si="119"/>
        <v>#REF!</v>
      </c>
      <c r="Q498" s="860" t="e">
        <f t="shared" si="119"/>
        <v>#REF!</v>
      </c>
      <c r="R498" s="1969" t="e">
        <f t="shared" si="120"/>
        <v>#REF!</v>
      </c>
      <c r="S498" s="675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</row>
    <row r="499" spans="1:29" ht="52.5" customHeight="1" x14ac:dyDescent="0.2">
      <c r="A499" s="4034"/>
      <c r="B499" s="4030"/>
      <c r="C499" s="4594" t="s">
        <v>598</v>
      </c>
      <c r="D499" s="4594"/>
      <c r="E499" s="4594"/>
      <c r="F499" s="2351" t="e">
        <f>+F414</f>
        <v>#REF!</v>
      </c>
      <c r="G499" s="2413" t="e">
        <f>+G414</f>
        <v>#REF!</v>
      </c>
      <c r="H499" s="12"/>
      <c r="I499" s="1968" t="e">
        <f>IF(F499=0,0,$F499*COEF!$J$27)</f>
        <v>#REF!</v>
      </c>
      <c r="J499" s="858" t="e">
        <f>IF(F499=0,0,$F499*COEF!$K$27)</f>
        <v>#REF!</v>
      </c>
      <c r="K499" s="858" t="e">
        <f>IF(F499=0,0,$F499*COEF!$L$27)</f>
        <v>#REF!</v>
      </c>
      <c r="L499" s="859" t="e">
        <f t="shared" si="132"/>
        <v>#REF!</v>
      </c>
      <c r="M499" s="859" t="e">
        <f t="shared" si="133"/>
        <v>#REF!</v>
      </c>
      <c r="N499" s="859" t="e">
        <f t="shared" si="134"/>
        <v>#REF!</v>
      </c>
      <c r="O499" s="860" t="e">
        <f t="shared" si="119"/>
        <v>#REF!</v>
      </c>
      <c r="P499" s="860" t="e">
        <f t="shared" si="119"/>
        <v>#REF!</v>
      </c>
      <c r="Q499" s="860" t="e">
        <f t="shared" si="119"/>
        <v>#REF!</v>
      </c>
      <c r="R499" s="1969" t="e">
        <f t="shared" si="120"/>
        <v>#REF!</v>
      </c>
      <c r="S499" s="675" t="e">
        <f t="shared" si="121"/>
        <v>#REF!</v>
      </c>
      <c r="T499" s="10"/>
      <c r="U499" s="10"/>
      <c r="V499" s="10"/>
      <c r="W499" s="10"/>
      <c r="X499" s="10"/>
      <c r="Y499" s="10"/>
      <c r="Z499" s="10"/>
      <c r="AA499" s="10"/>
      <c r="AB499" s="10"/>
      <c r="AC499" s="10"/>
    </row>
    <row r="500" spans="1:29" ht="52.5" customHeight="1" x14ac:dyDescent="0.2">
      <c r="A500" s="4034"/>
      <c r="B500" s="4030"/>
      <c r="C500" s="3948" t="s">
        <v>198</v>
      </c>
      <c r="D500" s="3912"/>
      <c r="E500" s="3912"/>
      <c r="F500" s="2352">
        <f>250*G502</f>
        <v>0</v>
      </c>
      <c r="G500" s="2412">
        <f>+G502</f>
        <v>0</v>
      </c>
      <c r="H500" s="12"/>
      <c r="I500" s="1968">
        <f>IF(F500=0,0,$F500*COEF!$J$27)</f>
        <v>0</v>
      </c>
      <c r="J500" s="858">
        <f>IF(F500=0,0,$F500*COEF!$K$27)</f>
        <v>0</v>
      </c>
      <c r="K500" s="858">
        <f>IF(F500=0,0,$F500*COEF!$L$27)</f>
        <v>0</v>
      </c>
      <c r="L500" s="859" t="e">
        <f t="shared" si="132"/>
        <v>#REF!</v>
      </c>
      <c r="M500" s="859" t="e">
        <f t="shared" si="133"/>
        <v>#REF!</v>
      </c>
      <c r="N500" s="859" t="e">
        <f t="shared" si="134"/>
        <v>#REF!</v>
      </c>
      <c r="O500" s="860" t="e">
        <f t="shared" si="119"/>
        <v>#REF!</v>
      </c>
      <c r="P500" s="860" t="e">
        <f t="shared" si="119"/>
        <v>#REF!</v>
      </c>
      <c r="Q500" s="860" t="e">
        <f t="shared" si="119"/>
        <v>#REF!</v>
      </c>
      <c r="R500" s="1969" t="e">
        <f t="shared" si="120"/>
        <v>#REF!</v>
      </c>
      <c r="S500" s="675">
        <f t="shared" si="121"/>
        <v>0</v>
      </c>
      <c r="T500" s="10"/>
      <c r="U500" s="10"/>
      <c r="V500" s="10"/>
      <c r="W500" s="10"/>
      <c r="X500" s="10"/>
      <c r="Y500" s="10"/>
      <c r="Z500" s="10"/>
      <c r="AA500" s="10"/>
      <c r="AB500" s="10"/>
      <c r="AC500" s="10"/>
    </row>
    <row r="501" spans="1:29" ht="52.5" customHeight="1" x14ac:dyDescent="0.2">
      <c r="A501" s="4034"/>
      <c r="B501" s="4030"/>
      <c r="C501" s="4099" t="s">
        <v>611</v>
      </c>
      <c r="D501" s="4090"/>
      <c r="E501" s="4090"/>
      <c r="F501" s="2352" t="e">
        <f>500*G503</f>
        <v>#REF!</v>
      </c>
      <c r="G501" s="2412" t="e">
        <f>+G503</f>
        <v>#REF!</v>
      </c>
      <c r="H501" s="12"/>
      <c r="I501" s="1968" t="e">
        <f>IF(F501=0,0,$F501*COEF!$J$27)</f>
        <v>#REF!</v>
      </c>
      <c r="J501" s="858" t="e">
        <f>IF(F501=0,0,$F501*COEF!$K$27)</f>
        <v>#REF!</v>
      </c>
      <c r="K501" s="858" t="e">
        <f>IF(F501=0,0,$F501*COEF!$L$27)</f>
        <v>#REF!</v>
      </c>
      <c r="L501" s="859" t="e">
        <f t="shared" si="132"/>
        <v>#REF!</v>
      </c>
      <c r="M501" s="859" t="e">
        <f t="shared" si="133"/>
        <v>#REF!</v>
      </c>
      <c r="N501" s="859" t="e">
        <f t="shared" si="134"/>
        <v>#REF!</v>
      </c>
      <c r="O501" s="860" t="e">
        <f t="shared" si="119"/>
        <v>#REF!</v>
      </c>
      <c r="P501" s="860" t="e">
        <f t="shared" si="119"/>
        <v>#REF!</v>
      </c>
      <c r="Q501" s="860" t="e">
        <f t="shared" si="119"/>
        <v>#REF!</v>
      </c>
      <c r="R501" s="1969" t="e">
        <f t="shared" si="120"/>
        <v>#REF!</v>
      </c>
      <c r="S501" s="675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</row>
    <row r="502" spans="1:29" ht="52.5" customHeight="1" x14ac:dyDescent="0.2">
      <c r="A502" s="4034"/>
      <c r="B502" s="4030"/>
      <c r="C502" s="4098" t="s">
        <v>209</v>
      </c>
      <c r="D502" s="4098"/>
      <c r="E502" s="3965"/>
      <c r="F502" s="2407">
        <f>+F415-250*G502</f>
        <v>0</v>
      </c>
      <c r="G502" s="2417">
        <f>+G415</f>
        <v>0</v>
      </c>
      <c r="H502" s="12"/>
      <c r="I502" s="1968">
        <f>IF(F502=0,0,$F502*COEF!$J$27)</f>
        <v>0</v>
      </c>
      <c r="J502" s="858">
        <f>IF(F502=0,0,$F502*COEF!$K$27)</f>
        <v>0</v>
      </c>
      <c r="K502" s="858">
        <f>IF(F502=0,0,$F502*COEF!$L$27)</f>
        <v>0</v>
      </c>
      <c r="L502" s="859" t="e">
        <f t="shared" si="132"/>
        <v>#REF!</v>
      </c>
      <c r="M502" s="859" t="e">
        <f t="shared" si="133"/>
        <v>#REF!</v>
      </c>
      <c r="N502" s="859" t="e">
        <f t="shared" si="134"/>
        <v>#REF!</v>
      </c>
      <c r="O502" s="860" t="e">
        <f t="shared" si="119"/>
        <v>#REF!</v>
      </c>
      <c r="P502" s="860" t="e">
        <f t="shared" si="119"/>
        <v>#REF!</v>
      </c>
      <c r="Q502" s="860" t="e">
        <f t="shared" si="119"/>
        <v>#REF!</v>
      </c>
      <c r="R502" s="1969" t="e">
        <f t="shared" si="120"/>
        <v>#REF!</v>
      </c>
      <c r="S502" s="675">
        <f t="shared" si="121"/>
        <v>0</v>
      </c>
      <c r="T502" s="10"/>
      <c r="U502" s="10"/>
      <c r="V502" s="10"/>
      <c r="W502" s="10"/>
      <c r="X502" s="10"/>
      <c r="Y502" s="10"/>
      <c r="Z502" s="10"/>
      <c r="AA502" s="10"/>
      <c r="AB502" s="10"/>
      <c r="AC502" s="10"/>
    </row>
    <row r="503" spans="1:29" ht="52.5" customHeight="1" x14ac:dyDescent="0.2">
      <c r="A503" s="4034"/>
      <c r="B503" s="4030"/>
      <c r="C503" s="4098" t="s">
        <v>616</v>
      </c>
      <c r="D503" s="4098"/>
      <c r="E503" s="3965"/>
      <c r="F503" s="2407" t="e">
        <f>+F416-500*G503</f>
        <v>#REF!</v>
      </c>
      <c r="G503" s="2417" t="e">
        <f>+G416</f>
        <v>#REF!</v>
      </c>
      <c r="H503" s="12"/>
      <c r="I503" s="1968" t="e">
        <f>IF(F503=0,0,$F503*COEF!$J$27)</f>
        <v>#REF!</v>
      </c>
      <c r="J503" s="858" t="e">
        <f>IF(F503=0,0,$F503*COEF!$K$27)</f>
        <v>#REF!</v>
      </c>
      <c r="K503" s="858" t="e">
        <f>IF(F503=0,0,$F503*COEF!$L$27)</f>
        <v>#REF!</v>
      </c>
      <c r="L503" s="859" t="e">
        <f t="shared" si="132"/>
        <v>#REF!</v>
      </c>
      <c r="M503" s="859" t="e">
        <f t="shared" si="133"/>
        <v>#REF!</v>
      </c>
      <c r="N503" s="859" t="e">
        <f t="shared" si="134"/>
        <v>#REF!</v>
      </c>
      <c r="O503" s="860" t="e">
        <f t="shared" si="119"/>
        <v>#REF!</v>
      </c>
      <c r="P503" s="860" t="e">
        <f t="shared" si="119"/>
        <v>#REF!</v>
      </c>
      <c r="Q503" s="860" t="e">
        <f t="shared" si="119"/>
        <v>#REF!</v>
      </c>
      <c r="R503" s="1969" t="e">
        <f t="shared" si="120"/>
        <v>#REF!</v>
      </c>
      <c r="S503" s="675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</row>
    <row r="504" spans="1:29" ht="52.5" customHeight="1" x14ac:dyDescent="0.2">
      <c r="A504" s="4034"/>
      <c r="B504" s="4030"/>
      <c r="C504" s="3686" t="s">
        <v>45</v>
      </c>
      <c r="D504" s="4649" t="s">
        <v>601</v>
      </c>
      <c r="E504" s="4650"/>
      <c r="F504" s="2439">
        <f>350*(G507+G509)</f>
        <v>0</v>
      </c>
      <c r="G504" s="2439">
        <f>+G507+G509</f>
        <v>0</v>
      </c>
      <c r="H504" s="12"/>
      <c r="I504" s="1968"/>
      <c r="J504" s="858"/>
      <c r="K504" s="858"/>
      <c r="L504" s="859"/>
      <c r="M504" s="859"/>
      <c r="N504" s="859"/>
      <c r="O504" s="860"/>
      <c r="P504" s="860"/>
      <c r="Q504" s="860"/>
      <c r="R504" s="1969"/>
      <c r="S504" s="675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</row>
    <row r="505" spans="1:29" ht="52.5" customHeight="1" x14ac:dyDescent="0.2">
      <c r="A505" s="4034"/>
      <c r="B505" s="4030"/>
      <c r="C505" s="3687"/>
      <c r="D505" s="4650" t="s">
        <v>602</v>
      </c>
      <c r="E505" s="4651"/>
      <c r="F505" s="2439" t="e">
        <f>700*(G508+G510)</f>
        <v>#REF!</v>
      </c>
      <c r="G505" s="2439" t="e">
        <f>+G508+G510</f>
        <v>#REF!</v>
      </c>
      <c r="H505" s="12"/>
      <c r="I505" s="1968"/>
      <c r="J505" s="858"/>
      <c r="K505" s="858"/>
      <c r="L505" s="859"/>
      <c r="M505" s="859"/>
      <c r="N505" s="859"/>
      <c r="O505" s="860"/>
      <c r="P505" s="860"/>
      <c r="Q505" s="860"/>
      <c r="R505" s="1969"/>
      <c r="S505" s="675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</row>
    <row r="506" spans="1:29" ht="52.5" customHeight="1" x14ac:dyDescent="0.2">
      <c r="A506" s="4034"/>
      <c r="B506" s="4030"/>
      <c r="C506" s="3687"/>
      <c r="D506" s="4650" t="s">
        <v>603</v>
      </c>
      <c r="E506" s="4651"/>
      <c r="F506" s="2439" t="e">
        <f>+((F507+F509)-(350*(G507+G509))+((F508+F510)-(700*(G508+G510))))</f>
        <v>#REF!</v>
      </c>
      <c r="G506" s="2440" t="e">
        <f>+G504+G505</f>
        <v>#REF!</v>
      </c>
      <c r="H506" s="12" t="e">
        <f>SUM(F504:F506)</f>
        <v>#REF!</v>
      </c>
      <c r="I506" s="1968"/>
      <c r="J506" s="858"/>
      <c r="K506" s="858"/>
      <c r="L506" s="859"/>
      <c r="M506" s="859"/>
      <c r="N506" s="859"/>
      <c r="O506" s="860"/>
      <c r="P506" s="860"/>
      <c r="Q506" s="860"/>
      <c r="R506" s="1969"/>
      <c r="S506" s="675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</row>
    <row r="507" spans="1:29" ht="52.5" customHeight="1" x14ac:dyDescent="0.2">
      <c r="A507" s="4034"/>
      <c r="B507" s="4030"/>
      <c r="C507" s="3687"/>
      <c r="D507" s="3648" t="s">
        <v>68</v>
      </c>
      <c r="E507" s="3649"/>
      <c r="F507" s="2351">
        <f t="shared" ref="F507:G511" si="135">+F417</f>
        <v>0</v>
      </c>
      <c r="G507" s="2413">
        <f t="shared" si="135"/>
        <v>0</v>
      </c>
      <c r="H507" s="12"/>
      <c r="I507" s="1968">
        <f>IF(F507=0,0,$F507*COEF!$J$27)</f>
        <v>0</v>
      </c>
      <c r="J507" s="858">
        <f>IF(F507=0,0,$F507*COEF!$K$27)</f>
        <v>0</v>
      </c>
      <c r="K507" s="858">
        <f>IF(F507=0,0,$F507*COEF!$L$27)</f>
        <v>0</v>
      </c>
      <c r="L507" s="859" t="e">
        <f t="shared" ref="L507:L517" si="136">+I507*I$595</f>
        <v>#REF!</v>
      </c>
      <c r="M507" s="859" t="e">
        <f t="shared" ref="M507:M517" si="137">+J507*J$595</f>
        <v>#REF!</v>
      </c>
      <c r="N507" s="859" t="e">
        <f t="shared" ref="N507:N517" si="138">+K507*K$595</f>
        <v>#REF!</v>
      </c>
      <c r="O507" s="860" t="e">
        <f t="shared" si="119"/>
        <v>#REF!</v>
      </c>
      <c r="P507" s="860" t="e">
        <f t="shared" si="119"/>
        <v>#REF!</v>
      </c>
      <c r="Q507" s="860" t="e">
        <f t="shared" si="119"/>
        <v>#REF!</v>
      </c>
      <c r="R507" s="1969" t="e">
        <f t="shared" si="120"/>
        <v>#REF!</v>
      </c>
      <c r="S507" s="675">
        <f t="shared" si="121"/>
        <v>0</v>
      </c>
      <c r="T507" s="10"/>
      <c r="U507" s="10"/>
      <c r="V507" s="10"/>
      <c r="W507" s="10"/>
      <c r="X507" s="10"/>
      <c r="Y507" s="10"/>
      <c r="Z507" s="10"/>
      <c r="AA507" s="10"/>
      <c r="AB507" s="10"/>
      <c r="AC507" s="10"/>
    </row>
    <row r="508" spans="1:29" ht="52.5" customHeight="1" x14ac:dyDescent="0.2">
      <c r="A508" s="4034"/>
      <c r="B508" s="4030"/>
      <c r="C508" s="3687"/>
      <c r="D508" s="3648" t="s">
        <v>617</v>
      </c>
      <c r="E508" s="3649"/>
      <c r="F508" s="2351" t="e">
        <f t="shared" si="135"/>
        <v>#REF!</v>
      </c>
      <c r="G508" s="2413" t="e">
        <f t="shared" si="135"/>
        <v>#REF!</v>
      </c>
      <c r="H508" s="12"/>
      <c r="I508" s="1968" t="e">
        <f>IF(F508=0,0,$F508*COEF!$J$27)</f>
        <v>#REF!</v>
      </c>
      <c r="J508" s="858" t="e">
        <f>IF(F508=0,0,$F508*COEF!$K$27)</f>
        <v>#REF!</v>
      </c>
      <c r="K508" s="858" t="e">
        <f>IF(F508=0,0,$F508*COEF!$L$27)</f>
        <v>#REF!</v>
      </c>
      <c r="L508" s="859" t="e">
        <f t="shared" si="136"/>
        <v>#REF!</v>
      </c>
      <c r="M508" s="859" t="e">
        <f t="shared" si="137"/>
        <v>#REF!</v>
      </c>
      <c r="N508" s="859" t="e">
        <f t="shared" si="138"/>
        <v>#REF!</v>
      </c>
      <c r="O508" s="860" t="e">
        <f t="shared" si="119"/>
        <v>#REF!</v>
      </c>
      <c r="P508" s="860" t="e">
        <f t="shared" si="119"/>
        <v>#REF!</v>
      </c>
      <c r="Q508" s="860" t="e">
        <f t="shared" si="119"/>
        <v>#REF!</v>
      </c>
      <c r="R508" s="1969" t="e">
        <f t="shared" si="120"/>
        <v>#REF!</v>
      </c>
      <c r="S508" s="675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</row>
    <row r="509" spans="1:29" ht="52.5" customHeight="1" x14ac:dyDescent="0.2">
      <c r="A509" s="4034"/>
      <c r="B509" s="4030"/>
      <c r="C509" s="4096"/>
      <c r="D509" s="3650" t="s">
        <v>69</v>
      </c>
      <c r="E509" s="3651"/>
      <c r="F509" s="2351">
        <f t="shared" si="135"/>
        <v>0</v>
      </c>
      <c r="G509" s="2413">
        <f t="shared" si="135"/>
        <v>0</v>
      </c>
      <c r="H509" s="12"/>
      <c r="I509" s="1968">
        <f>IF(F509=0,0,$F509*COEF!$J$27)</f>
        <v>0</v>
      </c>
      <c r="J509" s="858">
        <f>IF(F509=0,0,$F509*COEF!$K$27)</f>
        <v>0</v>
      </c>
      <c r="K509" s="858">
        <f>IF(F509=0,0,$F509*COEF!$L$27)</f>
        <v>0</v>
      </c>
      <c r="L509" s="859" t="e">
        <f t="shared" si="136"/>
        <v>#REF!</v>
      </c>
      <c r="M509" s="859" t="e">
        <f t="shared" si="137"/>
        <v>#REF!</v>
      </c>
      <c r="N509" s="859" t="e">
        <f t="shared" si="138"/>
        <v>#REF!</v>
      </c>
      <c r="O509" s="860" t="e">
        <f t="shared" ref="O509:Q517" si="139">I509+L509</f>
        <v>#REF!</v>
      </c>
      <c r="P509" s="860" t="e">
        <f t="shared" si="139"/>
        <v>#REF!</v>
      </c>
      <c r="Q509" s="860" t="e">
        <f t="shared" si="139"/>
        <v>#REF!</v>
      </c>
      <c r="R509" s="1969" t="e">
        <f t="shared" ref="R509:R517" si="140">SUM(O509:Q509)</f>
        <v>#REF!</v>
      </c>
      <c r="S509" s="675">
        <f t="shared" si="121"/>
        <v>0</v>
      </c>
      <c r="T509" s="10"/>
      <c r="U509" s="10"/>
      <c r="V509" s="10"/>
      <c r="W509" s="10"/>
      <c r="X509" s="10"/>
      <c r="Y509" s="10"/>
      <c r="Z509" s="10"/>
      <c r="AA509" s="10"/>
      <c r="AB509" s="10"/>
      <c r="AC509" s="10"/>
    </row>
    <row r="510" spans="1:29" ht="52.5" customHeight="1" x14ac:dyDescent="0.2">
      <c r="A510" s="4034"/>
      <c r="B510" s="4030"/>
      <c r="C510" s="2076"/>
      <c r="D510" s="3650" t="s">
        <v>618</v>
      </c>
      <c r="E510" s="3651"/>
      <c r="F510" s="2351" t="e">
        <f t="shared" si="135"/>
        <v>#REF!</v>
      </c>
      <c r="G510" s="2413" t="e">
        <f t="shared" si="135"/>
        <v>#REF!</v>
      </c>
      <c r="H510" s="12" t="e">
        <f>SUM(F507:F510)</f>
        <v>#REF!</v>
      </c>
      <c r="I510" s="1968" t="e">
        <f>IF(F510=0,0,$F510*COEF!$J$27)</f>
        <v>#REF!</v>
      </c>
      <c r="J510" s="858" t="e">
        <f>IF(F510=0,0,$F510*COEF!$K$27)</f>
        <v>#REF!</v>
      </c>
      <c r="K510" s="858" t="e">
        <f>IF(F510=0,0,$F510*COEF!$L$27)</f>
        <v>#REF!</v>
      </c>
      <c r="L510" s="859" t="e">
        <f t="shared" si="136"/>
        <v>#REF!</v>
      </c>
      <c r="M510" s="859" t="e">
        <f t="shared" si="137"/>
        <v>#REF!</v>
      </c>
      <c r="N510" s="859" t="e">
        <f t="shared" si="138"/>
        <v>#REF!</v>
      </c>
      <c r="O510" s="860" t="e">
        <f t="shared" si="139"/>
        <v>#REF!</v>
      </c>
      <c r="P510" s="860" t="e">
        <f t="shared" si="139"/>
        <v>#REF!</v>
      </c>
      <c r="Q510" s="860" t="e">
        <f t="shared" si="139"/>
        <v>#REF!</v>
      </c>
      <c r="R510" s="1969" t="e">
        <f t="shared" si="140"/>
        <v>#REF!</v>
      </c>
      <c r="S510" s="675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</row>
    <row r="511" spans="1:29" ht="52.5" customHeight="1" x14ac:dyDescent="0.2">
      <c r="A511" s="4034"/>
      <c r="B511" s="4030"/>
      <c r="C511" s="2077" t="s">
        <v>66</v>
      </c>
      <c r="D511" s="4613" t="s">
        <v>580</v>
      </c>
      <c r="E511" s="4614"/>
      <c r="F511" s="2409" t="e">
        <f t="shared" si="135"/>
        <v>#REF!</v>
      </c>
      <c r="G511" s="2425" t="e">
        <f t="shared" si="135"/>
        <v>#REF!</v>
      </c>
      <c r="H511" s="12" t="e">
        <f>SUM(F494:F511)</f>
        <v>#REF!</v>
      </c>
      <c r="I511" s="1968" t="e">
        <f>IF(F511=0,0,$F511*COEF!$J$27)</f>
        <v>#REF!</v>
      </c>
      <c r="J511" s="858" t="e">
        <f>IF(F511=0,0,$F511*COEF!$K$27)</f>
        <v>#REF!</v>
      </c>
      <c r="K511" s="858" t="e">
        <f>IF(F511=0,0,$F511*COEF!$L$27)</f>
        <v>#REF!</v>
      </c>
      <c r="L511" s="859" t="e">
        <f t="shared" si="136"/>
        <v>#REF!</v>
      </c>
      <c r="M511" s="859" t="e">
        <f t="shared" si="137"/>
        <v>#REF!</v>
      </c>
      <c r="N511" s="859" t="e">
        <f t="shared" si="138"/>
        <v>#REF!</v>
      </c>
      <c r="O511" s="860" t="e">
        <f t="shared" si="139"/>
        <v>#REF!</v>
      </c>
      <c r="P511" s="860" t="e">
        <f t="shared" si="139"/>
        <v>#REF!</v>
      </c>
      <c r="Q511" s="860" t="e">
        <f t="shared" si="139"/>
        <v>#REF!</v>
      </c>
      <c r="R511" s="1969" t="e">
        <f t="shared" si="140"/>
        <v>#REF!</v>
      </c>
      <c r="S511" s="675" t="e">
        <f t="shared" si="121"/>
        <v>#REF!</v>
      </c>
      <c r="T511" s="10"/>
      <c r="U511" s="10"/>
      <c r="V511" s="10"/>
      <c r="W511" s="10"/>
      <c r="X511" s="10"/>
      <c r="Y511" s="10"/>
      <c r="Z511" s="10"/>
      <c r="AA511" s="10"/>
      <c r="AB511" s="10"/>
      <c r="AC511" s="10"/>
    </row>
    <row r="512" spans="1:29" ht="57.75" customHeight="1" thickBot="1" x14ac:dyDescent="0.25">
      <c r="A512" s="3954" t="s">
        <v>186</v>
      </c>
      <c r="B512" s="3944" t="s">
        <v>21</v>
      </c>
      <c r="C512" s="4592" t="s">
        <v>210</v>
      </c>
      <c r="D512" s="4593"/>
      <c r="E512" s="4593"/>
      <c r="F512" s="2420">
        <f>+F422+800*G513</f>
        <v>0</v>
      </c>
      <c r="G512" s="2420">
        <f>+G422+G423</f>
        <v>0</v>
      </c>
      <c r="H512" s="12"/>
      <c r="I512" s="1968">
        <f>IF(F512=0,0,$F512*COEF!$J$27)</f>
        <v>0</v>
      </c>
      <c r="J512" s="858">
        <f>IF(F512=0,0,$F512*COEF!$K$27)</f>
        <v>0</v>
      </c>
      <c r="K512" s="858">
        <f>IF(F512=0,0,$F512*COEF!$L$27)</f>
        <v>0</v>
      </c>
      <c r="L512" s="859" t="e">
        <f t="shared" si="136"/>
        <v>#REF!</v>
      </c>
      <c r="M512" s="859" t="e">
        <f t="shared" si="137"/>
        <v>#REF!</v>
      </c>
      <c r="N512" s="859" t="e">
        <f t="shared" si="138"/>
        <v>#REF!</v>
      </c>
      <c r="O512" s="860" t="e">
        <f t="shared" si="139"/>
        <v>#REF!</v>
      </c>
      <c r="P512" s="860" t="e">
        <f t="shared" si="139"/>
        <v>#REF!</v>
      </c>
      <c r="Q512" s="860" t="e">
        <f t="shared" si="139"/>
        <v>#REF!</v>
      </c>
      <c r="R512" s="1969" t="e">
        <f t="shared" si="140"/>
        <v>#REF!</v>
      </c>
      <c r="S512" s="675">
        <f t="shared" si="121"/>
        <v>0</v>
      </c>
      <c r="T512" s="10"/>
      <c r="U512" s="10"/>
      <c r="V512" s="10"/>
      <c r="W512" s="10"/>
      <c r="X512" s="10"/>
      <c r="Y512" s="10"/>
      <c r="Z512" s="10"/>
      <c r="AA512" s="10"/>
      <c r="AB512" s="10"/>
      <c r="AC512" s="10"/>
    </row>
    <row r="513" spans="1:44" ht="57.75" customHeight="1" thickBot="1" x14ac:dyDescent="0.25">
      <c r="A513" s="3954"/>
      <c r="B513" s="3945"/>
      <c r="C513" s="4592" t="s">
        <v>211</v>
      </c>
      <c r="D513" s="4593"/>
      <c r="E513" s="4593"/>
      <c r="F513" s="2352">
        <f>+F423-800*G423</f>
        <v>0</v>
      </c>
      <c r="G513" s="2352">
        <f>+G423</f>
        <v>0</v>
      </c>
      <c r="H513" s="12"/>
      <c r="I513" s="1968">
        <f>IF(F513=0,0,$F513*COEF!$J$27)</f>
        <v>0</v>
      </c>
      <c r="J513" s="858">
        <f>IF(F513=0,0,$F513*COEF!$K$27)</f>
        <v>0</v>
      </c>
      <c r="K513" s="858">
        <f>IF(F513=0,0,$F513*COEF!$L$27)</f>
        <v>0</v>
      </c>
      <c r="L513" s="859" t="e">
        <f t="shared" si="136"/>
        <v>#REF!</v>
      </c>
      <c r="M513" s="859" t="e">
        <f t="shared" si="137"/>
        <v>#REF!</v>
      </c>
      <c r="N513" s="859" t="e">
        <f t="shared" si="138"/>
        <v>#REF!</v>
      </c>
      <c r="O513" s="860" t="e">
        <f t="shared" si="139"/>
        <v>#REF!</v>
      </c>
      <c r="P513" s="860" t="e">
        <f t="shared" si="139"/>
        <v>#REF!</v>
      </c>
      <c r="Q513" s="860" t="e">
        <f t="shared" si="139"/>
        <v>#REF!</v>
      </c>
      <c r="R513" s="1969" t="e">
        <f t="shared" si="140"/>
        <v>#REF!</v>
      </c>
      <c r="S513" s="675">
        <f t="shared" si="121"/>
        <v>0</v>
      </c>
      <c r="T513" s="10"/>
      <c r="U513" s="10"/>
      <c r="V513" s="10"/>
      <c r="W513" s="10"/>
      <c r="X513" s="10"/>
      <c r="Y513" s="10"/>
      <c r="Z513" s="10"/>
      <c r="AA513" s="10"/>
      <c r="AB513" s="10"/>
      <c r="AC513" s="10"/>
    </row>
    <row r="514" spans="1:44" ht="57.75" customHeight="1" thickBot="1" x14ac:dyDescent="0.25">
      <c r="A514" s="3954"/>
      <c r="B514" s="2157"/>
      <c r="C514" s="4594" t="s">
        <v>619</v>
      </c>
      <c r="D514" s="4594"/>
      <c r="E514" s="4594"/>
      <c r="F514" s="2353" t="e">
        <f>+F424</f>
        <v>#REF!</v>
      </c>
      <c r="G514" s="2353" t="e">
        <f>+G424</f>
        <v>#REF!</v>
      </c>
      <c r="H514" s="12"/>
      <c r="I514" s="1968" t="e">
        <f>IF(F514=0,0,$F514*COEF!$J$27)</f>
        <v>#REF!</v>
      </c>
      <c r="J514" s="858" t="e">
        <f>IF(F514=0,0,$F514*COEF!$K$27)</f>
        <v>#REF!</v>
      </c>
      <c r="K514" s="858" t="e">
        <f>IF(F514=0,0,$F514*COEF!$L$27)</f>
        <v>#REF!</v>
      </c>
      <c r="L514" s="859" t="e">
        <f t="shared" si="136"/>
        <v>#REF!</v>
      </c>
      <c r="M514" s="859" t="e">
        <f t="shared" si="137"/>
        <v>#REF!</v>
      </c>
      <c r="N514" s="859" t="e">
        <f t="shared" si="138"/>
        <v>#REF!</v>
      </c>
      <c r="O514" s="860" t="e">
        <f t="shared" si="139"/>
        <v>#REF!</v>
      </c>
      <c r="P514" s="860" t="e">
        <f t="shared" si="139"/>
        <v>#REF!</v>
      </c>
      <c r="Q514" s="860" t="e">
        <f t="shared" si="139"/>
        <v>#REF!</v>
      </c>
      <c r="R514" s="1969" t="e">
        <f t="shared" si="140"/>
        <v>#REF!</v>
      </c>
      <c r="S514" s="675" t="e">
        <f t="shared" si="121"/>
        <v>#REF!</v>
      </c>
      <c r="T514" s="10"/>
      <c r="U514" s="10"/>
      <c r="V514" s="10"/>
      <c r="W514" s="10"/>
      <c r="X514" s="10"/>
      <c r="Y514" s="10"/>
      <c r="Z514" s="10"/>
      <c r="AA514" s="10"/>
      <c r="AB514" s="10"/>
      <c r="AC514" s="10"/>
    </row>
    <row r="515" spans="1:44" ht="57.75" customHeight="1" thickBot="1" x14ac:dyDescent="0.25">
      <c r="A515" s="3954"/>
      <c r="B515" s="3956" t="s">
        <v>71</v>
      </c>
      <c r="C515" s="3794" t="s">
        <v>212</v>
      </c>
      <c r="D515" s="3795"/>
      <c r="E515" s="3795"/>
      <c r="F515" s="2352">
        <f>+G515*800</f>
        <v>0</v>
      </c>
      <c r="G515" s="2352">
        <f>+G425</f>
        <v>0</v>
      </c>
      <c r="H515" s="12"/>
      <c r="I515" s="1968">
        <f>IF(F515=0,0,$F515*COEF!$J$27)</f>
        <v>0</v>
      </c>
      <c r="J515" s="858">
        <f>IF(F515=0,0,$F515*COEF!$K$27)</f>
        <v>0</v>
      </c>
      <c r="K515" s="858">
        <f>IF(F515=0,0,$F515*COEF!$L$27)</f>
        <v>0</v>
      </c>
      <c r="L515" s="859" t="e">
        <f t="shared" si="136"/>
        <v>#REF!</v>
      </c>
      <c r="M515" s="859" t="e">
        <f t="shared" si="137"/>
        <v>#REF!</v>
      </c>
      <c r="N515" s="859" t="e">
        <f t="shared" si="138"/>
        <v>#REF!</v>
      </c>
      <c r="O515" s="860" t="e">
        <f t="shared" si="139"/>
        <v>#REF!</v>
      </c>
      <c r="P515" s="860" t="e">
        <f t="shared" si="139"/>
        <v>#REF!</v>
      </c>
      <c r="Q515" s="860" t="e">
        <f t="shared" si="139"/>
        <v>#REF!</v>
      </c>
      <c r="R515" s="1969" t="e">
        <f t="shared" si="140"/>
        <v>#REF!</v>
      </c>
      <c r="S515" s="675">
        <f t="shared" si="121"/>
        <v>0</v>
      </c>
      <c r="T515" s="10"/>
      <c r="U515" s="10"/>
      <c r="V515" s="10"/>
      <c r="W515" s="10"/>
      <c r="X515" s="10"/>
      <c r="Y515" s="10"/>
      <c r="Z515" s="10"/>
      <c r="AA515" s="10"/>
      <c r="AB515" s="10"/>
      <c r="AC515" s="10"/>
    </row>
    <row r="516" spans="1:44" ht="57.75" customHeight="1" thickBot="1" x14ac:dyDescent="0.25">
      <c r="A516" s="3955"/>
      <c r="B516" s="3957"/>
      <c r="C516" s="3794" t="s">
        <v>213</v>
      </c>
      <c r="D516" s="3795"/>
      <c r="E516" s="3795"/>
      <c r="F516" s="2352">
        <f>+F425-F515</f>
        <v>0</v>
      </c>
      <c r="G516" s="2352">
        <f>+G515</f>
        <v>0</v>
      </c>
      <c r="H516" s="12"/>
      <c r="I516" s="1968">
        <f>IF(F516=0,0,$F516*COEF!$J$27)</f>
        <v>0</v>
      </c>
      <c r="J516" s="858">
        <f>IF(F516=0,0,$F516*COEF!$K$27)</f>
        <v>0</v>
      </c>
      <c r="K516" s="858">
        <f>IF(F516=0,0,$F516*COEF!$L$27)</f>
        <v>0</v>
      </c>
      <c r="L516" s="859" t="e">
        <f t="shared" si="136"/>
        <v>#REF!</v>
      </c>
      <c r="M516" s="859" t="e">
        <f t="shared" si="137"/>
        <v>#REF!</v>
      </c>
      <c r="N516" s="859" t="e">
        <f t="shared" si="138"/>
        <v>#REF!</v>
      </c>
      <c r="O516" s="860" t="e">
        <f t="shared" si="139"/>
        <v>#REF!</v>
      </c>
      <c r="P516" s="860" t="e">
        <f t="shared" si="139"/>
        <v>#REF!</v>
      </c>
      <c r="Q516" s="860" t="e">
        <f t="shared" si="139"/>
        <v>#REF!</v>
      </c>
      <c r="R516" s="1969" t="e">
        <f t="shared" si="140"/>
        <v>#REF!</v>
      </c>
      <c r="S516" s="675">
        <f t="shared" si="121"/>
        <v>0</v>
      </c>
      <c r="T516" s="10"/>
      <c r="U516" s="10"/>
      <c r="V516" s="10"/>
      <c r="W516" s="10"/>
      <c r="X516" s="10"/>
      <c r="Y516" s="10"/>
      <c r="Z516" s="10"/>
      <c r="AA516" s="10"/>
      <c r="AB516" s="10"/>
      <c r="AC516" s="10"/>
    </row>
    <row r="517" spans="1:44" ht="57.75" customHeight="1" thickBot="1" x14ac:dyDescent="0.25">
      <c r="A517" s="2122"/>
      <c r="B517" s="4595"/>
      <c r="C517" s="4594" t="s">
        <v>619</v>
      </c>
      <c r="D517" s="4594"/>
      <c r="E517" s="4594"/>
      <c r="F517" s="2353" t="e">
        <f>+F426</f>
        <v>#REF!</v>
      </c>
      <c r="G517" s="2353" t="e">
        <f>+G426</f>
        <v>#REF!</v>
      </c>
      <c r="H517" s="12"/>
      <c r="I517" s="1968" t="e">
        <f>IF(F517=0,0,$F517*COEF!$J$27)</f>
        <v>#REF!</v>
      </c>
      <c r="J517" s="858" t="e">
        <f>IF(F517=0,0,$F517*COEF!$K$27)</f>
        <v>#REF!</v>
      </c>
      <c r="K517" s="858" t="e">
        <f>IF(F517=0,0,$F517*COEF!$L$27)</f>
        <v>#REF!</v>
      </c>
      <c r="L517" s="859" t="e">
        <f t="shared" si="136"/>
        <v>#REF!</v>
      </c>
      <c r="M517" s="859" t="e">
        <f t="shared" si="137"/>
        <v>#REF!</v>
      </c>
      <c r="N517" s="859" t="e">
        <f t="shared" si="138"/>
        <v>#REF!</v>
      </c>
      <c r="O517" s="860" t="e">
        <f t="shared" si="139"/>
        <v>#REF!</v>
      </c>
      <c r="P517" s="860" t="e">
        <f t="shared" si="139"/>
        <v>#REF!</v>
      </c>
      <c r="Q517" s="860" t="e">
        <f t="shared" si="139"/>
        <v>#REF!</v>
      </c>
      <c r="R517" s="1969" t="e">
        <f t="shared" si="140"/>
        <v>#REF!</v>
      </c>
      <c r="S517" s="675" t="e">
        <f t="shared" si="121"/>
        <v>#REF!</v>
      </c>
      <c r="T517" s="10"/>
      <c r="U517" s="10"/>
      <c r="V517" s="10"/>
      <c r="W517" s="10"/>
      <c r="X517" s="10"/>
      <c r="Y517" s="10"/>
      <c r="Z517" s="10"/>
      <c r="AA517" s="10"/>
      <c r="AB517" s="10"/>
      <c r="AC517" s="10"/>
    </row>
    <row r="518" spans="1:44" ht="41.25" customHeight="1" thickBot="1" x14ac:dyDescent="0.25">
      <c r="A518" s="3810" t="s">
        <v>190</v>
      </c>
      <c r="B518" s="3811"/>
      <c r="C518" s="3811"/>
      <c r="D518" s="3811"/>
      <c r="E518" s="3812"/>
      <c r="F518" s="2167" t="e">
        <f>SUM(F432:F517)-F504-F505-F506-F488-F487-F486-F470-F469-F468-F451-F450-F449</f>
        <v>#REF!</v>
      </c>
      <c r="G518" s="2167" t="e">
        <f>SUM(G432:G517)-G504-G505-G506-G488-G487-G486-G470-G469-G468-G451-G450-G449</f>
        <v>#REF!</v>
      </c>
      <c r="H518" s="12"/>
      <c r="I518" s="2354" t="e">
        <f t="shared" ref="I518:R518" si="141">SUM(I432:I517)</f>
        <v>#REF!</v>
      </c>
      <c r="J518" s="2354" t="e">
        <f t="shared" si="141"/>
        <v>#REF!</v>
      </c>
      <c r="K518" s="2354" t="e">
        <f t="shared" si="141"/>
        <v>#REF!</v>
      </c>
      <c r="L518" s="2354" t="e">
        <f t="shared" si="141"/>
        <v>#REF!</v>
      </c>
      <c r="M518" s="2354" t="e">
        <f t="shared" si="141"/>
        <v>#REF!</v>
      </c>
      <c r="N518" s="2354" t="e">
        <f t="shared" si="141"/>
        <v>#REF!</v>
      </c>
      <c r="O518" s="2354" t="e">
        <f t="shared" si="141"/>
        <v>#REF!</v>
      </c>
      <c r="P518" s="2354" t="e">
        <f t="shared" si="141"/>
        <v>#REF!</v>
      </c>
      <c r="Q518" s="2354" t="e">
        <f t="shared" si="141"/>
        <v>#REF!</v>
      </c>
      <c r="R518" s="2354" t="e">
        <f t="shared" si="141"/>
        <v>#REF!</v>
      </c>
      <c r="S518" s="1964" t="e">
        <f t="shared" ref="S518:AQ518" si="142">SUM(S432:S515)</f>
        <v>#REF!</v>
      </c>
      <c r="T518" s="1440">
        <f t="shared" si="142"/>
        <v>0</v>
      </c>
      <c r="U518" s="1440">
        <f t="shared" si="142"/>
        <v>0</v>
      </c>
      <c r="V518" s="1440">
        <f t="shared" si="142"/>
        <v>0</v>
      </c>
      <c r="W518" s="1440">
        <f t="shared" si="142"/>
        <v>0</v>
      </c>
      <c r="X518" s="1440">
        <f t="shared" si="142"/>
        <v>0</v>
      </c>
      <c r="Y518" s="851">
        <f t="shared" si="142"/>
        <v>0</v>
      </c>
      <c r="Z518" s="851">
        <f t="shared" si="142"/>
        <v>0</v>
      </c>
      <c r="AA518" s="851">
        <f t="shared" si="142"/>
        <v>0</v>
      </c>
      <c r="AB518" s="851">
        <f t="shared" si="142"/>
        <v>0</v>
      </c>
      <c r="AC518" s="851">
        <f t="shared" si="142"/>
        <v>0</v>
      </c>
      <c r="AD518" s="851">
        <f t="shared" si="142"/>
        <v>0</v>
      </c>
      <c r="AE518" s="851">
        <f t="shared" si="142"/>
        <v>0</v>
      </c>
      <c r="AF518" s="851">
        <f t="shared" si="142"/>
        <v>0</v>
      </c>
      <c r="AG518" s="851">
        <f t="shared" si="142"/>
        <v>0</v>
      </c>
      <c r="AH518" s="851">
        <f t="shared" si="142"/>
        <v>0</v>
      </c>
      <c r="AI518" s="851">
        <f t="shared" si="142"/>
        <v>0</v>
      </c>
      <c r="AJ518" s="851">
        <f t="shared" si="142"/>
        <v>0</v>
      </c>
      <c r="AK518" s="851">
        <f t="shared" si="142"/>
        <v>0</v>
      </c>
      <c r="AL518" s="851">
        <f t="shared" si="142"/>
        <v>0</v>
      </c>
      <c r="AM518" s="851">
        <f t="shared" si="142"/>
        <v>0</v>
      </c>
      <c r="AN518" s="851">
        <f t="shared" si="142"/>
        <v>0</v>
      </c>
      <c r="AO518" s="851">
        <f t="shared" si="142"/>
        <v>0</v>
      </c>
      <c r="AP518" s="851">
        <f t="shared" si="142"/>
        <v>0</v>
      </c>
      <c r="AQ518" s="851">
        <f t="shared" si="142"/>
        <v>0</v>
      </c>
      <c r="AR518" s="851"/>
    </row>
    <row r="519" spans="1:44" ht="30.75" customHeight="1" x14ac:dyDescent="0.35">
      <c r="D519" s="852"/>
      <c r="E519" s="853"/>
      <c r="F519" s="854"/>
      <c r="I519" s="1438" t="e">
        <f t="shared" ref="I519:S519" si="143">+I518-I592</f>
        <v>#REF!</v>
      </c>
      <c r="J519" s="1438" t="e">
        <f t="shared" si="143"/>
        <v>#REF!</v>
      </c>
      <c r="K519" s="1438" t="e">
        <f t="shared" si="143"/>
        <v>#REF!</v>
      </c>
      <c r="L519" s="1438" t="e">
        <f t="shared" si="143"/>
        <v>#REF!</v>
      </c>
      <c r="M519" s="1438" t="e">
        <f t="shared" si="143"/>
        <v>#REF!</v>
      </c>
      <c r="N519" s="1438" t="e">
        <f t="shared" si="143"/>
        <v>#REF!</v>
      </c>
      <c r="O519" s="1438" t="e">
        <f t="shared" si="143"/>
        <v>#REF!</v>
      </c>
      <c r="P519" s="1438" t="e">
        <f t="shared" si="143"/>
        <v>#REF!</v>
      </c>
      <c r="Q519" s="1438" t="e">
        <f t="shared" si="143"/>
        <v>#REF!</v>
      </c>
      <c r="R519" s="1438" t="e">
        <f t="shared" si="143"/>
        <v>#REF!</v>
      </c>
      <c r="S519" s="1438" t="e">
        <f t="shared" si="143"/>
        <v>#REF!</v>
      </c>
      <c r="T519" s="10"/>
      <c r="U519" s="10"/>
      <c r="V519" s="10"/>
      <c r="W519" s="10"/>
      <c r="X519" s="10"/>
      <c r="Y519" s="10"/>
      <c r="Z519" s="10"/>
      <c r="AA519" s="10"/>
      <c r="AB519" s="10"/>
      <c r="AC519" s="10"/>
    </row>
    <row r="520" spans="1:44" ht="52.5" customHeight="1" thickBot="1" x14ac:dyDescent="0.6">
      <c r="A520" s="4676" t="s">
        <v>214</v>
      </c>
      <c r="B520" s="4677"/>
      <c r="C520" s="4677"/>
      <c r="D520" s="4677"/>
      <c r="E520" s="4677"/>
      <c r="F520" s="4677"/>
      <c r="G520" s="4677"/>
      <c r="I520" s="855"/>
      <c r="J520" s="855"/>
      <c r="K520" s="10"/>
      <c r="L520" s="10"/>
      <c r="M520" s="10"/>
      <c r="N520" s="10"/>
      <c r="O520" s="10"/>
      <c r="P520" s="10"/>
      <c r="Q520" s="10"/>
      <c r="R520" s="10"/>
      <c r="S520" s="10"/>
      <c r="T520" s="856" t="s">
        <v>152</v>
      </c>
      <c r="U520" s="662"/>
      <c r="V520" s="662"/>
      <c r="W520" s="10"/>
      <c r="X520" s="10"/>
      <c r="Y520" s="10"/>
      <c r="Z520" s="10"/>
      <c r="AA520" s="10"/>
      <c r="AB520" s="10"/>
      <c r="AC520" s="10"/>
    </row>
    <row r="521" spans="1:44" ht="28.5" customHeight="1" x14ac:dyDescent="0.2">
      <c r="A521" s="3813" t="s">
        <v>160</v>
      </c>
      <c r="B521" s="3813"/>
      <c r="C521" s="3813"/>
      <c r="D521" s="3813"/>
      <c r="E521" s="3814"/>
      <c r="F521" s="3939" t="s">
        <v>191</v>
      </c>
      <c r="G521" s="3788" t="s">
        <v>101</v>
      </c>
      <c r="I521" s="4041" t="s">
        <v>192</v>
      </c>
      <c r="J521" s="3934"/>
      <c r="K521" s="3935"/>
      <c r="L521" s="3933" t="s">
        <v>193</v>
      </c>
      <c r="M521" s="3934"/>
      <c r="N521" s="3935"/>
      <c r="O521" s="3763" t="s">
        <v>194</v>
      </c>
      <c r="P521" s="3764"/>
      <c r="Q521" s="3764"/>
      <c r="R521" s="1965"/>
      <c r="S521" s="548"/>
      <c r="T521" s="10"/>
      <c r="U521" s="540" t="s">
        <v>94</v>
      </c>
      <c r="V521" s="540"/>
      <c r="W521" s="540"/>
      <c r="X521" s="10"/>
      <c r="Y521" s="10"/>
      <c r="Z521" s="10"/>
      <c r="AA521" s="10"/>
      <c r="AB521" s="10"/>
      <c r="AC521" s="10"/>
      <c r="AD521" s="10"/>
    </row>
    <row r="522" spans="1:44" ht="24" customHeight="1" thickBot="1" x14ac:dyDescent="0.25">
      <c r="A522" s="3813"/>
      <c r="B522" s="3815"/>
      <c r="C522" s="3815"/>
      <c r="D522" s="3815"/>
      <c r="E522" s="3816"/>
      <c r="F522" s="3940"/>
      <c r="G522" s="3789"/>
      <c r="I522" s="1966" t="s">
        <v>5</v>
      </c>
      <c r="J522" s="585" t="s">
        <v>6</v>
      </c>
      <c r="K522" s="585" t="s">
        <v>7</v>
      </c>
      <c r="L522" s="585" t="s">
        <v>5</v>
      </c>
      <c r="M522" s="585" t="s">
        <v>6</v>
      </c>
      <c r="N522" s="585" t="s">
        <v>7</v>
      </c>
      <c r="O522" s="585" t="s">
        <v>5</v>
      </c>
      <c r="P522" s="585" t="s">
        <v>6</v>
      </c>
      <c r="Q522" s="585" t="s">
        <v>7</v>
      </c>
      <c r="R522" s="1967" t="s">
        <v>4</v>
      </c>
      <c r="S522" s="548"/>
      <c r="T522" s="10"/>
      <c r="U522" s="540" t="s">
        <v>5</v>
      </c>
      <c r="V522" s="540" t="s">
        <v>6</v>
      </c>
      <c r="W522" s="540" t="s">
        <v>7</v>
      </c>
      <c r="X522" s="10"/>
      <c r="Y522" s="10"/>
      <c r="Z522" s="10"/>
      <c r="AA522" s="10"/>
      <c r="AB522" s="10"/>
      <c r="AC522" s="10"/>
      <c r="AD522" s="10"/>
    </row>
    <row r="523" spans="1:44" ht="54" customHeight="1" thickBot="1" x14ac:dyDescent="0.25">
      <c r="A523" s="4033" t="s">
        <v>163</v>
      </c>
      <c r="B523" s="4100" t="s">
        <v>41</v>
      </c>
      <c r="C523" s="1947">
        <v>5030</v>
      </c>
      <c r="D523" s="4597" t="s">
        <v>217</v>
      </c>
      <c r="E523" s="4597"/>
      <c r="F523" s="2421">
        <f>+F432</f>
        <v>0</v>
      </c>
      <c r="G523" s="2421">
        <f>+G432</f>
        <v>0</v>
      </c>
      <c r="H523" s="2429"/>
      <c r="I523" s="1968">
        <f>IF(F523=0,0,$F523*COEF!$J$27)</f>
        <v>0</v>
      </c>
      <c r="J523" s="858">
        <f>IF(F523=0,0,$F523*COEF!$K$27)</f>
        <v>0</v>
      </c>
      <c r="K523" s="858">
        <f>IF(F523=0,0,$F523*COEF!$L$27)</f>
        <v>0</v>
      </c>
      <c r="L523" s="859" t="e">
        <f t="shared" ref="L523:L554" si="144">+I523*I$595</f>
        <v>#REF!</v>
      </c>
      <c r="M523" s="859" t="e">
        <f t="shared" ref="M523:M554" si="145">+J523*J$595</f>
        <v>#REF!</v>
      </c>
      <c r="N523" s="859" t="e">
        <f t="shared" ref="N523:N554" si="146">+K523*K$595</f>
        <v>#REF!</v>
      </c>
      <c r="O523" s="860" t="e">
        <f>I523+L523</f>
        <v>#REF!</v>
      </c>
      <c r="P523" s="860" t="e">
        <f>J523+M523</f>
        <v>#REF!</v>
      </c>
      <c r="Q523" s="860" t="e">
        <f>K523+N523</f>
        <v>#REF!</v>
      </c>
      <c r="R523" s="1969" t="e">
        <f t="shared" ref="R523:R586" si="147">SUM(O523:Q523)</f>
        <v>#REF!</v>
      </c>
      <c r="S523" s="861" t="e">
        <f>+T523/R523</f>
        <v>#REF!</v>
      </c>
      <c r="T523" s="856" t="e">
        <f>+SUM(L523:N523)</f>
        <v>#REF!</v>
      </c>
      <c r="U523" s="711" t="e">
        <f t="shared" ref="U523:W538" si="148">L523</f>
        <v>#REF!</v>
      </c>
      <c r="V523" s="711" t="e">
        <f t="shared" si="148"/>
        <v>#REF!</v>
      </c>
      <c r="W523" s="711" t="e">
        <f t="shared" si="148"/>
        <v>#REF!</v>
      </c>
      <c r="X523" s="10">
        <f t="shared" ref="X523:Z531" si="149">IF(I523=0,0,U523/I523)</f>
        <v>0</v>
      </c>
      <c r="Y523" s="10">
        <f t="shared" si="149"/>
        <v>0</v>
      </c>
      <c r="Z523" s="10">
        <f t="shared" si="149"/>
        <v>0</v>
      </c>
      <c r="AA523" s="675" t="e">
        <f t="shared" ref="AA523:AA531" si="150">R523-F523</f>
        <v>#REF!</v>
      </c>
      <c r="AB523" s="10" t="e">
        <f t="shared" ref="AB523:AB531" si="151">AA523/F523</f>
        <v>#REF!</v>
      </c>
      <c r="AC523" s="862"/>
      <c r="AD523" s="863"/>
    </row>
    <row r="524" spans="1:44" ht="54" customHeight="1" thickBot="1" x14ac:dyDescent="0.25">
      <c r="A524" s="4034"/>
      <c r="B524" s="4101"/>
      <c r="C524" s="1954">
        <v>5040</v>
      </c>
      <c r="D524" s="3743" t="s">
        <v>218</v>
      </c>
      <c r="E524" s="3744"/>
      <c r="F524" s="2421">
        <f>+F433</f>
        <v>0</v>
      </c>
      <c r="G524" s="2421">
        <f>+G433</f>
        <v>0</v>
      </c>
      <c r="H524" s="2430"/>
      <c r="I524" s="1968">
        <f>IF(F524=0,0,$F524*COEF!$J$27)</f>
        <v>0</v>
      </c>
      <c r="J524" s="858">
        <f>IF(F524=0,0,$F524*COEF!$K$27)</f>
        <v>0</v>
      </c>
      <c r="K524" s="858">
        <f>IF(F524=0,0,$F524*COEF!$L$27)</f>
        <v>0</v>
      </c>
      <c r="L524" s="859" t="e">
        <f t="shared" si="144"/>
        <v>#REF!</v>
      </c>
      <c r="M524" s="859" t="e">
        <f t="shared" si="145"/>
        <v>#REF!</v>
      </c>
      <c r="N524" s="859" t="e">
        <f t="shared" si="146"/>
        <v>#REF!</v>
      </c>
      <c r="O524" s="860" t="e">
        <f t="shared" ref="O524:Q589" si="152">I524+L524</f>
        <v>#REF!</v>
      </c>
      <c r="P524" s="860" t="e">
        <f t="shared" si="152"/>
        <v>#REF!</v>
      </c>
      <c r="Q524" s="860" t="e">
        <f t="shared" si="152"/>
        <v>#REF!</v>
      </c>
      <c r="R524" s="1969" t="e">
        <f t="shared" si="147"/>
        <v>#REF!</v>
      </c>
      <c r="S524" s="866"/>
      <c r="T524" s="856" t="e">
        <f t="shared" ref="T524:T587" si="153">+SUM(L524:N524)</f>
        <v>#REF!</v>
      </c>
      <c r="U524" s="711" t="e">
        <f t="shared" si="148"/>
        <v>#REF!</v>
      </c>
      <c r="V524" s="711" t="e">
        <f t="shared" si="148"/>
        <v>#REF!</v>
      </c>
      <c r="W524" s="711" t="e">
        <f t="shared" si="148"/>
        <v>#REF!</v>
      </c>
      <c r="X524" s="10">
        <f t="shared" si="149"/>
        <v>0</v>
      </c>
      <c r="Y524" s="10">
        <f t="shared" si="149"/>
        <v>0</v>
      </c>
      <c r="Z524" s="10">
        <f t="shared" si="149"/>
        <v>0</v>
      </c>
      <c r="AA524" s="675" t="e">
        <f t="shared" si="150"/>
        <v>#REF!</v>
      </c>
      <c r="AB524" s="10" t="e">
        <f t="shared" si="151"/>
        <v>#REF!</v>
      </c>
      <c r="AC524" s="867"/>
      <c r="AD524" s="868"/>
    </row>
    <row r="525" spans="1:44" ht="54" customHeight="1" thickBot="1" x14ac:dyDescent="0.25">
      <c r="A525" s="4034"/>
      <c r="B525" s="4101"/>
      <c r="C525" s="1955">
        <v>5050</v>
      </c>
      <c r="D525" s="3742" t="s">
        <v>219</v>
      </c>
      <c r="E525" s="3742"/>
      <c r="F525" s="2421">
        <f t="shared" ref="F525:G534" si="154">+F435</f>
        <v>0</v>
      </c>
      <c r="G525" s="2421">
        <f t="shared" si="154"/>
        <v>0</v>
      </c>
      <c r="H525" s="2430"/>
      <c r="I525" s="1968">
        <f>IF(F525=0,0,$F525*COEF!$J$27)</f>
        <v>0</v>
      </c>
      <c r="J525" s="858">
        <f>IF(F525=0,0,$F525*COEF!$K$27)</f>
        <v>0</v>
      </c>
      <c r="K525" s="858">
        <f>IF(F525=0,0,$F525*COEF!$L$27)</f>
        <v>0</v>
      </c>
      <c r="L525" s="859" t="e">
        <f t="shared" si="144"/>
        <v>#REF!</v>
      </c>
      <c r="M525" s="859" t="e">
        <f t="shared" si="145"/>
        <v>#REF!</v>
      </c>
      <c r="N525" s="859" t="e">
        <f t="shared" si="146"/>
        <v>#REF!</v>
      </c>
      <c r="O525" s="860" t="e">
        <f t="shared" si="152"/>
        <v>#REF!</v>
      </c>
      <c r="P525" s="860" t="e">
        <f t="shared" si="152"/>
        <v>#REF!</v>
      </c>
      <c r="Q525" s="860" t="e">
        <f t="shared" si="152"/>
        <v>#REF!</v>
      </c>
      <c r="R525" s="1969" t="e">
        <f t="shared" si="147"/>
        <v>#REF!</v>
      </c>
      <c r="S525" s="866"/>
      <c r="T525" s="856" t="e">
        <f t="shared" si="153"/>
        <v>#REF!</v>
      </c>
      <c r="U525" s="711" t="e">
        <f t="shared" si="148"/>
        <v>#REF!</v>
      </c>
      <c r="V525" s="711" t="e">
        <f t="shared" si="148"/>
        <v>#REF!</v>
      </c>
      <c r="W525" s="711" t="e">
        <f t="shared" si="148"/>
        <v>#REF!</v>
      </c>
      <c r="X525" s="10"/>
      <c r="Y525" s="10"/>
      <c r="Z525" s="10"/>
      <c r="AA525" s="675"/>
      <c r="AB525" s="10"/>
      <c r="AC525" s="1720"/>
      <c r="AD525" s="868"/>
    </row>
    <row r="526" spans="1:44" ht="54" customHeight="1" thickBot="1" x14ac:dyDescent="0.25">
      <c r="A526" s="4034"/>
      <c r="B526" s="4101"/>
      <c r="C526" s="1721">
        <v>5501</v>
      </c>
      <c r="D526" s="3751" t="s">
        <v>220</v>
      </c>
      <c r="E526" s="1721" t="s">
        <v>46</v>
      </c>
      <c r="F526" s="2421">
        <f t="shared" si="154"/>
        <v>0</v>
      </c>
      <c r="G526" s="2421">
        <f t="shared" si="154"/>
        <v>0</v>
      </c>
      <c r="H526" s="2430"/>
      <c r="I526" s="1968">
        <f>IF(F526=0,0,$F526*COEF!$J$27)</f>
        <v>0</v>
      </c>
      <c r="J526" s="858">
        <f>IF(F526=0,0,$F526*COEF!$K$27)</f>
        <v>0</v>
      </c>
      <c r="K526" s="858">
        <f>IF(F526=0,0,$F526*COEF!$L$27)</f>
        <v>0</v>
      </c>
      <c r="L526" s="859" t="e">
        <f t="shared" si="144"/>
        <v>#REF!</v>
      </c>
      <c r="M526" s="859" t="e">
        <f t="shared" si="145"/>
        <v>#REF!</v>
      </c>
      <c r="N526" s="859" t="e">
        <f t="shared" si="146"/>
        <v>#REF!</v>
      </c>
      <c r="O526" s="860" t="e">
        <f t="shared" si="152"/>
        <v>#REF!</v>
      </c>
      <c r="P526" s="860" t="e">
        <f t="shared" si="152"/>
        <v>#REF!</v>
      </c>
      <c r="Q526" s="860" t="e">
        <f t="shared" si="152"/>
        <v>#REF!</v>
      </c>
      <c r="R526" s="1969" t="e">
        <f t="shared" si="147"/>
        <v>#REF!</v>
      </c>
      <c r="S526" s="866"/>
      <c r="T526" s="856" t="e">
        <f t="shared" si="153"/>
        <v>#REF!</v>
      </c>
      <c r="U526" s="711" t="e">
        <f t="shared" si="148"/>
        <v>#REF!</v>
      </c>
      <c r="V526" s="711" t="e">
        <f t="shared" si="148"/>
        <v>#REF!</v>
      </c>
      <c r="W526" s="711" t="e">
        <f t="shared" si="148"/>
        <v>#REF!</v>
      </c>
      <c r="X526" s="10"/>
      <c r="Y526" s="10"/>
      <c r="Z526" s="10"/>
      <c r="AA526" s="675"/>
      <c r="AB526" s="10"/>
      <c r="AC526" s="1720"/>
      <c r="AD526" s="868"/>
    </row>
    <row r="527" spans="1:44" ht="54" customHeight="1" thickBot="1" x14ac:dyDescent="0.25">
      <c r="A527" s="4034"/>
      <c r="B527" s="4101"/>
      <c r="C527" s="1721">
        <v>5502</v>
      </c>
      <c r="D527" s="3746"/>
      <c r="E527" s="1721" t="s">
        <v>47</v>
      </c>
      <c r="F527" s="2421">
        <f t="shared" si="154"/>
        <v>0</v>
      </c>
      <c r="G527" s="2421">
        <f t="shared" si="154"/>
        <v>0</v>
      </c>
      <c r="H527" s="2430"/>
      <c r="I527" s="1987">
        <f>IF(F527=0,0,$F527*COEF!$J$27)</f>
        <v>0</v>
      </c>
      <c r="J527" s="1988">
        <f>IF(F527=0,0,$F527*COEF!$K$27)</f>
        <v>0</v>
      </c>
      <c r="K527" s="1988">
        <f>IF(F527=0,0,$F527*COEF!$L$27)</f>
        <v>0</v>
      </c>
      <c r="L527" s="1989" t="e">
        <f t="shared" si="144"/>
        <v>#REF!</v>
      </c>
      <c r="M527" s="1989" t="e">
        <f t="shared" si="145"/>
        <v>#REF!</v>
      </c>
      <c r="N527" s="1989" t="e">
        <f t="shared" si="146"/>
        <v>#REF!</v>
      </c>
      <c r="O527" s="860" t="e">
        <f t="shared" si="152"/>
        <v>#REF!</v>
      </c>
      <c r="P527" s="860" t="e">
        <f t="shared" si="152"/>
        <v>#REF!</v>
      </c>
      <c r="Q527" s="860" t="e">
        <f t="shared" si="152"/>
        <v>#REF!</v>
      </c>
      <c r="R527" s="1969" t="e">
        <f t="shared" si="147"/>
        <v>#REF!</v>
      </c>
      <c r="S527" s="866"/>
      <c r="T527" s="856" t="e">
        <f t="shared" si="153"/>
        <v>#REF!</v>
      </c>
      <c r="U527" s="711" t="e">
        <f t="shared" si="148"/>
        <v>#REF!</v>
      </c>
      <c r="V527" s="711" t="e">
        <f t="shared" si="148"/>
        <v>#REF!</v>
      </c>
      <c r="W527" s="711" t="e">
        <f t="shared" si="148"/>
        <v>#REF!</v>
      </c>
      <c r="X527" s="10"/>
      <c r="Y527" s="10"/>
      <c r="Z527" s="10"/>
      <c r="AA527" s="675"/>
      <c r="AB527" s="10"/>
      <c r="AC527" s="1720"/>
      <c r="AD527" s="868"/>
    </row>
    <row r="528" spans="1:44" ht="54" customHeight="1" thickBot="1" x14ac:dyDescent="0.25">
      <c r="A528" s="4034"/>
      <c r="B528" s="4101"/>
      <c r="C528" s="1949">
        <v>5551</v>
      </c>
      <c r="D528" s="3746"/>
      <c r="E528" s="1949" t="s">
        <v>169</v>
      </c>
      <c r="F528" s="2421">
        <f t="shared" si="154"/>
        <v>0</v>
      </c>
      <c r="G528" s="2421">
        <f t="shared" si="154"/>
        <v>0</v>
      </c>
      <c r="H528" s="2430"/>
      <c r="I528" s="1968">
        <f>IF(F528=0,0,$F528*COEF!$J$27)</f>
        <v>0</v>
      </c>
      <c r="J528" s="858">
        <f>IF(F528=0,0,$F528*COEF!$K$27)</f>
        <v>0</v>
      </c>
      <c r="K528" s="858">
        <f>IF(F528=0,0,$F528*COEF!$L$27)</f>
        <v>0</v>
      </c>
      <c r="L528" s="859" t="e">
        <f t="shared" si="144"/>
        <v>#REF!</v>
      </c>
      <c r="M528" s="859" t="e">
        <f t="shared" si="145"/>
        <v>#REF!</v>
      </c>
      <c r="N528" s="859" t="e">
        <f t="shared" si="146"/>
        <v>#REF!</v>
      </c>
      <c r="O528" s="860" t="e">
        <f t="shared" si="152"/>
        <v>#REF!</v>
      </c>
      <c r="P528" s="860" t="e">
        <f t="shared" si="152"/>
        <v>#REF!</v>
      </c>
      <c r="Q528" s="860" t="e">
        <f t="shared" si="152"/>
        <v>#REF!</v>
      </c>
      <c r="R528" s="1969" t="e">
        <f t="shared" si="147"/>
        <v>#REF!</v>
      </c>
      <c r="S528" s="866"/>
      <c r="T528" s="856" t="e">
        <f t="shared" si="153"/>
        <v>#REF!</v>
      </c>
      <c r="U528" s="711" t="e">
        <f t="shared" si="148"/>
        <v>#REF!</v>
      </c>
      <c r="V528" s="711" t="e">
        <f t="shared" si="148"/>
        <v>#REF!</v>
      </c>
      <c r="W528" s="711" t="e">
        <f t="shared" si="148"/>
        <v>#REF!</v>
      </c>
      <c r="X528" s="10">
        <f t="shared" si="149"/>
        <v>0</v>
      </c>
      <c r="Y528" s="10">
        <f t="shared" si="149"/>
        <v>0</v>
      </c>
      <c r="Z528" s="10">
        <f t="shared" si="149"/>
        <v>0</v>
      </c>
      <c r="AA528" s="675" t="e">
        <f t="shared" si="150"/>
        <v>#REF!</v>
      </c>
      <c r="AB528" s="10" t="e">
        <f t="shared" si="151"/>
        <v>#REF!</v>
      </c>
      <c r="AC528" s="869"/>
      <c r="AD528" s="870"/>
    </row>
    <row r="529" spans="1:30" ht="54" customHeight="1" thickBot="1" x14ac:dyDescent="0.25">
      <c r="A529" s="4034"/>
      <c r="B529" s="4101"/>
      <c r="C529" s="1949">
        <v>55552</v>
      </c>
      <c r="D529" s="3752"/>
      <c r="E529" s="1949" t="s">
        <v>49</v>
      </c>
      <c r="F529" s="2421">
        <f t="shared" si="154"/>
        <v>0</v>
      </c>
      <c r="G529" s="2421">
        <f t="shared" si="154"/>
        <v>0</v>
      </c>
      <c r="H529" s="2430"/>
      <c r="I529" s="1968">
        <f>IF(F529=0,0,$F529*COEF!$J$27)</f>
        <v>0</v>
      </c>
      <c r="J529" s="858">
        <f>IF(F529=0,0,$F529*COEF!$K$27)</f>
        <v>0</v>
      </c>
      <c r="K529" s="858">
        <f>IF(F529=0,0,$F529*COEF!$L$27)</f>
        <v>0</v>
      </c>
      <c r="L529" s="859" t="e">
        <f t="shared" si="144"/>
        <v>#REF!</v>
      </c>
      <c r="M529" s="859" t="e">
        <f t="shared" si="145"/>
        <v>#REF!</v>
      </c>
      <c r="N529" s="859" t="e">
        <f t="shared" si="146"/>
        <v>#REF!</v>
      </c>
      <c r="O529" s="860" t="e">
        <f t="shared" si="152"/>
        <v>#REF!</v>
      </c>
      <c r="P529" s="860" t="e">
        <f t="shared" si="152"/>
        <v>#REF!</v>
      </c>
      <c r="Q529" s="860" t="e">
        <f t="shared" si="152"/>
        <v>#REF!</v>
      </c>
      <c r="R529" s="1969" t="e">
        <f t="shared" si="147"/>
        <v>#REF!</v>
      </c>
      <c r="S529" s="866"/>
      <c r="T529" s="856" t="e">
        <f t="shared" si="153"/>
        <v>#REF!</v>
      </c>
      <c r="U529" s="711" t="e">
        <f t="shared" si="148"/>
        <v>#REF!</v>
      </c>
      <c r="V529" s="711" t="e">
        <f t="shared" si="148"/>
        <v>#REF!</v>
      </c>
      <c r="W529" s="711" t="e">
        <f t="shared" si="148"/>
        <v>#REF!</v>
      </c>
      <c r="X529" s="10">
        <f t="shared" si="149"/>
        <v>0</v>
      </c>
      <c r="Y529" s="10">
        <f t="shared" si="149"/>
        <v>0</v>
      </c>
      <c r="Z529" s="10">
        <f t="shared" si="149"/>
        <v>0</v>
      </c>
      <c r="AA529" s="675" t="e">
        <f t="shared" si="150"/>
        <v>#REF!</v>
      </c>
      <c r="AB529" s="10" t="e">
        <f t="shared" si="151"/>
        <v>#REF!</v>
      </c>
      <c r="AC529" s="871"/>
      <c r="AD529" s="870"/>
    </row>
    <row r="530" spans="1:30" ht="54" customHeight="1" thickBot="1" x14ac:dyDescent="0.25">
      <c r="A530" s="4034"/>
      <c r="B530" s="4101"/>
      <c r="C530" s="1959">
        <v>6000</v>
      </c>
      <c r="D530" s="4590" t="s">
        <v>580</v>
      </c>
      <c r="E530" s="4591"/>
      <c r="F530" s="2421" t="e">
        <f t="shared" si="154"/>
        <v>#REF!</v>
      </c>
      <c r="G530" s="2421" t="e">
        <f t="shared" si="154"/>
        <v>#REF!</v>
      </c>
      <c r="H530" s="2430" t="e">
        <f>SUM(F523:F530)</f>
        <v>#REF!</v>
      </c>
      <c r="I530" s="1968" t="e">
        <f>IF(F530=0,0,$F530*COEF!$J$27)</f>
        <v>#REF!</v>
      </c>
      <c r="J530" s="858" t="e">
        <f>IF(F530=0,0,$F530*COEF!$K$27)</f>
        <v>#REF!</v>
      </c>
      <c r="K530" s="858" t="e">
        <f>IF(F530=0,0,$F530*COEF!$L$27)</f>
        <v>#REF!</v>
      </c>
      <c r="L530" s="859" t="e">
        <f t="shared" si="144"/>
        <v>#REF!</v>
      </c>
      <c r="M530" s="859" t="e">
        <f t="shared" si="145"/>
        <v>#REF!</v>
      </c>
      <c r="N530" s="859" t="e">
        <f t="shared" si="146"/>
        <v>#REF!</v>
      </c>
      <c r="O530" s="860" t="e">
        <f t="shared" si="152"/>
        <v>#REF!</v>
      </c>
      <c r="P530" s="860" t="e">
        <f t="shared" si="152"/>
        <v>#REF!</v>
      </c>
      <c r="Q530" s="860" t="e">
        <f t="shared" si="152"/>
        <v>#REF!</v>
      </c>
      <c r="R530" s="1969" t="e">
        <f t="shared" si="147"/>
        <v>#REF!</v>
      </c>
      <c r="S530" s="866"/>
      <c r="T530" s="856" t="e">
        <f t="shared" si="153"/>
        <v>#REF!</v>
      </c>
      <c r="U530" s="711" t="e">
        <f t="shared" si="148"/>
        <v>#REF!</v>
      </c>
      <c r="V530" s="711" t="e">
        <f t="shared" si="148"/>
        <v>#REF!</v>
      </c>
      <c r="W530" s="711" t="e">
        <f t="shared" si="148"/>
        <v>#REF!</v>
      </c>
      <c r="X530" s="10" t="e">
        <f t="shared" si="149"/>
        <v>#REF!</v>
      </c>
      <c r="Y530" s="10" t="e">
        <f t="shared" si="149"/>
        <v>#REF!</v>
      </c>
      <c r="Z530" s="10" t="e">
        <f t="shared" si="149"/>
        <v>#REF!</v>
      </c>
      <c r="AA530" s="675" t="e">
        <f t="shared" si="150"/>
        <v>#REF!</v>
      </c>
      <c r="AB530" s="10" t="e">
        <f t="shared" si="151"/>
        <v>#REF!</v>
      </c>
      <c r="AC530" s="871"/>
      <c r="AD530" s="870"/>
    </row>
    <row r="531" spans="1:30" ht="64.5" customHeight="1" thickBot="1" x14ac:dyDescent="0.25">
      <c r="A531" s="4034"/>
      <c r="B531" s="4607" t="s">
        <v>52</v>
      </c>
      <c r="C531" s="1947">
        <v>5030</v>
      </c>
      <c r="D531" s="4597" t="s">
        <v>217</v>
      </c>
      <c r="E531" s="4597"/>
      <c r="F531" s="2421">
        <f t="shared" si="154"/>
        <v>0</v>
      </c>
      <c r="G531" s="2421">
        <f t="shared" si="154"/>
        <v>0</v>
      </c>
      <c r="H531" s="2431"/>
      <c r="I531" s="1968">
        <f>IF(F531=0,0,$F531*COEF!$J$27)</f>
        <v>0</v>
      </c>
      <c r="J531" s="858">
        <f>IF(F531=0,0,$F531*COEF!$K$27)</f>
        <v>0</v>
      </c>
      <c r="K531" s="858">
        <f>IF(F531=0,0,$F531*COEF!$L$27)</f>
        <v>0</v>
      </c>
      <c r="L531" s="859" t="e">
        <f t="shared" si="144"/>
        <v>#REF!</v>
      </c>
      <c r="M531" s="859" t="e">
        <f t="shared" si="145"/>
        <v>#REF!</v>
      </c>
      <c r="N531" s="859" t="e">
        <f t="shared" si="146"/>
        <v>#REF!</v>
      </c>
      <c r="O531" s="860" t="e">
        <f t="shared" si="152"/>
        <v>#REF!</v>
      </c>
      <c r="P531" s="860" t="e">
        <f t="shared" si="152"/>
        <v>#REF!</v>
      </c>
      <c r="Q531" s="860" t="e">
        <f t="shared" si="152"/>
        <v>#REF!</v>
      </c>
      <c r="R531" s="1969" t="e">
        <f t="shared" si="147"/>
        <v>#REF!</v>
      </c>
      <c r="S531" s="866"/>
      <c r="T531" s="856" t="e">
        <f t="shared" si="153"/>
        <v>#REF!</v>
      </c>
      <c r="U531" s="711" t="e">
        <f t="shared" si="148"/>
        <v>#REF!</v>
      </c>
      <c r="V531" s="711" t="e">
        <f t="shared" si="148"/>
        <v>#REF!</v>
      </c>
      <c r="W531" s="711" t="e">
        <f t="shared" si="148"/>
        <v>#REF!</v>
      </c>
      <c r="X531" s="10">
        <f t="shared" si="149"/>
        <v>0</v>
      </c>
      <c r="Y531" s="10">
        <f t="shared" si="149"/>
        <v>0</v>
      </c>
      <c r="Z531" s="10">
        <f t="shared" si="149"/>
        <v>0</v>
      </c>
      <c r="AA531" s="675" t="e">
        <f t="shared" si="150"/>
        <v>#REF!</v>
      </c>
      <c r="AB531" s="10" t="e">
        <f t="shared" si="151"/>
        <v>#REF!</v>
      </c>
      <c r="AC531" s="871"/>
      <c r="AD531" s="874"/>
    </row>
    <row r="532" spans="1:30" ht="54" customHeight="1" thickBot="1" x14ac:dyDescent="0.25">
      <c r="A532" s="4034"/>
      <c r="B532" s="4608"/>
      <c r="C532" s="1954">
        <v>5040</v>
      </c>
      <c r="D532" s="3743" t="s">
        <v>218</v>
      </c>
      <c r="E532" s="3744"/>
      <c r="F532" s="2421">
        <f t="shared" si="154"/>
        <v>0</v>
      </c>
      <c r="G532" s="2421">
        <f t="shared" si="154"/>
        <v>0</v>
      </c>
      <c r="H532" s="2429"/>
      <c r="I532" s="1968">
        <f>IF(F532=0,0,$F532*COEF!$J$27)</f>
        <v>0</v>
      </c>
      <c r="J532" s="858">
        <f>IF(F532=0,0,$F532*COEF!$K$27)</f>
        <v>0</v>
      </c>
      <c r="K532" s="858">
        <f>IF(F532=0,0,$F532*COEF!$L$27)</f>
        <v>0</v>
      </c>
      <c r="L532" s="859" t="e">
        <f t="shared" si="144"/>
        <v>#REF!</v>
      </c>
      <c r="M532" s="859" t="e">
        <f t="shared" si="145"/>
        <v>#REF!</v>
      </c>
      <c r="N532" s="859" t="e">
        <f t="shared" si="146"/>
        <v>#REF!</v>
      </c>
      <c r="O532" s="860" t="e">
        <f t="shared" si="152"/>
        <v>#REF!</v>
      </c>
      <c r="P532" s="860" t="e">
        <f t="shared" si="152"/>
        <v>#REF!</v>
      </c>
      <c r="Q532" s="860" t="e">
        <f t="shared" si="152"/>
        <v>#REF!</v>
      </c>
      <c r="R532" s="1969" t="e">
        <f t="shared" si="147"/>
        <v>#REF!</v>
      </c>
      <c r="S532" s="866"/>
      <c r="T532" s="856" t="e">
        <f t="shared" si="153"/>
        <v>#REF!</v>
      </c>
      <c r="U532" s="711" t="e">
        <f t="shared" si="148"/>
        <v>#REF!</v>
      </c>
      <c r="V532" s="711" t="e">
        <f t="shared" si="148"/>
        <v>#REF!</v>
      </c>
      <c r="W532" s="711" t="e">
        <f t="shared" si="148"/>
        <v>#REF!</v>
      </c>
      <c r="X532" s="10"/>
      <c r="Y532" s="10"/>
      <c r="Z532" s="10"/>
      <c r="AA532" s="675"/>
      <c r="AB532" s="10"/>
      <c r="AC532" s="862"/>
      <c r="AD532" s="863"/>
    </row>
    <row r="533" spans="1:30" ht="54" customHeight="1" thickBot="1" x14ac:dyDescent="0.25">
      <c r="A533" s="4034"/>
      <c r="B533" s="4608"/>
      <c r="C533" s="1954">
        <v>5041</v>
      </c>
      <c r="D533" s="3743" t="s">
        <v>620</v>
      </c>
      <c r="E533" s="3744"/>
      <c r="F533" s="2421" t="e">
        <f t="shared" si="154"/>
        <v>#REF!</v>
      </c>
      <c r="G533" s="2421" t="e">
        <f t="shared" si="154"/>
        <v>#REF!</v>
      </c>
      <c r="H533" s="2430"/>
      <c r="I533" s="1968" t="e">
        <f>IF(F533=0,0,$F533*COEF!$J$27)</f>
        <v>#REF!</v>
      </c>
      <c r="J533" s="858" t="e">
        <f>IF(F533=0,0,$F533*COEF!$K$27)</f>
        <v>#REF!</v>
      </c>
      <c r="K533" s="858" t="e">
        <f>IF(F533=0,0,$F533*COEF!$L$27)</f>
        <v>#REF!</v>
      </c>
      <c r="L533" s="859" t="e">
        <f t="shared" si="144"/>
        <v>#REF!</v>
      </c>
      <c r="M533" s="859" t="e">
        <f t="shared" si="145"/>
        <v>#REF!</v>
      </c>
      <c r="N533" s="859" t="e">
        <f t="shared" si="146"/>
        <v>#REF!</v>
      </c>
      <c r="O533" s="860" t="e">
        <f t="shared" si="152"/>
        <v>#REF!</v>
      </c>
      <c r="P533" s="860" t="e">
        <f t="shared" si="152"/>
        <v>#REF!</v>
      </c>
      <c r="Q533" s="860" t="e">
        <f t="shared" si="152"/>
        <v>#REF!</v>
      </c>
      <c r="R533" s="1969" t="e">
        <f t="shared" si="147"/>
        <v>#REF!</v>
      </c>
      <c r="S533" s="866"/>
      <c r="T533" s="856" t="e">
        <f t="shared" si="153"/>
        <v>#REF!</v>
      </c>
      <c r="U533" s="711" t="e">
        <f t="shared" si="148"/>
        <v>#REF!</v>
      </c>
      <c r="V533" s="711" t="e">
        <f t="shared" si="148"/>
        <v>#REF!</v>
      </c>
      <c r="W533" s="711" t="e">
        <f t="shared" si="148"/>
        <v>#REF!</v>
      </c>
      <c r="X533" s="10"/>
      <c r="Y533" s="10"/>
      <c r="Z533" s="10"/>
      <c r="AA533" s="675"/>
      <c r="AB533" s="10"/>
      <c r="AC533" s="867"/>
      <c r="AD533" s="868"/>
    </row>
    <row r="534" spans="1:30" ht="54" customHeight="1" thickBot="1" x14ac:dyDescent="0.25">
      <c r="A534" s="4034"/>
      <c r="B534" s="4608"/>
      <c r="C534" s="1954">
        <v>5045</v>
      </c>
      <c r="D534" s="3743" t="s">
        <v>221</v>
      </c>
      <c r="E534" s="3744"/>
      <c r="F534" s="2421">
        <f t="shared" si="154"/>
        <v>0</v>
      </c>
      <c r="G534" s="2421">
        <f t="shared" si="154"/>
        <v>0</v>
      </c>
      <c r="H534" s="2430"/>
      <c r="I534" s="1968">
        <f>IF(F534=0,0,$F534*COEF!$J$27)</f>
        <v>0</v>
      </c>
      <c r="J534" s="858">
        <f>IF(F534=0,0,$F534*COEF!$K$27)</f>
        <v>0</v>
      </c>
      <c r="K534" s="858">
        <f>IF(F534=0,0,$F534*COEF!$L$27)</f>
        <v>0</v>
      </c>
      <c r="L534" s="859" t="e">
        <f t="shared" si="144"/>
        <v>#REF!</v>
      </c>
      <c r="M534" s="859" t="e">
        <f t="shared" si="145"/>
        <v>#REF!</v>
      </c>
      <c r="N534" s="859" t="e">
        <f t="shared" si="146"/>
        <v>#REF!</v>
      </c>
      <c r="O534" s="860" t="e">
        <f t="shared" si="152"/>
        <v>#REF!</v>
      </c>
      <c r="P534" s="860" t="e">
        <f t="shared" si="152"/>
        <v>#REF!</v>
      </c>
      <c r="Q534" s="860" t="e">
        <f t="shared" si="152"/>
        <v>#REF!</v>
      </c>
      <c r="R534" s="1969" t="e">
        <f t="shared" si="147"/>
        <v>#REF!</v>
      </c>
      <c r="S534" s="866"/>
      <c r="T534" s="856" t="e">
        <f t="shared" si="153"/>
        <v>#REF!</v>
      </c>
      <c r="U534" s="711" t="e">
        <f t="shared" si="148"/>
        <v>#REF!</v>
      </c>
      <c r="V534" s="711" t="e">
        <f t="shared" si="148"/>
        <v>#REF!</v>
      </c>
      <c r="W534" s="711" t="e">
        <f t="shared" si="148"/>
        <v>#REF!</v>
      </c>
      <c r="X534" s="10"/>
      <c r="Y534" s="10"/>
      <c r="Z534" s="10"/>
      <c r="AA534" s="675"/>
      <c r="AB534" s="10"/>
      <c r="AC534" s="1720"/>
      <c r="AD534" s="868"/>
    </row>
    <row r="535" spans="1:30" ht="54" customHeight="1" thickBot="1" x14ac:dyDescent="0.25">
      <c r="A535" s="4034"/>
      <c r="B535" s="4608"/>
      <c r="C535" s="1955">
        <v>5050</v>
      </c>
      <c r="D535" s="3742" t="s">
        <v>219</v>
      </c>
      <c r="E535" s="3742"/>
      <c r="F535" s="2421">
        <f t="shared" ref="F535:G537" si="155">+F446</f>
        <v>0</v>
      </c>
      <c r="G535" s="2421">
        <f t="shared" si="155"/>
        <v>0</v>
      </c>
      <c r="H535" s="2430"/>
      <c r="I535" s="1987">
        <f>IF(F535=0,0,$F535*COEF!$J$27)</f>
        <v>0</v>
      </c>
      <c r="J535" s="1988">
        <f>IF(F535=0,0,$F535*COEF!$K$27)</f>
        <v>0</v>
      </c>
      <c r="K535" s="1988">
        <f>IF(F535=0,0,$F535*COEF!$L$27)</f>
        <v>0</v>
      </c>
      <c r="L535" s="1989" t="e">
        <f t="shared" si="144"/>
        <v>#REF!</v>
      </c>
      <c r="M535" s="1989" t="e">
        <f t="shared" si="145"/>
        <v>#REF!</v>
      </c>
      <c r="N535" s="1989" t="e">
        <f t="shared" si="146"/>
        <v>#REF!</v>
      </c>
      <c r="O535" s="860" t="e">
        <f t="shared" si="152"/>
        <v>#REF!</v>
      </c>
      <c r="P535" s="860" t="e">
        <f t="shared" si="152"/>
        <v>#REF!</v>
      </c>
      <c r="Q535" s="860" t="e">
        <f t="shared" si="152"/>
        <v>#REF!</v>
      </c>
      <c r="R535" s="1969" t="e">
        <f t="shared" si="147"/>
        <v>#REF!</v>
      </c>
      <c r="S535" s="866"/>
      <c r="T535" s="856" t="e">
        <f t="shared" si="153"/>
        <v>#REF!</v>
      </c>
      <c r="U535" s="711" t="e">
        <f t="shared" si="148"/>
        <v>#REF!</v>
      </c>
      <c r="V535" s="711" t="e">
        <f t="shared" si="148"/>
        <v>#REF!</v>
      </c>
      <c r="W535" s="711" t="e">
        <f t="shared" si="148"/>
        <v>#REF!</v>
      </c>
      <c r="X535" s="10"/>
      <c r="Y535" s="10"/>
      <c r="Z535" s="10"/>
      <c r="AA535" s="675"/>
      <c r="AB535" s="10"/>
      <c r="AC535" s="1720"/>
      <c r="AD535" s="868"/>
    </row>
    <row r="536" spans="1:30" ht="54" customHeight="1" thickBot="1" x14ac:dyDescent="0.25">
      <c r="A536" s="4034"/>
      <c r="B536" s="4608"/>
      <c r="C536" s="1955">
        <v>5051</v>
      </c>
      <c r="D536" s="3742" t="s">
        <v>621</v>
      </c>
      <c r="E536" s="3742"/>
      <c r="F536" s="2421" t="e">
        <f t="shared" si="155"/>
        <v>#REF!</v>
      </c>
      <c r="G536" s="2421" t="e">
        <f t="shared" si="155"/>
        <v>#REF!</v>
      </c>
      <c r="H536" s="2430"/>
      <c r="I536" s="1968" t="e">
        <f>IF(F536=0,0,$F536*COEF!$J$27)</f>
        <v>#REF!</v>
      </c>
      <c r="J536" s="858" t="e">
        <f>IF(F536=0,0,$F536*COEF!$K$27)</f>
        <v>#REF!</v>
      </c>
      <c r="K536" s="858" t="e">
        <f>IF(F536=0,0,$F536*COEF!$L$27)</f>
        <v>#REF!</v>
      </c>
      <c r="L536" s="859" t="e">
        <f t="shared" si="144"/>
        <v>#REF!</v>
      </c>
      <c r="M536" s="859" t="e">
        <f t="shared" si="145"/>
        <v>#REF!</v>
      </c>
      <c r="N536" s="859" t="e">
        <f t="shared" si="146"/>
        <v>#REF!</v>
      </c>
      <c r="O536" s="860" t="e">
        <f t="shared" si="152"/>
        <v>#REF!</v>
      </c>
      <c r="P536" s="860" t="e">
        <f t="shared" si="152"/>
        <v>#REF!</v>
      </c>
      <c r="Q536" s="860" t="e">
        <f t="shared" si="152"/>
        <v>#REF!</v>
      </c>
      <c r="R536" s="1969" t="e">
        <f t="shared" si="147"/>
        <v>#REF!</v>
      </c>
      <c r="S536" s="866"/>
      <c r="T536" s="856" t="e">
        <f t="shared" si="153"/>
        <v>#REF!</v>
      </c>
      <c r="U536" s="711" t="e">
        <f t="shared" si="148"/>
        <v>#REF!</v>
      </c>
      <c r="V536" s="711" t="e">
        <f t="shared" si="148"/>
        <v>#REF!</v>
      </c>
      <c r="W536" s="711" t="e">
        <f t="shared" si="148"/>
        <v>#REF!</v>
      </c>
      <c r="X536" s="10"/>
      <c r="Y536" s="10"/>
      <c r="Z536" s="10"/>
      <c r="AA536" s="675"/>
      <c r="AB536" s="10"/>
      <c r="AC536" s="1720"/>
      <c r="AD536" s="868"/>
    </row>
    <row r="537" spans="1:30" ht="54" customHeight="1" thickBot="1" x14ac:dyDescent="0.25">
      <c r="A537" s="4034"/>
      <c r="B537" s="4608"/>
      <c r="C537" s="1955">
        <v>5055</v>
      </c>
      <c r="D537" s="3742" t="s">
        <v>222</v>
      </c>
      <c r="E537" s="3742"/>
      <c r="F537" s="2421">
        <f t="shared" si="155"/>
        <v>0</v>
      </c>
      <c r="G537" s="2421">
        <f t="shared" si="155"/>
        <v>0</v>
      </c>
      <c r="H537" s="2430"/>
      <c r="I537" s="1968">
        <f>IF(F537=0,0,$F537*COEF!$J$27)</f>
        <v>0</v>
      </c>
      <c r="J537" s="858">
        <f>IF(F537=0,0,$F537*COEF!$K$27)</f>
        <v>0</v>
      </c>
      <c r="K537" s="858">
        <f>IF(F537=0,0,$F537*COEF!$L$27)</f>
        <v>0</v>
      </c>
      <c r="L537" s="859" t="e">
        <f t="shared" si="144"/>
        <v>#REF!</v>
      </c>
      <c r="M537" s="859" t="e">
        <f t="shared" si="145"/>
        <v>#REF!</v>
      </c>
      <c r="N537" s="859" t="e">
        <f t="shared" si="146"/>
        <v>#REF!</v>
      </c>
      <c r="O537" s="860" t="e">
        <f t="shared" si="152"/>
        <v>#REF!</v>
      </c>
      <c r="P537" s="860" t="e">
        <f t="shared" si="152"/>
        <v>#REF!</v>
      </c>
      <c r="Q537" s="860" t="e">
        <f t="shared" si="152"/>
        <v>#REF!</v>
      </c>
      <c r="R537" s="1969" t="e">
        <f t="shared" si="147"/>
        <v>#REF!</v>
      </c>
      <c r="S537" s="866"/>
      <c r="T537" s="856" t="e">
        <f t="shared" si="153"/>
        <v>#REF!</v>
      </c>
      <c r="U537" s="711" t="e">
        <f t="shared" si="148"/>
        <v>#REF!</v>
      </c>
      <c r="V537" s="711" t="e">
        <f t="shared" si="148"/>
        <v>#REF!</v>
      </c>
      <c r="W537" s="711" t="e">
        <f t="shared" si="148"/>
        <v>#REF!</v>
      </c>
      <c r="X537" s="10"/>
      <c r="Y537" s="10"/>
      <c r="Z537" s="10"/>
      <c r="AA537" s="675"/>
      <c r="AB537" s="10"/>
      <c r="AC537" s="869"/>
      <c r="AD537" s="870"/>
    </row>
    <row r="538" spans="1:30" ht="54" customHeight="1" thickBot="1" x14ac:dyDescent="0.25">
      <c r="A538" s="4034"/>
      <c r="B538" s="4608"/>
      <c r="C538" s="1948">
        <v>5503</v>
      </c>
      <c r="D538" s="3751" t="s">
        <v>223</v>
      </c>
      <c r="E538" s="1948" t="s">
        <v>53</v>
      </c>
      <c r="F538" s="2421">
        <f t="shared" ref="F538:G548" si="156">+F452</f>
        <v>0</v>
      </c>
      <c r="G538" s="2421">
        <f t="shared" si="156"/>
        <v>0</v>
      </c>
      <c r="H538" s="2430"/>
      <c r="I538" s="1968">
        <f>IF(F538=0,0,$F538*COEF!$J$27)</f>
        <v>0</v>
      </c>
      <c r="J538" s="858">
        <f>IF(F538=0,0,$F538*COEF!$K$27)</f>
        <v>0</v>
      </c>
      <c r="K538" s="858">
        <f>IF(F538=0,0,$F538*COEF!$L$27)</f>
        <v>0</v>
      </c>
      <c r="L538" s="859" t="e">
        <f t="shared" si="144"/>
        <v>#REF!</v>
      </c>
      <c r="M538" s="859" t="e">
        <f t="shared" si="145"/>
        <v>#REF!</v>
      </c>
      <c r="N538" s="859" t="e">
        <f t="shared" si="146"/>
        <v>#REF!</v>
      </c>
      <c r="O538" s="860" t="e">
        <f t="shared" si="152"/>
        <v>#REF!</v>
      </c>
      <c r="P538" s="860" t="e">
        <f t="shared" si="152"/>
        <v>#REF!</v>
      </c>
      <c r="Q538" s="860" t="e">
        <f t="shared" si="152"/>
        <v>#REF!</v>
      </c>
      <c r="R538" s="1969" t="e">
        <f t="shared" si="147"/>
        <v>#REF!</v>
      </c>
      <c r="S538" s="866"/>
      <c r="T538" s="856" t="e">
        <f t="shared" si="153"/>
        <v>#REF!</v>
      </c>
      <c r="U538" s="711" t="e">
        <f t="shared" si="148"/>
        <v>#REF!</v>
      </c>
      <c r="V538" s="711" t="e">
        <f t="shared" si="148"/>
        <v>#REF!</v>
      </c>
      <c r="W538" s="711" t="e">
        <f t="shared" si="148"/>
        <v>#REF!</v>
      </c>
      <c r="X538" s="10"/>
      <c r="Y538" s="10"/>
      <c r="Z538" s="10"/>
      <c r="AA538" s="675"/>
      <c r="AB538" s="10"/>
      <c r="AC538" s="871"/>
      <c r="AD538" s="870"/>
    </row>
    <row r="539" spans="1:30" ht="54" customHeight="1" thickBot="1" x14ac:dyDescent="0.25">
      <c r="A539" s="4034"/>
      <c r="B539" s="4608"/>
      <c r="C539" s="1948">
        <v>5504</v>
      </c>
      <c r="D539" s="3746"/>
      <c r="E539" s="1948" t="s">
        <v>54</v>
      </c>
      <c r="F539" s="2421">
        <f t="shared" si="156"/>
        <v>0</v>
      </c>
      <c r="G539" s="2421">
        <f t="shared" si="156"/>
        <v>0</v>
      </c>
      <c r="H539" s="2430"/>
      <c r="I539" s="1968">
        <f>IF(F539=0,0,$F539*COEF!$J$27)</f>
        <v>0</v>
      </c>
      <c r="J539" s="858">
        <f>IF(F539=0,0,$F539*COEF!$K$27)</f>
        <v>0</v>
      </c>
      <c r="K539" s="858">
        <f>IF(F539=0,0,$F539*COEF!$L$27)</f>
        <v>0</v>
      </c>
      <c r="L539" s="859" t="e">
        <f t="shared" si="144"/>
        <v>#REF!</v>
      </c>
      <c r="M539" s="859" t="e">
        <f t="shared" si="145"/>
        <v>#REF!</v>
      </c>
      <c r="N539" s="859" t="e">
        <f t="shared" si="146"/>
        <v>#REF!</v>
      </c>
      <c r="O539" s="860" t="e">
        <f t="shared" si="152"/>
        <v>#REF!</v>
      </c>
      <c r="P539" s="860" t="e">
        <f t="shared" si="152"/>
        <v>#REF!</v>
      </c>
      <c r="Q539" s="860" t="e">
        <f t="shared" si="152"/>
        <v>#REF!</v>
      </c>
      <c r="R539" s="1969" t="e">
        <f t="shared" si="147"/>
        <v>#REF!</v>
      </c>
      <c r="S539" s="866"/>
      <c r="T539" s="856" t="e">
        <f t="shared" si="153"/>
        <v>#REF!</v>
      </c>
      <c r="U539" s="711" t="e">
        <f t="shared" ref="U539:W589" si="157">L539</f>
        <v>#REF!</v>
      </c>
      <c r="V539" s="711" t="e">
        <f t="shared" si="157"/>
        <v>#REF!</v>
      </c>
      <c r="W539" s="711" t="e">
        <f t="shared" si="157"/>
        <v>#REF!</v>
      </c>
      <c r="X539" s="10"/>
      <c r="Y539" s="10"/>
      <c r="Z539" s="10"/>
      <c r="AA539" s="675"/>
      <c r="AB539" s="10"/>
      <c r="AC539" s="871"/>
      <c r="AD539" s="874"/>
    </row>
    <row r="540" spans="1:30" ht="54" customHeight="1" thickBot="1" x14ac:dyDescent="0.25">
      <c r="A540" s="4034"/>
      <c r="B540" s="4608"/>
      <c r="C540" s="1948">
        <v>5505</v>
      </c>
      <c r="D540" s="3746"/>
      <c r="E540" s="1948" t="s">
        <v>622</v>
      </c>
      <c r="F540" s="2421" t="e">
        <f t="shared" si="156"/>
        <v>#REF!</v>
      </c>
      <c r="G540" s="2421" t="e">
        <f t="shared" si="156"/>
        <v>#REF!</v>
      </c>
      <c r="H540" s="2430"/>
      <c r="I540" s="1968" t="e">
        <f>IF(F540=0,0,$F540*COEF!$J$27)</f>
        <v>#REF!</v>
      </c>
      <c r="J540" s="858" t="e">
        <f>IF(F540=0,0,$F540*COEF!$K$27)</f>
        <v>#REF!</v>
      </c>
      <c r="K540" s="858" t="e">
        <f>IF(F540=0,0,$F540*COEF!$L$27)</f>
        <v>#REF!</v>
      </c>
      <c r="L540" s="859" t="e">
        <f t="shared" si="144"/>
        <v>#REF!</v>
      </c>
      <c r="M540" s="859" t="e">
        <f t="shared" si="145"/>
        <v>#REF!</v>
      </c>
      <c r="N540" s="859" t="e">
        <f t="shared" si="146"/>
        <v>#REF!</v>
      </c>
      <c r="O540" s="860" t="e">
        <f t="shared" si="152"/>
        <v>#REF!</v>
      </c>
      <c r="P540" s="860" t="e">
        <f t="shared" si="152"/>
        <v>#REF!</v>
      </c>
      <c r="Q540" s="860" t="e">
        <f t="shared" si="152"/>
        <v>#REF!</v>
      </c>
      <c r="R540" s="1969" t="e">
        <f t="shared" si="147"/>
        <v>#REF!</v>
      </c>
      <c r="S540" s="866"/>
      <c r="T540" s="856" t="e">
        <f t="shared" si="153"/>
        <v>#REF!</v>
      </c>
      <c r="U540" s="711" t="e">
        <f t="shared" si="157"/>
        <v>#REF!</v>
      </c>
      <c r="V540" s="711" t="e">
        <f t="shared" si="157"/>
        <v>#REF!</v>
      </c>
      <c r="W540" s="711" t="e">
        <f t="shared" si="157"/>
        <v>#REF!</v>
      </c>
      <c r="X540" s="10"/>
      <c r="Y540" s="10"/>
      <c r="Z540" s="10"/>
      <c r="AA540" s="675"/>
      <c r="AB540" s="10"/>
      <c r="AC540" s="871"/>
      <c r="AD540" s="875"/>
    </row>
    <row r="541" spans="1:30" ht="54" customHeight="1" thickBot="1" x14ac:dyDescent="0.25">
      <c r="A541" s="4034"/>
      <c r="B541" s="4608"/>
      <c r="C541" s="1949">
        <v>5553</v>
      </c>
      <c r="D541" s="3746"/>
      <c r="E541" s="1949" t="s">
        <v>55</v>
      </c>
      <c r="F541" s="2421">
        <f t="shared" si="156"/>
        <v>0</v>
      </c>
      <c r="G541" s="2421">
        <f t="shared" si="156"/>
        <v>0</v>
      </c>
      <c r="H541" s="2430"/>
      <c r="I541" s="1968">
        <f>IF(F541=0,0,$F541*COEF!$J$27)</f>
        <v>0</v>
      </c>
      <c r="J541" s="858">
        <f>IF(F541=0,0,$F541*COEF!$K$27)</f>
        <v>0</v>
      </c>
      <c r="K541" s="858">
        <f>IF(F541=0,0,$F541*COEF!$L$27)</f>
        <v>0</v>
      </c>
      <c r="L541" s="859" t="e">
        <f t="shared" si="144"/>
        <v>#REF!</v>
      </c>
      <c r="M541" s="859" t="e">
        <f t="shared" si="145"/>
        <v>#REF!</v>
      </c>
      <c r="N541" s="859" t="e">
        <f t="shared" si="146"/>
        <v>#REF!</v>
      </c>
      <c r="O541" s="860" t="e">
        <f t="shared" si="152"/>
        <v>#REF!</v>
      </c>
      <c r="P541" s="860" t="e">
        <f t="shared" si="152"/>
        <v>#REF!</v>
      </c>
      <c r="Q541" s="860" t="e">
        <f t="shared" si="152"/>
        <v>#REF!</v>
      </c>
      <c r="R541" s="1969" t="e">
        <f t="shared" si="147"/>
        <v>#REF!</v>
      </c>
      <c r="S541" s="866"/>
      <c r="T541" s="856" t="e">
        <f t="shared" si="153"/>
        <v>#REF!</v>
      </c>
      <c r="U541" s="711" t="e">
        <f t="shared" si="157"/>
        <v>#REF!</v>
      </c>
      <c r="V541" s="711" t="e">
        <f t="shared" si="157"/>
        <v>#REF!</v>
      </c>
      <c r="W541" s="711" t="e">
        <f t="shared" si="157"/>
        <v>#REF!</v>
      </c>
      <c r="X541" s="10"/>
      <c r="Y541" s="10"/>
      <c r="Z541" s="10"/>
      <c r="AA541" s="675"/>
      <c r="AB541" s="10"/>
      <c r="AC541" s="871"/>
      <c r="AD541" s="875"/>
    </row>
    <row r="542" spans="1:30" ht="54" customHeight="1" thickBot="1" x14ac:dyDescent="0.25">
      <c r="A542" s="4034"/>
      <c r="B542" s="4608"/>
      <c r="C542" s="1949">
        <v>5554</v>
      </c>
      <c r="D542" s="3752"/>
      <c r="E542" s="1949" t="s">
        <v>56</v>
      </c>
      <c r="F542" s="2421">
        <f t="shared" si="156"/>
        <v>0</v>
      </c>
      <c r="G542" s="2421">
        <f t="shared" si="156"/>
        <v>0</v>
      </c>
      <c r="H542" s="2430"/>
      <c r="I542" s="1968">
        <f>IF(F542=0,0,$F542*COEF!$J$27)</f>
        <v>0</v>
      </c>
      <c r="J542" s="858">
        <f>IF(F542=0,0,$F542*COEF!$K$27)</f>
        <v>0</v>
      </c>
      <c r="K542" s="858">
        <f>IF(F542=0,0,$F542*COEF!$L$27)</f>
        <v>0</v>
      </c>
      <c r="L542" s="859" t="e">
        <f t="shared" si="144"/>
        <v>#REF!</v>
      </c>
      <c r="M542" s="859" t="e">
        <f t="shared" si="145"/>
        <v>#REF!</v>
      </c>
      <c r="N542" s="859" t="e">
        <f t="shared" si="146"/>
        <v>#REF!</v>
      </c>
      <c r="O542" s="860" t="e">
        <f t="shared" si="152"/>
        <v>#REF!</v>
      </c>
      <c r="P542" s="860" t="e">
        <f t="shared" si="152"/>
        <v>#REF!</v>
      </c>
      <c r="Q542" s="860" t="e">
        <f t="shared" si="152"/>
        <v>#REF!</v>
      </c>
      <c r="R542" s="1969" t="e">
        <f t="shared" si="147"/>
        <v>#REF!</v>
      </c>
      <c r="S542" s="866"/>
      <c r="T542" s="856" t="e">
        <f t="shared" si="153"/>
        <v>#REF!</v>
      </c>
      <c r="U542" s="711" t="e">
        <f t="shared" si="157"/>
        <v>#REF!</v>
      </c>
      <c r="V542" s="711" t="e">
        <f t="shared" si="157"/>
        <v>#REF!</v>
      </c>
      <c r="W542" s="711" t="e">
        <f t="shared" si="157"/>
        <v>#REF!</v>
      </c>
      <c r="X542" s="10"/>
      <c r="Y542" s="10"/>
      <c r="Z542" s="10"/>
      <c r="AA542" s="675"/>
      <c r="AB542" s="10"/>
      <c r="AC542" s="871"/>
      <c r="AD542" s="875"/>
    </row>
    <row r="543" spans="1:30" ht="54" customHeight="1" thickBot="1" x14ac:dyDescent="0.25">
      <c r="A543" s="4034"/>
      <c r="B543" s="4608"/>
      <c r="C543" s="1949">
        <v>5555</v>
      </c>
      <c r="D543" s="2403"/>
      <c r="E543" s="1949" t="s">
        <v>623</v>
      </c>
      <c r="F543" s="2421" t="e">
        <f t="shared" si="156"/>
        <v>#REF!</v>
      </c>
      <c r="G543" s="2421" t="e">
        <f t="shared" si="156"/>
        <v>#REF!</v>
      </c>
      <c r="H543" s="2430"/>
      <c r="I543" s="1968" t="e">
        <f>IF(F543=0,0,$F543*COEF!$J$27)</f>
        <v>#REF!</v>
      </c>
      <c r="J543" s="858" t="e">
        <f>IF(F543=0,0,$F543*COEF!$K$27)</f>
        <v>#REF!</v>
      </c>
      <c r="K543" s="858" t="e">
        <f>IF(F543=0,0,$F543*COEF!$L$27)</f>
        <v>#REF!</v>
      </c>
      <c r="L543" s="859" t="e">
        <f t="shared" si="144"/>
        <v>#REF!</v>
      </c>
      <c r="M543" s="859" t="e">
        <f t="shared" si="145"/>
        <v>#REF!</v>
      </c>
      <c r="N543" s="859" t="e">
        <f t="shared" si="146"/>
        <v>#REF!</v>
      </c>
      <c r="O543" s="860" t="e">
        <f t="shared" si="152"/>
        <v>#REF!</v>
      </c>
      <c r="P543" s="860" t="e">
        <f t="shared" si="152"/>
        <v>#REF!</v>
      </c>
      <c r="Q543" s="860" t="e">
        <f t="shared" si="152"/>
        <v>#REF!</v>
      </c>
      <c r="R543" s="1969" t="e">
        <f t="shared" si="147"/>
        <v>#REF!</v>
      </c>
      <c r="S543" s="866"/>
      <c r="T543" s="856" t="e">
        <f t="shared" si="153"/>
        <v>#REF!</v>
      </c>
      <c r="U543" s="711" t="e">
        <f t="shared" si="157"/>
        <v>#REF!</v>
      </c>
      <c r="V543" s="711" t="e">
        <f t="shared" si="157"/>
        <v>#REF!</v>
      </c>
      <c r="W543" s="711" t="e">
        <f t="shared" si="157"/>
        <v>#REF!</v>
      </c>
      <c r="X543" s="10"/>
      <c r="Y543" s="10"/>
      <c r="Z543" s="10"/>
      <c r="AA543" s="675"/>
      <c r="AB543" s="10"/>
      <c r="AC543" s="871"/>
      <c r="AD543" s="875"/>
    </row>
    <row r="544" spans="1:30" ht="54" customHeight="1" thickBot="1" x14ac:dyDescent="0.25">
      <c r="A544" s="4034"/>
      <c r="B544" s="4609"/>
      <c r="C544" s="1953">
        <v>6000</v>
      </c>
      <c r="D544" s="4590" t="s">
        <v>580</v>
      </c>
      <c r="E544" s="4591"/>
      <c r="F544" s="2421" t="e">
        <f t="shared" si="156"/>
        <v>#REF!</v>
      </c>
      <c r="G544" s="2421" t="e">
        <f t="shared" si="156"/>
        <v>#REF!</v>
      </c>
      <c r="H544" s="2430" t="e">
        <f>SUM(F531:F544)</f>
        <v>#REF!</v>
      </c>
      <c r="I544" s="1968" t="e">
        <f>IF(F544=0,0,$F544*COEF!$J$27)</f>
        <v>#REF!</v>
      </c>
      <c r="J544" s="858" t="e">
        <f>IF(F544=0,0,$F544*COEF!$K$27)</f>
        <v>#REF!</v>
      </c>
      <c r="K544" s="858" t="e">
        <f>IF(F544=0,0,$F544*COEF!$L$27)</f>
        <v>#REF!</v>
      </c>
      <c r="L544" s="859" t="e">
        <f t="shared" si="144"/>
        <v>#REF!</v>
      </c>
      <c r="M544" s="859" t="e">
        <f t="shared" si="145"/>
        <v>#REF!</v>
      </c>
      <c r="N544" s="859" t="e">
        <f t="shared" si="146"/>
        <v>#REF!</v>
      </c>
      <c r="O544" s="860" t="e">
        <f t="shared" si="152"/>
        <v>#REF!</v>
      </c>
      <c r="P544" s="860" t="e">
        <f t="shared" si="152"/>
        <v>#REF!</v>
      </c>
      <c r="Q544" s="860" t="e">
        <f t="shared" si="152"/>
        <v>#REF!</v>
      </c>
      <c r="R544" s="1969" t="e">
        <f t="shared" si="147"/>
        <v>#REF!</v>
      </c>
      <c r="S544" s="866"/>
      <c r="T544" s="856" t="e">
        <f t="shared" si="153"/>
        <v>#REF!</v>
      </c>
      <c r="U544" s="711" t="e">
        <f t="shared" si="157"/>
        <v>#REF!</v>
      </c>
      <c r="V544" s="711" t="e">
        <f t="shared" si="157"/>
        <v>#REF!</v>
      </c>
      <c r="W544" s="711" t="e">
        <f t="shared" si="157"/>
        <v>#REF!</v>
      </c>
      <c r="X544" s="10"/>
      <c r="Y544" s="10"/>
      <c r="Z544" s="10"/>
      <c r="AA544" s="675"/>
      <c r="AB544" s="10"/>
      <c r="AC544" s="871"/>
      <c r="AD544" s="875"/>
    </row>
    <row r="545" spans="1:30" ht="63" customHeight="1" thickBot="1" x14ac:dyDescent="0.25">
      <c r="A545" s="4034"/>
      <c r="B545" s="4065" t="s">
        <v>57</v>
      </c>
      <c r="C545" s="1947">
        <v>5030</v>
      </c>
      <c r="D545" s="4597" t="s">
        <v>217</v>
      </c>
      <c r="E545" s="4597"/>
      <c r="F545" s="2421">
        <f t="shared" si="156"/>
        <v>0</v>
      </c>
      <c r="G545" s="2421">
        <f t="shared" si="156"/>
        <v>0</v>
      </c>
      <c r="H545" s="2431"/>
      <c r="I545" s="1968">
        <f>IF(F545=0,0,$F545*COEF!$J$27)</f>
        <v>0</v>
      </c>
      <c r="J545" s="858">
        <f>IF(F545=0,0,$F545*COEF!$K$27)</f>
        <v>0</v>
      </c>
      <c r="K545" s="858">
        <f>IF(F545=0,0,$F545*COEF!$L$27)</f>
        <v>0</v>
      </c>
      <c r="L545" s="859" t="e">
        <f t="shared" si="144"/>
        <v>#REF!</v>
      </c>
      <c r="M545" s="859" t="e">
        <f t="shared" si="145"/>
        <v>#REF!</v>
      </c>
      <c r="N545" s="859" t="e">
        <f t="shared" si="146"/>
        <v>#REF!</v>
      </c>
      <c r="O545" s="860" t="e">
        <f t="shared" si="152"/>
        <v>#REF!</v>
      </c>
      <c r="P545" s="860" t="e">
        <f t="shared" si="152"/>
        <v>#REF!</v>
      </c>
      <c r="Q545" s="860" t="e">
        <f t="shared" si="152"/>
        <v>#REF!</v>
      </c>
      <c r="R545" s="1969" t="e">
        <f t="shared" si="147"/>
        <v>#REF!</v>
      </c>
      <c r="S545" s="866"/>
      <c r="T545" s="856" t="e">
        <f t="shared" si="153"/>
        <v>#REF!</v>
      </c>
      <c r="U545" s="711" t="e">
        <f t="shared" si="157"/>
        <v>#REF!</v>
      </c>
      <c r="V545" s="711" t="e">
        <f t="shared" si="157"/>
        <v>#REF!</v>
      </c>
      <c r="W545" s="711" t="e">
        <f t="shared" si="157"/>
        <v>#REF!</v>
      </c>
      <c r="X545" s="10"/>
      <c r="Y545" s="10"/>
      <c r="Z545" s="10"/>
      <c r="AA545" s="675"/>
      <c r="AB545" s="10"/>
      <c r="AC545" s="878"/>
      <c r="AD545" s="879"/>
    </row>
    <row r="546" spans="1:30" ht="54" customHeight="1" thickBot="1" x14ac:dyDescent="0.25">
      <c r="A546" s="4034"/>
      <c r="B546" s="4181"/>
      <c r="C546" s="1954">
        <v>5040</v>
      </c>
      <c r="D546" s="3743" t="s">
        <v>218</v>
      </c>
      <c r="E546" s="3744"/>
      <c r="F546" s="2421">
        <f t="shared" si="156"/>
        <v>0</v>
      </c>
      <c r="G546" s="2421">
        <f t="shared" si="156"/>
        <v>0</v>
      </c>
      <c r="H546" s="2432"/>
      <c r="I546" s="1968">
        <f>IF(F546=0,0,$F546*COEF!$J$27)</f>
        <v>0</v>
      </c>
      <c r="J546" s="858">
        <f>IF(F546=0,0,$F546*COEF!$K$27)</f>
        <v>0</v>
      </c>
      <c r="K546" s="858">
        <f>IF(F546=0,0,$F546*COEF!$L$27)</f>
        <v>0</v>
      </c>
      <c r="L546" s="859" t="e">
        <f t="shared" si="144"/>
        <v>#REF!</v>
      </c>
      <c r="M546" s="859" t="e">
        <f t="shared" si="145"/>
        <v>#REF!</v>
      </c>
      <c r="N546" s="859" t="e">
        <f t="shared" si="146"/>
        <v>#REF!</v>
      </c>
      <c r="O546" s="860" t="e">
        <f t="shared" si="152"/>
        <v>#REF!</v>
      </c>
      <c r="P546" s="860" t="e">
        <f t="shared" si="152"/>
        <v>#REF!</v>
      </c>
      <c r="Q546" s="860" t="e">
        <f t="shared" si="152"/>
        <v>#REF!</v>
      </c>
      <c r="R546" s="1969" t="e">
        <f t="shared" si="147"/>
        <v>#REF!</v>
      </c>
      <c r="S546" s="866"/>
      <c r="T546" s="856" t="e">
        <f t="shared" si="153"/>
        <v>#REF!</v>
      </c>
      <c r="U546" s="711" t="e">
        <f t="shared" si="157"/>
        <v>#REF!</v>
      </c>
      <c r="V546" s="711" t="e">
        <f t="shared" si="157"/>
        <v>#REF!</v>
      </c>
      <c r="W546" s="711" t="e">
        <f t="shared" si="157"/>
        <v>#REF!</v>
      </c>
      <c r="X546" s="10"/>
      <c r="Y546" s="10"/>
      <c r="Z546" s="10"/>
      <c r="AA546" s="675"/>
      <c r="AB546" s="10"/>
      <c r="AC546" s="862"/>
      <c r="AD546" s="863"/>
    </row>
    <row r="547" spans="1:30" ht="54" customHeight="1" thickBot="1" x14ac:dyDescent="0.25">
      <c r="A547" s="4034"/>
      <c r="B547" s="4181"/>
      <c r="C547" s="1954">
        <v>5041</v>
      </c>
      <c r="D547" s="3743" t="s">
        <v>620</v>
      </c>
      <c r="E547" s="3744"/>
      <c r="F547" s="2421" t="e">
        <f t="shared" si="156"/>
        <v>#REF!</v>
      </c>
      <c r="G547" s="2421" t="e">
        <f t="shared" si="156"/>
        <v>#REF!</v>
      </c>
      <c r="H547" s="2432"/>
      <c r="I547" s="1968" t="e">
        <f>IF(F547=0,0,$F547*COEF!$J$27)</f>
        <v>#REF!</v>
      </c>
      <c r="J547" s="858" t="e">
        <f>IF(F547=0,0,$F547*COEF!$K$27)</f>
        <v>#REF!</v>
      </c>
      <c r="K547" s="858" t="e">
        <f>IF(F547=0,0,$F547*COEF!$L$27)</f>
        <v>#REF!</v>
      </c>
      <c r="L547" s="859" t="e">
        <f t="shared" si="144"/>
        <v>#REF!</v>
      </c>
      <c r="M547" s="859" t="e">
        <f t="shared" si="145"/>
        <v>#REF!</v>
      </c>
      <c r="N547" s="859" t="e">
        <f t="shared" si="146"/>
        <v>#REF!</v>
      </c>
      <c r="O547" s="860" t="e">
        <f t="shared" si="152"/>
        <v>#REF!</v>
      </c>
      <c r="P547" s="860" t="e">
        <f t="shared" si="152"/>
        <v>#REF!</v>
      </c>
      <c r="Q547" s="860" t="e">
        <f t="shared" si="152"/>
        <v>#REF!</v>
      </c>
      <c r="R547" s="1969" t="e">
        <f t="shared" si="147"/>
        <v>#REF!</v>
      </c>
      <c r="S547" s="866"/>
      <c r="T547" s="856" t="e">
        <f t="shared" si="153"/>
        <v>#REF!</v>
      </c>
      <c r="U547" s="711" t="e">
        <f t="shared" si="157"/>
        <v>#REF!</v>
      </c>
      <c r="V547" s="711" t="e">
        <f t="shared" si="157"/>
        <v>#REF!</v>
      </c>
      <c r="W547" s="711" t="e">
        <f t="shared" si="157"/>
        <v>#REF!</v>
      </c>
      <c r="X547" s="10"/>
      <c r="Y547" s="10"/>
      <c r="Z547" s="10"/>
      <c r="AA547" s="675"/>
      <c r="AB547" s="10"/>
      <c r="AC547" s="867"/>
      <c r="AD547" s="868"/>
    </row>
    <row r="548" spans="1:30" ht="54" customHeight="1" thickBot="1" x14ac:dyDescent="0.25">
      <c r="A548" s="4034"/>
      <c r="B548" s="4181"/>
      <c r="C548" s="1954">
        <v>5045</v>
      </c>
      <c r="D548" s="3743" t="s">
        <v>221</v>
      </c>
      <c r="E548" s="3744"/>
      <c r="F548" s="2421">
        <f t="shared" si="156"/>
        <v>0</v>
      </c>
      <c r="G548" s="2421">
        <f t="shared" si="156"/>
        <v>0</v>
      </c>
      <c r="H548" s="2432"/>
      <c r="I548" s="1968">
        <f>IF(F548=0,0,$F548*COEF!$J$27)</f>
        <v>0</v>
      </c>
      <c r="J548" s="858">
        <f>IF(F548=0,0,$F548*COEF!$K$27)</f>
        <v>0</v>
      </c>
      <c r="K548" s="858">
        <f>IF(F548=0,0,$F548*COEF!$L$27)</f>
        <v>0</v>
      </c>
      <c r="L548" s="859" t="e">
        <f t="shared" si="144"/>
        <v>#REF!</v>
      </c>
      <c r="M548" s="859" t="e">
        <f t="shared" si="145"/>
        <v>#REF!</v>
      </c>
      <c r="N548" s="859" t="e">
        <f t="shared" si="146"/>
        <v>#REF!</v>
      </c>
      <c r="O548" s="860" t="e">
        <f t="shared" si="152"/>
        <v>#REF!</v>
      </c>
      <c r="P548" s="860" t="e">
        <f t="shared" si="152"/>
        <v>#REF!</v>
      </c>
      <c r="Q548" s="860" t="e">
        <f t="shared" si="152"/>
        <v>#REF!</v>
      </c>
      <c r="R548" s="1969" t="e">
        <f t="shared" si="147"/>
        <v>#REF!</v>
      </c>
      <c r="S548" s="866"/>
      <c r="T548" s="856" t="e">
        <f t="shared" si="153"/>
        <v>#REF!</v>
      </c>
      <c r="U548" s="711" t="e">
        <f t="shared" si="157"/>
        <v>#REF!</v>
      </c>
      <c r="V548" s="711" t="e">
        <f t="shared" si="157"/>
        <v>#REF!</v>
      </c>
      <c r="W548" s="711" t="e">
        <f t="shared" si="157"/>
        <v>#REF!</v>
      </c>
      <c r="X548" s="10"/>
      <c r="Y548" s="10"/>
      <c r="Z548" s="10"/>
      <c r="AA548" s="675"/>
      <c r="AB548" s="10"/>
      <c r="AC548" s="1720"/>
      <c r="AD548" s="868"/>
    </row>
    <row r="549" spans="1:30" ht="54" customHeight="1" thickBot="1" x14ac:dyDescent="0.25">
      <c r="A549" s="4034"/>
      <c r="B549" s="4181"/>
      <c r="C549" s="1955">
        <v>5050</v>
      </c>
      <c r="D549" s="3742" t="s">
        <v>219</v>
      </c>
      <c r="E549" s="3742"/>
      <c r="F549" s="2421">
        <f>+F464</f>
        <v>0</v>
      </c>
      <c r="G549" s="2421">
        <f>+G464</f>
        <v>0</v>
      </c>
      <c r="H549" s="2432"/>
      <c r="I549" s="1987">
        <f>IF(F549=0,0,$F549*COEF!$J$27)</f>
        <v>0</v>
      </c>
      <c r="J549" s="1988">
        <f>IF(F549=0,0,$F549*COEF!$K$27)</f>
        <v>0</v>
      </c>
      <c r="K549" s="1988">
        <f>IF(F549=0,0,$F549*COEF!$L$27)</f>
        <v>0</v>
      </c>
      <c r="L549" s="1989" t="e">
        <f t="shared" si="144"/>
        <v>#REF!</v>
      </c>
      <c r="M549" s="1989" t="e">
        <f t="shared" si="145"/>
        <v>#REF!</v>
      </c>
      <c r="N549" s="1989" t="e">
        <f t="shared" si="146"/>
        <v>#REF!</v>
      </c>
      <c r="O549" s="860" t="e">
        <f t="shared" si="152"/>
        <v>#REF!</v>
      </c>
      <c r="P549" s="860" t="e">
        <f t="shared" si="152"/>
        <v>#REF!</v>
      </c>
      <c r="Q549" s="860" t="e">
        <f t="shared" si="152"/>
        <v>#REF!</v>
      </c>
      <c r="R549" s="1969" t="e">
        <f t="shared" si="147"/>
        <v>#REF!</v>
      </c>
      <c r="S549" s="866"/>
      <c r="T549" s="856" t="e">
        <f t="shared" si="153"/>
        <v>#REF!</v>
      </c>
      <c r="U549" s="711" t="e">
        <f t="shared" si="157"/>
        <v>#REF!</v>
      </c>
      <c r="V549" s="711" t="e">
        <f t="shared" si="157"/>
        <v>#REF!</v>
      </c>
      <c r="W549" s="711" t="e">
        <f t="shared" si="157"/>
        <v>#REF!</v>
      </c>
      <c r="X549" s="10"/>
      <c r="Y549" s="10"/>
      <c r="Z549" s="10"/>
      <c r="AA549" s="675"/>
      <c r="AB549" s="10"/>
      <c r="AC549" s="1720"/>
      <c r="AD549" s="868"/>
    </row>
    <row r="550" spans="1:30" ht="54" customHeight="1" thickBot="1" x14ac:dyDescent="0.25">
      <c r="A550" s="4034"/>
      <c r="B550" s="4181"/>
      <c r="C550" s="1955">
        <v>5051</v>
      </c>
      <c r="D550" s="3742" t="s">
        <v>621</v>
      </c>
      <c r="E550" s="3742"/>
      <c r="F550" s="2421" t="e">
        <f>+F465</f>
        <v>#REF!</v>
      </c>
      <c r="G550" s="2421" t="e">
        <f>+G465</f>
        <v>#REF!</v>
      </c>
      <c r="H550" s="2432"/>
      <c r="I550" s="1968" t="e">
        <f>IF(F550=0,0,$F550*COEF!$J$27)</f>
        <v>#REF!</v>
      </c>
      <c r="J550" s="858" t="e">
        <f>IF(F550=0,0,$F550*COEF!$K$27)</f>
        <v>#REF!</v>
      </c>
      <c r="K550" s="858" t="e">
        <f>IF(F550=0,0,$F550*COEF!$L$27)</f>
        <v>#REF!</v>
      </c>
      <c r="L550" s="859" t="e">
        <f t="shared" si="144"/>
        <v>#REF!</v>
      </c>
      <c r="M550" s="859" t="e">
        <f t="shared" si="145"/>
        <v>#REF!</v>
      </c>
      <c r="N550" s="859" t="e">
        <f t="shared" si="146"/>
        <v>#REF!</v>
      </c>
      <c r="O550" s="860" t="e">
        <f t="shared" si="152"/>
        <v>#REF!</v>
      </c>
      <c r="P550" s="860" t="e">
        <f t="shared" si="152"/>
        <v>#REF!</v>
      </c>
      <c r="Q550" s="860" t="e">
        <f t="shared" si="152"/>
        <v>#REF!</v>
      </c>
      <c r="R550" s="1969" t="e">
        <f t="shared" si="147"/>
        <v>#REF!</v>
      </c>
      <c r="S550" s="866"/>
      <c r="T550" s="856" t="e">
        <f t="shared" si="153"/>
        <v>#REF!</v>
      </c>
      <c r="U550" s="711" t="e">
        <f t="shared" si="157"/>
        <v>#REF!</v>
      </c>
      <c r="V550" s="711" t="e">
        <f t="shared" si="157"/>
        <v>#REF!</v>
      </c>
      <c r="W550" s="711" t="e">
        <f t="shared" si="157"/>
        <v>#REF!</v>
      </c>
      <c r="X550" s="10"/>
      <c r="Y550" s="10"/>
      <c r="Z550" s="10"/>
      <c r="AA550" s="675"/>
      <c r="AB550" s="10"/>
      <c r="AC550" s="1720"/>
      <c r="AD550" s="868"/>
    </row>
    <row r="551" spans="1:30" ht="54" customHeight="1" thickBot="1" x14ac:dyDescent="0.25">
      <c r="A551" s="4034"/>
      <c r="B551" s="4181"/>
      <c r="C551" s="1955">
        <v>5055</v>
      </c>
      <c r="D551" s="3742" t="s">
        <v>222</v>
      </c>
      <c r="E551" s="3742"/>
      <c r="F551" s="2421" t="e">
        <f>+F466+F467</f>
        <v>#REF!</v>
      </c>
      <c r="G551" s="2421" t="e">
        <f>+G466+G467</f>
        <v>#REF!</v>
      </c>
      <c r="H551" s="2432"/>
      <c r="I551" s="1968" t="e">
        <f>IF(F551=0,0,$F551*COEF!$J$27)</f>
        <v>#REF!</v>
      </c>
      <c r="J551" s="858" t="e">
        <f>IF(F551=0,0,$F551*COEF!$K$27)</f>
        <v>#REF!</v>
      </c>
      <c r="K551" s="858" t="e">
        <f>IF(F551=0,0,$F551*COEF!$L$27)</f>
        <v>#REF!</v>
      </c>
      <c r="L551" s="859" t="e">
        <f t="shared" si="144"/>
        <v>#REF!</v>
      </c>
      <c r="M551" s="859" t="e">
        <f t="shared" si="145"/>
        <v>#REF!</v>
      </c>
      <c r="N551" s="859" t="e">
        <f t="shared" si="146"/>
        <v>#REF!</v>
      </c>
      <c r="O551" s="860" t="e">
        <f t="shared" si="152"/>
        <v>#REF!</v>
      </c>
      <c r="P551" s="860" t="e">
        <f t="shared" si="152"/>
        <v>#REF!</v>
      </c>
      <c r="Q551" s="860" t="e">
        <f t="shared" si="152"/>
        <v>#REF!</v>
      </c>
      <c r="R551" s="1969" t="e">
        <f t="shared" si="147"/>
        <v>#REF!</v>
      </c>
      <c r="S551" s="866"/>
      <c r="T551" s="856" t="e">
        <f t="shared" si="153"/>
        <v>#REF!</v>
      </c>
      <c r="U551" s="711" t="e">
        <f t="shared" si="157"/>
        <v>#REF!</v>
      </c>
      <c r="V551" s="711" t="e">
        <f t="shared" si="157"/>
        <v>#REF!</v>
      </c>
      <c r="W551" s="711" t="e">
        <f t="shared" si="157"/>
        <v>#REF!</v>
      </c>
      <c r="X551" s="10"/>
      <c r="Y551" s="10"/>
      <c r="Z551" s="10"/>
      <c r="AA551" s="675"/>
      <c r="AB551" s="10"/>
      <c r="AC551" s="869"/>
      <c r="AD551" s="870"/>
    </row>
    <row r="552" spans="1:30" ht="54" customHeight="1" thickBot="1" x14ac:dyDescent="0.25">
      <c r="A552" s="4034"/>
      <c r="B552" s="4181"/>
      <c r="C552" s="1948">
        <v>5506</v>
      </c>
      <c r="D552" s="3751" t="s">
        <v>220</v>
      </c>
      <c r="E552" s="1948" t="s">
        <v>59</v>
      </c>
      <c r="F552" s="2421">
        <f t="shared" ref="F552:G559" si="158">+F471</f>
        <v>0</v>
      </c>
      <c r="G552" s="2421">
        <f t="shared" si="158"/>
        <v>0</v>
      </c>
      <c r="H552" s="2432"/>
      <c r="I552" s="1968">
        <f>IF(F552=0,0,$F552*COEF!$J$27)</f>
        <v>0</v>
      </c>
      <c r="J552" s="858">
        <f>IF(F552=0,0,$F552*COEF!$K$27)</f>
        <v>0</v>
      </c>
      <c r="K552" s="858">
        <f>IF(F552=0,0,$F552*COEF!$L$27)</f>
        <v>0</v>
      </c>
      <c r="L552" s="859" t="e">
        <f t="shared" si="144"/>
        <v>#REF!</v>
      </c>
      <c r="M552" s="859" t="e">
        <f t="shared" si="145"/>
        <v>#REF!</v>
      </c>
      <c r="N552" s="859" t="e">
        <f t="shared" si="146"/>
        <v>#REF!</v>
      </c>
      <c r="O552" s="860" t="e">
        <f t="shared" si="152"/>
        <v>#REF!</v>
      </c>
      <c r="P552" s="860" t="e">
        <f t="shared" si="152"/>
        <v>#REF!</v>
      </c>
      <c r="Q552" s="860" t="e">
        <f t="shared" si="152"/>
        <v>#REF!</v>
      </c>
      <c r="R552" s="1969" t="e">
        <f t="shared" si="147"/>
        <v>#REF!</v>
      </c>
      <c r="S552" s="866"/>
      <c r="T552" s="856" t="e">
        <f t="shared" si="153"/>
        <v>#REF!</v>
      </c>
      <c r="U552" s="711" t="e">
        <f t="shared" si="157"/>
        <v>#REF!</v>
      </c>
      <c r="V552" s="711" t="e">
        <f t="shared" si="157"/>
        <v>#REF!</v>
      </c>
      <c r="W552" s="711" t="e">
        <f t="shared" si="157"/>
        <v>#REF!</v>
      </c>
      <c r="X552" s="10"/>
      <c r="Y552" s="10"/>
      <c r="Z552" s="10"/>
      <c r="AA552" s="675"/>
      <c r="AB552" s="10"/>
      <c r="AC552" s="871"/>
      <c r="AD552" s="870"/>
    </row>
    <row r="553" spans="1:30" ht="54" customHeight="1" thickBot="1" x14ac:dyDescent="0.25">
      <c r="A553" s="4034"/>
      <c r="B553" s="4181"/>
      <c r="C553" s="1948">
        <v>5507</v>
      </c>
      <c r="D553" s="3746"/>
      <c r="E553" s="1948" t="s">
        <v>590</v>
      </c>
      <c r="F553" s="2421" t="e">
        <f t="shared" si="158"/>
        <v>#REF!</v>
      </c>
      <c r="G553" s="2421" t="e">
        <f t="shared" si="158"/>
        <v>#REF!</v>
      </c>
      <c r="H553" s="2432"/>
      <c r="I553" s="1968" t="e">
        <f>IF(F553=0,0,$F553*COEF!$J$27)</f>
        <v>#REF!</v>
      </c>
      <c r="J553" s="858" t="e">
        <f>IF(F553=0,0,$F553*COEF!$K$27)</f>
        <v>#REF!</v>
      </c>
      <c r="K553" s="858" t="e">
        <f>IF(F553=0,0,$F553*COEF!$L$27)</f>
        <v>#REF!</v>
      </c>
      <c r="L553" s="859" t="e">
        <f t="shared" si="144"/>
        <v>#REF!</v>
      </c>
      <c r="M553" s="859" t="e">
        <f t="shared" si="145"/>
        <v>#REF!</v>
      </c>
      <c r="N553" s="859" t="e">
        <f t="shared" si="146"/>
        <v>#REF!</v>
      </c>
      <c r="O553" s="860" t="e">
        <f t="shared" si="152"/>
        <v>#REF!</v>
      </c>
      <c r="P553" s="860" t="e">
        <f t="shared" si="152"/>
        <v>#REF!</v>
      </c>
      <c r="Q553" s="860" t="e">
        <f t="shared" si="152"/>
        <v>#REF!</v>
      </c>
      <c r="R553" s="1969" t="e">
        <f t="shared" si="147"/>
        <v>#REF!</v>
      </c>
      <c r="S553" s="866"/>
      <c r="T553" s="856" t="e">
        <f t="shared" si="153"/>
        <v>#REF!</v>
      </c>
      <c r="U553" s="711" t="e">
        <f t="shared" si="157"/>
        <v>#REF!</v>
      </c>
      <c r="V553" s="711" t="e">
        <f t="shared" si="157"/>
        <v>#REF!</v>
      </c>
      <c r="W553" s="711" t="e">
        <f t="shared" si="157"/>
        <v>#REF!</v>
      </c>
      <c r="X553" s="10"/>
      <c r="Y553" s="10"/>
      <c r="Z553" s="10"/>
      <c r="AA553" s="675"/>
      <c r="AB553" s="10"/>
      <c r="AC553" s="871"/>
      <c r="AD553" s="874"/>
    </row>
    <row r="554" spans="1:30" ht="54" customHeight="1" thickBot="1" x14ac:dyDescent="0.25">
      <c r="A554" s="4034"/>
      <c r="B554" s="4181"/>
      <c r="C554" s="1949">
        <v>5556</v>
      </c>
      <c r="D554" s="3752"/>
      <c r="E554" s="1949" t="s">
        <v>60</v>
      </c>
      <c r="F554" s="2421">
        <f t="shared" si="158"/>
        <v>0</v>
      </c>
      <c r="G554" s="2421">
        <f t="shared" si="158"/>
        <v>0</v>
      </c>
      <c r="H554" s="2432"/>
      <c r="I554" s="1968">
        <f>IF(F554=0,0,$F554*COEF!$J$27)</f>
        <v>0</v>
      </c>
      <c r="J554" s="858">
        <f>IF(F554=0,0,$F554*COEF!$K$27)</f>
        <v>0</v>
      </c>
      <c r="K554" s="858">
        <f>IF(F554=0,0,$F554*COEF!$L$27)</f>
        <v>0</v>
      </c>
      <c r="L554" s="859" t="e">
        <f t="shared" si="144"/>
        <v>#REF!</v>
      </c>
      <c r="M554" s="859" t="e">
        <f t="shared" si="145"/>
        <v>#REF!</v>
      </c>
      <c r="N554" s="859" t="e">
        <f t="shared" si="146"/>
        <v>#REF!</v>
      </c>
      <c r="O554" s="860" t="e">
        <f t="shared" si="152"/>
        <v>#REF!</v>
      </c>
      <c r="P554" s="860" t="e">
        <f t="shared" si="152"/>
        <v>#REF!</v>
      </c>
      <c r="Q554" s="860" t="e">
        <f t="shared" si="152"/>
        <v>#REF!</v>
      </c>
      <c r="R554" s="1969" t="e">
        <f t="shared" si="147"/>
        <v>#REF!</v>
      </c>
      <c r="S554" s="866"/>
      <c r="T554" s="856" t="e">
        <f t="shared" si="153"/>
        <v>#REF!</v>
      </c>
      <c r="U554" s="711" t="e">
        <f t="shared" si="157"/>
        <v>#REF!</v>
      </c>
      <c r="V554" s="711" t="e">
        <f t="shared" si="157"/>
        <v>#REF!</v>
      </c>
      <c r="W554" s="711" t="e">
        <f t="shared" si="157"/>
        <v>#REF!</v>
      </c>
      <c r="X554" s="10"/>
      <c r="Y554" s="10"/>
      <c r="Z554" s="10"/>
      <c r="AA554" s="675"/>
      <c r="AB554" s="10"/>
      <c r="AC554" s="878"/>
      <c r="AD554" s="879"/>
    </row>
    <row r="555" spans="1:30" ht="54" customHeight="1" thickBot="1" x14ac:dyDescent="0.25">
      <c r="A555" s="4034"/>
      <c r="B555" s="4181"/>
      <c r="C555" s="1949">
        <v>5557</v>
      </c>
      <c r="D555" s="2403"/>
      <c r="E555" s="1949" t="s">
        <v>591</v>
      </c>
      <c r="F555" s="2421" t="e">
        <f t="shared" si="158"/>
        <v>#REF!</v>
      </c>
      <c r="G555" s="2421" t="e">
        <f t="shared" si="158"/>
        <v>#REF!</v>
      </c>
      <c r="H555" s="2432"/>
      <c r="I555" s="1968" t="e">
        <f>IF(F555=0,0,$F555*COEF!$J$27)</f>
        <v>#REF!</v>
      </c>
      <c r="J555" s="858" t="e">
        <f>IF(F555=0,0,$F555*COEF!$K$27)</f>
        <v>#REF!</v>
      </c>
      <c r="K555" s="858" t="e">
        <f>IF(F555=0,0,$F555*COEF!$L$27)</f>
        <v>#REF!</v>
      </c>
      <c r="L555" s="859" t="e">
        <f t="shared" ref="L555:L591" si="159">+I555*I$595</f>
        <v>#REF!</v>
      </c>
      <c r="M555" s="859" t="e">
        <f t="shared" ref="M555:M591" si="160">+J555*J$595</f>
        <v>#REF!</v>
      </c>
      <c r="N555" s="859" t="e">
        <f t="shared" ref="N555:N591" si="161">+K555*K$595</f>
        <v>#REF!</v>
      </c>
      <c r="O555" s="860" t="e">
        <f t="shared" si="152"/>
        <v>#REF!</v>
      </c>
      <c r="P555" s="860" t="e">
        <f t="shared" si="152"/>
        <v>#REF!</v>
      </c>
      <c r="Q555" s="860" t="e">
        <f t="shared" si="152"/>
        <v>#REF!</v>
      </c>
      <c r="R555" s="1969" t="e">
        <f t="shared" si="147"/>
        <v>#REF!</v>
      </c>
      <c r="S555" s="866"/>
      <c r="T555" s="856" t="e">
        <f t="shared" si="153"/>
        <v>#REF!</v>
      </c>
      <c r="U555" s="711" t="e">
        <f t="shared" si="157"/>
        <v>#REF!</v>
      </c>
      <c r="V555" s="711" t="e">
        <f t="shared" si="157"/>
        <v>#REF!</v>
      </c>
      <c r="W555" s="711" t="e">
        <f t="shared" si="157"/>
        <v>#REF!</v>
      </c>
      <c r="X555" s="10"/>
      <c r="Y555" s="10"/>
      <c r="Z555" s="10"/>
      <c r="AA555" s="675"/>
      <c r="AB555" s="10"/>
      <c r="AC555" s="880"/>
      <c r="AD555" s="881"/>
    </row>
    <row r="556" spans="1:30" ht="54" customHeight="1" thickBot="1" x14ac:dyDescent="0.25">
      <c r="A556" s="4034"/>
      <c r="B556" s="4181"/>
      <c r="C556" s="1953">
        <v>6000</v>
      </c>
      <c r="D556" s="4590" t="s">
        <v>580</v>
      </c>
      <c r="E556" s="4591"/>
      <c r="F556" s="2421" t="e">
        <f t="shared" si="158"/>
        <v>#REF!</v>
      </c>
      <c r="G556" s="2421" t="e">
        <f t="shared" si="158"/>
        <v>#REF!</v>
      </c>
      <c r="H556" s="2432" t="e">
        <f>SUM(F545:F556)</f>
        <v>#REF!</v>
      </c>
      <c r="I556" s="1968" t="e">
        <f>IF(F556=0,0,$F556*COEF!$J$27)</f>
        <v>#REF!</v>
      </c>
      <c r="J556" s="858" t="e">
        <f>IF(F556=0,0,$F556*COEF!$K$27)</f>
        <v>#REF!</v>
      </c>
      <c r="K556" s="858" t="e">
        <f>IF(F556=0,0,$F556*COEF!$L$27)</f>
        <v>#REF!</v>
      </c>
      <c r="L556" s="859" t="e">
        <f t="shared" si="159"/>
        <v>#REF!</v>
      </c>
      <c r="M556" s="859" t="e">
        <f t="shared" si="160"/>
        <v>#REF!</v>
      </c>
      <c r="N556" s="859" t="e">
        <f t="shared" si="161"/>
        <v>#REF!</v>
      </c>
      <c r="O556" s="860" t="e">
        <f t="shared" si="152"/>
        <v>#REF!</v>
      </c>
      <c r="P556" s="860" t="e">
        <f t="shared" si="152"/>
        <v>#REF!</v>
      </c>
      <c r="Q556" s="860" t="e">
        <f t="shared" si="152"/>
        <v>#REF!</v>
      </c>
      <c r="R556" s="1969" t="e">
        <f t="shared" si="147"/>
        <v>#REF!</v>
      </c>
      <c r="S556" s="866"/>
      <c r="T556" s="856" t="e">
        <f t="shared" si="153"/>
        <v>#REF!</v>
      </c>
      <c r="U556" s="711" t="e">
        <f t="shared" si="157"/>
        <v>#REF!</v>
      </c>
      <c r="V556" s="711" t="e">
        <f t="shared" si="157"/>
        <v>#REF!</v>
      </c>
      <c r="W556" s="711" t="e">
        <f t="shared" si="157"/>
        <v>#REF!</v>
      </c>
      <c r="X556" s="10"/>
      <c r="Y556" s="10"/>
      <c r="Z556" s="10"/>
      <c r="AA556" s="675"/>
      <c r="AB556" s="10"/>
      <c r="AC556" s="880"/>
      <c r="AD556" s="881"/>
    </row>
    <row r="557" spans="1:30" ht="54" customHeight="1" thickBot="1" x14ac:dyDescent="0.25">
      <c r="A557" s="4034"/>
      <c r="B557" s="4596" t="s">
        <v>62</v>
      </c>
      <c r="C557" s="1947">
        <v>5030</v>
      </c>
      <c r="D557" s="4597" t="s">
        <v>217</v>
      </c>
      <c r="E557" s="4597"/>
      <c r="F557" s="2421">
        <f t="shared" si="158"/>
        <v>0</v>
      </c>
      <c r="G557" s="2421">
        <f t="shared" si="158"/>
        <v>0</v>
      </c>
      <c r="H557" s="2432"/>
      <c r="I557" s="1968">
        <f>IF(F557=0,0,$F557*COEF!$J$27)</f>
        <v>0</v>
      </c>
      <c r="J557" s="858">
        <f>IF(F557=0,0,$F557*COEF!$K$27)</f>
        <v>0</v>
      </c>
      <c r="K557" s="858">
        <f>IF(F557=0,0,$F557*COEF!$L$27)</f>
        <v>0</v>
      </c>
      <c r="L557" s="859" t="e">
        <f t="shared" si="159"/>
        <v>#REF!</v>
      </c>
      <c r="M557" s="859" t="e">
        <f t="shared" si="160"/>
        <v>#REF!</v>
      </c>
      <c r="N557" s="859" t="e">
        <f t="shared" si="161"/>
        <v>#REF!</v>
      </c>
      <c r="O557" s="860" t="e">
        <f t="shared" si="152"/>
        <v>#REF!</v>
      </c>
      <c r="P557" s="860" t="e">
        <f t="shared" si="152"/>
        <v>#REF!</v>
      </c>
      <c r="Q557" s="860" t="e">
        <f t="shared" si="152"/>
        <v>#REF!</v>
      </c>
      <c r="R557" s="1969" t="e">
        <f t="shared" si="147"/>
        <v>#REF!</v>
      </c>
      <c r="S557" s="866"/>
      <c r="T557" s="856" t="e">
        <f t="shared" si="153"/>
        <v>#REF!</v>
      </c>
      <c r="U557" s="711" t="e">
        <f t="shared" si="157"/>
        <v>#REF!</v>
      </c>
      <c r="V557" s="711" t="e">
        <f t="shared" si="157"/>
        <v>#REF!</v>
      </c>
      <c r="W557" s="711" t="e">
        <f t="shared" si="157"/>
        <v>#REF!</v>
      </c>
      <c r="X557" s="10"/>
      <c r="Y557" s="10"/>
      <c r="Z557" s="10"/>
      <c r="AA557" s="675"/>
      <c r="AB557" s="10"/>
      <c r="AC557" s="880"/>
      <c r="AD557" s="881"/>
    </row>
    <row r="558" spans="1:30" ht="54" customHeight="1" thickBot="1" x14ac:dyDescent="0.25">
      <c r="A558" s="4034"/>
      <c r="B558" s="4490"/>
      <c r="C558" s="1954">
        <v>5040</v>
      </c>
      <c r="D558" s="3743" t="s">
        <v>218</v>
      </c>
      <c r="E558" s="3744"/>
      <c r="F558" s="2421">
        <f t="shared" si="158"/>
        <v>0</v>
      </c>
      <c r="G558" s="2421">
        <f t="shared" si="158"/>
        <v>0</v>
      </c>
      <c r="H558" s="2432"/>
      <c r="I558" s="1968">
        <f>IF(F558=0,0,$F558*COEF!$J$27)</f>
        <v>0</v>
      </c>
      <c r="J558" s="858">
        <f>IF(F558=0,0,$F558*COEF!$K$27)</f>
        <v>0</v>
      </c>
      <c r="K558" s="858">
        <f>IF(F558=0,0,$F558*COEF!$L$27)</f>
        <v>0</v>
      </c>
      <c r="L558" s="859" t="e">
        <f t="shared" si="159"/>
        <v>#REF!</v>
      </c>
      <c r="M558" s="859" t="e">
        <f t="shared" si="160"/>
        <v>#REF!</v>
      </c>
      <c r="N558" s="859" t="e">
        <f t="shared" si="161"/>
        <v>#REF!</v>
      </c>
      <c r="O558" s="860" t="e">
        <f t="shared" si="152"/>
        <v>#REF!</v>
      </c>
      <c r="P558" s="860" t="e">
        <f t="shared" si="152"/>
        <v>#REF!</v>
      </c>
      <c r="Q558" s="860" t="e">
        <f t="shared" si="152"/>
        <v>#REF!</v>
      </c>
      <c r="R558" s="1969" t="e">
        <f t="shared" si="147"/>
        <v>#REF!</v>
      </c>
      <c r="S558" s="866"/>
      <c r="T558" s="856" t="e">
        <f t="shared" si="153"/>
        <v>#REF!</v>
      </c>
      <c r="U558" s="711" t="e">
        <f t="shared" si="157"/>
        <v>#REF!</v>
      </c>
      <c r="V558" s="711" t="e">
        <f t="shared" si="157"/>
        <v>#REF!</v>
      </c>
      <c r="W558" s="711" t="e">
        <f t="shared" si="157"/>
        <v>#REF!</v>
      </c>
      <c r="X558" s="10"/>
      <c r="Y558" s="10"/>
      <c r="Z558" s="10"/>
      <c r="AA558" s="675"/>
      <c r="AB558" s="10"/>
      <c r="AC558" s="880"/>
      <c r="AD558" s="881"/>
    </row>
    <row r="559" spans="1:30" ht="61.5" customHeight="1" thickBot="1" x14ac:dyDescent="0.25">
      <c r="A559" s="4034"/>
      <c r="B559" s="4490"/>
      <c r="C559" s="1954">
        <v>5041</v>
      </c>
      <c r="D559" s="3743" t="s">
        <v>620</v>
      </c>
      <c r="E559" s="3744"/>
      <c r="F559" s="2421" t="e">
        <f t="shared" si="158"/>
        <v>#REF!</v>
      </c>
      <c r="G559" s="2421" t="e">
        <f t="shared" si="158"/>
        <v>#REF!</v>
      </c>
      <c r="H559" s="2432"/>
      <c r="I559" s="1968" t="e">
        <f>IF(F559=0,0,$F559*COEF!$J$27)</f>
        <v>#REF!</v>
      </c>
      <c r="J559" s="858" t="e">
        <f>IF(F559=0,0,$F559*COEF!$K$27)</f>
        <v>#REF!</v>
      </c>
      <c r="K559" s="858" t="e">
        <f>IF(F559=0,0,$F559*COEF!$L$27)</f>
        <v>#REF!</v>
      </c>
      <c r="L559" s="859" t="e">
        <f t="shared" si="159"/>
        <v>#REF!</v>
      </c>
      <c r="M559" s="859" t="e">
        <f t="shared" si="160"/>
        <v>#REF!</v>
      </c>
      <c r="N559" s="859" t="e">
        <f t="shared" si="161"/>
        <v>#REF!</v>
      </c>
      <c r="O559" s="860" t="e">
        <f t="shared" si="152"/>
        <v>#REF!</v>
      </c>
      <c r="P559" s="860" t="e">
        <f t="shared" si="152"/>
        <v>#REF!</v>
      </c>
      <c r="Q559" s="860" t="e">
        <f t="shared" si="152"/>
        <v>#REF!</v>
      </c>
      <c r="R559" s="1969" t="e">
        <f t="shared" si="147"/>
        <v>#REF!</v>
      </c>
      <c r="S559" s="866"/>
      <c r="T559" s="856" t="e">
        <f t="shared" si="153"/>
        <v>#REF!</v>
      </c>
      <c r="U559" s="711" t="e">
        <f t="shared" si="157"/>
        <v>#REF!</v>
      </c>
      <c r="V559" s="711" t="e">
        <f t="shared" si="157"/>
        <v>#REF!</v>
      </c>
      <c r="W559" s="711" t="e">
        <f t="shared" si="157"/>
        <v>#REF!</v>
      </c>
      <c r="X559" s="10"/>
      <c r="Y559" s="10"/>
      <c r="Z559" s="10"/>
      <c r="AA559" s="675"/>
      <c r="AB559" s="10"/>
      <c r="AC559" s="880"/>
      <c r="AD559" s="881"/>
    </row>
    <row r="560" spans="1:30" ht="54" customHeight="1" thickBot="1" x14ac:dyDescent="0.25">
      <c r="A560" s="4034"/>
      <c r="B560" s="4490"/>
      <c r="C560" s="1954">
        <v>5045</v>
      </c>
      <c r="D560" s="3743" t="s">
        <v>221</v>
      </c>
      <c r="E560" s="3744"/>
      <c r="F560" s="2421" t="e">
        <f>+F479+F480</f>
        <v>#REF!</v>
      </c>
      <c r="G560" s="2421" t="e">
        <f>+G484+G485</f>
        <v>#REF!</v>
      </c>
      <c r="H560" s="2429"/>
      <c r="I560" s="1968" t="e">
        <f>IF(F560=0,0,$F560*COEF!$J$27)</f>
        <v>#REF!</v>
      </c>
      <c r="J560" s="858" t="e">
        <f>IF(F560=0,0,$F560*COEF!$K$27)</f>
        <v>#REF!</v>
      </c>
      <c r="K560" s="858" t="e">
        <f>IF(F560=0,0,$F560*COEF!$L$27)</f>
        <v>#REF!</v>
      </c>
      <c r="L560" s="859" t="e">
        <f t="shared" si="159"/>
        <v>#REF!</v>
      </c>
      <c r="M560" s="859" t="e">
        <f t="shared" si="160"/>
        <v>#REF!</v>
      </c>
      <c r="N560" s="859" t="e">
        <f t="shared" si="161"/>
        <v>#REF!</v>
      </c>
      <c r="O560" s="860" t="e">
        <f t="shared" si="152"/>
        <v>#REF!</v>
      </c>
      <c r="P560" s="860" t="e">
        <f t="shared" si="152"/>
        <v>#REF!</v>
      </c>
      <c r="Q560" s="860" t="e">
        <f t="shared" si="152"/>
        <v>#REF!</v>
      </c>
      <c r="R560" s="1969" t="e">
        <f t="shared" si="147"/>
        <v>#REF!</v>
      </c>
      <c r="S560" s="866"/>
      <c r="T560" s="856" t="e">
        <f t="shared" si="153"/>
        <v>#REF!</v>
      </c>
      <c r="U560" s="711" t="e">
        <f t="shared" si="157"/>
        <v>#REF!</v>
      </c>
      <c r="V560" s="711" t="e">
        <f t="shared" si="157"/>
        <v>#REF!</v>
      </c>
      <c r="W560" s="711" t="e">
        <f t="shared" si="157"/>
        <v>#REF!</v>
      </c>
      <c r="X560" s="10"/>
      <c r="Y560" s="10"/>
      <c r="Z560" s="10"/>
      <c r="AA560" s="675"/>
      <c r="AB560" s="10"/>
      <c r="AC560" s="862"/>
      <c r="AD560" s="863"/>
    </row>
    <row r="561" spans="1:30" ht="54" customHeight="1" thickBot="1" x14ac:dyDescent="0.25">
      <c r="A561" s="4034"/>
      <c r="B561" s="4490"/>
      <c r="C561" s="1955">
        <v>5050</v>
      </c>
      <c r="D561" s="3742" t="s">
        <v>219</v>
      </c>
      <c r="E561" s="3742"/>
      <c r="F561" s="2421">
        <f>+F482</f>
        <v>0</v>
      </c>
      <c r="G561" s="2421">
        <f>+G482</f>
        <v>0</v>
      </c>
      <c r="H561" s="2430"/>
      <c r="I561" s="1968">
        <f>IF(F561=0,0,$F561*COEF!$J$27)</f>
        <v>0</v>
      </c>
      <c r="J561" s="858">
        <f>IF(F561=0,0,$F561*COEF!$K$27)</f>
        <v>0</v>
      </c>
      <c r="K561" s="858">
        <f>IF(F561=0,0,$F561*COEF!$L$27)</f>
        <v>0</v>
      </c>
      <c r="L561" s="859" t="e">
        <f t="shared" si="159"/>
        <v>#REF!</v>
      </c>
      <c r="M561" s="859" t="e">
        <f t="shared" si="160"/>
        <v>#REF!</v>
      </c>
      <c r="N561" s="859" t="e">
        <f t="shared" si="161"/>
        <v>#REF!</v>
      </c>
      <c r="O561" s="860" t="e">
        <f t="shared" si="152"/>
        <v>#REF!</v>
      </c>
      <c r="P561" s="860" t="e">
        <f t="shared" si="152"/>
        <v>#REF!</v>
      </c>
      <c r="Q561" s="860" t="e">
        <f t="shared" si="152"/>
        <v>#REF!</v>
      </c>
      <c r="R561" s="1969" t="e">
        <f t="shared" si="147"/>
        <v>#REF!</v>
      </c>
      <c r="S561" s="866"/>
      <c r="T561" s="856" t="e">
        <f t="shared" si="153"/>
        <v>#REF!</v>
      </c>
      <c r="U561" s="711" t="e">
        <f t="shared" si="157"/>
        <v>#REF!</v>
      </c>
      <c r="V561" s="711" t="e">
        <f t="shared" si="157"/>
        <v>#REF!</v>
      </c>
      <c r="W561" s="711" t="e">
        <f t="shared" si="157"/>
        <v>#REF!</v>
      </c>
      <c r="X561" s="10"/>
      <c r="Y561" s="10"/>
      <c r="Z561" s="10"/>
      <c r="AA561" s="675"/>
      <c r="AB561" s="10"/>
      <c r="AC561" s="867"/>
      <c r="AD561" s="868"/>
    </row>
    <row r="562" spans="1:30" ht="54" customHeight="1" thickBot="1" x14ac:dyDescent="0.25">
      <c r="A562" s="4034"/>
      <c r="B562" s="4490"/>
      <c r="C562" s="1955">
        <v>5051</v>
      </c>
      <c r="D562" s="3742" t="s">
        <v>621</v>
      </c>
      <c r="E562" s="3742"/>
      <c r="F562" s="2421" t="e">
        <f>+F483</f>
        <v>#REF!</v>
      </c>
      <c r="G562" s="2421" t="e">
        <f>+G483</f>
        <v>#REF!</v>
      </c>
      <c r="H562" s="2430"/>
      <c r="I562" s="1968" t="e">
        <f>IF(F562=0,0,$F562*COEF!$J$27)</f>
        <v>#REF!</v>
      </c>
      <c r="J562" s="858" t="e">
        <f>IF(F562=0,0,$F562*COEF!$K$27)</f>
        <v>#REF!</v>
      </c>
      <c r="K562" s="858" t="e">
        <f>IF(F562=0,0,$F562*COEF!$L$27)</f>
        <v>#REF!</v>
      </c>
      <c r="L562" s="859" t="e">
        <f t="shared" si="159"/>
        <v>#REF!</v>
      </c>
      <c r="M562" s="859" t="e">
        <f t="shared" si="160"/>
        <v>#REF!</v>
      </c>
      <c r="N562" s="859" t="e">
        <f t="shared" si="161"/>
        <v>#REF!</v>
      </c>
      <c r="O562" s="860" t="e">
        <f t="shared" si="152"/>
        <v>#REF!</v>
      </c>
      <c r="P562" s="860" t="e">
        <f t="shared" si="152"/>
        <v>#REF!</v>
      </c>
      <c r="Q562" s="860" t="e">
        <f t="shared" si="152"/>
        <v>#REF!</v>
      </c>
      <c r="R562" s="1969" t="e">
        <f t="shared" si="147"/>
        <v>#REF!</v>
      </c>
      <c r="S562" s="866"/>
      <c r="T562" s="856" t="e">
        <f t="shared" si="153"/>
        <v>#REF!</v>
      </c>
      <c r="U562" s="711" t="e">
        <f t="shared" si="157"/>
        <v>#REF!</v>
      </c>
      <c r="V562" s="711" t="e">
        <f t="shared" si="157"/>
        <v>#REF!</v>
      </c>
      <c r="W562" s="711" t="e">
        <f t="shared" si="157"/>
        <v>#REF!</v>
      </c>
      <c r="X562" s="10"/>
      <c r="Y562" s="10"/>
      <c r="Z562" s="10"/>
      <c r="AA562" s="675"/>
      <c r="AB562" s="10"/>
      <c r="AC562" s="1720"/>
      <c r="AD562" s="868"/>
    </row>
    <row r="563" spans="1:30" ht="54" customHeight="1" thickBot="1" x14ac:dyDescent="0.25">
      <c r="A563" s="4034"/>
      <c r="B563" s="4490"/>
      <c r="C563" s="1955">
        <v>5055</v>
      </c>
      <c r="D563" s="3742" t="s">
        <v>222</v>
      </c>
      <c r="E563" s="3742"/>
      <c r="F563" s="2421" t="e">
        <f>+F484+F485</f>
        <v>#REF!</v>
      </c>
      <c r="G563" s="2421" t="e">
        <f>+G484+G485</f>
        <v>#REF!</v>
      </c>
      <c r="H563" s="2430"/>
      <c r="I563" s="1987" t="e">
        <f>IF(F563=0,0,$F563*COEF!$J$27)</f>
        <v>#REF!</v>
      </c>
      <c r="J563" s="1988" t="e">
        <f>IF(F563=0,0,$F563*COEF!$K$27)</f>
        <v>#REF!</v>
      </c>
      <c r="K563" s="1988" t="e">
        <f>IF(F563=0,0,$F563*COEF!$L$27)</f>
        <v>#REF!</v>
      </c>
      <c r="L563" s="1989" t="e">
        <f t="shared" si="159"/>
        <v>#REF!</v>
      </c>
      <c r="M563" s="1989" t="e">
        <f t="shared" si="160"/>
        <v>#REF!</v>
      </c>
      <c r="N563" s="1989" t="e">
        <f t="shared" si="161"/>
        <v>#REF!</v>
      </c>
      <c r="O563" s="860" t="e">
        <f t="shared" si="152"/>
        <v>#REF!</v>
      </c>
      <c r="P563" s="860" t="e">
        <f t="shared" si="152"/>
        <v>#REF!</v>
      </c>
      <c r="Q563" s="860" t="e">
        <f t="shared" si="152"/>
        <v>#REF!</v>
      </c>
      <c r="R563" s="1969" t="e">
        <f t="shared" si="147"/>
        <v>#REF!</v>
      </c>
      <c r="S563" s="866"/>
      <c r="T563" s="856" t="e">
        <f t="shared" si="153"/>
        <v>#REF!</v>
      </c>
      <c r="U563" s="711" t="e">
        <f t="shared" si="157"/>
        <v>#REF!</v>
      </c>
      <c r="V563" s="711" t="e">
        <f t="shared" si="157"/>
        <v>#REF!</v>
      </c>
      <c r="W563" s="711" t="e">
        <f t="shared" si="157"/>
        <v>#REF!</v>
      </c>
      <c r="X563" s="10"/>
      <c r="Y563" s="10"/>
      <c r="Z563" s="10"/>
      <c r="AA563" s="675"/>
      <c r="AB563" s="10"/>
      <c r="AC563" s="1720"/>
      <c r="AD563" s="868"/>
    </row>
    <row r="564" spans="1:30" ht="54" customHeight="1" thickBot="1" x14ac:dyDescent="0.25">
      <c r="A564" s="4034"/>
      <c r="B564" s="4490"/>
      <c r="C564" s="1948">
        <v>5508</v>
      </c>
      <c r="D564" s="4074" t="s">
        <v>220</v>
      </c>
      <c r="E564" s="1948" t="s">
        <v>64</v>
      </c>
      <c r="F564" s="2421">
        <f t="shared" ref="F564:G571" si="162">+F489</f>
        <v>0</v>
      </c>
      <c r="G564" s="2421">
        <f t="shared" si="162"/>
        <v>0</v>
      </c>
      <c r="H564" s="2430"/>
      <c r="I564" s="1968">
        <f>IF(F564=0,0,$F564*COEF!$J$27)</f>
        <v>0</v>
      </c>
      <c r="J564" s="858">
        <f>IF(F564=0,0,$F564*COEF!$K$27)</f>
        <v>0</v>
      </c>
      <c r="K564" s="858">
        <f>IF(F564=0,0,$F564*COEF!$L$27)</f>
        <v>0</v>
      </c>
      <c r="L564" s="859" t="e">
        <f t="shared" si="159"/>
        <v>#REF!</v>
      </c>
      <c r="M564" s="859" t="e">
        <f t="shared" si="160"/>
        <v>#REF!</v>
      </c>
      <c r="N564" s="859" t="e">
        <f t="shared" si="161"/>
        <v>#REF!</v>
      </c>
      <c r="O564" s="860" t="e">
        <f t="shared" si="152"/>
        <v>#REF!</v>
      </c>
      <c r="P564" s="860" t="e">
        <f t="shared" si="152"/>
        <v>#REF!</v>
      </c>
      <c r="Q564" s="860" t="e">
        <f t="shared" si="152"/>
        <v>#REF!</v>
      </c>
      <c r="R564" s="1969" t="e">
        <f t="shared" si="147"/>
        <v>#REF!</v>
      </c>
      <c r="S564" s="866"/>
      <c r="T564" s="856" t="e">
        <f t="shared" si="153"/>
        <v>#REF!</v>
      </c>
      <c r="U564" s="711" t="e">
        <f t="shared" si="157"/>
        <v>#REF!</v>
      </c>
      <c r="V564" s="711" t="e">
        <f t="shared" si="157"/>
        <v>#REF!</v>
      </c>
      <c r="W564" s="711" t="e">
        <f t="shared" si="157"/>
        <v>#REF!</v>
      </c>
      <c r="X564" s="10"/>
      <c r="Y564" s="10"/>
      <c r="Z564" s="10"/>
      <c r="AA564" s="675"/>
      <c r="AB564" s="10"/>
      <c r="AC564" s="1720"/>
      <c r="AD564" s="868"/>
    </row>
    <row r="565" spans="1:30" ht="54" customHeight="1" thickBot="1" x14ac:dyDescent="0.25">
      <c r="A565" s="4034"/>
      <c r="B565" s="4490"/>
      <c r="C565" s="1948">
        <v>5509</v>
      </c>
      <c r="D565" s="4074"/>
      <c r="E565" s="1948" t="s">
        <v>624</v>
      </c>
      <c r="F565" s="2421" t="e">
        <f t="shared" si="162"/>
        <v>#REF!</v>
      </c>
      <c r="G565" s="2421" t="e">
        <f t="shared" si="162"/>
        <v>#REF!</v>
      </c>
      <c r="H565" s="2430"/>
      <c r="I565" s="1968" t="e">
        <f>IF(F565=0,0,$F565*COEF!$J$27)</f>
        <v>#REF!</v>
      </c>
      <c r="J565" s="858" t="e">
        <f>IF(F565=0,0,$F565*COEF!$K$27)</f>
        <v>#REF!</v>
      </c>
      <c r="K565" s="858" t="e">
        <f>IF(F565=0,0,$F565*COEF!$L$27)</f>
        <v>#REF!</v>
      </c>
      <c r="L565" s="859" t="e">
        <f t="shared" si="159"/>
        <v>#REF!</v>
      </c>
      <c r="M565" s="859" t="e">
        <f t="shared" si="160"/>
        <v>#REF!</v>
      </c>
      <c r="N565" s="859" t="e">
        <f t="shared" si="161"/>
        <v>#REF!</v>
      </c>
      <c r="O565" s="860" t="e">
        <f t="shared" si="152"/>
        <v>#REF!</v>
      </c>
      <c r="P565" s="860" t="e">
        <f t="shared" si="152"/>
        <v>#REF!</v>
      </c>
      <c r="Q565" s="860" t="e">
        <f t="shared" si="152"/>
        <v>#REF!</v>
      </c>
      <c r="R565" s="1969" t="e">
        <f t="shared" si="147"/>
        <v>#REF!</v>
      </c>
      <c r="S565" s="866"/>
      <c r="T565" s="856" t="e">
        <f t="shared" si="153"/>
        <v>#REF!</v>
      </c>
      <c r="U565" s="711" t="e">
        <f t="shared" si="157"/>
        <v>#REF!</v>
      </c>
      <c r="V565" s="711" t="e">
        <f t="shared" si="157"/>
        <v>#REF!</v>
      </c>
      <c r="W565" s="711" t="e">
        <f t="shared" si="157"/>
        <v>#REF!</v>
      </c>
      <c r="X565" s="10"/>
      <c r="Y565" s="10"/>
      <c r="Z565" s="10"/>
      <c r="AA565" s="675"/>
      <c r="AB565" s="10"/>
      <c r="AC565" s="869"/>
      <c r="AD565" s="870"/>
    </row>
    <row r="566" spans="1:30" ht="54" customHeight="1" thickBot="1" x14ac:dyDescent="0.25">
      <c r="A566" s="4034"/>
      <c r="B566" s="4490"/>
      <c r="C566" s="1949">
        <v>5558</v>
      </c>
      <c r="D566" s="4074"/>
      <c r="E566" s="1949" t="s">
        <v>65</v>
      </c>
      <c r="F566" s="2421">
        <f t="shared" si="162"/>
        <v>0</v>
      </c>
      <c r="G566" s="2421">
        <f t="shared" si="162"/>
        <v>0</v>
      </c>
      <c r="H566" s="2430"/>
      <c r="I566" s="1968">
        <f>IF(F566=0,0,$F566*COEF!$J$27)</f>
        <v>0</v>
      </c>
      <c r="J566" s="858">
        <f>IF(F566=0,0,$F566*COEF!$K$27)</f>
        <v>0</v>
      </c>
      <c r="K566" s="858">
        <f>IF(F566=0,0,$F566*COEF!$L$27)</f>
        <v>0</v>
      </c>
      <c r="L566" s="859" t="e">
        <f t="shared" si="159"/>
        <v>#REF!</v>
      </c>
      <c r="M566" s="859" t="e">
        <f t="shared" si="160"/>
        <v>#REF!</v>
      </c>
      <c r="N566" s="859" t="e">
        <f t="shared" si="161"/>
        <v>#REF!</v>
      </c>
      <c r="O566" s="860" t="e">
        <f t="shared" si="152"/>
        <v>#REF!</v>
      </c>
      <c r="P566" s="860" t="e">
        <f t="shared" si="152"/>
        <v>#REF!</v>
      </c>
      <c r="Q566" s="860" t="e">
        <f t="shared" si="152"/>
        <v>#REF!</v>
      </c>
      <c r="R566" s="1969" t="e">
        <f t="shared" si="147"/>
        <v>#REF!</v>
      </c>
      <c r="S566" s="866"/>
      <c r="T566" s="856" t="e">
        <f t="shared" si="153"/>
        <v>#REF!</v>
      </c>
      <c r="U566" s="711" t="e">
        <f t="shared" si="157"/>
        <v>#REF!</v>
      </c>
      <c r="V566" s="711" t="e">
        <f t="shared" si="157"/>
        <v>#REF!</v>
      </c>
      <c r="W566" s="711" t="e">
        <f t="shared" si="157"/>
        <v>#REF!</v>
      </c>
      <c r="X566" s="10"/>
      <c r="Y566" s="10"/>
      <c r="Z566" s="10"/>
      <c r="AA566" s="675"/>
      <c r="AB566" s="10"/>
      <c r="AC566" s="871"/>
      <c r="AD566" s="870"/>
    </row>
    <row r="567" spans="1:30" ht="54" customHeight="1" thickBot="1" x14ac:dyDescent="0.25">
      <c r="A567" s="4034"/>
      <c r="B567" s="4490"/>
      <c r="C567" s="1949">
        <v>5559</v>
      </c>
      <c r="D567" s="2404"/>
      <c r="E567" s="1949" t="s">
        <v>625</v>
      </c>
      <c r="F567" s="2421" t="e">
        <f t="shared" si="162"/>
        <v>#REF!</v>
      </c>
      <c r="G567" s="2421" t="e">
        <f t="shared" si="162"/>
        <v>#REF!</v>
      </c>
      <c r="H567" s="2430"/>
      <c r="I567" s="1968" t="e">
        <f>IF(F567=0,0,$F567*COEF!$J$27)</f>
        <v>#REF!</v>
      </c>
      <c r="J567" s="858" t="e">
        <f>IF(F567=0,0,$F567*COEF!$K$27)</f>
        <v>#REF!</v>
      </c>
      <c r="K567" s="858" t="e">
        <f>IF(F567=0,0,$F567*COEF!$L$27)</f>
        <v>#REF!</v>
      </c>
      <c r="L567" s="859" t="e">
        <f t="shared" si="159"/>
        <v>#REF!</v>
      </c>
      <c r="M567" s="859" t="e">
        <f t="shared" si="160"/>
        <v>#REF!</v>
      </c>
      <c r="N567" s="859" t="e">
        <f t="shared" si="161"/>
        <v>#REF!</v>
      </c>
      <c r="O567" s="860" t="e">
        <f t="shared" si="152"/>
        <v>#REF!</v>
      </c>
      <c r="P567" s="860" t="e">
        <f t="shared" si="152"/>
        <v>#REF!</v>
      </c>
      <c r="Q567" s="860" t="e">
        <f t="shared" si="152"/>
        <v>#REF!</v>
      </c>
      <c r="R567" s="1969" t="e">
        <f t="shared" si="147"/>
        <v>#REF!</v>
      </c>
      <c r="S567" s="866"/>
      <c r="T567" s="856" t="e">
        <f t="shared" si="153"/>
        <v>#REF!</v>
      </c>
      <c r="U567" s="711" t="e">
        <f t="shared" si="157"/>
        <v>#REF!</v>
      </c>
      <c r="V567" s="711" t="e">
        <f t="shared" si="157"/>
        <v>#REF!</v>
      </c>
      <c r="W567" s="711" t="e">
        <f t="shared" si="157"/>
        <v>#REF!</v>
      </c>
      <c r="X567" s="10"/>
      <c r="Y567" s="10"/>
      <c r="Z567" s="10"/>
      <c r="AA567" s="675"/>
      <c r="AB567" s="10"/>
      <c r="AC567" s="871"/>
      <c r="AD567" s="874"/>
    </row>
    <row r="568" spans="1:30" ht="54" customHeight="1" thickBot="1" x14ac:dyDescent="0.4">
      <c r="A568" s="4034"/>
      <c r="B568" s="4490"/>
      <c r="C568" s="1946">
        <v>6000</v>
      </c>
      <c r="D568" s="4590" t="s">
        <v>580</v>
      </c>
      <c r="E568" s="4591"/>
      <c r="F568" s="2421" t="e">
        <f t="shared" si="162"/>
        <v>#REF!</v>
      </c>
      <c r="G568" s="2421" t="e">
        <f t="shared" si="162"/>
        <v>#REF!</v>
      </c>
      <c r="H568" s="2430" t="e">
        <f>SUM(F557:F568)</f>
        <v>#REF!</v>
      </c>
      <c r="I568" s="1968" t="e">
        <f>IF(F568=0,0,$F568*COEF!$J$27)</f>
        <v>#REF!</v>
      </c>
      <c r="J568" s="858" t="e">
        <f>IF(F568=0,0,$F568*COEF!$K$27)</f>
        <v>#REF!</v>
      </c>
      <c r="K568" s="858" t="e">
        <f>IF(F568=0,0,$F568*COEF!$L$27)</f>
        <v>#REF!</v>
      </c>
      <c r="L568" s="859" t="e">
        <f t="shared" si="159"/>
        <v>#REF!</v>
      </c>
      <c r="M568" s="859" t="e">
        <f t="shared" si="160"/>
        <v>#REF!</v>
      </c>
      <c r="N568" s="859" t="e">
        <f t="shared" si="161"/>
        <v>#REF!</v>
      </c>
      <c r="O568" s="860" t="e">
        <f t="shared" si="152"/>
        <v>#REF!</v>
      </c>
      <c r="P568" s="860" t="e">
        <f t="shared" si="152"/>
        <v>#REF!</v>
      </c>
      <c r="Q568" s="860" t="e">
        <f t="shared" si="152"/>
        <v>#REF!</v>
      </c>
      <c r="R568" s="1969" t="e">
        <f t="shared" si="147"/>
        <v>#REF!</v>
      </c>
      <c r="S568" s="866"/>
      <c r="T568" s="856" t="e">
        <f t="shared" si="153"/>
        <v>#REF!</v>
      </c>
      <c r="U568" s="711" t="e">
        <f t="shared" si="157"/>
        <v>#REF!</v>
      </c>
      <c r="V568" s="711" t="e">
        <f t="shared" si="157"/>
        <v>#REF!</v>
      </c>
      <c r="W568" s="711" t="e">
        <f t="shared" si="157"/>
        <v>#REF!</v>
      </c>
      <c r="X568" s="10"/>
      <c r="Y568" s="10"/>
      <c r="Z568" s="10"/>
      <c r="AA568" s="675"/>
      <c r="AB568" s="10"/>
      <c r="AC568" s="878"/>
      <c r="AD568" s="879"/>
    </row>
    <row r="569" spans="1:30" ht="54" customHeight="1" thickBot="1" x14ac:dyDescent="0.25">
      <c r="A569" s="4034"/>
      <c r="B569" s="4175" t="s">
        <v>67</v>
      </c>
      <c r="C569" s="1947">
        <v>5030</v>
      </c>
      <c r="D569" s="4597" t="s">
        <v>217</v>
      </c>
      <c r="E569" s="4597"/>
      <c r="F569" s="2421">
        <f t="shared" si="162"/>
        <v>0</v>
      </c>
      <c r="G569" s="2421">
        <f t="shared" si="162"/>
        <v>0</v>
      </c>
      <c r="H569" s="2430"/>
      <c r="I569" s="1968">
        <f>IF(F569=0,0,$F569*COEF!$J$27)</f>
        <v>0</v>
      </c>
      <c r="J569" s="858">
        <f>IF(F569=0,0,$F569*COEF!$K$27)</f>
        <v>0</v>
      </c>
      <c r="K569" s="858">
        <f>IF(F569=0,0,$F569*COEF!$L$27)</f>
        <v>0</v>
      </c>
      <c r="L569" s="859" t="e">
        <f t="shared" si="159"/>
        <v>#REF!</v>
      </c>
      <c r="M569" s="859" t="e">
        <f t="shared" si="160"/>
        <v>#REF!</v>
      </c>
      <c r="N569" s="859" t="e">
        <f t="shared" si="161"/>
        <v>#REF!</v>
      </c>
      <c r="O569" s="860" t="e">
        <f t="shared" si="152"/>
        <v>#REF!</v>
      </c>
      <c r="P569" s="860" t="e">
        <f t="shared" si="152"/>
        <v>#REF!</v>
      </c>
      <c r="Q569" s="860" t="e">
        <f t="shared" si="152"/>
        <v>#REF!</v>
      </c>
      <c r="R569" s="1969" t="e">
        <f t="shared" si="147"/>
        <v>#REF!</v>
      </c>
      <c r="S569" s="866"/>
      <c r="T569" s="856" t="e">
        <f t="shared" si="153"/>
        <v>#REF!</v>
      </c>
      <c r="U569" s="711" t="e">
        <f t="shared" si="157"/>
        <v>#REF!</v>
      </c>
      <c r="V569" s="711" t="e">
        <f t="shared" si="157"/>
        <v>#REF!</v>
      </c>
      <c r="W569" s="711" t="e">
        <f t="shared" si="157"/>
        <v>#REF!</v>
      </c>
      <c r="X569" s="10"/>
      <c r="Y569" s="10"/>
      <c r="Z569" s="10"/>
      <c r="AA569" s="675"/>
      <c r="AB569" s="10"/>
      <c r="AC569" s="880"/>
      <c r="AD569" s="885"/>
    </row>
    <row r="570" spans="1:30" ht="54" customHeight="1" thickBot="1" x14ac:dyDescent="0.25">
      <c r="A570" s="4034"/>
      <c r="B570" s="4175"/>
      <c r="C570" s="1954">
        <v>5040</v>
      </c>
      <c r="D570" s="3743" t="s">
        <v>218</v>
      </c>
      <c r="E570" s="3744"/>
      <c r="F570" s="2421">
        <f t="shared" si="162"/>
        <v>0</v>
      </c>
      <c r="G570" s="2421">
        <f t="shared" si="162"/>
        <v>0</v>
      </c>
      <c r="H570" s="2430"/>
      <c r="I570" s="1968">
        <f>IF(F570=0,0,$F570*COEF!$J$27)</f>
        <v>0</v>
      </c>
      <c r="J570" s="858">
        <f>IF(F570=0,0,$F570*COEF!$K$27)</f>
        <v>0</v>
      </c>
      <c r="K570" s="858">
        <f>IF(F570=0,0,$F570*COEF!$L$27)</f>
        <v>0</v>
      </c>
      <c r="L570" s="859" t="e">
        <f t="shared" si="159"/>
        <v>#REF!</v>
      </c>
      <c r="M570" s="859" t="e">
        <f t="shared" si="160"/>
        <v>#REF!</v>
      </c>
      <c r="N570" s="859" t="e">
        <f t="shared" si="161"/>
        <v>#REF!</v>
      </c>
      <c r="O570" s="860" t="e">
        <f t="shared" si="152"/>
        <v>#REF!</v>
      </c>
      <c r="P570" s="860" t="e">
        <f t="shared" si="152"/>
        <v>#REF!</v>
      </c>
      <c r="Q570" s="860" t="e">
        <f t="shared" si="152"/>
        <v>#REF!</v>
      </c>
      <c r="R570" s="1969" t="e">
        <f t="shared" si="147"/>
        <v>#REF!</v>
      </c>
      <c r="S570" s="866"/>
      <c r="T570" s="856" t="e">
        <f t="shared" si="153"/>
        <v>#REF!</v>
      </c>
      <c r="U570" s="711" t="e">
        <f t="shared" si="157"/>
        <v>#REF!</v>
      </c>
      <c r="V570" s="711" t="e">
        <f t="shared" si="157"/>
        <v>#REF!</v>
      </c>
      <c r="W570" s="711" t="e">
        <f t="shared" si="157"/>
        <v>#REF!</v>
      </c>
      <c r="X570" s="10"/>
      <c r="Y570" s="10"/>
      <c r="Z570" s="10"/>
      <c r="AA570" s="675"/>
      <c r="AB570" s="10"/>
      <c r="AC570" s="880"/>
      <c r="AD570" s="885"/>
    </row>
    <row r="571" spans="1:30" ht="54" customHeight="1" thickBot="1" x14ac:dyDescent="0.25">
      <c r="A571" s="4034"/>
      <c r="B571" s="4175"/>
      <c r="C571" s="1954">
        <v>5041</v>
      </c>
      <c r="D571" s="3743" t="s">
        <v>620</v>
      </c>
      <c r="E571" s="3744"/>
      <c r="F571" s="2421" t="e">
        <f t="shared" si="162"/>
        <v>#REF!</v>
      </c>
      <c r="G571" s="2421" t="e">
        <f t="shared" si="162"/>
        <v>#REF!</v>
      </c>
      <c r="H571" s="2430"/>
      <c r="I571" s="1968" t="e">
        <f>IF(F571=0,0,$F571*COEF!$J$27)</f>
        <v>#REF!</v>
      </c>
      <c r="J571" s="858" t="e">
        <f>IF(F571=0,0,$F571*COEF!$K$27)</f>
        <v>#REF!</v>
      </c>
      <c r="K571" s="858" t="e">
        <f>IF(F571=0,0,$F571*COEF!$L$27)</f>
        <v>#REF!</v>
      </c>
      <c r="L571" s="859" t="e">
        <f t="shared" si="159"/>
        <v>#REF!</v>
      </c>
      <c r="M571" s="859" t="e">
        <f t="shared" si="160"/>
        <v>#REF!</v>
      </c>
      <c r="N571" s="859" t="e">
        <f t="shared" si="161"/>
        <v>#REF!</v>
      </c>
      <c r="O571" s="860" t="e">
        <f t="shared" si="152"/>
        <v>#REF!</v>
      </c>
      <c r="P571" s="860" t="e">
        <f t="shared" si="152"/>
        <v>#REF!</v>
      </c>
      <c r="Q571" s="860" t="e">
        <f t="shared" si="152"/>
        <v>#REF!</v>
      </c>
      <c r="R571" s="1969" t="e">
        <f t="shared" si="147"/>
        <v>#REF!</v>
      </c>
      <c r="S571" s="866"/>
      <c r="T571" s="856" t="e">
        <f t="shared" si="153"/>
        <v>#REF!</v>
      </c>
      <c r="U571" s="711" t="e">
        <f t="shared" si="157"/>
        <v>#REF!</v>
      </c>
      <c r="V571" s="711" t="e">
        <f t="shared" si="157"/>
        <v>#REF!</v>
      </c>
      <c r="W571" s="711" t="e">
        <f t="shared" si="157"/>
        <v>#REF!</v>
      </c>
      <c r="X571" s="10"/>
      <c r="Y571" s="10"/>
      <c r="Z571" s="10"/>
      <c r="AA571" s="675"/>
      <c r="AB571" s="10"/>
      <c r="AC571" s="880"/>
      <c r="AD571" s="885"/>
    </row>
    <row r="572" spans="1:30" ht="60" customHeight="1" thickBot="1" x14ac:dyDescent="0.25">
      <c r="A572" s="4034"/>
      <c r="B572" s="4175"/>
      <c r="C572" s="1954">
        <v>5045</v>
      </c>
      <c r="D572" s="3743" t="s">
        <v>221</v>
      </c>
      <c r="E572" s="3744"/>
      <c r="F572" s="2421" t="e">
        <f>+F497+F498</f>
        <v>#REF!</v>
      </c>
      <c r="G572" s="2421" t="e">
        <f>+G497+G498</f>
        <v>#REF!</v>
      </c>
      <c r="H572" s="2430"/>
      <c r="I572" s="1968" t="e">
        <f>IF(F572=0,0,$F572*COEF!$J$27)</f>
        <v>#REF!</v>
      </c>
      <c r="J572" s="858" t="e">
        <f>IF(F572=0,0,$F572*COEF!$K$27)</f>
        <v>#REF!</v>
      </c>
      <c r="K572" s="858" t="e">
        <f>IF(F572=0,0,$F572*COEF!$L$27)</f>
        <v>#REF!</v>
      </c>
      <c r="L572" s="859" t="e">
        <f t="shared" si="159"/>
        <v>#REF!</v>
      </c>
      <c r="M572" s="859" t="e">
        <f t="shared" si="160"/>
        <v>#REF!</v>
      </c>
      <c r="N572" s="859" t="e">
        <f t="shared" si="161"/>
        <v>#REF!</v>
      </c>
      <c r="O572" s="860" t="e">
        <f t="shared" si="152"/>
        <v>#REF!</v>
      </c>
      <c r="P572" s="860" t="e">
        <f t="shared" si="152"/>
        <v>#REF!</v>
      </c>
      <c r="Q572" s="860" t="e">
        <f t="shared" si="152"/>
        <v>#REF!</v>
      </c>
      <c r="R572" s="1969" t="e">
        <f t="shared" si="147"/>
        <v>#REF!</v>
      </c>
      <c r="S572" s="866"/>
      <c r="T572" s="856" t="e">
        <f t="shared" si="153"/>
        <v>#REF!</v>
      </c>
      <c r="U572" s="711" t="e">
        <f t="shared" si="157"/>
        <v>#REF!</v>
      </c>
      <c r="V572" s="711" t="e">
        <f t="shared" si="157"/>
        <v>#REF!</v>
      </c>
      <c r="W572" s="711" t="e">
        <f t="shared" si="157"/>
        <v>#REF!</v>
      </c>
      <c r="X572" s="10"/>
      <c r="Y572" s="10"/>
      <c r="Z572" s="10"/>
      <c r="AA572" s="675"/>
      <c r="AB572" s="10"/>
      <c r="AC572" s="880"/>
      <c r="AD572" s="885"/>
    </row>
    <row r="573" spans="1:30" ht="60" customHeight="1" thickBot="1" x14ac:dyDescent="0.25">
      <c r="A573" s="4034"/>
      <c r="B573" s="4175"/>
      <c r="C573" s="1955">
        <v>5050</v>
      </c>
      <c r="D573" s="3742" t="s">
        <v>219</v>
      </c>
      <c r="E573" s="3742"/>
      <c r="F573" s="2421">
        <f>+F500</f>
        <v>0</v>
      </c>
      <c r="G573" s="2421">
        <f>+G500</f>
        <v>0</v>
      </c>
      <c r="H573" s="2431"/>
      <c r="I573" s="1968">
        <f>IF(F573=0,0,$F573*COEF!$J$27)</f>
        <v>0</v>
      </c>
      <c r="J573" s="858">
        <f>IF(F573=0,0,$F573*COEF!$K$27)</f>
        <v>0</v>
      </c>
      <c r="K573" s="858">
        <f>IF(F573=0,0,$F573*COEF!$L$27)</f>
        <v>0</v>
      </c>
      <c r="L573" s="859" t="e">
        <f t="shared" si="159"/>
        <v>#REF!</v>
      </c>
      <c r="M573" s="859" t="e">
        <f t="shared" si="160"/>
        <v>#REF!</v>
      </c>
      <c r="N573" s="859" t="e">
        <f t="shared" si="161"/>
        <v>#REF!</v>
      </c>
      <c r="O573" s="860" t="e">
        <f t="shared" si="152"/>
        <v>#REF!</v>
      </c>
      <c r="P573" s="860" t="e">
        <f t="shared" si="152"/>
        <v>#REF!</v>
      </c>
      <c r="Q573" s="860" t="e">
        <f t="shared" si="152"/>
        <v>#REF!</v>
      </c>
      <c r="R573" s="1969" t="e">
        <f t="shared" si="147"/>
        <v>#REF!</v>
      </c>
      <c r="S573" s="866"/>
      <c r="T573" s="856" t="e">
        <f t="shared" si="153"/>
        <v>#REF!</v>
      </c>
      <c r="U573" s="711" t="e">
        <f t="shared" si="157"/>
        <v>#REF!</v>
      </c>
      <c r="V573" s="711" t="e">
        <f t="shared" si="157"/>
        <v>#REF!</v>
      </c>
      <c r="W573" s="711" t="e">
        <f t="shared" si="157"/>
        <v>#REF!</v>
      </c>
      <c r="X573" s="10"/>
      <c r="Y573" s="10"/>
      <c r="Z573" s="10"/>
      <c r="AA573" s="675"/>
      <c r="AB573" s="10"/>
      <c r="AC573" s="880"/>
      <c r="AD573" s="885"/>
    </row>
    <row r="574" spans="1:30" ht="54" customHeight="1" thickBot="1" x14ac:dyDescent="0.25">
      <c r="A574" s="4034"/>
      <c r="B574" s="4175"/>
      <c r="C574" s="1955">
        <v>5051</v>
      </c>
      <c r="D574" s="3742" t="s">
        <v>621</v>
      </c>
      <c r="E574" s="3742"/>
      <c r="F574" s="2421" t="e">
        <f>+F501</f>
        <v>#REF!</v>
      </c>
      <c r="G574" s="2421" t="e">
        <f>+G501</f>
        <v>#REF!</v>
      </c>
      <c r="H574" s="2433"/>
      <c r="I574" s="1968" t="e">
        <f>IF(F574=0,0,$F574*COEF!$J$27)</f>
        <v>#REF!</v>
      </c>
      <c r="J574" s="858" t="e">
        <f>IF(F574=0,0,$F574*COEF!$K$27)</f>
        <v>#REF!</v>
      </c>
      <c r="K574" s="858" t="e">
        <f>IF(F574=0,0,$F574*COEF!$L$27)</f>
        <v>#REF!</v>
      </c>
      <c r="L574" s="859" t="e">
        <f t="shared" si="159"/>
        <v>#REF!</v>
      </c>
      <c r="M574" s="859" t="e">
        <f t="shared" si="160"/>
        <v>#REF!</v>
      </c>
      <c r="N574" s="859" t="e">
        <f t="shared" si="161"/>
        <v>#REF!</v>
      </c>
      <c r="O574" s="860" t="e">
        <f t="shared" si="152"/>
        <v>#REF!</v>
      </c>
      <c r="P574" s="860" t="e">
        <f t="shared" si="152"/>
        <v>#REF!</v>
      </c>
      <c r="Q574" s="860" t="e">
        <f t="shared" si="152"/>
        <v>#REF!</v>
      </c>
      <c r="R574" s="1969" t="e">
        <f t="shared" si="147"/>
        <v>#REF!</v>
      </c>
      <c r="S574" s="866"/>
      <c r="T574" s="856" t="e">
        <f t="shared" si="153"/>
        <v>#REF!</v>
      </c>
      <c r="U574" s="711" t="e">
        <f t="shared" si="157"/>
        <v>#REF!</v>
      </c>
      <c r="V574" s="711" t="e">
        <f t="shared" si="157"/>
        <v>#REF!</v>
      </c>
      <c r="W574" s="711" t="e">
        <f t="shared" si="157"/>
        <v>#REF!</v>
      </c>
      <c r="X574" s="10"/>
      <c r="Y574" s="10"/>
      <c r="Z574" s="10"/>
      <c r="AA574" s="675"/>
      <c r="AB574" s="10"/>
      <c r="AC574" s="887"/>
      <c r="AD574" s="888"/>
    </row>
    <row r="575" spans="1:30" ht="54" customHeight="1" thickBot="1" x14ac:dyDescent="0.25">
      <c r="A575" s="4034"/>
      <c r="B575" s="4175"/>
      <c r="C575" s="1955">
        <v>5055</v>
      </c>
      <c r="D575" s="3742" t="s">
        <v>222</v>
      </c>
      <c r="E575" s="3742"/>
      <c r="F575" s="2421" t="e">
        <f>+F502+F503</f>
        <v>#REF!</v>
      </c>
      <c r="G575" s="2421" t="e">
        <f>+G502+G503</f>
        <v>#REF!</v>
      </c>
      <c r="H575" s="2432"/>
      <c r="I575" s="1968" t="e">
        <f>IF(F575=0,0,$F575*COEF!$J$27)</f>
        <v>#REF!</v>
      </c>
      <c r="J575" s="858" t="e">
        <f>IF(F575=0,0,$F575*COEF!$K$27)</f>
        <v>#REF!</v>
      </c>
      <c r="K575" s="858" t="e">
        <f>IF(F575=0,0,$F575*COEF!$L$27)</f>
        <v>#REF!</v>
      </c>
      <c r="L575" s="859" t="e">
        <f t="shared" si="159"/>
        <v>#REF!</v>
      </c>
      <c r="M575" s="859" t="e">
        <f t="shared" si="160"/>
        <v>#REF!</v>
      </c>
      <c r="N575" s="859" t="e">
        <f t="shared" si="161"/>
        <v>#REF!</v>
      </c>
      <c r="O575" s="860" t="e">
        <f t="shared" si="152"/>
        <v>#REF!</v>
      </c>
      <c r="P575" s="860" t="e">
        <f t="shared" si="152"/>
        <v>#REF!</v>
      </c>
      <c r="Q575" s="860" t="e">
        <f t="shared" si="152"/>
        <v>#REF!</v>
      </c>
      <c r="R575" s="1969" t="e">
        <f t="shared" si="147"/>
        <v>#REF!</v>
      </c>
      <c r="S575" s="866"/>
      <c r="T575" s="856" t="e">
        <f t="shared" si="153"/>
        <v>#REF!</v>
      </c>
      <c r="U575" s="711" t="e">
        <f t="shared" si="157"/>
        <v>#REF!</v>
      </c>
      <c r="V575" s="711" t="e">
        <f t="shared" si="157"/>
        <v>#REF!</v>
      </c>
      <c r="W575" s="711" t="e">
        <f t="shared" si="157"/>
        <v>#REF!</v>
      </c>
      <c r="X575" s="10"/>
      <c r="Y575" s="10"/>
      <c r="Z575" s="10"/>
      <c r="AA575" s="675"/>
      <c r="AB575" s="10"/>
      <c r="AC575" s="867"/>
      <c r="AD575" s="890"/>
    </row>
    <row r="576" spans="1:30" ht="54" customHeight="1" thickBot="1" x14ac:dyDescent="0.25">
      <c r="A576" s="4034"/>
      <c r="B576" s="4175"/>
      <c r="C576" s="1957">
        <v>5510</v>
      </c>
      <c r="D576" s="4074" t="s">
        <v>220</v>
      </c>
      <c r="E576" s="1948" t="s">
        <v>68</v>
      </c>
      <c r="F576" s="2421">
        <f>+F507</f>
        <v>0</v>
      </c>
      <c r="G576" s="2421">
        <f>+G507</f>
        <v>0</v>
      </c>
      <c r="H576" s="2432"/>
      <c r="I576" s="1968">
        <f>IF(F576=0,0,$F576*COEF!$J$27)</f>
        <v>0</v>
      </c>
      <c r="J576" s="858">
        <f>IF(F576=0,0,$F576*COEF!$K$27)</f>
        <v>0</v>
      </c>
      <c r="K576" s="858">
        <f>IF(F576=0,0,$F576*COEF!$L$27)</f>
        <v>0</v>
      </c>
      <c r="L576" s="859" t="e">
        <f t="shared" si="159"/>
        <v>#REF!</v>
      </c>
      <c r="M576" s="859" t="e">
        <f t="shared" si="160"/>
        <v>#REF!</v>
      </c>
      <c r="N576" s="859" t="e">
        <f t="shared" si="161"/>
        <v>#REF!</v>
      </c>
      <c r="O576" s="860" t="e">
        <f t="shared" si="152"/>
        <v>#REF!</v>
      </c>
      <c r="P576" s="860" t="e">
        <f t="shared" si="152"/>
        <v>#REF!</v>
      </c>
      <c r="Q576" s="860" t="e">
        <f t="shared" si="152"/>
        <v>#REF!</v>
      </c>
      <c r="R576" s="1969" t="e">
        <f t="shared" si="147"/>
        <v>#REF!</v>
      </c>
      <c r="S576" s="866"/>
      <c r="T576" s="856" t="e">
        <f t="shared" si="153"/>
        <v>#REF!</v>
      </c>
      <c r="U576" s="711" t="e">
        <f t="shared" si="157"/>
        <v>#REF!</v>
      </c>
      <c r="V576" s="711" t="e">
        <f t="shared" si="157"/>
        <v>#REF!</v>
      </c>
      <c r="W576" s="711" t="e">
        <f t="shared" si="157"/>
        <v>#REF!</v>
      </c>
      <c r="X576" s="10"/>
      <c r="Y576" s="10"/>
      <c r="Z576" s="10"/>
      <c r="AA576" s="675"/>
      <c r="AB576" s="10"/>
      <c r="AC576" s="1720"/>
      <c r="AD576" s="890"/>
    </row>
    <row r="577" spans="1:30" ht="54" customHeight="1" thickBot="1" x14ac:dyDescent="0.25">
      <c r="A577" s="4034"/>
      <c r="B577" s="4175"/>
      <c r="C577" s="1957">
        <v>5511</v>
      </c>
      <c r="D577" s="4074"/>
      <c r="E577" s="1948" t="s">
        <v>626</v>
      </c>
      <c r="F577" s="2421" t="e">
        <f t="shared" ref="F577:G580" si="163">+F508</f>
        <v>#REF!</v>
      </c>
      <c r="G577" s="2421" t="e">
        <f t="shared" si="163"/>
        <v>#REF!</v>
      </c>
      <c r="H577" s="2432"/>
      <c r="I577" s="1987" t="e">
        <f>IF(F577=0,0,$F577*COEF!$J$27)</f>
        <v>#REF!</v>
      </c>
      <c r="J577" s="1988" t="e">
        <f>IF(F577=0,0,$F577*COEF!$K$27)</f>
        <v>#REF!</v>
      </c>
      <c r="K577" s="1988" t="e">
        <f>IF(F577=0,0,$F577*COEF!$L$27)</f>
        <v>#REF!</v>
      </c>
      <c r="L577" s="1989" t="e">
        <f t="shared" si="159"/>
        <v>#REF!</v>
      </c>
      <c r="M577" s="1989" t="e">
        <f t="shared" si="160"/>
        <v>#REF!</v>
      </c>
      <c r="N577" s="1989" t="e">
        <f t="shared" si="161"/>
        <v>#REF!</v>
      </c>
      <c r="O577" s="860" t="e">
        <f t="shared" si="152"/>
        <v>#REF!</v>
      </c>
      <c r="P577" s="860" t="e">
        <f t="shared" si="152"/>
        <v>#REF!</v>
      </c>
      <c r="Q577" s="860" t="e">
        <f t="shared" si="152"/>
        <v>#REF!</v>
      </c>
      <c r="R577" s="1969" t="e">
        <f t="shared" si="147"/>
        <v>#REF!</v>
      </c>
      <c r="S577" s="866"/>
      <c r="T577" s="856" t="e">
        <f t="shared" si="153"/>
        <v>#REF!</v>
      </c>
      <c r="U577" s="711" t="e">
        <f t="shared" si="157"/>
        <v>#REF!</v>
      </c>
      <c r="V577" s="711" t="e">
        <f t="shared" si="157"/>
        <v>#REF!</v>
      </c>
      <c r="W577" s="711" t="e">
        <f t="shared" si="157"/>
        <v>#REF!</v>
      </c>
      <c r="X577" s="10"/>
      <c r="Y577" s="10"/>
      <c r="Z577" s="10"/>
      <c r="AA577" s="675"/>
      <c r="AB577" s="10"/>
      <c r="AC577" s="1720"/>
      <c r="AD577" s="890"/>
    </row>
    <row r="578" spans="1:30" ht="54" customHeight="1" thickBot="1" x14ac:dyDescent="0.25">
      <c r="A578" s="4034"/>
      <c r="B578" s="4175"/>
      <c r="C578" s="1958">
        <v>5560</v>
      </c>
      <c r="D578" s="4074"/>
      <c r="E578" s="1949" t="s">
        <v>69</v>
      </c>
      <c r="F578" s="2421">
        <f t="shared" si="163"/>
        <v>0</v>
      </c>
      <c r="G578" s="2421">
        <f t="shared" si="163"/>
        <v>0</v>
      </c>
      <c r="H578" s="2432"/>
      <c r="I578" s="1968">
        <f>IF(F578=0,0,$F578*COEF!$J$27)</f>
        <v>0</v>
      </c>
      <c r="J578" s="858">
        <f>IF(F578=0,0,$F578*COEF!$K$27)</f>
        <v>0</v>
      </c>
      <c r="K578" s="858">
        <f>IF(F578=0,0,$F578*COEF!$L$27)</f>
        <v>0</v>
      </c>
      <c r="L578" s="859" t="e">
        <f t="shared" si="159"/>
        <v>#REF!</v>
      </c>
      <c r="M578" s="859" t="e">
        <f t="shared" si="160"/>
        <v>#REF!</v>
      </c>
      <c r="N578" s="859" t="e">
        <f t="shared" si="161"/>
        <v>#REF!</v>
      </c>
      <c r="O578" s="860" t="e">
        <f t="shared" si="152"/>
        <v>#REF!</v>
      </c>
      <c r="P578" s="860" t="e">
        <f t="shared" si="152"/>
        <v>#REF!</v>
      </c>
      <c r="Q578" s="860" t="e">
        <f t="shared" si="152"/>
        <v>#REF!</v>
      </c>
      <c r="R578" s="1969" t="e">
        <f t="shared" si="147"/>
        <v>#REF!</v>
      </c>
      <c r="S578" s="866"/>
      <c r="T578" s="856" t="e">
        <f t="shared" si="153"/>
        <v>#REF!</v>
      </c>
      <c r="U578" s="711" t="e">
        <f t="shared" si="157"/>
        <v>#REF!</v>
      </c>
      <c r="V578" s="711" t="e">
        <f t="shared" si="157"/>
        <v>#REF!</v>
      </c>
      <c r="W578" s="711" t="e">
        <f t="shared" si="157"/>
        <v>#REF!</v>
      </c>
      <c r="X578" s="10"/>
      <c r="Y578" s="10"/>
      <c r="Z578" s="10"/>
      <c r="AA578" s="675"/>
      <c r="AB578" s="10"/>
      <c r="AC578" s="1720"/>
      <c r="AD578" s="890"/>
    </row>
    <row r="579" spans="1:30" ht="54" customHeight="1" thickBot="1" x14ac:dyDescent="0.25">
      <c r="A579" s="4034"/>
      <c r="B579" s="4175"/>
      <c r="C579" s="1958">
        <v>5561</v>
      </c>
      <c r="D579" s="2404"/>
      <c r="E579" s="1949" t="s">
        <v>595</v>
      </c>
      <c r="F579" s="2421" t="e">
        <f t="shared" si="163"/>
        <v>#REF!</v>
      </c>
      <c r="G579" s="2421" t="e">
        <f t="shared" si="163"/>
        <v>#REF!</v>
      </c>
      <c r="H579" s="2432"/>
      <c r="I579" s="1968" t="e">
        <f>IF(F579=0,0,$F579*COEF!$J$27)</f>
        <v>#REF!</v>
      </c>
      <c r="J579" s="858" t="e">
        <f>IF(F579=0,0,$F579*COEF!$K$27)</f>
        <v>#REF!</v>
      </c>
      <c r="K579" s="858" t="e">
        <f>IF(F579=0,0,$F579*COEF!$L$27)</f>
        <v>#REF!</v>
      </c>
      <c r="L579" s="859" t="e">
        <f t="shared" si="159"/>
        <v>#REF!</v>
      </c>
      <c r="M579" s="859" t="e">
        <f t="shared" si="160"/>
        <v>#REF!</v>
      </c>
      <c r="N579" s="859" t="e">
        <f t="shared" si="161"/>
        <v>#REF!</v>
      </c>
      <c r="O579" s="860" t="e">
        <f t="shared" si="152"/>
        <v>#REF!</v>
      </c>
      <c r="P579" s="860" t="e">
        <f t="shared" si="152"/>
        <v>#REF!</v>
      </c>
      <c r="Q579" s="860" t="e">
        <f t="shared" si="152"/>
        <v>#REF!</v>
      </c>
      <c r="R579" s="1969" t="e">
        <f t="shared" si="147"/>
        <v>#REF!</v>
      </c>
      <c r="S579" s="866"/>
      <c r="T579" s="856" t="e">
        <f t="shared" si="153"/>
        <v>#REF!</v>
      </c>
      <c r="U579" s="711" t="e">
        <f t="shared" si="157"/>
        <v>#REF!</v>
      </c>
      <c r="V579" s="711" t="e">
        <f t="shared" si="157"/>
        <v>#REF!</v>
      </c>
      <c r="W579" s="711" t="e">
        <f t="shared" si="157"/>
        <v>#REF!</v>
      </c>
      <c r="X579" s="10"/>
      <c r="Y579" s="10"/>
      <c r="Z579" s="10"/>
      <c r="AA579" s="675"/>
      <c r="AB579" s="10"/>
      <c r="AC579" s="869"/>
      <c r="AD579" s="891"/>
    </row>
    <row r="580" spans="1:30" ht="54" customHeight="1" thickBot="1" x14ac:dyDescent="0.4">
      <c r="A580" s="4034"/>
      <c r="B580" s="4175"/>
      <c r="C580" s="1960">
        <v>6000</v>
      </c>
      <c r="D580" s="4590" t="s">
        <v>580</v>
      </c>
      <c r="E580" s="4591"/>
      <c r="F580" s="2421" t="e">
        <f t="shared" si="163"/>
        <v>#REF!</v>
      </c>
      <c r="G580" s="2421" t="e">
        <f t="shared" si="163"/>
        <v>#REF!</v>
      </c>
      <c r="H580" s="2432" t="e">
        <f>SUM(F569:F580)</f>
        <v>#REF!</v>
      </c>
      <c r="I580" s="1968" t="e">
        <f>IF(F580=0,0,$F580*COEF!$J$27)</f>
        <v>#REF!</v>
      </c>
      <c r="J580" s="858" t="e">
        <f>IF(F580=0,0,$F580*COEF!$K$27)</f>
        <v>#REF!</v>
      </c>
      <c r="K580" s="858" t="e">
        <f>IF(F580=0,0,$F580*COEF!$L$27)</f>
        <v>#REF!</v>
      </c>
      <c r="L580" s="859" t="e">
        <f t="shared" si="159"/>
        <v>#REF!</v>
      </c>
      <c r="M580" s="859" t="e">
        <f t="shared" si="160"/>
        <v>#REF!</v>
      </c>
      <c r="N580" s="859" t="e">
        <f t="shared" si="161"/>
        <v>#REF!</v>
      </c>
      <c r="O580" s="860" t="e">
        <f t="shared" si="152"/>
        <v>#REF!</v>
      </c>
      <c r="P580" s="860" t="e">
        <f t="shared" si="152"/>
        <v>#REF!</v>
      </c>
      <c r="Q580" s="860" t="e">
        <f t="shared" si="152"/>
        <v>#REF!</v>
      </c>
      <c r="R580" s="1969" t="e">
        <f t="shared" si="147"/>
        <v>#REF!</v>
      </c>
      <c r="S580" s="866"/>
      <c r="T580" s="856" t="e">
        <f t="shared" si="153"/>
        <v>#REF!</v>
      </c>
      <c r="U580" s="711" t="e">
        <f t="shared" si="157"/>
        <v>#REF!</v>
      </c>
      <c r="V580" s="711" t="e">
        <f t="shared" si="157"/>
        <v>#REF!</v>
      </c>
      <c r="W580" s="711" t="e">
        <f t="shared" si="157"/>
        <v>#REF!</v>
      </c>
      <c r="X580" s="10"/>
      <c r="Y580" s="10"/>
      <c r="Z580" s="10"/>
      <c r="AA580" s="675"/>
      <c r="AB580" s="10"/>
      <c r="AC580" s="871"/>
      <c r="AD580" s="891"/>
    </row>
    <row r="581" spans="1:30" ht="54" customHeight="1" thickBot="1" x14ac:dyDescent="0.25">
      <c r="A581" s="4598" t="s">
        <v>627</v>
      </c>
      <c r="B581" s="4598" t="s">
        <v>627</v>
      </c>
      <c r="C581" s="2426" t="s">
        <v>322</v>
      </c>
      <c r="D581" s="4601" t="s">
        <v>535</v>
      </c>
      <c r="E581" s="4602"/>
      <c r="F581" s="2427" t="e">
        <f>+F434</f>
        <v>#REF!</v>
      </c>
      <c r="G581" s="2427" t="e">
        <f>+G434</f>
        <v>#REF!</v>
      </c>
      <c r="H581" s="2434"/>
      <c r="I581" s="1968" t="e">
        <f>IF(F581=0,0,$F581*COEF!$J$27)</f>
        <v>#REF!</v>
      </c>
      <c r="J581" s="858" t="e">
        <f>IF(F581=0,0,$F581*COEF!$K$27)</f>
        <v>#REF!</v>
      </c>
      <c r="K581" s="858" t="e">
        <f>IF(F581=0,0,$F581*COEF!$L$27)</f>
        <v>#REF!</v>
      </c>
      <c r="L581" s="859" t="e">
        <f t="shared" si="159"/>
        <v>#REF!</v>
      </c>
      <c r="M581" s="859" t="e">
        <f t="shared" si="160"/>
        <v>#REF!</v>
      </c>
      <c r="N581" s="859" t="e">
        <f t="shared" si="161"/>
        <v>#REF!</v>
      </c>
      <c r="O581" s="860" t="e">
        <f t="shared" si="152"/>
        <v>#REF!</v>
      </c>
      <c r="P581" s="860" t="e">
        <f t="shared" si="152"/>
        <v>#REF!</v>
      </c>
      <c r="Q581" s="860" t="e">
        <f t="shared" si="152"/>
        <v>#REF!</v>
      </c>
      <c r="R581" s="1969" t="e">
        <f t="shared" si="147"/>
        <v>#REF!</v>
      </c>
      <c r="S581" s="866"/>
      <c r="T581" s="856"/>
      <c r="U581" s="711"/>
      <c r="V581" s="711"/>
      <c r="W581" s="711"/>
      <c r="X581" s="10"/>
      <c r="Y581" s="10"/>
      <c r="Z581" s="10"/>
      <c r="AA581" s="675"/>
      <c r="AB581" s="10"/>
      <c r="AC581" s="880"/>
      <c r="AD581" s="2424"/>
    </row>
    <row r="582" spans="1:30" ht="54" customHeight="1" thickBot="1" x14ac:dyDescent="0.25">
      <c r="A582" s="4599"/>
      <c r="B582" s="4599"/>
      <c r="C582" s="2423" t="s">
        <v>323</v>
      </c>
      <c r="D582" s="4601" t="s">
        <v>535</v>
      </c>
      <c r="E582" s="4602"/>
      <c r="F582" s="2422" t="e">
        <f>+F445</f>
        <v>#REF!</v>
      </c>
      <c r="G582" s="2422" t="e">
        <f>+G445</f>
        <v>#REF!</v>
      </c>
      <c r="H582" s="2434"/>
      <c r="I582" s="1968" t="e">
        <f>IF(F582=0,0,$F582*COEF!$J$27)</f>
        <v>#REF!</v>
      </c>
      <c r="J582" s="858" t="e">
        <f>IF(F582=0,0,$F582*COEF!$K$27)</f>
        <v>#REF!</v>
      </c>
      <c r="K582" s="858" t="e">
        <f>IF(F582=0,0,$F582*COEF!$L$27)</f>
        <v>#REF!</v>
      </c>
      <c r="L582" s="859" t="e">
        <f t="shared" si="159"/>
        <v>#REF!</v>
      </c>
      <c r="M582" s="859" t="e">
        <f t="shared" si="160"/>
        <v>#REF!</v>
      </c>
      <c r="N582" s="859" t="e">
        <f t="shared" si="161"/>
        <v>#REF!</v>
      </c>
      <c r="O582" s="860" t="e">
        <f t="shared" si="152"/>
        <v>#REF!</v>
      </c>
      <c r="P582" s="860" t="e">
        <f t="shared" si="152"/>
        <v>#REF!</v>
      </c>
      <c r="Q582" s="860" t="e">
        <f t="shared" si="152"/>
        <v>#REF!</v>
      </c>
      <c r="R582" s="1969" t="e">
        <f t="shared" si="147"/>
        <v>#REF!</v>
      </c>
      <c r="S582" s="866"/>
      <c r="T582" s="856"/>
      <c r="U582" s="711"/>
      <c r="V582" s="711"/>
      <c r="W582" s="711"/>
      <c r="X582" s="10"/>
      <c r="Y582" s="10"/>
      <c r="Z582" s="10"/>
      <c r="AA582" s="675"/>
      <c r="AB582" s="10"/>
      <c r="AC582" s="880"/>
      <c r="AD582" s="2424"/>
    </row>
    <row r="583" spans="1:30" ht="54" customHeight="1" thickBot="1" x14ac:dyDescent="0.25">
      <c r="A583" s="4599"/>
      <c r="B583" s="4599"/>
      <c r="C583" s="2423" t="s">
        <v>324</v>
      </c>
      <c r="D583" s="4601" t="s">
        <v>535</v>
      </c>
      <c r="E583" s="4602"/>
      <c r="F583" s="2422" t="e">
        <f>+F463</f>
        <v>#REF!</v>
      </c>
      <c r="G583" s="2422" t="e">
        <f>+G463</f>
        <v>#REF!</v>
      </c>
      <c r="H583" s="2434"/>
      <c r="I583" s="1968" t="e">
        <f>IF(F583=0,0,$F583*COEF!$J$27)</f>
        <v>#REF!</v>
      </c>
      <c r="J583" s="858" t="e">
        <f>IF(F583=0,0,$F583*COEF!$K$27)</f>
        <v>#REF!</v>
      </c>
      <c r="K583" s="858" t="e">
        <f>IF(F583=0,0,$F583*COEF!$L$27)</f>
        <v>#REF!</v>
      </c>
      <c r="L583" s="859" t="e">
        <f t="shared" si="159"/>
        <v>#REF!</v>
      </c>
      <c r="M583" s="859" t="e">
        <f t="shared" si="160"/>
        <v>#REF!</v>
      </c>
      <c r="N583" s="859" t="e">
        <f t="shared" si="161"/>
        <v>#REF!</v>
      </c>
      <c r="O583" s="860" t="e">
        <f t="shared" si="152"/>
        <v>#REF!</v>
      </c>
      <c r="P583" s="860" t="e">
        <f t="shared" si="152"/>
        <v>#REF!</v>
      </c>
      <c r="Q583" s="860" t="e">
        <f t="shared" si="152"/>
        <v>#REF!</v>
      </c>
      <c r="R583" s="1969" t="e">
        <f t="shared" si="147"/>
        <v>#REF!</v>
      </c>
      <c r="S583" s="866"/>
      <c r="T583" s="856"/>
      <c r="U583" s="711"/>
      <c r="V583" s="711"/>
      <c r="W583" s="711"/>
      <c r="X583" s="10"/>
      <c r="Y583" s="10"/>
      <c r="Z583" s="10"/>
      <c r="AA583" s="675"/>
      <c r="AB583" s="10"/>
      <c r="AC583" s="880"/>
      <c r="AD583" s="2424"/>
    </row>
    <row r="584" spans="1:30" ht="54" customHeight="1" thickBot="1" x14ac:dyDescent="0.25">
      <c r="A584" s="4599"/>
      <c r="B584" s="4599"/>
      <c r="C584" s="2423" t="s">
        <v>325</v>
      </c>
      <c r="D584" s="4601" t="s">
        <v>535</v>
      </c>
      <c r="E584" s="4602"/>
      <c r="F584" s="2422" t="e">
        <f>+F481</f>
        <v>#REF!</v>
      </c>
      <c r="G584" s="2422" t="e">
        <f>+G481</f>
        <v>#REF!</v>
      </c>
      <c r="H584" s="2434"/>
      <c r="I584" s="1968" t="e">
        <f>IF(F584=0,0,$F584*COEF!$J$27)</f>
        <v>#REF!</v>
      </c>
      <c r="J584" s="858" t="e">
        <f>IF(F584=0,0,$F584*COEF!$K$27)</f>
        <v>#REF!</v>
      </c>
      <c r="K584" s="858" t="e">
        <f>IF(F584=0,0,$F584*COEF!$L$27)</f>
        <v>#REF!</v>
      </c>
      <c r="L584" s="859" t="e">
        <f t="shared" si="159"/>
        <v>#REF!</v>
      </c>
      <c r="M584" s="859" t="e">
        <f t="shared" si="160"/>
        <v>#REF!</v>
      </c>
      <c r="N584" s="859" t="e">
        <f t="shared" si="161"/>
        <v>#REF!</v>
      </c>
      <c r="O584" s="860" t="e">
        <f t="shared" si="152"/>
        <v>#REF!</v>
      </c>
      <c r="P584" s="860" t="e">
        <f t="shared" si="152"/>
        <v>#REF!</v>
      </c>
      <c r="Q584" s="860" t="e">
        <f t="shared" si="152"/>
        <v>#REF!</v>
      </c>
      <c r="R584" s="1969" t="e">
        <f t="shared" si="147"/>
        <v>#REF!</v>
      </c>
      <c r="S584" s="866"/>
      <c r="T584" s="856"/>
      <c r="U584" s="711"/>
      <c r="V584" s="711"/>
      <c r="W584" s="711"/>
      <c r="X584" s="10"/>
      <c r="Y584" s="10"/>
      <c r="Z584" s="10"/>
      <c r="AA584" s="675"/>
      <c r="AB584" s="10"/>
      <c r="AC584" s="880"/>
      <c r="AD584" s="2424"/>
    </row>
    <row r="585" spans="1:30" ht="54" customHeight="1" thickBot="1" x14ac:dyDescent="0.25">
      <c r="A585" s="4600"/>
      <c r="B585" s="4600"/>
      <c r="C585" s="2423" t="s">
        <v>326</v>
      </c>
      <c r="D585" s="4601" t="s">
        <v>535</v>
      </c>
      <c r="E585" s="4602"/>
      <c r="F585" s="2428" t="e">
        <f>+F499</f>
        <v>#REF!</v>
      </c>
      <c r="G585" s="2428" t="e">
        <f>+G499</f>
        <v>#REF!</v>
      </c>
      <c r="H585" s="2434" t="e">
        <f>SUM(F581:F585)</f>
        <v>#REF!</v>
      </c>
      <c r="I585" s="1968" t="e">
        <f>IF(F585=0,0,$F585*COEF!$J$27)</f>
        <v>#REF!</v>
      </c>
      <c r="J585" s="858" t="e">
        <f>IF(F585=0,0,$F585*COEF!$K$27)</f>
        <v>#REF!</v>
      </c>
      <c r="K585" s="858" t="e">
        <f>IF(F585=0,0,$F585*COEF!$L$27)</f>
        <v>#REF!</v>
      </c>
      <c r="L585" s="859" t="e">
        <f t="shared" si="159"/>
        <v>#REF!</v>
      </c>
      <c r="M585" s="859" t="e">
        <f t="shared" si="160"/>
        <v>#REF!</v>
      </c>
      <c r="N585" s="859" t="e">
        <f t="shared" si="161"/>
        <v>#REF!</v>
      </c>
      <c r="O585" s="860" t="e">
        <f t="shared" si="152"/>
        <v>#REF!</v>
      </c>
      <c r="P585" s="860" t="e">
        <f t="shared" si="152"/>
        <v>#REF!</v>
      </c>
      <c r="Q585" s="860" t="e">
        <f t="shared" si="152"/>
        <v>#REF!</v>
      </c>
      <c r="R585" s="1969" t="e">
        <f t="shared" si="147"/>
        <v>#REF!</v>
      </c>
      <c r="S585" s="866"/>
      <c r="T585" s="856"/>
      <c r="U585" s="711"/>
      <c r="V585" s="711"/>
      <c r="W585" s="711"/>
      <c r="X585" s="10"/>
      <c r="Y585" s="10"/>
      <c r="Z585" s="10"/>
      <c r="AA585" s="675"/>
      <c r="AB585" s="10"/>
      <c r="AC585" s="880"/>
      <c r="AD585" s="2424"/>
    </row>
    <row r="586" spans="1:30" ht="71.25" customHeight="1" thickBot="1" x14ac:dyDescent="0.25">
      <c r="A586" s="4603" t="s">
        <v>186</v>
      </c>
      <c r="B586" s="4054" t="s">
        <v>21</v>
      </c>
      <c r="C586" s="4592" t="s">
        <v>187</v>
      </c>
      <c r="D586" s="4593"/>
      <c r="E586" s="4593"/>
      <c r="F586" s="2428">
        <f>+F512</f>
        <v>0</v>
      </c>
      <c r="G586" s="2428">
        <f>+G512</f>
        <v>0</v>
      </c>
      <c r="H586" s="16"/>
      <c r="I586" s="1968">
        <f>IF(F586=0,0,$F586*COEF!$J$27)</f>
        <v>0</v>
      </c>
      <c r="J586" s="858">
        <f>IF(F586=0,0,$F586*COEF!$K$27)</f>
        <v>0</v>
      </c>
      <c r="K586" s="858">
        <f>IF(F586=0,0,$F586*COEF!$L$27)</f>
        <v>0</v>
      </c>
      <c r="L586" s="859" t="e">
        <f t="shared" si="159"/>
        <v>#REF!</v>
      </c>
      <c r="M586" s="859" t="e">
        <f t="shared" si="160"/>
        <v>#REF!</v>
      </c>
      <c r="N586" s="859" t="e">
        <f t="shared" si="161"/>
        <v>#REF!</v>
      </c>
      <c r="O586" s="860" t="e">
        <f t="shared" si="152"/>
        <v>#REF!</v>
      </c>
      <c r="P586" s="860" t="e">
        <f t="shared" si="152"/>
        <v>#REF!</v>
      </c>
      <c r="Q586" s="860" t="e">
        <f t="shared" si="152"/>
        <v>#REF!</v>
      </c>
      <c r="R586" s="1969" t="e">
        <f t="shared" si="147"/>
        <v>#REF!</v>
      </c>
      <c r="S586" s="866"/>
      <c r="T586" s="856" t="e">
        <f t="shared" si="153"/>
        <v>#REF!</v>
      </c>
      <c r="U586" s="711" t="e">
        <f t="shared" si="157"/>
        <v>#REF!</v>
      </c>
      <c r="V586" s="711" t="e">
        <f t="shared" si="157"/>
        <v>#REF!</v>
      </c>
      <c r="W586" s="711" t="e">
        <f t="shared" si="157"/>
        <v>#REF!</v>
      </c>
      <c r="X586" s="10">
        <f t="shared" ref="X586:Z589" si="164">IF(I586=0,0,U586/I586)</f>
        <v>0</v>
      </c>
      <c r="Y586" s="10">
        <f t="shared" si="164"/>
        <v>0</v>
      </c>
      <c r="Z586" s="10">
        <f t="shared" si="164"/>
        <v>0</v>
      </c>
      <c r="AA586" s="675" t="e">
        <f>R586-F586</f>
        <v>#REF!</v>
      </c>
      <c r="AB586" s="10" t="e">
        <f>AA586/F586</f>
        <v>#REF!</v>
      </c>
      <c r="AC586" s="10"/>
      <c r="AD586" s="10"/>
    </row>
    <row r="587" spans="1:30" ht="71.25" customHeight="1" thickBot="1" x14ac:dyDescent="0.25">
      <c r="A587" s="4604"/>
      <c r="B587" s="4055"/>
      <c r="C587" s="4592" t="s">
        <v>188</v>
      </c>
      <c r="D587" s="4593"/>
      <c r="E587" s="4593"/>
      <c r="F587" s="2428">
        <f t="shared" ref="F587:G591" si="165">+F513</f>
        <v>0</v>
      </c>
      <c r="G587" s="2428">
        <f t="shared" si="165"/>
        <v>0</v>
      </c>
      <c r="H587" s="16"/>
      <c r="I587" s="1968">
        <f>IF(F587=0,0,$F587*COEF!$J$27)</f>
        <v>0</v>
      </c>
      <c r="J587" s="858">
        <f>IF(F587=0,0,$F587*COEF!$K$27)</f>
        <v>0</v>
      </c>
      <c r="K587" s="858">
        <f>IF(F587=0,0,$F587*COEF!$L$27)</f>
        <v>0</v>
      </c>
      <c r="L587" s="859" t="e">
        <f t="shared" si="159"/>
        <v>#REF!</v>
      </c>
      <c r="M587" s="859" t="e">
        <f t="shared" si="160"/>
        <v>#REF!</v>
      </c>
      <c r="N587" s="859" t="e">
        <f t="shared" si="161"/>
        <v>#REF!</v>
      </c>
      <c r="O587" s="860" t="e">
        <f t="shared" si="152"/>
        <v>#REF!</v>
      </c>
      <c r="P587" s="860" t="e">
        <f t="shared" si="152"/>
        <v>#REF!</v>
      </c>
      <c r="Q587" s="860" t="e">
        <f t="shared" si="152"/>
        <v>#REF!</v>
      </c>
      <c r="R587" s="1969" t="e">
        <f t="shared" ref="R587:R591" si="166">SUM(O587:Q587)</f>
        <v>#REF!</v>
      </c>
      <c r="S587" s="866"/>
      <c r="T587" s="856" t="e">
        <f t="shared" si="153"/>
        <v>#REF!</v>
      </c>
      <c r="U587" s="711" t="e">
        <f t="shared" si="157"/>
        <v>#REF!</v>
      </c>
      <c r="V587" s="711" t="e">
        <f t="shared" si="157"/>
        <v>#REF!</v>
      </c>
      <c r="W587" s="711" t="e">
        <f t="shared" si="157"/>
        <v>#REF!</v>
      </c>
      <c r="X587" s="10"/>
      <c r="Y587" s="10"/>
      <c r="Z587" s="10"/>
      <c r="AA587" s="675"/>
      <c r="AB587" s="10"/>
      <c r="AC587" s="10"/>
      <c r="AD587" s="10"/>
    </row>
    <row r="588" spans="1:30" ht="71.25" customHeight="1" thickBot="1" x14ac:dyDescent="0.25">
      <c r="A588" s="4604"/>
      <c r="B588" s="4605"/>
      <c r="C588" s="4606" t="s">
        <v>628</v>
      </c>
      <c r="D588" s="4606"/>
      <c r="E588" s="4606"/>
      <c r="F588" s="2428" t="e">
        <f t="shared" si="165"/>
        <v>#REF!</v>
      </c>
      <c r="G588" s="2428" t="e">
        <f t="shared" si="165"/>
        <v>#REF!</v>
      </c>
      <c r="H588" s="16"/>
      <c r="I588" s="1968" t="e">
        <f>IF(F588=0,0,$F588*COEF!$J$27)</f>
        <v>#REF!</v>
      </c>
      <c r="J588" s="858" t="e">
        <f>IF(F588=0,0,$F588*COEF!$K$27)</f>
        <v>#REF!</v>
      </c>
      <c r="K588" s="858" t="e">
        <f>IF(F588=0,0,$F588*COEF!$L$27)</f>
        <v>#REF!</v>
      </c>
      <c r="L588" s="859" t="e">
        <f t="shared" si="159"/>
        <v>#REF!</v>
      </c>
      <c r="M588" s="859" t="e">
        <f t="shared" si="160"/>
        <v>#REF!</v>
      </c>
      <c r="N588" s="859" t="e">
        <f t="shared" si="161"/>
        <v>#REF!</v>
      </c>
      <c r="O588" s="860" t="e">
        <f t="shared" si="152"/>
        <v>#REF!</v>
      </c>
      <c r="P588" s="860" t="e">
        <f t="shared" si="152"/>
        <v>#REF!</v>
      </c>
      <c r="Q588" s="860" t="e">
        <f t="shared" si="152"/>
        <v>#REF!</v>
      </c>
      <c r="R588" s="1969" t="e">
        <f t="shared" si="166"/>
        <v>#REF!</v>
      </c>
      <c r="S588" s="866"/>
      <c r="T588" s="856" t="e">
        <f t="shared" ref="T588:T589" si="167">+SUM(L588:N588)</f>
        <v>#REF!</v>
      </c>
      <c r="U588" s="711" t="e">
        <f t="shared" si="157"/>
        <v>#REF!</v>
      </c>
      <c r="V588" s="711" t="e">
        <f t="shared" si="157"/>
        <v>#REF!</v>
      </c>
      <c r="W588" s="711" t="e">
        <f t="shared" si="157"/>
        <v>#REF!</v>
      </c>
      <c r="X588" s="10"/>
      <c r="Y588" s="10"/>
      <c r="Z588" s="10"/>
      <c r="AA588" s="675"/>
      <c r="AB588" s="10"/>
      <c r="AC588" s="10"/>
      <c r="AD588" s="10"/>
    </row>
    <row r="589" spans="1:30" ht="65.25" customHeight="1" thickBot="1" x14ac:dyDescent="0.25">
      <c r="A589" s="4604"/>
      <c r="B589" s="3817" t="s">
        <v>71</v>
      </c>
      <c r="C589" s="3794" t="s">
        <v>224</v>
      </c>
      <c r="D589" s="3795"/>
      <c r="E589" s="3796"/>
      <c r="F589" s="2428">
        <f t="shared" si="165"/>
        <v>0</v>
      </c>
      <c r="G589" s="2428">
        <f t="shared" si="165"/>
        <v>0</v>
      </c>
      <c r="H589" s="16"/>
      <c r="I589" s="1968">
        <f>IF(F589=0,0,$F589*COEF!$J$27)</f>
        <v>0</v>
      </c>
      <c r="J589" s="858">
        <f>IF(F589=0,0,$F589*COEF!$K$27)</f>
        <v>0</v>
      </c>
      <c r="K589" s="858">
        <f>IF(F589=0,0,$F589*COEF!$L$27)</f>
        <v>0</v>
      </c>
      <c r="L589" s="859" t="e">
        <f t="shared" si="159"/>
        <v>#REF!</v>
      </c>
      <c r="M589" s="859" t="e">
        <f t="shared" si="160"/>
        <v>#REF!</v>
      </c>
      <c r="N589" s="859" t="e">
        <f t="shared" si="161"/>
        <v>#REF!</v>
      </c>
      <c r="O589" s="860" t="e">
        <f t="shared" si="152"/>
        <v>#REF!</v>
      </c>
      <c r="P589" s="860" t="e">
        <f t="shared" si="152"/>
        <v>#REF!</v>
      </c>
      <c r="Q589" s="860" t="e">
        <f t="shared" si="152"/>
        <v>#REF!</v>
      </c>
      <c r="R589" s="1969" t="e">
        <f t="shared" si="166"/>
        <v>#REF!</v>
      </c>
      <c r="S589" s="866"/>
      <c r="T589" s="856" t="e">
        <f t="shared" si="167"/>
        <v>#REF!</v>
      </c>
      <c r="U589" s="711" t="e">
        <f t="shared" si="157"/>
        <v>#REF!</v>
      </c>
      <c r="V589" s="711" t="e">
        <f t="shared" si="157"/>
        <v>#REF!</v>
      </c>
      <c r="W589" s="711" t="e">
        <f t="shared" si="157"/>
        <v>#REF!</v>
      </c>
      <c r="X589" s="10">
        <f t="shared" si="164"/>
        <v>0</v>
      </c>
      <c r="Y589" s="10">
        <f t="shared" si="164"/>
        <v>0</v>
      </c>
      <c r="Z589" s="10">
        <f t="shared" si="164"/>
        <v>0</v>
      </c>
      <c r="AA589" s="675" t="e">
        <f>R589-F589</f>
        <v>#REF!</v>
      </c>
      <c r="AB589" s="10" t="e">
        <f>AA589/F589</f>
        <v>#REF!</v>
      </c>
      <c r="AC589" s="10"/>
      <c r="AD589" s="10"/>
    </row>
    <row r="590" spans="1:30" ht="65.25" customHeight="1" thickBot="1" x14ac:dyDescent="0.25">
      <c r="A590" s="2155"/>
      <c r="B590" s="4610"/>
      <c r="C590" s="3794" t="s">
        <v>225</v>
      </c>
      <c r="D590" s="3795"/>
      <c r="E590" s="3796"/>
      <c r="F590" s="2428">
        <f t="shared" si="165"/>
        <v>0</v>
      </c>
      <c r="G590" s="2428">
        <f t="shared" si="165"/>
        <v>0</v>
      </c>
      <c r="H590" s="16"/>
      <c r="I590" s="1968">
        <f>IF(F590=0,0,$F590*COEF!$J$27)</f>
        <v>0</v>
      </c>
      <c r="J590" s="858">
        <f>IF(F590=0,0,$F590*COEF!$K$27)</f>
        <v>0</v>
      </c>
      <c r="K590" s="858">
        <f>IF(F590=0,0,$F590*COEF!$L$27)</f>
        <v>0</v>
      </c>
      <c r="L590" s="859" t="e">
        <f t="shared" si="159"/>
        <v>#REF!</v>
      </c>
      <c r="M590" s="859" t="e">
        <f t="shared" si="160"/>
        <v>#REF!</v>
      </c>
      <c r="N590" s="859" t="e">
        <f t="shared" si="161"/>
        <v>#REF!</v>
      </c>
      <c r="O590" s="860" t="e">
        <f t="shared" ref="O590:Q591" si="168">I590+L590</f>
        <v>#REF!</v>
      </c>
      <c r="P590" s="860" t="e">
        <f t="shared" si="168"/>
        <v>#REF!</v>
      </c>
      <c r="Q590" s="860" t="e">
        <f t="shared" si="168"/>
        <v>#REF!</v>
      </c>
      <c r="R590" s="1969" t="e">
        <f t="shared" si="166"/>
        <v>#REF!</v>
      </c>
      <c r="S590" s="866"/>
      <c r="T590" s="856"/>
      <c r="U590" s="711"/>
      <c r="V590" s="711"/>
      <c r="W590" s="711"/>
      <c r="X590" s="10"/>
      <c r="Y590" s="10"/>
      <c r="Z590" s="10"/>
      <c r="AA590" s="675"/>
      <c r="AB590" s="10"/>
      <c r="AC590" s="10"/>
      <c r="AD590" s="10"/>
    </row>
    <row r="591" spans="1:30" ht="65.25" customHeight="1" thickBot="1" x14ac:dyDescent="0.25">
      <c r="A591" s="2155"/>
      <c r="B591" s="3818"/>
      <c r="C591" s="4606" t="s">
        <v>628</v>
      </c>
      <c r="D591" s="4606"/>
      <c r="E591" s="4606"/>
      <c r="F591" s="2428" t="e">
        <f t="shared" si="165"/>
        <v>#REF!</v>
      </c>
      <c r="G591" s="2428" t="e">
        <f t="shared" si="165"/>
        <v>#REF!</v>
      </c>
      <c r="H591" s="2434" t="e">
        <f>SUM(F586:F591)</f>
        <v>#REF!</v>
      </c>
      <c r="I591" s="1968" t="e">
        <f>IF(F591=0,0,$F591*COEF!$J$27)</f>
        <v>#REF!</v>
      </c>
      <c r="J591" s="858" t="e">
        <f>IF(F591=0,0,$F591*COEF!$K$27)</f>
        <v>#REF!</v>
      </c>
      <c r="K591" s="858" t="e">
        <f>IF(F591=0,0,$F591*COEF!$L$27)</f>
        <v>#REF!</v>
      </c>
      <c r="L591" s="859" t="e">
        <f t="shared" si="159"/>
        <v>#REF!</v>
      </c>
      <c r="M591" s="859" t="e">
        <f t="shared" si="160"/>
        <v>#REF!</v>
      </c>
      <c r="N591" s="859" t="e">
        <f t="shared" si="161"/>
        <v>#REF!</v>
      </c>
      <c r="O591" s="860" t="e">
        <f t="shared" si="168"/>
        <v>#REF!</v>
      </c>
      <c r="P591" s="860" t="e">
        <f t="shared" si="168"/>
        <v>#REF!</v>
      </c>
      <c r="Q591" s="860" t="e">
        <f t="shared" si="168"/>
        <v>#REF!</v>
      </c>
      <c r="R591" s="1969" t="e">
        <f t="shared" si="166"/>
        <v>#REF!</v>
      </c>
      <c r="S591" s="866"/>
      <c r="T591" s="856" t="e">
        <f t="shared" ref="T591" si="169">+SUM(L591:N591)</f>
        <v>#REF!</v>
      </c>
      <c r="U591" s="711" t="e">
        <f t="shared" ref="U591:W591" si="170">L591</f>
        <v>#REF!</v>
      </c>
      <c r="V591" s="711" t="e">
        <f t="shared" si="170"/>
        <v>#REF!</v>
      </c>
      <c r="W591" s="711" t="e">
        <f t="shared" si="170"/>
        <v>#REF!</v>
      </c>
      <c r="X591" s="10"/>
      <c r="Y591" s="10"/>
      <c r="Z591" s="10"/>
      <c r="AA591" s="675"/>
      <c r="AB591" s="10"/>
      <c r="AC591" s="10"/>
      <c r="AD591" s="10"/>
    </row>
    <row r="592" spans="1:30" ht="65.25" customHeight="1" thickBot="1" x14ac:dyDescent="0.25">
      <c r="A592" s="3810" t="s">
        <v>190</v>
      </c>
      <c r="B592" s="3811"/>
      <c r="C592" s="3811"/>
      <c r="D592" s="3811"/>
      <c r="E592" s="3812"/>
      <c r="F592" s="2061" t="e">
        <f>SUM(F523:F591)</f>
        <v>#REF!</v>
      </c>
      <c r="G592" s="2061" t="e">
        <f>SUM(G523:G591)</f>
        <v>#REF!</v>
      </c>
      <c r="H592" s="2435"/>
      <c r="I592" s="1970" t="e">
        <f t="shared" ref="I592:R592" si="171">SUM(I523:I591)</f>
        <v>#REF!</v>
      </c>
      <c r="J592" s="1970" t="e">
        <f t="shared" si="171"/>
        <v>#REF!</v>
      </c>
      <c r="K592" s="1970" t="e">
        <f t="shared" si="171"/>
        <v>#REF!</v>
      </c>
      <c r="L592" s="1970" t="e">
        <f t="shared" si="171"/>
        <v>#REF!</v>
      </c>
      <c r="M592" s="1970" t="e">
        <f t="shared" si="171"/>
        <v>#REF!</v>
      </c>
      <c r="N592" s="1970" t="e">
        <f t="shared" si="171"/>
        <v>#REF!</v>
      </c>
      <c r="O592" s="1970" t="e">
        <f t="shared" si="171"/>
        <v>#REF!</v>
      </c>
      <c r="P592" s="1970" t="e">
        <f t="shared" si="171"/>
        <v>#REF!</v>
      </c>
      <c r="Q592" s="1970" t="e">
        <f t="shared" si="171"/>
        <v>#REF!</v>
      </c>
      <c r="R592" s="1970" t="e">
        <f t="shared" si="171"/>
        <v>#REF!</v>
      </c>
      <c r="S592" s="866" t="e">
        <f>+F592+F593</f>
        <v>#REF!</v>
      </c>
      <c r="T592" s="893" t="e">
        <f>SUM(T523:T589)</f>
        <v>#REF!</v>
      </c>
      <c r="U592" s="893" t="e">
        <f>SUM(U523:U589)</f>
        <v>#REF!</v>
      </c>
      <c r="V592" s="893" t="e">
        <f>SUM(V523:V589)</f>
        <v>#REF!</v>
      </c>
      <c r="W592" s="893" t="e">
        <f>SUM(W523:W589)</f>
        <v>#REF!</v>
      </c>
      <c r="X592" s="10"/>
      <c r="Y592" s="10"/>
      <c r="Z592" s="10"/>
      <c r="AA592" s="675"/>
      <c r="AB592" s="10"/>
      <c r="AC592" s="10"/>
      <c r="AD592" s="10"/>
    </row>
    <row r="593" spans="1:44" ht="28.5" customHeight="1" x14ac:dyDescent="0.35">
      <c r="A593" s="536"/>
      <c r="B593" s="665"/>
      <c r="C593" s="4633" t="s">
        <v>239</v>
      </c>
      <c r="D593" s="4633"/>
      <c r="E593" s="894"/>
      <c r="F593" s="895" t="e">
        <f>+F592-F427</f>
        <v>#REF!</v>
      </c>
      <c r="G593" s="895"/>
      <c r="H593" s="896"/>
      <c r="I593" s="2014" t="e">
        <f>(N357-SUM(I523:I591))</f>
        <v>#REF!</v>
      </c>
      <c r="J593" s="2014" t="e">
        <f>(O357-SUM(J523:J591))</f>
        <v>#REF!</v>
      </c>
      <c r="K593" s="2014" t="e">
        <f>(P357-SUM(K523:K591))</f>
        <v>#REF!</v>
      </c>
      <c r="L593" s="2014"/>
      <c r="M593" s="2014"/>
      <c r="N593" s="2014"/>
      <c r="O593" s="900"/>
      <c r="P593" s="900"/>
      <c r="Q593" s="900"/>
      <c r="R593" s="675"/>
      <c r="S593" s="675"/>
      <c r="T593" s="10"/>
      <c r="U593" s="711" t="e">
        <f>IF(F593=0,0,$I$593*(I593/$U$593))</f>
        <v>#REF!</v>
      </c>
      <c r="V593" s="711" t="e">
        <f>IF(F593=0,0,$I$593*(J593/$U$593))</f>
        <v>#REF!</v>
      </c>
      <c r="W593" s="711" t="e">
        <f>IF(F593=0,0,$I$593*(K593/$U$593))</f>
        <v>#REF!</v>
      </c>
      <c r="X593" s="10" t="e">
        <f>U593/I593</f>
        <v>#REF!</v>
      </c>
      <c r="Y593" s="10" t="e">
        <f>V593/J593</f>
        <v>#REF!</v>
      </c>
      <c r="Z593" s="10" t="e">
        <f>W593/K593</f>
        <v>#REF!</v>
      </c>
      <c r="AA593" s="675" t="e">
        <f>R593-F593</f>
        <v>#REF!</v>
      </c>
      <c r="AB593" s="10" t="e">
        <f>AA593/F593</f>
        <v>#REF!</v>
      </c>
      <c r="AC593" s="10"/>
      <c r="AD593" s="10"/>
    </row>
    <row r="594" spans="1:44" ht="38.25" customHeight="1" x14ac:dyDescent="0.25">
      <c r="A594" s="536"/>
      <c r="B594" s="897"/>
      <c r="C594" s="4634" t="s">
        <v>629</v>
      </c>
      <c r="D594" s="4634"/>
      <c r="E594" s="898"/>
      <c r="F594" s="899"/>
      <c r="H594" s="896"/>
      <c r="I594" s="2015" t="e">
        <f>(SUM(I523:I591))</f>
        <v>#REF!</v>
      </c>
      <c r="J594" s="2015" t="e">
        <f>(SUM(J523:J591))</f>
        <v>#REF!</v>
      </c>
      <c r="K594" s="2015" t="e">
        <f>(SUM(K523:K591))</f>
        <v>#REF!</v>
      </c>
      <c r="L594" s="900" t="e">
        <f t="shared" ref="L594:Q594" si="172">SUM(L523:L591)</f>
        <v>#REF!</v>
      </c>
      <c r="M594" s="900" t="e">
        <f t="shared" si="172"/>
        <v>#REF!</v>
      </c>
      <c r="N594" s="900" t="e">
        <f t="shared" si="172"/>
        <v>#REF!</v>
      </c>
      <c r="O594" s="900" t="e">
        <f t="shared" si="172"/>
        <v>#REF!</v>
      </c>
      <c r="P594" s="900" t="e">
        <f t="shared" si="172"/>
        <v>#REF!</v>
      </c>
      <c r="Q594" s="900" t="e">
        <f t="shared" si="172"/>
        <v>#REF!</v>
      </c>
      <c r="R594" s="675"/>
      <c r="S594" s="675"/>
      <c r="T594" s="10"/>
      <c r="U594" s="675" t="e">
        <f>SUM(U523:U589)</f>
        <v>#REF!</v>
      </c>
      <c r="V594" s="675" t="e">
        <f>SUM(V523:V589)</f>
        <v>#REF!</v>
      </c>
      <c r="W594" s="675" t="e">
        <f>SUM(W523:W589)</f>
        <v>#REF!</v>
      </c>
      <c r="X594" s="10"/>
      <c r="Y594" s="10"/>
      <c r="Z594" s="10"/>
      <c r="AA594" s="10"/>
      <c r="AB594" s="10"/>
      <c r="AC594" s="10"/>
      <c r="AD594" s="10"/>
    </row>
    <row r="595" spans="1:44" ht="26.1" customHeight="1" x14ac:dyDescent="0.2">
      <c r="A595" s="536"/>
      <c r="B595" s="564"/>
      <c r="C595" s="2148"/>
      <c r="D595" s="898"/>
      <c r="E595" s="898"/>
      <c r="F595" s="898"/>
      <c r="I595" s="2016" t="e">
        <f>+IF(I594=0,0,I593/I594)</f>
        <v>#REF!</v>
      </c>
      <c r="J595" s="2016" t="e">
        <f>+IF(J594=0,0,J593/J594)</f>
        <v>#REF!</v>
      </c>
      <c r="K595" s="2016" t="e">
        <f>+IF(K594=0,0,K593/K594)</f>
        <v>#REF!</v>
      </c>
      <c r="L595" s="900" t="e">
        <f>+L594-L592</f>
        <v>#REF!</v>
      </c>
      <c r="M595" s="900" t="e">
        <f>+M594-M592</f>
        <v>#REF!</v>
      </c>
      <c r="N595" s="900" t="e">
        <f>+N594-N592</f>
        <v>#REF!</v>
      </c>
      <c r="O595" s="900" t="e">
        <f>+O594-(I593+I594)</f>
        <v>#REF!</v>
      </c>
      <c r="P595" s="900" t="e">
        <f>+P594-(J593+J594)</f>
        <v>#REF!</v>
      </c>
      <c r="Q595" s="900" t="e">
        <f>+Q594-(K593+K594)</f>
        <v>#REF!</v>
      </c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</row>
    <row r="596" spans="1:44" ht="27" x14ac:dyDescent="0.2">
      <c r="A596" s="536"/>
      <c r="B596" s="567"/>
      <c r="C596" s="4636"/>
      <c r="D596" s="4636"/>
      <c r="E596" s="901"/>
      <c r="F596" s="901"/>
      <c r="I596" s="2017"/>
      <c r="J596" s="2017"/>
      <c r="K596" s="2017"/>
      <c r="L596" s="900"/>
      <c r="M596" s="900"/>
      <c r="N596" s="900"/>
      <c r="O596" s="2018" t="e">
        <f>+O594-(I593+I594)</f>
        <v>#REF!</v>
      </c>
      <c r="P596" s="2018" t="e">
        <f>+P594-(J593+J594)</f>
        <v>#REF!</v>
      </c>
      <c r="Q596" s="2018" t="e">
        <f>+Q594-(K593+K594)</f>
        <v>#REF!</v>
      </c>
      <c r="R596" s="675"/>
      <c r="S596" s="675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</row>
    <row r="597" spans="1:44" ht="63.75" customHeight="1" x14ac:dyDescent="0.8">
      <c r="A597" s="536"/>
      <c r="C597" s="3785" t="s">
        <v>242</v>
      </c>
      <c r="D597" s="3786"/>
      <c r="E597" s="3787"/>
      <c r="F597" s="902">
        <f>IF(F10=0,0,(F10-F351-F352-F353-F354-F355-SUM(F523:F591))/F10)</f>
        <v>0</v>
      </c>
      <c r="I597" s="903" t="e">
        <f>IF(I593&lt;0,"ERROR","O.K.")</f>
        <v>#REF!</v>
      </c>
      <c r="J597" s="903" t="e">
        <f>IF(J593&lt;0,"ERROR","O.K.")</f>
        <v>#REF!</v>
      </c>
      <c r="K597" s="903" t="e">
        <f>IF(K593&lt;0,"ERROR","O.K.")</f>
        <v>#REF!</v>
      </c>
      <c r="O597" s="545" t="e">
        <f>IF(O596&lt;0,"ERROR","O.K.")</f>
        <v>#REF!</v>
      </c>
      <c r="P597" s="545" t="e">
        <f>IF(P596&lt;0,"ERROR","O.K.")</f>
        <v>#REF!</v>
      </c>
      <c r="Q597" s="545" t="e">
        <f>IF(Q596&lt;0,"ERROR","O.K.")</f>
        <v>#REF!</v>
      </c>
    </row>
    <row r="598" spans="1:44" ht="21.95" customHeight="1" x14ac:dyDescent="0.8">
      <c r="A598" s="536"/>
      <c r="C598" s="904"/>
      <c r="D598" s="905"/>
      <c r="E598" s="905"/>
      <c r="F598" s="906"/>
      <c r="I598" s="907"/>
      <c r="J598" s="907"/>
      <c r="K598" s="907"/>
      <c r="O598" s="190"/>
      <c r="P598" s="190"/>
      <c r="Q598" s="190"/>
    </row>
    <row r="599" spans="1:44" ht="51.6" customHeight="1" thickBot="1" x14ac:dyDescent="0.65">
      <c r="A599" s="4627" t="s">
        <v>630</v>
      </c>
      <c r="B599" s="4627"/>
      <c r="C599" s="4627"/>
      <c r="D599" s="4627"/>
      <c r="E599" s="4627"/>
      <c r="F599" s="4627"/>
      <c r="G599" s="4627"/>
      <c r="I599" s="907"/>
      <c r="J599" s="907"/>
      <c r="K599" s="907"/>
      <c r="O599" s="190"/>
      <c r="P599" s="190"/>
      <c r="Q599" s="190"/>
    </row>
    <row r="600" spans="1:44" ht="30.75" customHeight="1" x14ac:dyDescent="0.2">
      <c r="A600" s="3813" t="s">
        <v>160</v>
      </c>
      <c r="B600" s="3813"/>
      <c r="C600" s="3813"/>
      <c r="D600" s="3813"/>
      <c r="E600" s="3814"/>
      <c r="F600" s="3717" t="s">
        <v>191</v>
      </c>
      <c r="G600" s="3702" t="s">
        <v>101</v>
      </c>
      <c r="I600" s="4041" t="s">
        <v>192</v>
      </c>
      <c r="J600" s="3934"/>
      <c r="K600" s="3935"/>
      <c r="L600" s="3933" t="s">
        <v>193</v>
      </c>
      <c r="M600" s="3934"/>
      <c r="N600" s="3935"/>
      <c r="O600" s="3763" t="s">
        <v>194</v>
      </c>
      <c r="P600" s="3764"/>
      <c r="Q600" s="3764"/>
      <c r="R600" s="1965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</row>
    <row r="601" spans="1:44" ht="30.75" customHeight="1" thickBot="1" x14ac:dyDescent="0.25">
      <c r="A601" s="3813"/>
      <c r="B601" s="3815"/>
      <c r="C601" s="3815"/>
      <c r="D601" s="3815"/>
      <c r="E601" s="3816"/>
      <c r="F601" s="4628"/>
      <c r="G601" s="4629"/>
      <c r="I601" s="1966" t="s">
        <v>5</v>
      </c>
      <c r="J601" s="585" t="s">
        <v>6</v>
      </c>
      <c r="K601" s="585" t="s">
        <v>7</v>
      </c>
      <c r="L601" s="585" t="s">
        <v>5</v>
      </c>
      <c r="M601" s="585" t="s">
        <v>6</v>
      </c>
      <c r="N601" s="585" t="s">
        <v>7</v>
      </c>
      <c r="O601" s="585" t="s">
        <v>5</v>
      </c>
      <c r="P601" s="585" t="s">
        <v>6</v>
      </c>
      <c r="Q601" s="585" t="s">
        <v>7</v>
      </c>
      <c r="R601" s="1967" t="s">
        <v>4</v>
      </c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</row>
    <row r="602" spans="1:44" ht="52.5" customHeight="1" x14ac:dyDescent="0.2">
      <c r="A602" s="4033" t="s">
        <v>163</v>
      </c>
      <c r="B602" s="3952" t="s">
        <v>41</v>
      </c>
      <c r="C602" s="1947">
        <v>5030</v>
      </c>
      <c r="D602" s="4617" t="s">
        <v>217</v>
      </c>
      <c r="E602" s="4618"/>
      <c r="F602" s="2442">
        <f>+F432</f>
        <v>0</v>
      </c>
      <c r="G602" s="2411">
        <f>+G432</f>
        <v>0</v>
      </c>
      <c r="H602" s="12"/>
      <c r="I602" s="1968">
        <f>IF(F602=0,0,$F602*COEF!$J$27)</f>
        <v>0</v>
      </c>
      <c r="J602" s="858">
        <f>IF(F602=0,0,$F602*COEF!$K$27)</f>
        <v>0</v>
      </c>
      <c r="K602" s="858">
        <f>IF(F602=0,0,$F602*COEF!$L$27)</f>
        <v>0</v>
      </c>
      <c r="L602" s="859" t="e">
        <f>+I602*I$595</f>
        <v>#REF!</v>
      </c>
      <c r="M602" s="859" t="e">
        <f>+J602*J$595</f>
        <v>#REF!</v>
      </c>
      <c r="N602" s="859" t="e">
        <f>+K602*K$595</f>
        <v>#REF!</v>
      </c>
      <c r="O602" s="860" t="e">
        <f>I602+L602</f>
        <v>#REF!</v>
      </c>
      <c r="P602" s="860" t="e">
        <f>J602+M602</f>
        <v>#REF!</v>
      </c>
      <c r="Q602" s="860" t="e">
        <f>K602+N602</f>
        <v>#REF!</v>
      </c>
      <c r="R602" s="1969" t="e">
        <f>SUM(O602:Q602)</f>
        <v>#REF!</v>
      </c>
      <c r="S602" s="675">
        <f>SUM(I602:K602)</f>
        <v>0</v>
      </c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R602" s="25">
        <f>SUM(I602:K602)</f>
        <v>0</v>
      </c>
    </row>
    <row r="603" spans="1:44" ht="52.5" customHeight="1" x14ac:dyDescent="0.2">
      <c r="A603" s="4034"/>
      <c r="B603" s="3953"/>
      <c r="C603" s="1954">
        <v>5040</v>
      </c>
      <c r="D603" s="3743" t="s">
        <v>218</v>
      </c>
      <c r="E603" s="3744"/>
      <c r="F603" s="2443">
        <f>+F433+F436+F437+F438+F439</f>
        <v>0</v>
      </c>
      <c r="G603" s="2413" t="e">
        <f>+G433+G434+G436+G437+G438+G439</f>
        <v>#REF!</v>
      </c>
      <c r="H603" s="12"/>
      <c r="I603" s="1968">
        <f>IF(F603=0,0,$F603*COEF!$J$27)</f>
        <v>0</v>
      </c>
      <c r="J603" s="858">
        <f>IF(F603=0,0,$F603*COEF!$K$27)</f>
        <v>0</v>
      </c>
      <c r="K603" s="858">
        <f>IF(F603=0,0,$F603*COEF!$L$27)</f>
        <v>0</v>
      </c>
      <c r="L603" s="859" t="e">
        <f t="shared" ref="L603:L648" si="173">+I603*I$595</f>
        <v>#REF!</v>
      </c>
      <c r="M603" s="859" t="e">
        <f t="shared" ref="M603:M648" si="174">+J603*J$595</f>
        <v>#REF!</v>
      </c>
      <c r="N603" s="859" t="e">
        <f t="shared" ref="N603:N648" si="175">+K603*K$595</f>
        <v>#REF!</v>
      </c>
      <c r="O603" s="860" t="e">
        <f t="shared" ref="O603:O648" si="176">I603+L603</f>
        <v>#REF!</v>
      </c>
      <c r="P603" s="860" t="e">
        <f t="shared" ref="P603:P648" si="177">J603+M603</f>
        <v>#REF!</v>
      </c>
      <c r="Q603" s="860" t="e">
        <f t="shared" ref="Q603:Q648" si="178">K603+N603</f>
        <v>#REF!</v>
      </c>
      <c r="R603" s="1969" t="e">
        <f t="shared" ref="R603:R648" si="179">SUM(O603:Q603)</f>
        <v>#REF!</v>
      </c>
      <c r="S603" s="675">
        <f t="shared" ref="S603:S607" si="180">SUM(I603:K603)</f>
        <v>0</v>
      </c>
      <c r="T603" s="10"/>
      <c r="U603" s="10"/>
      <c r="V603" s="10"/>
      <c r="W603" s="10"/>
      <c r="X603" s="10"/>
      <c r="Y603" s="10"/>
      <c r="Z603" s="10"/>
      <c r="AA603" s="10"/>
      <c r="AB603" s="10"/>
      <c r="AC603" s="10"/>
    </row>
    <row r="604" spans="1:44" ht="52.5" customHeight="1" x14ac:dyDescent="0.2">
      <c r="A604" s="4034"/>
      <c r="B604" s="3953"/>
      <c r="C604" s="1955">
        <v>5050</v>
      </c>
      <c r="D604" s="4314" t="s">
        <v>219</v>
      </c>
      <c r="E604" s="4616"/>
      <c r="F604" s="2443">
        <f>+F525</f>
        <v>0</v>
      </c>
      <c r="G604" s="2413">
        <f>+G525</f>
        <v>0</v>
      </c>
      <c r="H604" s="12"/>
      <c r="I604" s="1968">
        <f>IF(F604=0,0,$F604*COEF!$J$27)</f>
        <v>0</v>
      </c>
      <c r="J604" s="858">
        <f>IF(F604=0,0,$F604*COEF!$K$27)</f>
        <v>0</v>
      </c>
      <c r="K604" s="858">
        <f>IF(F604=0,0,$F604*COEF!$L$27)</f>
        <v>0</v>
      </c>
      <c r="L604" s="859" t="e">
        <f t="shared" si="173"/>
        <v>#REF!</v>
      </c>
      <c r="M604" s="859" t="e">
        <f t="shared" si="174"/>
        <v>#REF!</v>
      </c>
      <c r="N604" s="859" t="e">
        <f t="shared" si="175"/>
        <v>#REF!</v>
      </c>
      <c r="O604" s="860" t="e">
        <f t="shared" si="176"/>
        <v>#REF!</v>
      </c>
      <c r="P604" s="860" t="e">
        <f t="shared" si="177"/>
        <v>#REF!</v>
      </c>
      <c r="Q604" s="860" t="e">
        <f t="shared" si="178"/>
        <v>#REF!</v>
      </c>
      <c r="R604" s="1969" t="e">
        <f t="shared" si="179"/>
        <v>#REF!</v>
      </c>
      <c r="S604" s="675">
        <f t="shared" si="180"/>
        <v>0</v>
      </c>
      <c r="T604" s="10"/>
      <c r="U604" s="10"/>
      <c r="V604" s="10"/>
      <c r="W604" s="10"/>
      <c r="X604" s="10"/>
      <c r="Y604" s="10"/>
      <c r="Z604" s="10"/>
      <c r="AA604" s="10"/>
      <c r="AB604" s="10"/>
      <c r="AC604" s="10"/>
    </row>
    <row r="605" spans="1:44" ht="52.5" customHeight="1" thickBot="1" x14ac:dyDescent="0.25">
      <c r="A605" s="4034"/>
      <c r="B605" s="4611"/>
      <c r="C605" s="2077" t="s">
        <v>50</v>
      </c>
      <c r="D605" s="4613" t="s">
        <v>580</v>
      </c>
      <c r="E605" s="4614"/>
      <c r="F605" s="2443" t="e">
        <f>+F440</f>
        <v>#REF!</v>
      </c>
      <c r="G605" s="2413" t="e">
        <f>+G440</f>
        <v>#REF!</v>
      </c>
      <c r="H605" s="2434" t="e">
        <f>SUM(F602:F605)</f>
        <v>#REF!</v>
      </c>
      <c r="I605" s="1968" t="e">
        <f>IF(F605=0,0,$F605*COEF!$J$27)</f>
        <v>#REF!</v>
      </c>
      <c r="J605" s="858" t="e">
        <f>IF(F605=0,0,$F605*COEF!$K$27)</f>
        <v>#REF!</v>
      </c>
      <c r="K605" s="858" t="e">
        <f>IF(F605=0,0,$F605*COEF!$L$27)</f>
        <v>#REF!</v>
      </c>
      <c r="L605" s="859" t="e">
        <f t="shared" si="173"/>
        <v>#REF!</v>
      </c>
      <c r="M605" s="859" t="e">
        <f t="shared" si="174"/>
        <v>#REF!</v>
      </c>
      <c r="N605" s="859" t="e">
        <f t="shared" si="175"/>
        <v>#REF!</v>
      </c>
      <c r="O605" s="860" t="e">
        <f t="shared" si="176"/>
        <v>#REF!</v>
      </c>
      <c r="P605" s="860" t="e">
        <f t="shared" si="177"/>
        <v>#REF!</v>
      </c>
      <c r="Q605" s="860" t="e">
        <f t="shared" si="178"/>
        <v>#REF!</v>
      </c>
      <c r="R605" s="1969" t="e">
        <f t="shared" si="179"/>
        <v>#REF!</v>
      </c>
      <c r="S605" s="675" t="e">
        <f t="shared" si="180"/>
        <v>#REF!</v>
      </c>
      <c r="T605" s="10"/>
      <c r="U605" s="10"/>
      <c r="V605" s="10"/>
      <c r="W605" s="10"/>
      <c r="X605" s="10"/>
      <c r="Y605" s="10"/>
      <c r="Z605" s="10"/>
      <c r="AA605" s="10"/>
      <c r="AB605" s="10"/>
      <c r="AC605" s="10"/>
    </row>
    <row r="606" spans="1:44" ht="52.5" customHeight="1" x14ac:dyDescent="0.2">
      <c r="A606" s="4034"/>
      <c r="B606" s="4017" t="s">
        <v>52</v>
      </c>
      <c r="C606" s="1947">
        <v>5030</v>
      </c>
      <c r="D606" s="4308" t="s">
        <v>217</v>
      </c>
      <c r="E606" s="4612"/>
      <c r="F606" s="2443">
        <f>+F441</f>
        <v>0</v>
      </c>
      <c r="G606" s="2413">
        <f>+G441</f>
        <v>0</v>
      </c>
      <c r="H606" s="12"/>
      <c r="I606" s="1968">
        <f>IF(F606=0,0,$F606*COEF!$J$27)</f>
        <v>0</v>
      </c>
      <c r="J606" s="858">
        <f>IF(F606=0,0,$F606*COEF!$K$27)</f>
        <v>0</v>
      </c>
      <c r="K606" s="858">
        <f>IF(F606=0,0,$F606*COEF!$L$27)</f>
        <v>0</v>
      </c>
      <c r="L606" s="859" t="e">
        <f t="shared" si="173"/>
        <v>#REF!</v>
      </c>
      <c r="M606" s="859" t="e">
        <f t="shared" si="174"/>
        <v>#REF!</v>
      </c>
      <c r="N606" s="859" t="e">
        <f t="shared" si="175"/>
        <v>#REF!</v>
      </c>
      <c r="O606" s="860" t="e">
        <f t="shared" si="176"/>
        <v>#REF!</v>
      </c>
      <c r="P606" s="860" t="e">
        <f t="shared" si="177"/>
        <v>#REF!</v>
      </c>
      <c r="Q606" s="860" t="e">
        <f t="shared" si="178"/>
        <v>#REF!</v>
      </c>
      <c r="R606" s="1969" t="e">
        <f t="shared" si="179"/>
        <v>#REF!</v>
      </c>
      <c r="S606" s="675">
        <f t="shared" si="180"/>
        <v>0</v>
      </c>
      <c r="T606" s="10"/>
      <c r="U606" s="10"/>
      <c r="V606" s="10"/>
      <c r="W606" s="10"/>
      <c r="X606" s="10"/>
      <c r="Y606" s="10"/>
      <c r="Z606" s="10"/>
      <c r="AA606" s="10"/>
      <c r="AB606" s="10"/>
      <c r="AC606" s="10"/>
    </row>
    <row r="607" spans="1:44" ht="52.5" customHeight="1" x14ac:dyDescent="0.2">
      <c r="A607" s="4034"/>
      <c r="B607" s="4018"/>
      <c r="C607" s="1954">
        <v>5040</v>
      </c>
      <c r="D607" s="3743" t="s">
        <v>218</v>
      </c>
      <c r="E607" s="3744"/>
      <c r="F607" s="2443">
        <f>+F442+F449</f>
        <v>0</v>
      </c>
      <c r="G607" s="2413">
        <f>+G442+G449</f>
        <v>0</v>
      </c>
      <c r="H607" s="12"/>
      <c r="I607" s="1968">
        <f>IF(F607=0,0,$F607*COEF!$J$27)</f>
        <v>0</v>
      </c>
      <c r="J607" s="858">
        <f>IF(F607=0,0,$F607*COEF!$K$27)</f>
        <v>0</v>
      </c>
      <c r="K607" s="858">
        <f>IF(F607=0,0,$F607*COEF!$L$27)</f>
        <v>0</v>
      </c>
      <c r="L607" s="859" t="e">
        <f t="shared" si="173"/>
        <v>#REF!</v>
      </c>
      <c r="M607" s="859" t="e">
        <f t="shared" si="174"/>
        <v>#REF!</v>
      </c>
      <c r="N607" s="859" t="e">
        <f t="shared" si="175"/>
        <v>#REF!</v>
      </c>
      <c r="O607" s="860" t="e">
        <f t="shared" si="176"/>
        <v>#REF!</v>
      </c>
      <c r="P607" s="860" t="e">
        <f t="shared" si="177"/>
        <v>#REF!</v>
      </c>
      <c r="Q607" s="860" t="e">
        <f t="shared" si="178"/>
        <v>#REF!</v>
      </c>
      <c r="R607" s="1969" t="e">
        <f t="shared" si="179"/>
        <v>#REF!</v>
      </c>
      <c r="S607" s="675">
        <f t="shared" si="180"/>
        <v>0</v>
      </c>
      <c r="T607" s="10"/>
      <c r="U607" s="10"/>
      <c r="V607" s="10"/>
      <c r="W607" s="10"/>
      <c r="X607" s="10"/>
      <c r="Y607" s="10"/>
      <c r="Z607" s="10"/>
      <c r="AA607" s="10"/>
      <c r="AB607" s="10"/>
      <c r="AC607" s="10"/>
    </row>
    <row r="608" spans="1:44" ht="52.5" customHeight="1" x14ac:dyDescent="0.2">
      <c r="A608" s="4034"/>
      <c r="B608" s="4018"/>
      <c r="C608" s="1954">
        <v>5041</v>
      </c>
      <c r="D608" s="3743" t="s">
        <v>620</v>
      </c>
      <c r="E608" s="3744"/>
      <c r="F608" s="2443" t="e">
        <f>+F443+F450</f>
        <v>#REF!</v>
      </c>
      <c r="G608" s="2413" t="e">
        <f>+G443+G450</f>
        <v>#REF!</v>
      </c>
      <c r="H608" s="12"/>
      <c r="I608" s="1968" t="e">
        <f>IF(F608=0,0,$F608*COEF!$J$27)</f>
        <v>#REF!</v>
      </c>
      <c r="J608" s="858" t="e">
        <f>IF(F608=0,0,$F608*COEF!$K$27)</f>
        <v>#REF!</v>
      </c>
      <c r="K608" s="858" t="e">
        <f>IF(F608=0,0,$F608*COEF!$L$27)</f>
        <v>#REF!</v>
      </c>
      <c r="L608" s="859" t="e">
        <f t="shared" si="173"/>
        <v>#REF!</v>
      </c>
      <c r="M608" s="859" t="e">
        <f t="shared" si="174"/>
        <v>#REF!</v>
      </c>
      <c r="N608" s="859" t="e">
        <f t="shared" si="175"/>
        <v>#REF!</v>
      </c>
      <c r="O608" s="860" t="e">
        <f t="shared" si="176"/>
        <v>#REF!</v>
      </c>
      <c r="P608" s="860" t="e">
        <f t="shared" si="177"/>
        <v>#REF!</v>
      </c>
      <c r="Q608" s="860" t="e">
        <f t="shared" si="178"/>
        <v>#REF!</v>
      </c>
      <c r="R608" s="1969" t="e">
        <f t="shared" si="179"/>
        <v>#REF!</v>
      </c>
      <c r="S608" s="675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</row>
    <row r="609" spans="1:29" ht="52.5" customHeight="1" x14ac:dyDescent="0.2">
      <c r="A609" s="4034"/>
      <c r="B609" s="4018"/>
      <c r="C609" s="1954">
        <v>5045</v>
      </c>
      <c r="D609" s="3743" t="s">
        <v>221</v>
      </c>
      <c r="E609" s="3744"/>
      <c r="F609" s="2443">
        <f>+F451+F444</f>
        <v>0</v>
      </c>
      <c r="G609" s="2413">
        <f>+G451+G444</f>
        <v>0</v>
      </c>
      <c r="H609" s="12"/>
      <c r="I609" s="1968">
        <f>IF(F609=0,0,$F609*COEF!$J$27)</f>
        <v>0</v>
      </c>
      <c r="J609" s="858">
        <f>IF(F609=0,0,$F609*COEF!$K$27)</f>
        <v>0</v>
      </c>
      <c r="K609" s="858">
        <f>IF(F609=0,0,$F609*COEF!$L$27)</f>
        <v>0</v>
      </c>
      <c r="L609" s="859" t="e">
        <f t="shared" si="173"/>
        <v>#REF!</v>
      </c>
      <c r="M609" s="859" t="e">
        <f t="shared" si="174"/>
        <v>#REF!</v>
      </c>
      <c r="N609" s="859" t="e">
        <f t="shared" si="175"/>
        <v>#REF!</v>
      </c>
      <c r="O609" s="860" t="e">
        <f t="shared" si="176"/>
        <v>#REF!</v>
      </c>
      <c r="P609" s="860" t="e">
        <f t="shared" si="177"/>
        <v>#REF!</v>
      </c>
      <c r="Q609" s="860" t="e">
        <f t="shared" si="178"/>
        <v>#REF!</v>
      </c>
      <c r="R609" s="1969" t="e">
        <f t="shared" si="179"/>
        <v>#REF!</v>
      </c>
      <c r="S609" s="675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</row>
    <row r="610" spans="1:29" ht="52.5" customHeight="1" x14ac:dyDescent="0.2">
      <c r="A610" s="4034"/>
      <c r="B610" s="4018"/>
      <c r="C610" s="1955">
        <v>5050</v>
      </c>
      <c r="D610" s="4314" t="s">
        <v>219</v>
      </c>
      <c r="E610" s="4616"/>
      <c r="F610" s="2443">
        <f t="shared" ref="F610:G612" si="181">+F446</f>
        <v>0</v>
      </c>
      <c r="G610" s="2413">
        <f t="shared" si="181"/>
        <v>0</v>
      </c>
      <c r="H610" s="12"/>
      <c r="I610" s="1968">
        <f>IF(F610=0,0,$F610*COEF!$J$27)</f>
        <v>0</v>
      </c>
      <c r="J610" s="858">
        <f>IF(F610=0,0,$F610*COEF!$K$27)</f>
        <v>0</v>
      </c>
      <c r="K610" s="858">
        <f>IF(F610=0,0,$F610*COEF!$L$27)</f>
        <v>0</v>
      </c>
      <c r="L610" s="859" t="e">
        <f t="shared" si="173"/>
        <v>#REF!</v>
      </c>
      <c r="M610" s="859" t="e">
        <f t="shared" si="174"/>
        <v>#REF!</v>
      </c>
      <c r="N610" s="859" t="e">
        <f t="shared" si="175"/>
        <v>#REF!</v>
      </c>
      <c r="O610" s="860" t="e">
        <f t="shared" si="176"/>
        <v>#REF!</v>
      </c>
      <c r="P610" s="860" t="e">
        <f t="shared" si="177"/>
        <v>#REF!</v>
      </c>
      <c r="Q610" s="860" t="e">
        <f t="shared" si="178"/>
        <v>#REF!</v>
      </c>
      <c r="R610" s="1969" t="e">
        <f t="shared" si="179"/>
        <v>#REF!</v>
      </c>
      <c r="S610" s="675">
        <f t="shared" ref="S610:S611" si="182">SUM(I610:K610)</f>
        <v>0</v>
      </c>
      <c r="T610" s="10"/>
      <c r="U610" s="10"/>
      <c r="V610" s="10"/>
      <c r="W610" s="10"/>
      <c r="X610" s="10"/>
      <c r="Y610" s="10"/>
      <c r="Z610" s="10"/>
      <c r="AA610" s="10"/>
      <c r="AB610" s="10"/>
      <c r="AC610" s="10"/>
    </row>
    <row r="611" spans="1:29" ht="52.5" customHeight="1" x14ac:dyDescent="0.2">
      <c r="A611" s="4034"/>
      <c r="B611" s="4018"/>
      <c r="C611" s="1955">
        <v>5051</v>
      </c>
      <c r="D611" s="4314" t="s">
        <v>621</v>
      </c>
      <c r="E611" s="4616"/>
      <c r="F611" s="2443" t="e">
        <f t="shared" si="181"/>
        <v>#REF!</v>
      </c>
      <c r="G611" s="2413" t="e">
        <f t="shared" si="181"/>
        <v>#REF!</v>
      </c>
      <c r="H611" s="12"/>
      <c r="I611" s="1968" t="e">
        <f>IF(F611=0,0,$F611*COEF!$J$27)</f>
        <v>#REF!</v>
      </c>
      <c r="J611" s="858" t="e">
        <f>IF(F611=0,0,$F611*COEF!$K$27)</f>
        <v>#REF!</v>
      </c>
      <c r="K611" s="858" t="e">
        <f>IF(F611=0,0,$F611*COEF!$L$27)</f>
        <v>#REF!</v>
      </c>
      <c r="L611" s="859" t="e">
        <f t="shared" si="173"/>
        <v>#REF!</v>
      </c>
      <c r="M611" s="859" t="e">
        <f t="shared" si="174"/>
        <v>#REF!</v>
      </c>
      <c r="N611" s="859" t="e">
        <f t="shared" si="175"/>
        <v>#REF!</v>
      </c>
      <c r="O611" s="860" t="e">
        <f t="shared" si="176"/>
        <v>#REF!</v>
      </c>
      <c r="P611" s="860" t="e">
        <f t="shared" si="177"/>
        <v>#REF!</v>
      </c>
      <c r="Q611" s="860" t="e">
        <f t="shared" si="178"/>
        <v>#REF!</v>
      </c>
      <c r="R611" s="1969" t="e">
        <f t="shared" si="179"/>
        <v>#REF!</v>
      </c>
      <c r="S611" s="675" t="e">
        <f t="shared" si="182"/>
        <v>#REF!</v>
      </c>
      <c r="T611" s="10"/>
      <c r="U611" s="10"/>
      <c r="V611" s="10"/>
      <c r="W611" s="10"/>
      <c r="X611" s="10"/>
      <c r="Y611" s="10"/>
      <c r="Z611" s="10"/>
      <c r="AA611" s="10"/>
      <c r="AB611" s="10"/>
      <c r="AC611" s="10"/>
    </row>
    <row r="612" spans="1:29" ht="52.5" customHeight="1" x14ac:dyDescent="0.2">
      <c r="A612" s="4034"/>
      <c r="B612" s="4018"/>
      <c r="C612" s="1955">
        <v>5055</v>
      </c>
      <c r="D612" s="4314" t="s">
        <v>222</v>
      </c>
      <c r="E612" s="4616"/>
      <c r="F612" s="2443">
        <f t="shared" si="181"/>
        <v>0</v>
      </c>
      <c r="G612" s="2413">
        <f t="shared" si="181"/>
        <v>0</v>
      </c>
      <c r="H612" s="12"/>
      <c r="I612" s="1968">
        <f>IF(F612=0,0,$F612*COEF!$J$27)</f>
        <v>0</v>
      </c>
      <c r="J612" s="858">
        <f>IF(F612=0,0,$F612*COEF!$K$27)</f>
        <v>0</v>
      </c>
      <c r="K612" s="858">
        <f>IF(F612=0,0,$F612*COEF!$L$27)</f>
        <v>0</v>
      </c>
      <c r="L612" s="859" t="e">
        <f t="shared" si="173"/>
        <v>#REF!</v>
      </c>
      <c r="M612" s="859" t="e">
        <f t="shared" si="174"/>
        <v>#REF!</v>
      </c>
      <c r="N612" s="859" t="e">
        <f t="shared" si="175"/>
        <v>#REF!</v>
      </c>
      <c r="O612" s="860" t="e">
        <f t="shared" si="176"/>
        <v>#REF!</v>
      </c>
      <c r="P612" s="860" t="e">
        <f t="shared" si="177"/>
        <v>#REF!</v>
      </c>
      <c r="Q612" s="860" t="e">
        <f t="shared" si="178"/>
        <v>#REF!</v>
      </c>
      <c r="R612" s="1969" t="e">
        <f t="shared" si="179"/>
        <v>#REF!</v>
      </c>
      <c r="S612" s="675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</row>
    <row r="613" spans="1:29" ht="52.5" customHeight="1" thickBot="1" x14ac:dyDescent="0.25">
      <c r="A613" s="4034"/>
      <c r="B613" s="4615"/>
      <c r="C613" s="2414" t="s">
        <v>50</v>
      </c>
      <c r="D613" s="4631" t="s">
        <v>580</v>
      </c>
      <c r="E613" s="4632"/>
      <c r="F613" s="2443" t="e">
        <f>+F458</f>
        <v>#REF!</v>
      </c>
      <c r="G613" s="2413" t="e">
        <f>+G458</f>
        <v>#REF!</v>
      </c>
      <c r="H613" s="12"/>
      <c r="I613" s="1968" t="e">
        <f>IF(F613=0,0,$F613*COEF!$J$27)</f>
        <v>#REF!</v>
      </c>
      <c r="J613" s="858" t="e">
        <f>IF(F613=0,0,$F613*COEF!$K$27)</f>
        <v>#REF!</v>
      </c>
      <c r="K613" s="858" t="e">
        <f>IF(F613=0,0,$F613*COEF!$L$27)</f>
        <v>#REF!</v>
      </c>
      <c r="L613" s="859" t="e">
        <f t="shared" si="173"/>
        <v>#REF!</v>
      </c>
      <c r="M613" s="859" t="e">
        <f t="shared" si="174"/>
        <v>#REF!</v>
      </c>
      <c r="N613" s="859" t="e">
        <f t="shared" si="175"/>
        <v>#REF!</v>
      </c>
      <c r="O613" s="860" t="e">
        <f t="shared" si="176"/>
        <v>#REF!</v>
      </c>
      <c r="P613" s="860" t="e">
        <f t="shared" si="177"/>
        <v>#REF!</v>
      </c>
      <c r="Q613" s="860" t="e">
        <f t="shared" si="178"/>
        <v>#REF!</v>
      </c>
      <c r="R613" s="1969" t="e">
        <f t="shared" si="179"/>
        <v>#REF!</v>
      </c>
      <c r="S613" s="675" t="e">
        <f t="shared" ref="S613:S615" si="183">SUM(I613:K613)</f>
        <v>#REF!</v>
      </c>
      <c r="T613" s="10"/>
      <c r="U613" s="10"/>
      <c r="V613" s="10"/>
      <c r="W613" s="10"/>
      <c r="X613" s="10"/>
      <c r="Y613" s="10"/>
      <c r="Z613" s="10"/>
      <c r="AA613" s="10"/>
      <c r="AB613" s="10"/>
      <c r="AC613" s="10"/>
    </row>
    <row r="614" spans="1:29" ht="52.5" customHeight="1" x14ac:dyDescent="0.2">
      <c r="A614" s="4034"/>
      <c r="B614" s="3963" t="s">
        <v>57</v>
      </c>
      <c r="C614" s="1947">
        <v>5030</v>
      </c>
      <c r="D614" s="4308" t="s">
        <v>217</v>
      </c>
      <c r="E614" s="4612"/>
      <c r="F614" s="2443">
        <f>+F459</f>
        <v>0</v>
      </c>
      <c r="G614" s="2413">
        <f>+G459</f>
        <v>0</v>
      </c>
      <c r="H614" s="12"/>
      <c r="I614" s="1968">
        <f>IF(F614=0,0,$F614*COEF!$J$27)</f>
        <v>0</v>
      </c>
      <c r="J614" s="858">
        <f>IF(F614=0,0,$F614*COEF!$K$27)</f>
        <v>0</v>
      </c>
      <c r="K614" s="858">
        <f>IF(F614=0,0,$F614*COEF!$L$27)</f>
        <v>0</v>
      </c>
      <c r="L614" s="859" t="e">
        <f t="shared" si="173"/>
        <v>#REF!</v>
      </c>
      <c r="M614" s="859" t="e">
        <f t="shared" si="174"/>
        <v>#REF!</v>
      </c>
      <c r="N614" s="859" t="e">
        <f t="shared" si="175"/>
        <v>#REF!</v>
      </c>
      <c r="O614" s="860" t="e">
        <f t="shared" si="176"/>
        <v>#REF!</v>
      </c>
      <c r="P614" s="860" t="e">
        <f t="shared" si="177"/>
        <v>#REF!</v>
      </c>
      <c r="Q614" s="860" t="e">
        <f t="shared" si="178"/>
        <v>#REF!</v>
      </c>
      <c r="R614" s="1969" t="e">
        <f t="shared" si="179"/>
        <v>#REF!</v>
      </c>
      <c r="S614" s="675">
        <f t="shared" si="183"/>
        <v>0</v>
      </c>
      <c r="T614" s="10"/>
      <c r="U614" s="10"/>
      <c r="V614" s="10"/>
      <c r="W614" s="10"/>
      <c r="X614" s="10"/>
      <c r="Y614" s="10"/>
      <c r="Z614" s="10"/>
      <c r="AA614" s="10"/>
      <c r="AB614" s="10"/>
      <c r="AC614" s="10"/>
    </row>
    <row r="615" spans="1:29" ht="52.5" customHeight="1" x14ac:dyDescent="0.2">
      <c r="A615" s="4034"/>
      <c r="B615" s="3964"/>
      <c r="C615" s="1954">
        <v>5040</v>
      </c>
      <c r="D615" s="3743" t="s">
        <v>218</v>
      </c>
      <c r="E615" s="3744"/>
      <c r="F615" s="2443">
        <f t="shared" ref="F615:G617" si="184">+F468+F460</f>
        <v>0</v>
      </c>
      <c r="G615" s="2413">
        <f t="shared" si="184"/>
        <v>0</v>
      </c>
      <c r="H615" s="12"/>
      <c r="I615" s="1968">
        <f>IF(F615=0,0,$F615*COEF!$J$27)</f>
        <v>0</v>
      </c>
      <c r="J615" s="858">
        <f>IF(F615=0,0,$F615*COEF!$K$27)</f>
        <v>0</v>
      </c>
      <c r="K615" s="858">
        <f>IF(F615=0,0,$F615*COEF!$L$27)</f>
        <v>0</v>
      </c>
      <c r="L615" s="859" t="e">
        <f t="shared" si="173"/>
        <v>#REF!</v>
      </c>
      <c r="M615" s="859" t="e">
        <f t="shared" si="174"/>
        <v>#REF!</v>
      </c>
      <c r="N615" s="859" t="e">
        <f t="shared" si="175"/>
        <v>#REF!</v>
      </c>
      <c r="O615" s="860" t="e">
        <f t="shared" si="176"/>
        <v>#REF!</v>
      </c>
      <c r="P615" s="860" t="e">
        <f t="shared" si="177"/>
        <v>#REF!</v>
      </c>
      <c r="Q615" s="860" t="e">
        <f t="shared" si="178"/>
        <v>#REF!</v>
      </c>
      <c r="R615" s="1969" t="e">
        <f t="shared" si="179"/>
        <v>#REF!</v>
      </c>
      <c r="S615" s="675">
        <f t="shared" si="183"/>
        <v>0</v>
      </c>
      <c r="T615" s="10"/>
      <c r="U615" s="10"/>
      <c r="V615" s="10"/>
      <c r="W615" s="10"/>
      <c r="X615" s="10"/>
      <c r="Y615" s="10"/>
      <c r="Z615" s="10"/>
      <c r="AA615" s="10"/>
      <c r="AB615" s="10"/>
      <c r="AC615" s="10"/>
    </row>
    <row r="616" spans="1:29" ht="52.5" customHeight="1" x14ac:dyDescent="0.2">
      <c r="A616" s="4034"/>
      <c r="B616" s="3964"/>
      <c r="C616" s="1954">
        <v>5041</v>
      </c>
      <c r="D616" s="3743" t="s">
        <v>620</v>
      </c>
      <c r="E616" s="3744"/>
      <c r="F616" s="2443" t="e">
        <f t="shared" si="184"/>
        <v>#REF!</v>
      </c>
      <c r="G616" s="2413" t="e">
        <f t="shared" si="184"/>
        <v>#REF!</v>
      </c>
      <c r="H616" s="12"/>
      <c r="I616" s="1968" t="e">
        <f>IF(F616=0,0,$F616*COEF!$J$27)</f>
        <v>#REF!</v>
      </c>
      <c r="J616" s="858" t="e">
        <f>IF(F616=0,0,$F616*COEF!$K$27)</f>
        <v>#REF!</v>
      </c>
      <c r="K616" s="858" t="e">
        <f>IF(F616=0,0,$F616*COEF!$L$27)</f>
        <v>#REF!</v>
      </c>
      <c r="L616" s="859" t="e">
        <f t="shared" si="173"/>
        <v>#REF!</v>
      </c>
      <c r="M616" s="859" t="e">
        <f t="shared" si="174"/>
        <v>#REF!</v>
      </c>
      <c r="N616" s="859" t="e">
        <f t="shared" si="175"/>
        <v>#REF!</v>
      </c>
      <c r="O616" s="860" t="e">
        <f t="shared" si="176"/>
        <v>#REF!</v>
      </c>
      <c r="P616" s="860" t="e">
        <f t="shared" si="177"/>
        <v>#REF!</v>
      </c>
      <c r="Q616" s="860" t="e">
        <f t="shared" si="178"/>
        <v>#REF!</v>
      </c>
      <c r="R616" s="1969" t="e">
        <f t="shared" si="179"/>
        <v>#REF!</v>
      </c>
      <c r="S616" s="675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</row>
    <row r="617" spans="1:29" ht="52.5" customHeight="1" x14ac:dyDescent="0.2">
      <c r="A617" s="4034"/>
      <c r="B617" s="3964"/>
      <c r="C617" s="1954">
        <v>5045</v>
      </c>
      <c r="D617" s="3743" t="s">
        <v>221</v>
      </c>
      <c r="E617" s="3744"/>
      <c r="F617" s="2443">
        <f t="shared" si="184"/>
        <v>0</v>
      </c>
      <c r="G617" s="2413">
        <f t="shared" si="184"/>
        <v>0</v>
      </c>
      <c r="H617" s="12"/>
      <c r="I617" s="1968">
        <f>IF(F617=0,0,$F617*COEF!$J$27)</f>
        <v>0</v>
      </c>
      <c r="J617" s="858">
        <f>IF(F617=0,0,$F617*COEF!$K$27)</f>
        <v>0</v>
      </c>
      <c r="K617" s="858">
        <f>IF(F617=0,0,$F617*COEF!$L$27)</f>
        <v>0</v>
      </c>
      <c r="L617" s="859" t="e">
        <f t="shared" si="173"/>
        <v>#REF!</v>
      </c>
      <c r="M617" s="859" t="e">
        <f t="shared" si="174"/>
        <v>#REF!</v>
      </c>
      <c r="N617" s="859" t="e">
        <f t="shared" si="175"/>
        <v>#REF!</v>
      </c>
      <c r="O617" s="860" t="e">
        <f t="shared" si="176"/>
        <v>#REF!</v>
      </c>
      <c r="P617" s="860" t="e">
        <f t="shared" si="177"/>
        <v>#REF!</v>
      </c>
      <c r="Q617" s="860" t="e">
        <f t="shared" si="178"/>
        <v>#REF!</v>
      </c>
      <c r="R617" s="1969" t="e">
        <f t="shared" si="179"/>
        <v>#REF!</v>
      </c>
      <c r="S617" s="675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</row>
    <row r="618" spans="1:29" ht="52.5" customHeight="1" x14ac:dyDescent="0.2">
      <c r="A618" s="4034"/>
      <c r="B618" s="3964"/>
      <c r="C618" s="1955">
        <v>5050</v>
      </c>
      <c r="D618" s="4314" t="s">
        <v>219</v>
      </c>
      <c r="E618" s="4616"/>
      <c r="F618" s="2443">
        <f>+F464</f>
        <v>0</v>
      </c>
      <c r="G618" s="2413">
        <f>+G464</f>
        <v>0</v>
      </c>
      <c r="H618" s="12"/>
      <c r="I618" s="1968">
        <f>IF(F618=0,0,$F618*COEF!$J$27)</f>
        <v>0</v>
      </c>
      <c r="J618" s="858">
        <f>IF(F618=0,0,$F618*COEF!$K$27)</f>
        <v>0</v>
      </c>
      <c r="K618" s="858">
        <f>IF(F618=0,0,$F618*COEF!$L$27)</f>
        <v>0</v>
      </c>
      <c r="L618" s="859" t="e">
        <f t="shared" si="173"/>
        <v>#REF!</v>
      </c>
      <c r="M618" s="859" t="e">
        <f t="shared" si="174"/>
        <v>#REF!</v>
      </c>
      <c r="N618" s="859" t="e">
        <f t="shared" si="175"/>
        <v>#REF!</v>
      </c>
      <c r="O618" s="860" t="e">
        <f t="shared" si="176"/>
        <v>#REF!</v>
      </c>
      <c r="P618" s="860" t="e">
        <f t="shared" si="177"/>
        <v>#REF!</v>
      </c>
      <c r="Q618" s="860" t="e">
        <f t="shared" si="178"/>
        <v>#REF!</v>
      </c>
      <c r="R618" s="1969" t="e">
        <f t="shared" si="179"/>
        <v>#REF!</v>
      </c>
      <c r="S618" s="675">
        <f t="shared" ref="S618:S619" si="185">SUM(I618:K618)</f>
        <v>0</v>
      </c>
      <c r="T618" s="10"/>
      <c r="U618" s="10"/>
      <c r="V618" s="10"/>
      <c r="W618" s="10"/>
      <c r="X618" s="10"/>
      <c r="Y618" s="10"/>
      <c r="Z618" s="10"/>
      <c r="AA618" s="10"/>
      <c r="AB618" s="10"/>
      <c r="AC618" s="10"/>
    </row>
    <row r="619" spans="1:29" ht="52.5" customHeight="1" x14ac:dyDescent="0.2">
      <c r="A619" s="4034"/>
      <c r="B619" s="3964"/>
      <c r="C619" s="1955">
        <v>5051</v>
      </c>
      <c r="D619" s="4314" t="s">
        <v>621</v>
      </c>
      <c r="E619" s="4616"/>
      <c r="F619" s="2443" t="e">
        <f>+F465</f>
        <v>#REF!</v>
      </c>
      <c r="G619" s="2413" t="e">
        <f>+G465</f>
        <v>#REF!</v>
      </c>
      <c r="H619" s="12"/>
      <c r="I619" s="1968" t="e">
        <f>IF(F619=0,0,$F619*COEF!$J$27)</f>
        <v>#REF!</v>
      </c>
      <c r="J619" s="858" t="e">
        <f>IF(F619=0,0,$F619*COEF!$K$27)</f>
        <v>#REF!</v>
      </c>
      <c r="K619" s="858" t="e">
        <f>IF(F619=0,0,$F619*COEF!$L$27)</f>
        <v>#REF!</v>
      </c>
      <c r="L619" s="859" t="e">
        <f t="shared" si="173"/>
        <v>#REF!</v>
      </c>
      <c r="M619" s="859" t="e">
        <f t="shared" si="174"/>
        <v>#REF!</v>
      </c>
      <c r="N619" s="859" t="e">
        <f t="shared" si="175"/>
        <v>#REF!</v>
      </c>
      <c r="O619" s="860" t="e">
        <f t="shared" si="176"/>
        <v>#REF!</v>
      </c>
      <c r="P619" s="860" t="e">
        <f t="shared" si="177"/>
        <v>#REF!</v>
      </c>
      <c r="Q619" s="860" t="e">
        <f t="shared" si="178"/>
        <v>#REF!</v>
      </c>
      <c r="R619" s="1969" t="e">
        <f t="shared" si="179"/>
        <v>#REF!</v>
      </c>
      <c r="S619" s="675" t="e">
        <f t="shared" si="185"/>
        <v>#REF!</v>
      </c>
      <c r="T619" s="10"/>
      <c r="U619" s="10"/>
      <c r="V619" s="10"/>
      <c r="W619" s="10"/>
      <c r="X619" s="10"/>
      <c r="Y619" s="10"/>
      <c r="Z619" s="10"/>
      <c r="AA619" s="10"/>
      <c r="AB619" s="10"/>
      <c r="AC619" s="10"/>
    </row>
    <row r="620" spans="1:29" ht="52.5" customHeight="1" x14ac:dyDescent="0.2">
      <c r="A620" s="4034"/>
      <c r="B620" s="3964"/>
      <c r="C620" s="1955">
        <v>5055</v>
      </c>
      <c r="D620" s="4314" t="s">
        <v>222</v>
      </c>
      <c r="E620" s="4616"/>
      <c r="F620" s="2443" t="e">
        <f>+F466+F467</f>
        <v>#REF!</v>
      </c>
      <c r="G620" s="2413" t="e">
        <f>+G466+G467</f>
        <v>#REF!</v>
      </c>
      <c r="H620" s="12"/>
      <c r="I620" s="1968" t="e">
        <f>IF(F620=0,0,$F620*COEF!$J$27)</f>
        <v>#REF!</v>
      </c>
      <c r="J620" s="858" t="e">
        <f>IF(F620=0,0,$F620*COEF!$K$27)</f>
        <v>#REF!</v>
      </c>
      <c r="K620" s="858" t="e">
        <f>IF(F620=0,0,$F620*COEF!$L$27)</f>
        <v>#REF!</v>
      </c>
      <c r="L620" s="859" t="e">
        <f t="shared" si="173"/>
        <v>#REF!</v>
      </c>
      <c r="M620" s="859" t="e">
        <f t="shared" si="174"/>
        <v>#REF!</v>
      </c>
      <c r="N620" s="859" t="e">
        <f t="shared" si="175"/>
        <v>#REF!</v>
      </c>
      <c r="O620" s="860" t="e">
        <f t="shared" si="176"/>
        <v>#REF!</v>
      </c>
      <c r="P620" s="860" t="e">
        <f t="shared" si="177"/>
        <v>#REF!</v>
      </c>
      <c r="Q620" s="860" t="e">
        <f t="shared" si="178"/>
        <v>#REF!</v>
      </c>
      <c r="R620" s="1969" t="e">
        <f t="shared" si="179"/>
        <v>#REF!</v>
      </c>
      <c r="S620" s="675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</row>
    <row r="621" spans="1:29" ht="52.5" customHeight="1" thickBot="1" x14ac:dyDescent="0.25">
      <c r="A621" s="4034"/>
      <c r="B621" s="4619"/>
      <c r="C621" s="2414" t="s">
        <v>50</v>
      </c>
      <c r="D621" s="4631" t="s">
        <v>580</v>
      </c>
      <c r="E621" s="4632"/>
      <c r="F621" s="2443" t="e">
        <f>+F475</f>
        <v>#REF!</v>
      </c>
      <c r="G621" s="2413" t="e">
        <f>+G475</f>
        <v>#REF!</v>
      </c>
      <c r="H621" s="12"/>
      <c r="I621" s="1968" t="e">
        <f>IF(F621=0,0,$F621*COEF!$J$27)</f>
        <v>#REF!</v>
      </c>
      <c r="J621" s="858" t="e">
        <f>IF(F621=0,0,$F621*COEF!$K$27)</f>
        <v>#REF!</v>
      </c>
      <c r="K621" s="858" t="e">
        <f>IF(F621=0,0,$F621*COEF!$L$27)</f>
        <v>#REF!</v>
      </c>
      <c r="L621" s="859" t="e">
        <f t="shared" si="173"/>
        <v>#REF!</v>
      </c>
      <c r="M621" s="859" t="e">
        <f t="shared" si="174"/>
        <v>#REF!</v>
      </c>
      <c r="N621" s="859" t="e">
        <f t="shared" si="175"/>
        <v>#REF!</v>
      </c>
      <c r="O621" s="860" t="e">
        <f t="shared" si="176"/>
        <v>#REF!</v>
      </c>
      <c r="P621" s="860" t="e">
        <f t="shared" si="177"/>
        <v>#REF!</v>
      </c>
      <c r="Q621" s="860" t="e">
        <f t="shared" si="178"/>
        <v>#REF!</v>
      </c>
      <c r="R621" s="1969" t="e">
        <f t="shared" si="179"/>
        <v>#REF!</v>
      </c>
      <c r="S621" s="675" t="e">
        <f t="shared" ref="S621" si="186">SUM(I621:K621)</f>
        <v>#REF!</v>
      </c>
      <c r="T621" s="10"/>
      <c r="U621" s="10"/>
      <c r="V621" s="10"/>
      <c r="W621" s="10"/>
      <c r="X621" s="10"/>
      <c r="Y621" s="10"/>
      <c r="Z621" s="10"/>
      <c r="AA621" s="10"/>
      <c r="AB621" s="10"/>
      <c r="AC621" s="10"/>
    </row>
    <row r="622" spans="1:29" ht="52.5" customHeight="1" x14ac:dyDescent="0.2">
      <c r="A622" s="4034"/>
      <c r="B622" s="3963" t="s">
        <v>62</v>
      </c>
      <c r="C622" s="1947">
        <v>5030</v>
      </c>
      <c r="D622" s="4308" t="s">
        <v>217</v>
      </c>
      <c r="E622" s="4612"/>
      <c r="F622" s="2443">
        <f>+F476</f>
        <v>0</v>
      </c>
      <c r="G622" s="2413">
        <f>+G476</f>
        <v>0</v>
      </c>
      <c r="H622" s="12"/>
      <c r="I622" s="1968">
        <f>IF(F622=0,0,$F622*COEF!$J$27)</f>
        <v>0</v>
      </c>
      <c r="J622" s="858">
        <f>IF(F622=0,0,$F622*COEF!$K$27)</f>
        <v>0</v>
      </c>
      <c r="K622" s="858">
        <f>IF(F622=0,0,$F622*COEF!$L$27)</f>
        <v>0</v>
      </c>
      <c r="L622" s="859" t="e">
        <f t="shared" si="173"/>
        <v>#REF!</v>
      </c>
      <c r="M622" s="859" t="e">
        <f t="shared" si="174"/>
        <v>#REF!</v>
      </c>
      <c r="N622" s="859" t="e">
        <f t="shared" si="175"/>
        <v>#REF!</v>
      </c>
      <c r="O622" s="860" t="e">
        <f t="shared" si="176"/>
        <v>#REF!</v>
      </c>
      <c r="P622" s="860" t="e">
        <f t="shared" si="177"/>
        <v>#REF!</v>
      </c>
      <c r="Q622" s="860" t="e">
        <f t="shared" si="178"/>
        <v>#REF!</v>
      </c>
      <c r="R622" s="1969" t="e">
        <f t="shared" si="179"/>
        <v>#REF!</v>
      </c>
      <c r="S622" s="675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</row>
    <row r="623" spans="1:29" ht="52.5" customHeight="1" x14ac:dyDescent="0.2">
      <c r="A623" s="4034"/>
      <c r="B623" s="3964"/>
      <c r="C623" s="1954">
        <v>5040</v>
      </c>
      <c r="D623" s="3743" t="s">
        <v>218</v>
      </c>
      <c r="E623" s="3744"/>
      <c r="F623" s="2443">
        <f>+F477+F486</f>
        <v>0</v>
      </c>
      <c r="G623" s="2413">
        <f>+G477+G486</f>
        <v>0</v>
      </c>
      <c r="H623" s="12"/>
      <c r="I623" s="1968">
        <f>IF(F623=0,0,$F623*COEF!$J$27)</f>
        <v>0</v>
      </c>
      <c r="J623" s="858">
        <f>IF(F623=0,0,$F623*COEF!$K$27)</f>
        <v>0</v>
      </c>
      <c r="K623" s="858">
        <f>IF(F623=0,0,$F623*COEF!$L$27)</f>
        <v>0</v>
      </c>
      <c r="L623" s="859" t="e">
        <f t="shared" si="173"/>
        <v>#REF!</v>
      </c>
      <c r="M623" s="859" t="e">
        <f t="shared" si="174"/>
        <v>#REF!</v>
      </c>
      <c r="N623" s="859" t="e">
        <f t="shared" si="175"/>
        <v>#REF!</v>
      </c>
      <c r="O623" s="860" t="e">
        <f t="shared" si="176"/>
        <v>#REF!</v>
      </c>
      <c r="P623" s="860" t="e">
        <f t="shared" si="177"/>
        <v>#REF!</v>
      </c>
      <c r="Q623" s="860" t="e">
        <f t="shared" si="178"/>
        <v>#REF!</v>
      </c>
      <c r="R623" s="1969" t="e">
        <f t="shared" si="179"/>
        <v>#REF!</v>
      </c>
      <c r="S623" s="675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</row>
    <row r="624" spans="1:29" ht="52.5" customHeight="1" x14ac:dyDescent="0.2">
      <c r="A624" s="4034"/>
      <c r="B624" s="3964"/>
      <c r="C624" s="1954">
        <v>5041</v>
      </c>
      <c r="D624" s="3743" t="s">
        <v>620</v>
      </c>
      <c r="E624" s="3744"/>
      <c r="F624" s="2443" t="e">
        <f>+F487+F478</f>
        <v>#REF!</v>
      </c>
      <c r="G624" s="2413" t="e">
        <f>+G487+G478</f>
        <v>#REF!</v>
      </c>
      <c r="H624" s="12"/>
      <c r="I624" s="1968" t="e">
        <f>IF(F624=0,0,$F624*COEF!$J$27)</f>
        <v>#REF!</v>
      </c>
      <c r="J624" s="858" t="e">
        <f>IF(F624=0,0,$F624*COEF!$K$27)</f>
        <v>#REF!</v>
      </c>
      <c r="K624" s="858" t="e">
        <f>IF(F624=0,0,$F624*COEF!$L$27)</f>
        <v>#REF!</v>
      </c>
      <c r="L624" s="859" t="e">
        <f t="shared" si="173"/>
        <v>#REF!</v>
      </c>
      <c r="M624" s="859" t="e">
        <f t="shared" si="174"/>
        <v>#REF!</v>
      </c>
      <c r="N624" s="859" t="e">
        <f t="shared" si="175"/>
        <v>#REF!</v>
      </c>
      <c r="O624" s="860" t="e">
        <f t="shared" si="176"/>
        <v>#REF!</v>
      </c>
      <c r="P624" s="860" t="e">
        <f t="shared" si="177"/>
        <v>#REF!</v>
      </c>
      <c r="Q624" s="860" t="e">
        <f t="shared" si="178"/>
        <v>#REF!</v>
      </c>
      <c r="R624" s="1969" t="e">
        <f t="shared" si="179"/>
        <v>#REF!</v>
      </c>
      <c r="S624" s="675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</row>
    <row r="625" spans="1:29" ht="52.5" customHeight="1" x14ac:dyDescent="0.2">
      <c r="A625" s="4034"/>
      <c r="B625" s="3964"/>
      <c r="C625" s="1954">
        <v>5045</v>
      </c>
      <c r="D625" s="3743" t="s">
        <v>221</v>
      </c>
      <c r="E625" s="3744"/>
      <c r="F625" s="2443" t="e">
        <f>+F479+F480+F488</f>
        <v>#REF!</v>
      </c>
      <c r="G625" s="2413" t="e">
        <f>+G479+G480+G488</f>
        <v>#REF!</v>
      </c>
      <c r="H625" s="12"/>
      <c r="I625" s="1968" t="e">
        <f>IF(F625=0,0,$F625*COEF!$J$27)</f>
        <v>#REF!</v>
      </c>
      <c r="J625" s="858" t="e">
        <f>IF(F625=0,0,$F625*COEF!$K$27)</f>
        <v>#REF!</v>
      </c>
      <c r="K625" s="858" t="e">
        <f>IF(F625=0,0,$F625*COEF!$L$27)</f>
        <v>#REF!</v>
      </c>
      <c r="L625" s="859" t="e">
        <f t="shared" si="173"/>
        <v>#REF!</v>
      </c>
      <c r="M625" s="859" t="e">
        <f t="shared" si="174"/>
        <v>#REF!</v>
      </c>
      <c r="N625" s="859" t="e">
        <f t="shared" si="175"/>
        <v>#REF!</v>
      </c>
      <c r="O625" s="860" t="e">
        <f t="shared" si="176"/>
        <v>#REF!</v>
      </c>
      <c r="P625" s="860" t="e">
        <f t="shared" si="177"/>
        <v>#REF!</v>
      </c>
      <c r="Q625" s="860" t="e">
        <f t="shared" si="178"/>
        <v>#REF!</v>
      </c>
      <c r="R625" s="1969" t="e">
        <f t="shared" si="179"/>
        <v>#REF!</v>
      </c>
      <c r="S625" s="675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</row>
    <row r="626" spans="1:29" ht="52.5" customHeight="1" x14ac:dyDescent="0.2">
      <c r="A626" s="4034"/>
      <c r="B626" s="3964"/>
      <c r="C626" s="1955">
        <v>5050</v>
      </c>
      <c r="D626" s="4314" t="s">
        <v>219</v>
      </c>
      <c r="E626" s="4616"/>
      <c r="F626" s="2443">
        <f>+F482</f>
        <v>0</v>
      </c>
      <c r="G626" s="2413">
        <f>+G482</f>
        <v>0</v>
      </c>
      <c r="H626" s="12"/>
      <c r="I626" s="1968">
        <f>IF(F626=0,0,$F626*COEF!$J$27)</f>
        <v>0</v>
      </c>
      <c r="J626" s="858">
        <f>IF(F626=0,0,$F626*COEF!$K$27)</f>
        <v>0</v>
      </c>
      <c r="K626" s="858">
        <f>IF(F626=0,0,$F626*COEF!$L$27)</f>
        <v>0</v>
      </c>
      <c r="L626" s="859" t="e">
        <f t="shared" si="173"/>
        <v>#REF!</v>
      </c>
      <c r="M626" s="859" t="e">
        <f t="shared" si="174"/>
        <v>#REF!</v>
      </c>
      <c r="N626" s="859" t="e">
        <f t="shared" si="175"/>
        <v>#REF!</v>
      </c>
      <c r="O626" s="860" t="e">
        <f t="shared" si="176"/>
        <v>#REF!</v>
      </c>
      <c r="P626" s="860" t="e">
        <f t="shared" si="177"/>
        <v>#REF!</v>
      </c>
      <c r="Q626" s="860" t="e">
        <f t="shared" si="178"/>
        <v>#REF!</v>
      </c>
      <c r="R626" s="1969" t="e">
        <f t="shared" si="179"/>
        <v>#REF!</v>
      </c>
      <c r="S626" s="675">
        <f t="shared" ref="S626" si="187">SUM(I626:K626)</f>
        <v>0</v>
      </c>
      <c r="T626" s="10"/>
      <c r="U626" s="10"/>
      <c r="V626" s="10"/>
      <c r="W626" s="10"/>
      <c r="X626" s="10"/>
      <c r="Y626" s="10"/>
      <c r="Z626" s="10"/>
      <c r="AA626" s="10"/>
      <c r="AB626" s="10"/>
      <c r="AC626" s="10"/>
    </row>
    <row r="627" spans="1:29" ht="52.5" customHeight="1" x14ac:dyDescent="0.2">
      <c r="A627" s="4034"/>
      <c r="B627" s="3964"/>
      <c r="C627" s="1955">
        <v>5051</v>
      </c>
      <c r="D627" s="4314" t="s">
        <v>621</v>
      </c>
      <c r="E627" s="4616"/>
      <c r="F627" s="2443" t="e">
        <f>+F483</f>
        <v>#REF!</v>
      </c>
      <c r="G627" s="2413" t="e">
        <f>+G483</f>
        <v>#REF!</v>
      </c>
      <c r="H627" s="12"/>
      <c r="I627" s="1968" t="e">
        <f>IF(F627=0,0,$F627*COEF!$J$27)</f>
        <v>#REF!</v>
      </c>
      <c r="J627" s="858" t="e">
        <f>IF(F627=0,0,$F627*COEF!$K$27)</f>
        <v>#REF!</v>
      </c>
      <c r="K627" s="858" t="e">
        <f>IF(F627=0,0,$F627*COEF!$L$27)</f>
        <v>#REF!</v>
      </c>
      <c r="L627" s="859" t="e">
        <f t="shared" si="173"/>
        <v>#REF!</v>
      </c>
      <c r="M627" s="859" t="e">
        <f t="shared" si="174"/>
        <v>#REF!</v>
      </c>
      <c r="N627" s="859" t="e">
        <f t="shared" si="175"/>
        <v>#REF!</v>
      </c>
      <c r="O627" s="860" t="e">
        <f t="shared" si="176"/>
        <v>#REF!</v>
      </c>
      <c r="P627" s="860" t="e">
        <f t="shared" si="177"/>
        <v>#REF!</v>
      </c>
      <c r="Q627" s="860" t="e">
        <f t="shared" si="178"/>
        <v>#REF!</v>
      </c>
      <c r="R627" s="1969" t="e">
        <f t="shared" si="179"/>
        <v>#REF!</v>
      </c>
      <c r="S627" s="675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</row>
    <row r="628" spans="1:29" ht="52.5" customHeight="1" x14ac:dyDescent="0.2">
      <c r="A628" s="4034"/>
      <c r="B628" s="3964"/>
      <c r="C628" s="1955">
        <v>5055</v>
      </c>
      <c r="D628" s="4314" t="s">
        <v>222</v>
      </c>
      <c r="E628" s="4616"/>
      <c r="F628" s="2443" t="e">
        <f>+F484+F485</f>
        <v>#REF!</v>
      </c>
      <c r="G628" s="2413" t="e">
        <f>+G484+G485</f>
        <v>#REF!</v>
      </c>
      <c r="H628" s="12"/>
      <c r="I628" s="1968" t="e">
        <f>IF(F628=0,0,$F628*COEF!$J$27)</f>
        <v>#REF!</v>
      </c>
      <c r="J628" s="858" t="e">
        <f>IF(F628=0,0,$F628*COEF!$K$27)</f>
        <v>#REF!</v>
      </c>
      <c r="K628" s="858" t="e">
        <f>IF(F628=0,0,$F628*COEF!$L$27)</f>
        <v>#REF!</v>
      </c>
      <c r="L628" s="859" t="e">
        <f t="shared" si="173"/>
        <v>#REF!</v>
      </c>
      <c r="M628" s="859" t="e">
        <f t="shared" si="174"/>
        <v>#REF!</v>
      </c>
      <c r="N628" s="859" t="e">
        <f t="shared" si="175"/>
        <v>#REF!</v>
      </c>
      <c r="O628" s="860" t="e">
        <f t="shared" si="176"/>
        <v>#REF!</v>
      </c>
      <c r="P628" s="860" t="e">
        <f t="shared" si="177"/>
        <v>#REF!</v>
      </c>
      <c r="Q628" s="860" t="e">
        <f t="shared" si="178"/>
        <v>#REF!</v>
      </c>
      <c r="R628" s="1969" t="e">
        <f t="shared" si="179"/>
        <v>#REF!</v>
      </c>
      <c r="S628" s="675" t="e">
        <f t="shared" ref="S628" si="188">SUM(I628:K628)</f>
        <v>#REF!</v>
      </c>
      <c r="T628" s="10"/>
      <c r="U628" s="10"/>
      <c r="V628" s="10"/>
      <c r="W628" s="10"/>
      <c r="X628" s="10"/>
      <c r="Y628" s="10"/>
      <c r="Z628" s="10"/>
      <c r="AA628" s="10"/>
      <c r="AB628" s="10"/>
      <c r="AC628" s="10"/>
    </row>
    <row r="629" spans="1:29" ht="52.5" customHeight="1" thickBot="1" x14ac:dyDescent="0.25">
      <c r="A629" s="4034"/>
      <c r="B629" s="4619"/>
      <c r="C629" s="2414" t="s">
        <v>50</v>
      </c>
      <c r="D629" s="4631" t="s">
        <v>580</v>
      </c>
      <c r="E629" s="4632"/>
      <c r="F629" s="2443" t="e">
        <f>+F493</f>
        <v>#REF!</v>
      </c>
      <c r="G629" s="2413" t="e">
        <f>+G493</f>
        <v>#REF!</v>
      </c>
      <c r="H629" s="12"/>
      <c r="I629" s="1968" t="e">
        <f>IF(F629=0,0,$F629*COEF!$J$27)</f>
        <v>#REF!</v>
      </c>
      <c r="J629" s="858" t="e">
        <f>IF(F629=0,0,$F629*COEF!$K$27)</f>
        <v>#REF!</v>
      </c>
      <c r="K629" s="858" t="e">
        <f>IF(F629=0,0,$F629*COEF!$L$27)</f>
        <v>#REF!</v>
      </c>
      <c r="L629" s="859" t="e">
        <f t="shared" si="173"/>
        <v>#REF!</v>
      </c>
      <c r="M629" s="859" t="e">
        <f t="shared" si="174"/>
        <v>#REF!</v>
      </c>
      <c r="N629" s="859" t="e">
        <f t="shared" si="175"/>
        <v>#REF!</v>
      </c>
      <c r="O629" s="860" t="e">
        <f t="shared" si="176"/>
        <v>#REF!</v>
      </c>
      <c r="P629" s="860" t="e">
        <f t="shared" si="177"/>
        <v>#REF!</v>
      </c>
      <c r="Q629" s="860" t="e">
        <f t="shared" si="178"/>
        <v>#REF!</v>
      </c>
      <c r="R629" s="1969" t="e">
        <f t="shared" si="179"/>
        <v>#REF!</v>
      </c>
      <c r="S629" s="675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</row>
    <row r="630" spans="1:29" ht="52.5" customHeight="1" x14ac:dyDescent="0.2">
      <c r="A630" s="4034"/>
      <c r="B630" s="3963" t="s">
        <v>631</v>
      </c>
      <c r="C630" s="1947">
        <v>5030</v>
      </c>
      <c r="D630" s="4308" t="s">
        <v>217</v>
      </c>
      <c r="E630" s="4612"/>
      <c r="F630" s="2443">
        <f>+F494</f>
        <v>0</v>
      </c>
      <c r="G630" s="2413">
        <f>+G494</f>
        <v>0</v>
      </c>
      <c r="H630" s="12"/>
      <c r="I630" s="1968">
        <f>IF(F630=0,0,$F630*COEF!$J$27)</f>
        <v>0</v>
      </c>
      <c r="J630" s="858">
        <f>IF(F630=0,0,$F630*COEF!$K$27)</f>
        <v>0</v>
      </c>
      <c r="K630" s="858">
        <f>IF(F630=0,0,$F630*COEF!$L$27)</f>
        <v>0</v>
      </c>
      <c r="L630" s="859" t="e">
        <f t="shared" si="173"/>
        <v>#REF!</v>
      </c>
      <c r="M630" s="859" t="e">
        <f t="shared" si="174"/>
        <v>#REF!</v>
      </c>
      <c r="N630" s="859" t="e">
        <f t="shared" si="175"/>
        <v>#REF!</v>
      </c>
      <c r="O630" s="860" t="e">
        <f t="shared" si="176"/>
        <v>#REF!</v>
      </c>
      <c r="P630" s="860" t="e">
        <f t="shared" si="177"/>
        <v>#REF!</v>
      </c>
      <c r="Q630" s="860" t="e">
        <f t="shared" si="178"/>
        <v>#REF!</v>
      </c>
      <c r="R630" s="1969" t="e">
        <f t="shared" si="179"/>
        <v>#REF!</v>
      </c>
      <c r="S630" s="675">
        <f t="shared" ref="S630:S632" si="189">SUM(I630:K630)</f>
        <v>0</v>
      </c>
      <c r="T630" s="10"/>
      <c r="U630" s="10"/>
      <c r="V630" s="10"/>
      <c r="W630" s="10"/>
      <c r="X630" s="10"/>
      <c r="Y630" s="10"/>
      <c r="Z630" s="10"/>
      <c r="AA630" s="10"/>
      <c r="AB630" s="10"/>
      <c r="AC630" s="10"/>
    </row>
    <row r="631" spans="1:29" ht="52.5" customHeight="1" x14ac:dyDescent="0.2">
      <c r="A631" s="4034"/>
      <c r="B631" s="3964"/>
      <c r="C631" s="1954">
        <v>5040</v>
      </c>
      <c r="D631" s="3743" t="s">
        <v>218</v>
      </c>
      <c r="E631" s="3744"/>
      <c r="F631" s="2443">
        <f>+F495+F504</f>
        <v>0</v>
      </c>
      <c r="G631" s="2413">
        <f>+G495+G504</f>
        <v>0</v>
      </c>
      <c r="H631" s="12"/>
      <c r="I631" s="1968">
        <f>IF(F631=0,0,$F631*COEF!$J$27)</f>
        <v>0</v>
      </c>
      <c r="J631" s="858">
        <f>IF(F631=0,0,$F631*COEF!$K$27)</f>
        <v>0</v>
      </c>
      <c r="K631" s="858">
        <f>IF(F631=0,0,$F631*COEF!$L$27)</f>
        <v>0</v>
      </c>
      <c r="L631" s="859" t="e">
        <f t="shared" si="173"/>
        <v>#REF!</v>
      </c>
      <c r="M631" s="859" t="e">
        <f t="shared" si="174"/>
        <v>#REF!</v>
      </c>
      <c r="N631" s="859" t="e">
        <f t="shared" si="175"/>
        <v>#REF!</v>
      </c>
      <c r="O631" s="860" t="e">
        <f t="shared" si="176"/>
        <v>#REF!</v>
      </c>
      <c r="P631" s="860" t="e">
        <f t="shared" si="177"/>
        <v>#REF!</v>
      </c>
      <c r="Q631" s="860" t="e">
        <f t="shared" si="178"/>
        <v>#REF!</v>
      </c>
      <c r="R631" s="1969" t="e">
        <f t="shared" si="179"/>
        <v>#REF!</v>
      </c>
      <c r="S631" s="675">
        <f t="shared" si="189"/>
        <v>0</v>
      </c>
      <c r="T631" s="10"/>
      <c r="U631" s="10"/>
      <c r="V631" s="10"/>
      <c r="W631" s="10"/>
      <c r="X631" s="10"/>
      <c r="Y631" s="10"/>
      <c r="Z631" s="10"/>
      <c r="AA631" s="10"/>
      <c r="AB631" s="10"/>
      <c r="AC631" s="10"/>
    </row>
    <row r="632" spans="1:29" ht="52.5" customHeight="1" x14ac:dyDescent="0.2">
      <c r="A632" s="4034"/>
      <c r="B632" s="3964"/>
      <c r="C632" s="1954">
        <v>5041</v>
      </c>
      <c r="D632" s="3743" t="s">
        <v>620</v>
      </c>
      <c r="E632" s="3744"/>
      <c r="F632" s="2443" t="e">
        <f>+F496+F505</f>
        <v>#REF!</v>
      </c>
      <c r="G632" s="2413" t="e">
        <f>+G496+G505</f>
        <v>#REF!</v>
      </c>
      <c r="H632" s="12"/>
      <c r="I632" s="1968" t="e">
        <f>IF(F632=0,0,$F632*COEF!$J$27)</f>
        <v>#REF!</v>
      </c>
      <c r="J632" s="858" t="e">
        <f>IF(F632=0,0,$F632*COEF!$K$27)</f>
        <v>#REF!</v>
      </c>
      <c r="K632" s="858" t="e">
        <f>IF(F632=0,0,$F632*COEF!$L$27)</f>
        <v>#REF!</v>
      </c>
      <c r="L632" s="859" t="e">
        <f t="shared" si="173"/>
        <v>#REF!</v>
      </c>
      <c r="M632" s="859" t="e">
        <f t="shared" si="174"/>
        <v>#REF!</v>
      </c>
      <c r="N632" s="859" t="e">
        <f t="shared" si="175"/>
        <v>#REF!</v>
      </c>
      <c r="O632" s="860" t="e">
        <f t="shared" si="176"/>
        <v>#REF!</v>
      </c>
      <c r="P632" s="860" t="e">
        <f t="shared" si="177"/>
        <v>#REF!</v>
      </c>
      <c r="Q632" s="860" t="e">
        <f t="shared" si="178"/>
        <v>#REF!</v>
      </c>
      <c r="R632" s="1969" t="e">
        <f t="shared" si="179"/>
        <v>#REF!</v>
      </c>
      <c r="S632" s="675" t="e">
        <f t="shared" si="189"/>
        <v>#REF!</v>
      </c>
      <c r="T632" s="10"/>
      <c r="U632" s="10"/>
      <c r="V632" s="10"/>
      <c r="W632" s="10"/>
      <c r="X632" s="10"/>
      <c r="Y632" s="10"/>
      <c r="Z632" s="10"/>
      <c r="AA632" s="10"/>
      <c r="AB632" s="10"/>
      <c r="AC632" s="10"/>
    </row>
    <row r="633" spans="1:29" ht="52.5" customHeight="1" x14ac:dyDescent="0.2">
      <c r="A633" s="4034"/>
      <c r="B633" s="3964"/>
      <c r="C633" s="1954">
        <v>5045</v>
      </c>
      <c r="D633" s="3743" t="s">
        <v>221</v>
      </c>
      <c r="E633" s="3744"/>
      <c r="F633" s="2443" t="e">
        <f>+F506+F497+F498</f>
        <v>#REF!</v>
      </c>
      <c r="G633" s="2413" t="e">
        <f>+G506+G497+G498</f>
        <v>#REF!</v>
      </c>
      <c r="H633" s="12"/>
      <c r="I633" s="1968" t="e">
        <f>IF(F633=0,0,$F633*COEF!$J$27)</f>
        <v>#REF!</v>
      </c>
      <c r="J633" s="858" t="e">
        <f>IF(F633=0,0,$F633*COEF!$K$27)</f>
        <v>#REF!</v>
      </c>
      <c r="K633" s="858" t="e">
        <f>IF(F633=0,0,$F633*COEF!$L$27)</f>
        <v>#REF!</v>
      </c>
      <c r="L633" s="859" t="e">
        <f t="shared" si="173"/>
        <v>#REF!</v>
      </c>
      <c r="M633" s="859" t="e">
        <f t="shared" si="174"/>
        <v>#REF!</v>
      </c>
      <c r="N633" s="859" t="e">
        <f t="shared" si="175"/>
        <v>#REF!</v>
      </c>
      <c r="O633" s="860" t="e">
        <f t="shared" si="176"/>
        <v>#REF!</v>
      </c>
      <c r="P633" s="860" t="e">
        <f t="shared" si="177"/>
        <v>#REF!</v>
      </c>
      <c r="Q633" s="860" t="e">
        <f t="shared" si="178"/>
        <v>#REF!</v>
      </c>
      <c r="R633" s="1969" t="e">
        <f t="shared" si="179"/>
        <v>#REF!</v>
      </c>
      <c r="S633" s="675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</row>
    <row r="634" spans="1:29" ht="52.5" customHeight="1" x14ac:dyDescent="0.2">
      <c r="A634" s="4034"/>
      <c r="B634" s="3964"/>
      <c r="C634" s="1955">
        <v>5050</v>
      </c>
      <c r="D634" s="4314" t="s">
        <v>219</v>
      </c>
      <c r="E634" s="4616"/>
      <c r="F634" s="2444">
        <f>+F500</f>
        <v>0</v>
      </c>
      <c r="G634" s="2441">
        <f>+G500</f>
        <v>0</v>
      </c>
      <c r="H634" s="12"/>
      <c r="I634" s="1968">
        <f>IF(F634=0,0,$F634*COEF!$J$27)</f>
        <v>0</v>
      </c>
      <c r="J634" s="858">
        <f>IF(F634=0,0,$F634*COEF!$K$27)</f>
        <v>0</v>
      </c>
      <c r="K634" s="858">
        <f>IF(F634=0,0,$F634*COEF!$L$27)</f>
        <v>0</v>
      </c>
      <c r="L634" s="859" t="e">
        <f t="shared" si="173"/>
        <v>#REF!</v>
      </c>
      <c r="M634" s="859" t="e">
        <f t="shared" si="174"/>
        <v>#REF!</v>
      </c>
      <c r="N634" s="859" t="e">
        <f t="shared" si="175"/>
        <v>#REF!</v>
      </c>
      <c r="O634" s="860" t="e">
        <f t="shared" si="176"/>
        <v>#REF!</v>
      </c>
      <c r="P634" s="860" t="e">
        <f t="shared" si="177"/>
        <v>#REF!</v>
      </c>
      <c r="Q634" s="860" t="e">
        <f t="shared" si="178"/>
        <v>#REF!</v>
      </c>
      <c r="R634" s="1969" t="e">
        <f t="shared" si="179"/>
        <v>#REF!</v>
      </c>
      <c r="S634" s="675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</row>
    <row r="635" spans="1:29" ht="52.5" customHeight="1" x14ac:dyDescent="0.2">
      <c r="A635" s="4034"/>
      <c r="B635" s="3964"/>
      <c r="C635" s="1955">
        <v>5051</v>
      </c>
      <c r="D635" s="4314" t="s">
        <v>621</v>
      </c>
      <c r="E635" s="4616"/>
      <c r="F635" s="2444" t="e">
        <f>+F501</f>
        <v>#REF!</v>
      </c>
      <c r="G635" s="2441" t="e">
        <f>+G501</f>
        <v>#REF!</v>
      </c>
      <c r="H635" s="12"/>
      <c r="I635" s="1968" t="e">
        <f>IF(F635=0,0,$F635*COEF!$J$27)</f>
        <v>#REF!</v>
      </c>
      <c r="J635" s="858" t="e">
        <f>IF(F635=0,0,$F635*COEF!$K$27)</f>
        <v>#REF!</v>
      </c>
      <c r="K635" s="858" t="e">
        <f>IF(F635=0,0,$F635*COEF!$L$27)</f>
        <v>#REF!</v>
      </c>
      <c r="L635" s="859" t="e">
        <f t="shared" si="173"/>
        <v>#REF!</v>
      </c>
      <c r="M635" s="859" t="e">
        <f t="shared" si="174"/>
        <v>#REF!</v>
      </c>
      <c r="N635" s="859" t="e">
        <f t="shared" si="175"/>
        <v>#REF!</v>
      </c>
      <c r="O635" s="860" t="e">
        <f t="shared" si="176"/>
        <v>#REF!</v>
      </c>
      <c r="P635" s="860" t="e">
        <f t="shared" si="177"/>
        <v>#REF!</v>
      </c>
      <c r="Q635" s="860" t="e">
        <f t="shared" si="178"/>
        <v>#REF!</v>
      </c>
      <c r="R635" s="1969" t="e">
        <f t="shared" si="179"/>
        <v>#REF!</v>
      </c>
      <c r="S635" s="675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</row>
    <row r="636" spans="1:29" ht="52.5" customHeight="1" x14ac:dyDescent="0.2">
      <c r="A636" s="4034"/>
      <c r="B636" s="3964"/>
      <c r="C636" s="1955">
        <v>5055</v>
      </c>
      <c r="D636" s="4314" t="s">
        <v>222</v>
      </c>
      <c r="E636" s="4616"/>
      <c r="F636" s="2444" t="e">
        <f>+F502+F503</f>
        <v>#REF!</v>
      </c>
      <c r="G636" s="2441" t="e">
        <f>+G502+G503</f>
        <v>#REF!</v>
      </c>
      <c r="H636" s="12"/>
      <c r="I636" s="1968" t="e">
        <f>IF(F636=0,0,$F636*COEF!$J$27)</f>
        <v>#REF!</v>
      </c>
      <c r="J636" s="858" t="e">
        <f>IF(F636=0,0,$F636*COEF!$K$27)</f>
        <v>#REF!</v>
      </c>
      <c r="K636" s="858" t="e">
        <f>IF(F636=0,0,$F636*COEF!$L$27)</f>
        <v>#REF!</v>
      </c>
      <c r="L636" s="859" t="e">
        <f t="shared" si="173"/>
        <v>#REF!</v>
      </c>
      <c r="M636" s="859" t="e">
        <f t="shared" si="174"/>
        <v>#REF!</v>
      </c>
      <c r="N636" s="859" t="e">
        <f t="shared" si="175"/>
        <v>#REF!</v>
      </c>
      <c r="O636" s="860" t="e">
        <f t="shared" si="176"/>
        <v>#REF!</v>
      </c>
      <c r="P636" s="860" t="e">
        <f t="shared" si="177"/>
        <v>#REF!</v>
      </c>
      <c r="Q636" s="860" t="e">
        <f t="shared" si="178"/>
        <v>#REF!</v>
      </c>
      <c r="R636" s="1969" t="e">
        <f t="shared" si="179"/>
        <v>#REF!</v>
      </c>
      <c r="S636" s="675" t="e">
        <f t="shared" ref="S636:S637" si="190">SUM(I636:K636)</f>
        <v>#REF!</v>
      </c>
      <c r="T636" s="10"/>
      <c r="U636" s="10"/>
      <c r="V636" s="10"/>
      <c r="W636" s="10"/>
      <c r="X636" s="10"/>
      <c r="Y636" s="10"/>
      <c r="Z636" s="10"/>
      <c r="AA636" s="10"/>
      <c r="AB636" s="10"/>
      <c r="AC636" s="10"/>
    </row>
    <row r="637" spans="1:29" ht="52.5" customHeight="1" thickBot="1" x14ac:dyDescent="0.25">
      <c r="A637" s="4034"/>
      <c r="B637" s="4619"/>
      <c r="C637" s="2414" t="s">
        <v>50</v>
      </c>
      <c r="D637" s="4631" t="s">
        <v>580</v>
      </c>
      <c r="E637" s="4632"/>
      <c r="F637" s="2443" t="e">
        <f>+F511</f>
        <v>#REF!</v>
      </c>
      <c r="G637" s="2413" t="e">
        <f>+G511</f>
        <v>#REF!</v>
      </c>
      <c r="H637" s="12"/>
      <c r="I637" s="1968" t="e">
        <f>IF(F637=0,0,$F637*COEF!$J$27)</f>
        <v>#REF!</v>
      </c>
      <c r="J637" s="858" t="e">
        <f>IF(F637=0,0,$F637*COEF!$K$27)</f>
        <v>#REF!</v>
      </c>
      <c r="K637" s="858" t="e">
        <f>IF(F637=0,0,$F637*COEF!$L$27)</f>
        <v>#REF!</v>
      </c>
      <c r="L637" s="859" t="e">
        <f t="shared" si="173"/>
        <v>#REF!</v>
      </c>
      <c r="M637" s="859" t="e">
        <f t="shared" si="174"/>
        <v>#REF!</v>
      </c>
      <c r="N637" s="859" t="e">
        <f t="shared" si="175"/>
        <v>#REF!</v>
      </c>
      <c r="O637" s="860" t="e">
        <f t="shared" si="176"/>
        <v>#REF!</v>
      </c>
      <c r="P637" s="860" t="e">
        <f t="shared" si="177"/>
        <v>#REF!</v>
      </c>
      <c r="Q637" s="860" t="e">
        <f t="shared" si="178"/>
        <v>#REF!</v>
      </c>
      <c r="R637" s="1969" t="e">
        <f t="shared" si="179"/>
        <v>#REF!</v>
      </c>
      <c r="S637" s="675" t="e">
        <f t="shared" si="190"/>
        <v>#REF!</v>
      </c>
      <c r="T637" s="10"/>
      <c r="U637" s="10"/>
      <c r="V637" s="10"/>
      <c r="W637" s="10"/>
      <c r="X637" s="10"/>
      <c r="Y637" s="10"/>
      <c r="Z637" s="10"/>
      <c r="AA637" s="10"/>
      <c r="AB637" s="10"/>
      <c r="AC637" s="10"/>
    </row>
    <row r="638" spans="1:29" ht="52.5" customHeight="1" thickBot="1" x14ac:dyDescent="0.25">
      <c r="A638" s="4598" t="s">
        <v>627</v>
      </c>
      <c r="B638" s="4598" t="s">
        <v>627</v>
      </c>
      <c r="C638" s="2426" t="s">
        <v>322</v>
      </c>
      <c r="D638" s="4601" t="s">
        <v>535</v>
      </c>
      <c r="E638" s="4601"/>
      <c r="F638" s="2443" t="e">
        <f t="shared" ref="F638:G648" si="191">+F581</f>
        <v>#REF!</v>
      </c>
      <c r="G638" s="2413" t="e">
        <f t="shared" si="191"/>
        <v>#REF!</v>
      </c>
      <c r="H638" s="12"/>
      <c r="I638" s="1968" t="e">
        <f>IF(F638=0,0,$F638*COEF!$J$27)</f>
        <v>#REF!</v>
      </c>
      <c r="J638" s="858" t="e">
        <f>IF(F638=0,0,$F638*COEF!$K$27)</f>
        <v>#REF!</v>
      </c>
      <c r="K638" s="858" t="e">
        <f>IF(F638=0,0,$F638*COEF!$L$27)</f>
        <v>#REF!</v>
      </c>
      <c r="L638" s="859" t="e">
        <f t="shared" si="173"/>
        <v>#REF!</v>
      </c>
      <c r="M638" s="859" t="e">
        <f t="shared" si="174"/>
        <v>#REF!</v>
      </c>
      <c r="N638" s="859" t="e">
        <f t="shared" si="175"/>
        <v>#REF!</v>
      </c>
      <c r="O638" s="860" t="e">
        <f t="shared" si="176"/>
        <v>#REF!</v>
      </c>
      <c r="P638" s="860" t="e">
        <f t="shared" si="177"/>
        <v>#REF!</v>
      </c>
      <c r="Q638" s="860" t="e">
        <f t="shared" si="178"/>
        <v>#REF!</v>
      </c>
      <c r="R638" s="1969" t="e">
        <f t="shared" si="179"/>
        <v>#REF!</v>
      </c>
      <c r="S638" s="675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</row>
    <row r="639" spans="1:29" ht="52.5" customHeight="1" thickBot="1" x14ac:dyDescent="0.25">
      <c r="A639" s="4599"/>
      <c r="B639" s="4599"/>
      <c r="C639" s="2423" t="s">
        <v>323</v>
      </c>
      <c r="D639" s="4601" t="s">
        <v>535</v>
      </c>
      <c r="E639" s="4601"/>
      <c r="F639" s="2443" t="e">
        <f t="shared" si="191"/>
        <v>#REF!</v>
      </c>
      <c r="G639" s="2413" t="e">
        <f t="shared" si="191"/>
        <v>#REF!</v>
      </c>
      <c r="H639" s="12"/>
      <c r="I639" s="1968" t="e">
        <f>IF(F639=0,0,$F639*COEF!$J$27)</f>
        <v>#REF!</v>
      </c>
      <c r="J639" s="858" t="e">
        <f>IF(F639=0,0,$F639*COEF!$K$27)</f>
        <v>#REF!</v>
      </c>
      <c r="K639" s="858" t="e">
        <f>IF(F639=0,0,$F639*COEF!$L$27)</f>
        <v>#REF!</v>
      </c>
      <c r="L639" s="859" t="e">
        <f t="shared" si="173"/>
        <v>#REF!</v>
      </c>
      <c r="M639" s="859" t="e">
        <f t="shared" si="174"/>
        <v>#REF!</v>
      </c>
      <c r="N639" s="859" t="e">
        <f t="shared" si="175"/>
        <v>#REF!</v>
      </c>
      <c r="O639" s="860" t="e">
        <f t="shared" si="176"/>
        <v>#REF!</v>
      </c>
      <c r="P639" s="860" t="e">
        <f t="shared" si="177"/>
        <v>#REF!</v>
      </c>
      <c r="Q639" s="860" t="e">
        <f t="shared" si="178"/>
        <v>#REF!</v>
      </c>
      <c r="R639" s="1969" t="e">
        <f t="shared" si="179"/>
        <v>#REF!</v>
      </c>
      <c r="S639" s="675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</row>
    <row r="640" spans="1:29" ht="52.5" customHeight="1" thickBot="1" x14ac:dyDescent="0.25">
      <c r="A640" s="4599"/>
      <c r="B640" s="4599"/>
      <c r="C640" s="2423" t="s">
        <v>324</v>
      </c>
      <c r="D640" s="4601" t="s">
        <v>535</v>
      </c>
      <c r="E640" s="4601"/>
      <c r="F640" s="2443" t="e">
        <f t="shared" si="191"/>
        <v>#REF!</v>
      </c>
      <c r="G640" s="2413" t="e">
        <f t="shared" si="191"/>
        <v>#REF!</v>
      </c>
      <c r="H640" s="12"/>
      <c r="I640" s="1968" t="e">
        <f>IF(F640=0,0,$F640*COEF!$J$27)</f>
        <v>#REF!</v>
      </c>
      <c r="J640" s="858" t="e">
        <f>IF(F640=0,0,$F640*COEF!$K$27)</f>
        <v>#REF!</v>
      </c>
      <c r="K640" s="858" t="e">
        <f>IF(F640=0,0,$F640*COEF!$L$27)</f>
        <v>#REF!</v>
      </c>
      <c r="L640" s="859" t="e">
        <f t="shared" si="173"/>
        <v>#REF!</v>
      </c>
      <c r="M640" s="859" t="e">
        <f t="shared" si="174"/>
        <v>#REF!</v>
      </c>
      <c r="N640" s="859" t="e">
        <f t="shared" si="175"/>
        <v>#REF!</v>
      </c>
      <c r="O640" s="860" t="e">
        <f t="shared" si="176"/>
        <v>#REF!</v>
      </c>
      <c r="P640" s="860" t="e">
        <f t="shared" si="177"/>
        <v>#REF!</v>
      </c>
      <c r="Q640" s="860" t="e">
        <f t="shared" si="178"/>
        <v>#REF!</v>
      </c>
      <c r="R640" s="1969" t="e">
        <f t="shared" si="179"/>
        <v>#REF!</v>
      </c>
      <c r="S640" s="675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</row>
    <row r="641" spans="1:44" ht="52.5" customHeight="1" thickBot="1" x14ac:dyDescent="0.25">
      <c r="A641" s="4599"/>
      <c r="B641" s="4599"/>
      <c r="C641" s="2423" t="s">
        <v>325</v>
      </c>
      <c r="D641" s="4601" t="s">
        <v>535</v>
      </c>
      <c r="E641" s="4601"/>
      <c r="F641" s="2443" t="e">
        <f t="shared" si="191"/>
        <v>#REF!</v>
      </c>
      <c r="G641" s="2413" t="e">
        <f t="shared" si="191"/>
        <v>#REF!</v>
      </c>
      <c r="H641" s="12"/>
      <c r="I641" s="1968" t="e">
        <f>IF(F641=0,0,$F641*COEF!$J$27)</f>
        <v>#REF!</v>
      </c>
      <c r="J641" s="858" t="e">
        <f>IF(F641=0,0,$F641*COEF!$K$27)</f>
        <v>#REF!</v>
      </c>
      <c r="K641" s="858" t="e">
        <f>IF(F641=0,0,$F641*COEF!$L$27)</f>
        <v>#REF!</v>
      </c>
      <c r="L641" s="859" t="e">
        <f t="shared" si="173"/>
        <v>#REF!</v>
      </c>
      <c r="M641" s="859" t="e">
        <f t="shared" si="174"/>
        <v>#REF!</v>
      </c>
      <c r="N641" s="859" t="e">
        <f t="shared" si="175"/>
        <v>#REF!</v>
      </c>
      <c r="O641" s="860" t="e">
        <f t="shared" si="176"/>
        <v>#REF!</v>
      </c>
      <c r="P641" s="860" t="e">
        <f t="shared" si="177"/>
        <v>#REF!</v>
      </c>
      <c r="Q641" s="860" t="e">
        <f t="shared" si="178"/>
        <v>#REF!</v>
      </c>
      <c r="R641" s="1969" t="e">
        <f t="shared" si="179"/>
        <v>#REF!</v>
      </c>
      <c r="S641" s="675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</row>
    <row r="642" spans="1:44" ht="52.5" customHeight="1" thickBot="1" x14ac:dyDescent="0.25">
      <c r="A642" s="4600"/>
      <c r="B642" s="4600"/>
      <c r="C642" s="2423" t="s">
        <v>326</v>
      </c>
      <c r="D642" s="4601" t="s">
        <v>535</v>
      </c>
      <c r="E642" s="4601"/>
      <c r="F642" s="2443" t="e">
        <f t="shared" si="191"/>
        <v>#REF!</v>
      </c>
      <c r="G642" s="2413" t="e">
        <f t="shared" si="191"/>
        <v>#REF!</v>
      </c>
      <c r="H642" s="12"/>
      <c r="I642" s="1968" t="e">
        <f>IF(F642=0,0,$F642*COEF!$J$27)</f>
        <v>#REF!</v>
      </c>
      <c r="J642" s="858" t="e">
        <f>IF(F642=0,0,$F642*COEF!$K$27)</f>
        <v>#REF!</v>
      </c>
      <c r="K642" s="858" t="e">
        <f>IF(F642=0,0,$F642*COEF!$L$27)</f>
        <v>#REF!</v>
      </c>
      <c r="L642" s="859" t="e">
        <f t="shared" si="173"/>
        <v>#REF!</v>
      </c>
      <c r="M642" s="859" t="e">
        <f t="shared" si="174"/>
        <v>#REF!</v>
      </c>
      <c r="N642" s="859" t="e">
        <f t="shared" si="175"/>
        <v>#REF!</v>
      </c>
      <c r="O642" s="860" t="e">
        <f t="shared" si="176"/>
        <v>#REF!</v>
      </c>
      <c r="P642" s="860" t="e">
        <f t="shared" si="177"/>
        <v>#REF!</v>
      </c>
      <c r="Q642" s="860" t="e">
        <f t="shared" si="178"/>
        <v>#REF!</v>
      </c>
      <c r="R642" s="1969" t="e">
        <f t="shared" si="179"/>
        <v>#REF!</v>
      </c>
      <c r="S642" s="675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</row>
    <row r="643" spans="1:44" ht="57.75" customHeight="1" thickBot="1" x14ac:dyDescent="0.25">
      <c r="A643" s="3954" t="s">
        <v>186</v>
      </c>
      <c r="B643" s="3944" t="s">
        <v>21</v>
      </c>
      <c r="C643" s="4592" t="s">
        <v>210</v>
      </c>
      <c r="D643" s="4593"/>
      <c r="E643" s="4593"/>
      <c r="F643" s="2443">
        <f t="shared" si="191"/>
        <v>0</v>
      </c>
      <c r="G643" s="2413">
        <f t="shared" si="191"/>
        <v>0</v>
      </c>
      <c r="H643" s="12"/>
      <c r="I643" s="1968">
        <f>IF(F643=0,0,$F643*COEF!$J$27)</f>
        <v>0</v>
      </c>
      <c r="J643" s="858">
        <f>IF(F643=0,0,$F643*COEF!$K$27)</f>
        <v>0</v>
      </c>
      <c r="K643" s="858">
        <f>IF(F643=0,0,$F643*COEF!$L$27)</f>
        <v>0</v>
      </c>
      <c r="L643" s="859" t="e">
        <f t="shared" si="173"/>
        <v>#REF!</v>
      </c>
      <c r="M643" s="859" t="e">
        <f t="shared" si="174"/>
        <v>#REF!</v>
      </c>
      <c r="N643" s="859" t="e">
        <f t="shared" si="175"/>
        <v>#REF!</v>
      </c>
      <c r="O643" s="860" t="e">
        <f t="shared" si="176"/>
        <v>#REF!</v>
      </c>
      <c r="P643" s="860" t="e">
        <f t="shared" si="177"/>
        <v>#REF!</v>
      </c>
      <c r="Q643" s="860" t="e">
        <f t="shared" si="178"/>
        <v>#REF!</v>
      </c>
      <c r="R643" s="1969" t="e">
        <f t="shared" si="179"/>
        <v>#REF!</v>
      </c>
      <c r="S643" s="675">
        <f t="shared" ref="S643:S648" si="192">SUM(I643:K643)</f>
        <v>0</v>
      </c>
      <c r="T643" s="10"/>
      <c r="U643" s="10"/>
      <c r="V643" s="10"/>
      <c r="W643" s="10"/>
      <c r="X643" s="10"/>
      <c r="Y643" s="10"/>
      <c r="Z643" s="10"/>
      <c r="AA643" s="10"/>
      <c r="AB643" s="10"/>
      <c r="AC643" s="10"/>
    </row>
    <row r="644" spans="1:44" ht="57.75" customHeight="1" thickBot="1" x14ac:dyDescent="0.25">
      <c r="A644" s="3954"/>
      <c r="B644" s="3945"/>
      <c r="C644" s="4592" t="s">
        <v>211</v>
      </c>
      <c r="D644" s="4593"/>
      <c r="E644" s="4593"/>
      <c r="F644" s="2443">
        <f t="shared" si="191"/>
        <v>0</v>
      </c>
      <c r="G644" s="2413">
        <f t="shared" si="191"/>
        <v>0</v>
      </c>
      <c r="H644" s="12"/>
      <c r="I644" s="1968">
        <f>IF(F644=0,0,$F644*COEF!$J$27)</f>
        <v>0</v>
      </c>
      <c r="J644" s="858">
        <f>IF(F644=0,0,$F644*COEF!$K$27)</f>
        <v>0</v>
      </c>
      <c r="K644" s="858">
        <f>IF(F644=0,0,$F644*COEF!$L$27)</f>
        <v>0</v>
      </c>
      <c r="L644" s="859" t="e">
        <f t="shared" si="173"/>
        <v>#REF!</v>
      </c>
      <c r="M644" s="859" t="e">
        <f t="shared" si="174"/>
        <v>#REF!</v>
      </c>
      <c r="N644" s="859" t="e">
        <f t="shared" si="175"/>
        <v>#REF!</v>
      </c>
      <c r="O644" s="860" t="e">
        <f t="shared" si="176"/>
        <v>#REF!</v>
      </c>
      <c r="P644" s="860" t="e">
        <f t="shared" si="177"/>
        <v>#REF!</v>
      </c>
      <c r="Q644" s="860" t="e">
        <f t="shared" si="178"/>
        <v>#REF!</v>
      </c>
      <c r="R644" s="1969" t="e">
        <f t="shared" si="179"/>
        <v>#REF!</v>
      </c>
      <c r="S644" s="675">
        <f t="shared" si="192"/>
        <v>0</v>
      </c>
      <c r="T644" s="10"/>
      <c r="U644" s="10"/>
      <c r="V644" s="10"/>
      <c r="W644" s="10"/>
      <c r="X644" s="10"/>
      <c r="Y644" s="10"/>
      <c r="Z644" s="10"/>
      <c r="AA644" s="10"/>
      <c r="AB644" s="10"/>
      <c r="AC644" s="10"/>
    </row>
    <row r="645" spans="1:44" ht="57.75" customHeight="1" thickBot="1" x14ac:dyDescent="0.25">
      <c r="A645" s="3954"/>
      <c r="B645" s="2157"/>
      <c r="C645" s="4594" t="s">
        <v>619</v>
      </c>
      <c r="D645" s="4594"/>
      <c r="E645" s="4594"/>
      <c r="F645" s="2443" t="e">
        <f t="shared" si="191"/>
        <v>#REF!</v>
      </c>
      <c r="G645" s="2413" t="e">
        <f t="shared" si="191"/>
        <v>#REF!</v>
      </c>
      <c r="H645" s="12"/>
      <c r="I645" s="1968" t="e">
        <f>IF(F645=0,0,$F645*COEF!$J$27)</f>
        <v>#REF!</v>
      </c>
      <c r="J645" s="858" t="e">
        <f>IF(F645=0,0,$F645*COEF!$K$27)</f>
        <v>#REF!</v>
      </c>
      <c r="K645" s="858" t="e">
        <f>IF(F645=0,0,$F645*COEF!$L$27)</f>
        <v>#REF!</v>
      </c>
      <c r="L645" s="859" t="e">
        <f t="shared" si="173"/>
        <v>#REF!</v>
      </c>
      <c r="M645" s="859" t="e">
        <f t="shared" si="174"/>
        <v>#REF!</v>
      </c>
      <c r="N645" s="859" t="e">
        <f t="shared" si="175"/>
        <v>#REF!</v>
      </c>
      <c r="O645" s="860" t="e">
        <f t="shared" si="176"/>
        <v>#REF!</v>
      </c>
      <c r="P645" s="860" t="e">
        <f t="shared" si="177"/>
        <v>#REF!</v>
      </c>
      <c r="Q645" s="860" t="e">
        <f t="shared" si="178"/>
        <v>#REF!</v>
      </c>
      <c r="R645" s="1969" t="e">
        <f t="shared" si="179"/>
        <v>#REF!</v>
      </c>
      <c r="S645" s="675" t="e">
        <f t="shared" si="192"/>
        <v>#REF!</v>
      </c>
      <c r="T645" s="10"/>
      <c r="U645" s="10"/>
      <c r="V645" s="10"/>
      <c r="W645" s="10"/>
      <c r="X645" s="10"/>
      <c r="Y645" s="10"/>
      <c r="Z645" s="10"/>
      <c r="AA645" s="10"/>
      <c r="AB645" s="10"/>
      <c r="AC645" s="10"/>
    </row>
    <row r="646" spans="1:44" ht="57.75" customHeight="1" thickBot="1" x14ac:dyDescent="0.25">
      <c r="A646" s="3954"/>
      <c r="B646" s="3956" t="s">
        <v>71</v>
      </c>
      <c r="C646" s="3794" t="s">
        <v>212</v>
      </c>
      <c r="D646" s="3795"/>
      <c r="E646" s="3795"/>
      <c r="F646" s="2443">
        <f t="shared" si="191"/>
        <v>0</v>
      </c>
      <c r="G646" s="2413">
        <f t="shared" si="191"/>
        <v>0</v>
      </c>
      <c r="H646" s="12"/>
      <c r="I646" s="1968">
        <f>IF(F646=0,0,$F646*COEF!$J$27)</f>
        <v>0</v>
      </c>
      <c r="J646" s="858">
        <f>IF(F646=0,0,$F646*COEF!$K$27)</f>
        <v>0</v>
      </c>
      <c r="K646" s="858">
        <f>IF(F646=0,0,$F646*COEF!$L$27)</f>
        <v>0</v>
      </c>
      <c r="L646" s="859" t="e">
        <f t="shared" si="173"/>
        <v>#REF!</v>
      </c>
      <c r="M646" s="859" t="e">
        <f t="shared" si="174"/>
        <v>#REF!</v>
      </c>
      <c r="N646" s="859" t="e">
        <f t="shared" si="175"/>
        <v>#REF!</v>
      </c>
      <c r="O646" s="860" t="e">
        <f t="shared" si="176"/>
        <v>#REF!</v>
      </c>
      <c r="P646" s="860" t="e">
        <f t="shared" si="177"/>
        <v>#REF!</v>
      </c>
      <c r="Q646" s="860" t="e">
        <f t="shared" si="178"/>
        <v>#REF!</v>
      </c>
      <c r="R646" s="1969" t="e">
        <f t="shared" si="179"/>
        <v>#REF!</v>
      </c>
      <c r="S646" s="675">
        <f t="shared" si="192"/>
        <v>0</v>
      </c>
      <c r="T646" s="10"/>
      <c r="U646" s="10"/>
      <c r="V646" s="10"/>
      <c r="W646" s="10"/>
      <c r="X646" s="10"/>
      <c r="Y646" s="10"/>
      <c r="Z646" s="10"/>
      <c r="AA646" s="10"/>
      <c r="AB646" s="10"/>
      <c r="AC646" s="10"/>
    </row>
    <row r="647" spans="1:44" ht="57.75" customHeight="1" thickBot="1" x14ac:dyDescent="0.25">
      <c r="A647" s="3955"/>
      <c r="B647" s="3957"/>
      <c r="C647" s="3794" t="s">
        <v>213</v>
      </c>
      <c r="D647" s="3795"/>
      <c r="E647" s="3795"/>
      <c r="F647" s="2443">
        <f t="shared" si="191"/>
        <v>0</v>
      </c>
      <c r="G647" s="2413">
        <f t="shared" si="191"/>
        <v>0</v>
      </c>
      <c r="H647" s="12"/>
      <c r="I647" s="1968">
        <f>IF(F647=0,0,$F647*COEF!$J$27)</f>
        <v>0</v>
      </c>
      <c r="J647" s="858">
        <f>IF(F647=0,0,$F647*COEF!$K$27)</f>
        <v>0</v>
      </c>
      <c r="K647" s="858">
        <f>IF(F647=0,0,$F647*COEF!$L$27)</f>
        <v>0</v>
      </c>
      <c r="L647" s="859" t="e">
        <f t="shared" si="173"/>
        <v>#REF!</v>
      </c>
      <c r="M647" s="859" t="e">
        <f t="shared" si="174"/>
        <v>#REF!</v>
      </c>
      <c r="N647" s="859" t="e">
        <f t="shared" si="175"/>
        <v>#REF!</v>
      </c>
      <c r="O647" s="860" t="e">
        <f t="shared" si="176"/>
        <v>#REF!</v>
      </c>
      <c r="P647" s="860" t="e">
        <f t="shared" si="177"/>
        <v>#REF!</v>
      </c>
      <c r="Q647" s="860" t="e">
        <f t="shared" si="178"/>
        <v>#REF!</v>
      </c>
      <c r="R647" s="1969" t="e">
        <f t="shared" si="179"/>
        <v>#REF!</v>
      </c>
      <c r="S647" s="675">
        <f t="shared" si="192"/>
        <v>0</v>
      </c>
      <c r="T647" s="10"/>
      <c r="U647" s="10"/>
      <c r="V647" s="10"/>
      <c r="W647" s="10"/>
      <c r="X647" s="10"/>
      <c r="Y647" s="10"/>
      <c r="Z647" s="10"/>
      <c r="AA647" s="10"/>
      <c r="AB647" s="10"/>
      <c r="AC647" s="10"/>
    </row>
    <row r="648" spans="1:44" ht="57.75" customHeight="1" thickBot="1" x14ac:dyDescent="0.25">
      <c r="A648" s="2122"/>
      <c r="B648" s="4595"/>
      <c r="C648" s="4594" t="s">
        <v>619</v>
      </c>
      <c r="D648" s="4594"/>
      <c r="E648" s="4594"/>
      <c r="F648" s="2445" t="e">
        <f t="shared" si="191"/>
        <v>#REF!</v>
      </c>
      <c r="G648" s="2416" t="e">
        <f t="shared" si="191"/>
        <v>#REF!</v>
      </c>
      <c r="H648" s="12"/>
      <c r="I648" s="1968" t="e">
        <f>IF(F648=0,0,$F648*COEF!$J$27)</f>
        <v>#REF!</v>
      </c>
      <c r="J648" s="858" t="e">
        <f>IF(F648=0,0,$F648*COEF!$K$27)</f>
        <v>#REF!</v>
      </c>
      <c r="K648" s="858" t="e">
        <f>IF(F648=0,0,$F648*COEF!$L$27)</f>
        <v>#REF!</v>
      </c>
      <c r="L648" s="859" t="e">
        <f t="shared" si="173"/>
        <v>#REF!</v>
      </c>
      <c r="M648" s="859" t="e">
        <f t="shared" si="174"/>
        <v>#REF!</v>
      </c>
      <c r="N648" s="859" t="e">
        <f t="shared" si="175"/>
        <v>#REF!</v>
      </c>
      <c r="O648" s="860" t="e">
        <f t="shared" si="176"/>
        <v>#REF!</v>
      </c>
      <c r="P648" s="860" t="e">
        <f t="shared" si="177"/>
        <v>#REF!</v>
      </c>
      <c r="Q648" s="860" t="e">
        <f t="shared" si="178"/>
        <v>#REF!</v>
      </c>
      <c r="R648" s="1969" t="e">
        <f t="shared" si="179"/>
        <v>#REF!</v>
      </c>
      <c r="S648" s="675" t="e">
        <f t="shared" si="192"/>
        <v>#REF!</v>
      </c>
      <c r="T648" s="10"/>
      <c r="U648" s="10"/>
      <c r="V648" s="10"/>
      <c r="W648" s="10"/>
      <c r="X648" s="10"/>
      <c r="Y648" s="10"/>
      <c r="Z648" s="10"/>
      <c r="AA648" s="10"/>
      <c r="AB648" s="10"/>
      <c r="AC648" s="10"/>
    </row>
    <row r="649" spans="1:44" ht="41.25" customHeight="1" thickBot="1" x14ac:dyDescent="0.25">
      <c r="A649" s="3810" t="s">
        <v>190</v>
      </c>
      <c r="B649" s="3811"/>
      <c r="C649" s="3811"/>
      <c r="D649" s="3811"/>
      <c r="E649" s="3812"/>
      <c r="F649" s="2167" t="e">
        <f>SUM(F602:F648)</f>
        <v>#REF!</v>
      </c>
      <c r="G649" s="2167" t="e">
        <f>SUM(G602:G648)</f>
        <v>#REF!</v>
      </c>
      <c r="H649" s="12"/>
      <c r="I649" s="2354" t="e">
        <f t="shared" ref="I649:R649" si="193">SUM(I602:I648)</f>
        <v>#REF!</v>
      </c>
      <c r="J649" s="2354" t="e">
        <f t="shared" si="193"/>
        <v>#REF!</v>
      </c>
      <c r="K649" s="2354" t="e">
        <f t="shared" si="193"/>
        <v>#REF!</v>
      </c>
      <c r="L649" s="2354" t="e">
        <f t="shared" si="193"/>
        <v>#REF!</v>
      </c>
      <c r="M649" s="2354" t="e">
        <f t="shared" si="193"/>
        <v>#REF!</v>
      </c>
      <c r="N649" s="2354" t="e">
        <f t="shared" si="193"/>
        <v>#REF!</v>
      </c>
      <c r="O649" s="2354" t="e">
        <f t="shared" si="193"/>
        <v>#REF!</v>
      </c>
      <c r="P649" s="2354" t="e">
        <f t="shared" si="193"/>
        <v>#REF!</v>
      </c>
      <c r="Q649" s="2354" t="e">
        <f t="shared" si="193"/>
        <v>#REF!</v>
      </c>
      <c r="R649" s="2354" t="e">
        <f t="shared" si="193"/>
        <v>#REF!</v>
      </c>
      <c r="S649" s="1964" t="e">
        <f t="shared" ref="S649:AQ649" si="194">SUM(S602:S646)</f>
        <v>#REF!</v>
      </c>
      <c r="T649" s="1440">
        <f t="shared" si="194"/>
        <v>0</v>
      </c>
      <c r="U649" s="1440">
        <f t="shared" si="194"/>
        <v>0</v>
      </c>
      <c r="V649" s="1440">
        <f t="shared" si="194"/>
        <v>0</v>
      </c>
      <c r="W649" s="1440">
        <f t="shared" si="194"/>
        <v>0</v>
      </c>
      <c r="X649" s="1440">
        <f t="shared" si="194"/>
        <v>0</v>
      </c>
      <c r="Y649" s="851">
        <f t="shared" si="194"/>
        <v>0</v>
      </c>
      <c r="Z649" s="851">
        <f t="shared" si="194"/>
        <v>0</v>
      </c>
      <c r="AA649" s="851">
        <f t="shared" si="194"/>
        <v>0</v>
      </c>
      <c r="AB649" s="851">
        <f t="shared" si="194"/>
        <v>0</v>
      </c>
      <c r="AC649" s="851">
        <f t="shared" si="194"/>
        <v>0</v>
      </c>
      <c r="AD649" s="851">
        <f t="shared" si="194"/>
        <v>0</v>
      </c>
      <c r="AE649" s="851">
        <f t="shared" si="194"/>
        <v>0</v>
      </c>
      <c r="AF649" s="851">
        <f t="shared" si="194"/>
        <v>0</v>
      </c>
      <c r="AG649" s="851">
        <f t="shared" si="194"/>
        <v>0</v>
      </c>
      <c r="AH649" s="851">
        <f t="shared" si="194"/>
        <v>0</v>
      </c>
      <c r="AI649" s="851">
        <f t="shared" si="194"/>
        <v>0</v>
      </c>
      <c r="AJ649" s="851">
        <f t="shared" si="194"/>
        <v>0</v>
      </c>
      <c r="AK649" s="851">
        <f t="shared" si="194"/>
        <v>0</v>
      </c>
      <c r="AL649" s="851">
        <f t="shared" si="194"/>
        <v>0</v>
      </c>
      <c r="AM649" s="851">
        <f t="shared" si="194"/>
        <v>0</v>
      </c>
      <c r="AN649" s="851">
        <f t="shared" si="194"/>
        <v>0</v>
      </c>
      <c r="AO649" s="851">
        <f t="shared" si="194"/>
        <v>0</v>
      </c>
      <c r="AP649" s="851">
        <f t="shared" si="194"/>
        <v>0</v>
      </c>
      <c r="AQ649" s="851">
        <f t="shared" si="194"/>
        <v>0</v>
      </c>
      <c r="AR649" s="851"/>
    </row>
    <row r="650" spans="1:44" ht="69" customHeight="1" thickBot="1" x14ac:dyDescent="0.35">
      <c r="A650" s="536"/>
      <c r="C650" s="904"/>
      <c r="D650" s="904"/>
      <c r="E650" s="904"/>
      <c r="F650" s="2445" t="e">
        <f>+F649-F592</f>
        <v>#REF!</v>
      </c>
      <c r="G650" s="539"/>
      <c r="H650" s="539"/>
      <c r="I650" s="2446" t="e">
        <f>+I649-I592</f>
        <v>#REF!</v>
      </c>
      <c r="J650" s="2446" t="e">
        <f t="shared" ref="J650:R650" si="195">+J649-J592</f>
        <v>#REF!</v>
      </c>
      <c r="K650" s="2446" t="e">
        <f t="shared" si="195"/>
        <v>#REF!</v>
      </c>
      <c r="L650" s="2446" t="e">
        <f t="shared" si="195"/>
        <v>#REF!</v>
      </c>
      <c r="M650" s="2446" t="e">
        <f t="shared" si="195"/>
        <v>#REF!</v>
      </c>
      <c r="N650" s="2446" t="e">
        <f t="shared" si="195"/>
        <v>#REF!</v>
      </c>
      <c r="O650" s="2446" t="e">
        <f t="shared" si="195"/>
        <v>#REF!</v>
      </c>
      <c r="P650" s="2446" t="e">
        <f t="shared" si="195"/>
        <v>#REF!</v>
      </c>
      <c r="Q650" s="2446" t="e">
        <f t="shared" si="195"/>
        <v>#REF!</v>
      </c>
      <c r="R650" s="2446" t="e">
        <f t="shared" si="195"/>
        <v>#REF!</v>
      </c>
    </row>
    <row r="651" spans="1:44" ht="69" customHeight="1" x14ac:dyDescent="0.3">
      <c r="A651" s="536"/>
      <c r="C651" s="904"/>
      <c r="D651" s="904"/>
      <c r="E651" s="904"/>
      <c r="F651" s="909"/>
      <c r="G651" s="539"/>
      <c r="H651" s="539"/>
      <c r="I651" s="539"/>
      <c r="K651" s="25" t="e">
        <f>SUM(I650:K650)</f>
        <v>#REF!</v>
      </c>
      <c r="M651" s="539"/>
      <c r="N651" s="539"/>
      <c r="O651" s="539"/>
    </row>
    <row r="652" spans="1:44" ht="69" customHeight="1" x14ac:dyDescent="0.3">
      <c r="A652" s="536"/>
      <c r="C652" s="904"/>
      <c r="D652" s="904"/>
      <c r="E652" s="904"/>
      <c r="F652" s="909"/>
      <c r="G652" s="539"/>
      <c r="H652" s="539"/>
      <c r="I652" s="539"/>
      <c r="M652" s="539"/>
      <c r="N652" s="539"/>
      <c r="O652" s="539"/>
    </row>
    <row r="653" spans="1:44" ht="69" customHeight="1" x14ac:dyDescent="0.3">
      <c r="A653" s="536"/>
      <c r="C653" s="904"/>
      <c r="D653" s="904"/>
      <c r="E653" s="904"/>
      <c r="F653" s="909"/>
      <c r="G653" s="539"/>
      <c r="H653" s="539"/>
      <c r="I653" s="539"/>
      <c r="M653" s="539"/>
      <c r="N653" s="539"/>
      <c r="O653" s="539"/>
    </row>
    <row r="654" spans="1:44" ht="16.5" customHeight="1" x14ac:dyDescent="0.25">
      <c r="A654" s="536"/>
      <c r="C654" s="4630" t="s">
        <v>243</v>
      </c>
      <c r="D654" s="4630"/>
      <c r="E654" s="4630"/>
      <c r="F654" s="4630"/>
      <c r="G654" s="4630"/>
      <c r="H654" s="4630"/>
      <c r="I654" s="4630"/>
      <c r="J654" s="4630"/>
      <c r="M654" s="539"/>
      <c r="N654" s="539"/>
      <c r="O654" s="539"/>
    </row>
    <row r="655" spans="1:44" ht="16.5" customHeight="1" x14ac:dyDescent="0.25">
      <c r="A655" s="536"/>
      <c r="C655" s="4630"/>
      <c r="D655" s="4630"/>
      <c r="E655" s="4630"/>
      <c r="F655" s="4630"/>
      <c r="G655" s="4630"/>
      <c r="H655" s="4630"/>
      <c r="I655" s="4630"/>
      <c r="J655" s="4630"/>
      <c r="M655" s="539"/>
      <c r="N655" s="539"/>
      <c r="O655" s="539"/>
    </row>
    <row r="656" spans="1:44" ht="16.5" thickBot="1" x14ac:dyDescent="0.3">
      <c r="A656" s="536"/>
      <c r="G656" s="539"/>
      <c r="H656" s="539"/>
      <c r="I656" s="539"/>
    </row>
    <row r="657" spans="1:16" ht="53.25" thickBot="1" x14ac:dyDescent="0.45">
      <c r="A657" s="536"/>
      <c r="C657" s="4626" t="s">
        <v>244</v>
      </c>
      <c r="D657" s="4626"/>
      <c r="E657" s="4626"/>
      <c r="F657" s="910" t="s">
        <v>154</v>
      </c>
      <c r="G657" s="910" t="s">
        <v>152</v>
      </c>
      <c r="H657" s="910" t="s">
        <v>245</v>
      </c>
      <c r="I657" s="1941" t="s">
        <v>246</v>
      </c>
      <c r="J657" s="1941" t="s">
        <v>247</v>
      </c>
      <c r="K657" s="3753"/>
      <c r="L657" s="3753"/>
      <c r="M657" s="3753"/>
      <c r="N657" s="3753"/>
      <c r="O657" s="3753"/>
      <c r="P657" s="3753"/>
    </row>
    <row r="658" spans="1:16" ht="47.25" customHeight="1" x14ac:dyDescent="0.4">
      <c r="A658" s="536"/>
      <c r="C658" s="4620"/>
      <c r="D658" s="1950">
        <v>5030</v>
      </c>
      <c r="E658" s="1999" t="s">
        <v>248</v>
      </c>
      <c r="F658" s="911" t="e">
        <f>+F523+F532+F546+F560+F574</f>
        <v>#REF!</v>
      </c>
      <c r="G658" s="911" t="e">
        <f>+T523+T532+T546+T560+T574</f>
        <v>#REF!</v>
      </c>
      <c r="H658" s="912" t="e">
        <f>+F658+G658</f>
        <v>#REF!</v>
      </c>
      <c r="I658" s="1942" t="e">
        <f>IF(F658=0,0,G658/H658)</f>
        <v>#REF!</v>
      </c>
      <c r="J658" s="1943" t="e">
        <f>+IF(F658=0,0,G658/F658)</f>
        <v>#REF!</v>
      </c>
      <c r="K658" s="913"/>
      <c r="L658" s="914"/>
      <c r="M658" s="914"/>
      <c r="N658" s="915"/>
      <c r="O658" s="542"/>
      <c r="P658" s="542"/>
    </row>
    <row r="659" spans="1:16" ht="47.25" customHeight="1" x14ac:dyDescent="0.4">
      <c r="A659" s="536"/>
      <c r="C659" s="4621"/>
      <c r="D659" s="1951">
        <v>5040</v>
      </c>
      <c r="E659" s="2000" t="s">
        <v>632</v>
      </c>
      <c r="F659" s="916" t="e">
        <f>+F524+F533+F547+F561+F575</f>
        <v>#REF!</v>
      </c>
      <c r="G659" s="916" t="e">
        <f>+T524+T533+T547+T561+T575</f>
        <v>#REF!</v>
      </c>
      <c r="H659" s="917" t="e">
        <f t="shared" ref="H659:H670" si="196">+F659+G659</f>
        <v>#REF!</v>
      </c>
      <c r="I659" s="918" t="e">
        <f t="shared" ref="I659:I683" si="197">IF(F659=0,0,G659/H659)</f>
        <v>#REF!</v>
      </c>
      <c r="J659" s="1943" t="e">
        <f t="shared" ref="J659:J683" si="198">+IF(F659=0,0,G659/F659)</f>
        <v>#REF!</v>
      </c>
      <c r="K659" s="913"/>
      <c r="L659" s="914"/>
      <c r="M659" s="914"/>
      <c r="N659" s="915"/>
      <c r="O659" s="542"/>
      <c r="P659" s="542"/>
    </row>
    <row r="660" spans="1:16" ht="47.25" customHeight="1" x14ac:dyDescent="0.4">
      <c r="A660" s="536"/>
      <c r="C660" s="4621"/>
      <c r="D660" s="1951">
        <v>6500</v>
      </c>
      <c r="E660" s="2220" t="s">
        <v>633</v>
      </c>
      <c r="F660" s="916" t="e">
        <f>+F525+F534+F548+F562+F576</f>
        <v>#REF!</v>
      </c>
      <c r="G660" s="916" t="e">
        <f>+T525+T534+T548+T562+T576</f>
        <v>#REF!</v>
      </c>
      <c r="H660" s="917" t="e">
        <f t="shared" si="196"/>
        <v>#REF!</v>
      </c>
      <c r="I660" s="918" t="e">
        <f t="shared" si="197"/>
        <v>#REF!</v>
      </c>
      <c r="J660" s="1943" t="e">
        <f t="shared" si="198"/>
        <v>#REF!</v>
      </c>
      <c r="K660" s="913"/>
      <c r="L660" s="914"/>
      <c r="M660" s="914"/>
      <c r="N660" s="915"/>
      <c r="O660" s="542"/>
      <c r="P660" s="542"/>
    </row>
    <row r="661" spans="1:16" ht="47.25" customHeight="1" x14ac:dyDescent="0.4">
      <c r="A661" s="536"/>
      <c r="C661" s="4621"/>
      <c r="D661" s="1952">
        <v>5050</v>
      </c>
      <c r="E661" s="2001" t="s">
        <v>634</v>
      </c>
      <c r="F661" s="916" t="e">
        <f>+F526+F535+F549+F563+F577</f>
        <v>#REF!</v>
      </c>
      <c r="G661" s="916" t="e">
        <f>+T526+T535+T549+T563+T577</f>
        <v>#REF!</v>
      </c>
      <c r="H661" s="917" t="e">
        <f t="shared" si="196"/>
        <v>#REF!</v>
      </c>
      <c r="I661" s="918" t="e">
        <f t="shared" si="197"/>
        <v>#REF!</v>
      </c>
      <c r="J661" s="1943" t="e">
        <f t="shared" si="198"/>
        <v>#REF!</v>
      </c>
      <c r="K661" s="913"/>
      <c r="L661" s="914"/>
      <c r="M661" s="914"/>
      <c r="N661" s="915"/>
      <c r="O661" s="542"/>
      <c r="P661" s="542"/>
    </row>
    <row r="662" spans="1:16" ht="47.25" customHeight="1" x14ac:dyDescent="0.4">
      <c r="A662" s="536"/>
      <c r="C662" s="4621"/>
      <c r="D662" s="1977">
        <v>5055</v>
      </c>
      <c r="E662" s="2002" t="s">
        <v>252</v>
      </c>
      <c r="F662" s="916" t="e">
        <f>+F536+F550+F564+F578</f>
        <v>#REF!</v>
      </c>
      <c r="G662" s="916" t="e">
        <f>+T536+T550+T564+T578</f>
        <v>#REF!</v>
      </c>
      <c r="H662" s="917" t="e">
        <f t="shared" si="196"/>
        <v>#REF!</v>
      </c>
      <c r="I662" s="918" t="e">
        <f t="shared" si="197"/>
        <v>#REF!</v>
      </c>
      <c r="J662" s="1943" t="e">
        <f t="shared" si="198"/>
        <v>#REF!</v>
      </c>
      <c r="K662" s="913"/>
      <c r="L662" s="914"/>
      <c r="M662" s="914"/>
      <c r="N662" s="915"/>
      <c r="O662" s="542"/>
      <c r="P662" s="542"/>
    </row>
    <row r="663" spans="1:16" ht="47.25" customHeight="1" x14ac:dyDescent="0.4">
      <c r="A663" s="536"/>
      <c r="C663" s="4621"/>
      <c r="D663" s="4623" t="s">
        <v>253</v>
      </c>
      <c r="E663" s="1362" t="s">
        <v>46</v>
      </c>
      <c r="F663" s="916" t="e">
        <f>+F528+F537+F551+F565+F579</f>
        <v>#REF!</v>
      </c>
      <c r="G663" s="916" t="e">
        <f>+T528+T537+T551+T565+T579</f>
        <v>#REF!</v>
      </c>
      <c r="H663" s="917" t="e">
        <f t="shared" si="196"/>
        <v>#REF!</v>
      </c>
      <c r="I663" s="918" t="e">
        <f t="shared" si="197"/>
        <v>#REF!</v>
      </c>
      <c r="J663" s="1943" t="e">
        <f t="shared" si="198"/>
        <v>#REF!</v>
      </c>
      <c r="K663" s="913"/>
      <c r="L663" s="914"/>
      <c r="M663" s="914"/>
      <c r="N663" s="915"/>
      <c r="O663" s="542"/>
      <c r="P663" s="542"/>
    </row>
    <row r="664" spans="1:16" ht="47.25" customHeight="1" x14ac:dyDescent="0.4">
      <c r="A664" s="536"/>
      <c r="C664" s="4621"/>
      <c r="D664" s="4624"/>
      <c r="E664" s="1362" t="s">
        <v>47</v>
      </c>
      <c r="F664" s="916" t="e">
        <f>+F529+F538+F552+F566+F580</f>
        <v>#REF!</v>
      </c>
      <c r="G664" s="916" t="e">
        <f>+T529+T538+T552+T566+T580</f>
        <v>#REF!</v>
      </c>
      <c r="H664" s="917" t="e">
        <f t="shared" si="196"/>
        <v>#REF!</v>
      </c>
      <c r="I664" s="918" t="e">
        <f t="shared" si="197"/>
        <v>#REF!</v>
      </c>
      <c r="J664" s="1943" t="e">
        <f t="shared" si="198"/>
        <v>#REF!</v>
      </c>
      <c r="K664" s="913"/>
      <c r="L664" s="914"/>
      <c r="M664" s="914"/>
      <c r="N664" s="915"/>
      <c r="O664" s="542"/>
      <c r="P664" s="542"/>
    </row>
    <row r="665" spans="1:16" ht="47.25" customHeight="1" x14ac:dyDescent="0.4">
      <c r="A665" s="536"/>
      <c r="C665" s="4621"/>
      <c r="D665" s="4624"/>
      <c r="E665" s="1362" t="s">
        <v>635</v>
      </c>
      <c r="F665" s="916" t="e">
        <f>+F539+F553+F567+#REF!</f>
        <v>#REF!</v>
      </c>
      <c r="G665" s="916" t="e">
        <f>+T539+T553+T567+#REF!</f>
        <v>#REF!</v>
      </c>
      <c r="H665" s="917" t="e">
        <f t="shared" si="196"/>
        <v>#REF!</v>
      </c>
      <c r="I665" s="918" t="e">
        <f t="shared" si="197"/>
        <v>#REF!</v>
      </c>
      <c r="J665" s="1943" t="e">
        <f t="shared" si="198"/>
        <v>#REF!</v>
      </c>
      <c r="K665" s="542"/>
      <c r="L665" s="914"/>
      <c r="M665" s="914"/>
      <c r="N665" s="915"/>
      <c r="O665" s="542"/>
      <c r="P665" s="542"/>
    </row>
    <row r="666" spans="1:16" ht="47.25" customHeight="1" x14ac:dyDescent="0.4">
      <c r="A666" s="536"/>
      <c r="C666" s="4621"/>
      <c r="D666" s="4624"/>
      <c r="E666" s="1362" t="s">
        <v>636</v>
      </c>
      <c r="F666" s="916" t="e">
        <f>+F540+F554+F568+#REF!</f>
        <v>#REF!</v>
      </c>
      <c r="G666" s="916" t="e">
        <f>+T540+T554+T568+#REF!</f>
        <v>#REF!</v>
      </c>
      <c r="H666" s="917" t="e">
        <f>+F666+G666</f>
        <v>#REF!</v>
      </c>
      <c r="I666" s="918" t="e">
        <f>IF(F666=0,0,G666/H666)</f>
        <v>#REF!</v>
      </c>
      <c r="J666" s="1943" t="e">
        <f t="shared" si="198"/>
        <v>#REF!</v>
      </c>
      <c r="K666" s="542"/>
      <c r="L666" s="914"/>
      <c r="M666" s="914"/>
      <c r="N666" s="915"/>
      <c r="O666" s="542"/>
      <c r="P666" s="542"/>
    </row>
    <row r="667" spans="1:16" ht="47.25" customHeight="1" x14ac:dyDescent="0.4">
      <c r="A667" s="536"/>
      <c r="C667" s="4621"/>
      <c r="D667" s="4624"/>
      <c r="E667" s="1363" t="s">
        <v>637</v>
      </c>
      <c r="F667" s="916" t="e">
        <f>+F530+F541+F555+F569+#REF!</f>
        <v>#REF!</v>
      </c>
      <c r="G667" s="916" t="e">
        <f>+T530+T541+T555+T569+#REF!</f>
        <v>#REF!</v>
      </c>
      <c r="H667" s="917" t="e">
        <f>+F667+G667</f>
        <v>#REF!</v>
      </c>
      <c r="I667" s="918" t="e">
        <f>IF(F667=0,0,G667/H667)</f>
        <v>#REF!</v>
      </c>
      <c r="J667" s="1943" t="e">
        <f t="shared" si="198"/>
        <v>#REF!</v>
      </c>
      <c r="K667" s="542"/>
      <c r="L667" s="914"/>
      <c r="M667" s="914"/>
      <c r="N667" s="915"/>
      <c r="O667" s="542"/>
      <c r="P667" s="542"/>
    </row>
    <row r="668" spans="1:16" ht="47.25" customHeight="1" x14ac:dyDescent="0.4">
      <c r="A668" s="536"/>
      <c r="C668" s="4621"/>
      <c r="D668" s="4624"/>
      <c r="E668" s="1363" t="s">
        <v>49</v>
      </c>
      <c r="F668" s="916" t="e">
        <f>+#REF!+F542+F556+F570+#REF!</f>
        <v>#REF!</v>
      </c>
      <c r="G668" s="916" t="e">
        <f>+#REF!+T542+T556+T570+#REF!</f>
        <v>#REF!</v>
      </c>
      <c r="H668" s="917" t="e">
        <f>+F668+G668</f>
        <v>#REF!</v>
      </c>
      <c r="I668" s="918" t="e">
        <f>IF(F668=0,0,G668/H668)</f>
        <v>#REF!</v>
      </c>
      <c r="J668" s="1943" t="e">
        <f t="shared" si="198"/>
        <v>#REF!</v>
      </c>
      <c r="K668" s="542"/>
      <c r="L668" s="914"/>
      <c r="M668" s="914"/>
      <c r="N668" s="915"/>
      <c r="O668" s="542"/>
      <c r="P668" s="542"/>
    </row>
    <row r="669" spans="1:16" ht="47.25" customHeight="1" x14ac:dyDescent="0.4">
      <c r="A669" s="536"/>
      <c r="C669" s="4621"/>
      <c r="D669" s="4624"/>
      <c r="E669" s="1363" t="s">
        <v>638</v>
      </c>
      <c r="F669" s="916" t="e">
        <f>+F543+F557+F571+#REF!</f>
        <v>#REF!</v>
      </c>
      <c r="G669" s="916" t="e">
        <f>+T543+T557+T571+#REF!</f>
        <v>#REF!</v>
      </c>
      <c r="H669" s="917" t="e">
        <f t="shared" si="196"/>
        <v>#REF!</v>
      </c>
      <c r="I669" s="918" t="e">
        <f>IF(F669=0,0,G669/H669)</f>
        <v>#REF!</v>
      </c>
      <c r="J669" s="1943" t="e">
        <f t="shared" si="198"/>
        <v>#REF!</v>
      </c>
      <c r="K669" s="542"/>
      <c r="L669" s="914"/>
      <c r="M669" s="914"/>
      <c r="N669" s="915"/>
      <c r="O669" s="542"/>
      <c r="P669" s="542"/>
    </row>
    <row r="670" spans="1:16" ht="47.25" customHeight="1" x14ac:dyDescent="0.4">
      <c r="A670" s="536"/>
      <c r="C670" s="4621"/>
      <c r="D670" s="4625"/>
      <c r="E670" s="1363" t="s">
        <v>639</v>
      </c>
      <c r="F670" s="916" t="e">
        <f>+F544+F558+F572+#REF!</f>
        <v>#REF!</v>
      </c>
      <c r="G670" s="916" t="e">
        <f>+T544+T558+T572+#REF!</f>
        <v>#REF!</v>
      </c>
      <c r="H670" s="917" t="e">
        <f t="shared" si="196"/>
        <v>#REF!</v>
      </c>
      <c r="I670" s="918" t="e">
        <f t="shared" si="197"/>
        <v>#REF!</v>
      </c>
      <c r="J670" s="1943" t="e">
        <f t="shared" si="198"/>
        <v>#REF!</v>
      </c>
      <c r="K670" s="542"/>
      <c r="L670" s="914"/>
      <c r="M670" s="914"/>
      <c r="N670" s="915"/>
      <c r="O670" s="542"/>
      <c r="P670" s="542"/>
    </row>
    <row r="671" spans="1:16" ht="47.25" customHeight="1" thickBot="1" x14ac:dyDescent="0.45">
      <c r="A671" s="536"/>
      <c r="C671" s="4622"/>
      <c r="D671" s="2161">
        <v>6000</v>
      </c>
      <c r="E671" s="2162" t="s">
        <v>640</v>
      </c>
      <c r="F671" s="2158" t="e">
        <f>+F545+F559+F573+#REF!+F531</f>
        <v>#REF!</v>
      </c>
      <c r="G671" s="917" t="e">
        <f>+T545+T559+T573+#REF!+T531</f>
        <v>#REF!</v>
      </c>
      <c r="H671" s="917" t="e">
        <f>+F671+G671</f>
        <v>#REF!</v>
      </c>
      <c r="I671" s="918" t="e">
        <f t="shared" si="197"/>
        <v>#REF!</v>
      </c>
      <c r="J671" s="1943" t="e">
        <f t="shared" si="198"/>
        <v>#REF!</v>
      </c>
      <c r="K671" s="542"/>
      <c r="L671" s="914"/>
      <c r="M671" s="914"/>
      <c r="N671" s="915"/>
      <c r="O671" s="542"/>
      <c r="P671" s="542"/>
    </row>
    <row r="672" spans="1:16" ht="36" customHeight="1" x14ac:dyDescent="0.4">
      <c r="A672" s="536"/>
      <c r="C672" s="4663"/>
      <c r="D672" s="4669" t="s">
        <v>21</v>
      </c>
      <c r="E672" s="2159" t="s">
        <v>233</v>
      </c>
      <c r="F672" s="2158">
        <f>+F586+F587</f>
        <v>0</v>
      </c>
      <c r="G672" s="2158" t="e">
        <f>+T586+T587</f>
        <v>#REF!</v>
      </c>
      <c r="H672" s="917" t="e">
        <f t="shared" ref="H672:H681" si="199">F672+G672</f>
        <v>#REF!</v>
      </c>
      <c r="I672" s="918">
        <f t="shared" si="197"/>
        <v>0</v>
      </c>
      <c r="J672" s="1943">
        <f t="shared" si="198"/>
        <v>0</v>
      </c>
      <c r="K672" s="542"/>
      <c r="L672" s="542"/>
      <c r="M672" s="542"/>
      <c r="N672" s="542"/>
      <c r="O672" s="547"/>
      <c r="P672" s="547"/>
    </row>
    <row r="673" spans="1:16" ht="48" customHeight="1" x14ac:dyDescent="0.4">
      <c r="A673" s="536"/>
      <c r="C673" s="4664"/>
      <c r="D673" s="4670"/>
      <c r="E673" s="2220" t="s">
        <v>641</v>
      </c>
      <c r="F673" s="2158" t="e">
        <f>+F588</f>
        <v>#REF!</v>
      </c>
      <c r="G673" s="2158" t="e">
        <f>+T588</f>
        <v>#REF!</v>
      </c>
      <c r="H673" s="917" t="e">
        <f t="shared" si="199"/>
        <v>#REF!</v>
      </c>
      <c r="I673" s="918" t="e">
        <f t="shared" si="197"/>
        <v>#REF!</v>
      </c>
      <c r="J673" s="1943" t="e">
        <f t="shared" si="198"/>
        <v>#REF!</v>
      </c>
      <c r="K673" s="542"/>
      <c r="L673" s="542"/>
      <c r="M673" s="542"/>
      <c r="N673" s="542"/>
      <c r="O673" s="547"/>
      <c r="P673" s="547"/>
    </row>
    <row r="674" spans="1:16" ht="36" customHeight="1" x14ac:dyDescent="0.4">
      <c r="A674" s="536"/>
      <c r="C674" s="4665"/>
      <c r="D674" s="4635" t="s">
        <v>71</v>
      </c>
      <c r="E674" s="2160" t="s">
        <v>233</v>
      </c>
      <c r="F674" s="2158">
        <f>+F589</f>
        <v>0</v>
      </c>
      <c r="G674" s="917" t="e">
        <f>+L589+M589+N589</f>
        <v>#REF!</v>
      </c>
      <c r="H674" s="917" t="e">
        <f t="shared" si="199"/>
        <v>#REF!</v>
      </c>
      <c r="I674" s="918">
        <f t="shared" si="197"/>
        <v>0</v>
      </c>
      <c r="J674" s="1943">
        <f t="shared" si="198"/>
        <v>0</v>
      </c>
      <c r="K674" s="542"/>
      <c r="L674" s="542"/>
      <c r="M674" s="542"/>
    </row>
    <row r="675" spans="1:16" ht="48" customHeight="1" x14ac:dyDescent="0.4">
      <c r="A675" s="536"/>
      <c r="C675" s="4665"/>
      <c r="D675" s="4635"/>
      <c r="E675" s="2220" t="s">
        <v>641</v>
      </c>
      <c r="F675" s="2158" t="e">
        <f>+F591</f>
        <v>#REF!</v>
      </c>
      <c r="G675" s="2158" t="e">
        <f>+T591</f>
        <v>#REF!</v>
      </c>
      <c r="H675" s="917" t="e">
        <f t="shared" si="199"/>
        <v>#REF!</v>
      </c>
      <c r="I675" s="918" t="e">
        <f t="shared" si="197"/>
        <v>#REF!</v>
      </c>
      <c r="J675" s="1943" t="e">
        <f t="shared" si="198"/>
        <v>#REF!</v>
      </c>
      <c r="K675" s="542"/>
      <c r="L675" s="542"/>
      <c r="M675" s="542"/>
    </row>
    <row r="676" spans="1:16" ht="36" customHeight="1" x14ac:dyDescent="0.4">
      <c r="A676" s="536"/>
      <c r="C676" s="4666"/>
      <c r="D676" s="4671" t="s">
        <v>22</v>
      </c>
      <c r="E676" s="4672"/>
      <c r="F676" s="916">
        <f>+F312</f>
        <v>0</v>
      </c>
      <c r="G676" s="917">
        <f>+K312+L312+M312</f>
        <v>0</v>
      </c>
      <c r="H676" s="917">
        <f t="shared" si="199"/>
        <v>0</v>
      </c>
      <c r="I676" s="918">
        <f t="shared" si="197"/>
        <v>0</v>
      </c>
      <c r="J676" s="1943">
        <f t="shared" si="198"/>
        <v>0</v>
      </c>
      <c r="K676" s="542"/>
      <c r="L676" s="542"/>
      <c r="M676" s="542"/>
    </row>
    <row r="677" spans="1:16" ht="36" customHeight="1" x14ac:dyDescent="0.4">
      <c r="A677" s="536"/>
      <c r="C677" s="4666"/>
      <c r="D677" s="4657" t="s">
        <v>642</v>
      </c>
      <c r="E677" s="4658"/>
      <c r="F677" s="916" t="e">
        <f>+F220</f>
        <v>#REF!</v>
      </c>
      <c r="G677" s="917" t="e">
        <f>+L220+M220+N220</f>
        <v>#REF!</v>
      </c>
      <c r="H677" s="917" t="e">
        <f t="shared" si="199"/>
        <v>#REF!</v>
      </c>
      <c r="I677" s="918" t="e">
        <f t="shared" si="197"/>
        <v>#REF!</v>
      </c>
      <c r="J677" s="1943" t="e">
        <f t="shared" si="198"/>
        <v>#REF!</v>
      </c>
      <c r="K677" s="542"/>
      <c r="L677" s="542"/>
      <c r="M677" s="542"/>
    </row>
    <row r="678" spans="1:16" ht="36" customHeight="1" x14ac:dyDescent="0.4">
      <c r="A678" s="536"/>
      <c r="C678" s="4666"/>
      <c r="D678" s="4657" t="s">
        <v>643</v>
      </c>
      <c r="E678" s="4658"/>
      <c r="F678" s="916"/>
      <c r="G678" s="917"/>
      <c r="H678" s="917"/>
      <c r="I678" s="918"/>
      <c r="J678" s="1943"/>
      <c r="K678" s="542"/>
      <c r="L678" s="542"/>
      <c r="M678" s="542"/>
    </row>
    <row r="679" spans="1:16" ht="36" customHeight="1" x14ac:dyDescent="0.4">
      <c r="A679" s="536"/>
      <c r="C679" s="4666"/>
      <c r="D679" s="4657" t="s">
        <v>128</v>
      </c>
      <c r="E679" s="4658"/>
      <c r="F679" s="916" t="e">
        <f>+F169</f>
        <v>#REF!</v>
      </c>
      <c r="G679" s="917" t="e">
        <f>+L169+M169+N169</f>
        <v>#REF!</v>
      </c>
      <c r="H679" s="917" t="e">
        <f t="shared" si="199"/>
        <v>#REF!</v>
      </c>
      <c r="I679" s="918" t="e">
        <f t="shared" si="197"/>
        <v>#REF!</v>
      </c>
      <c r="J679" s="1943" t="e">
        <f t="shared" si="198"/>
        <v>#REF!</v>
      </c>
      <c r="K679" s="542"/>
      <c r="L679" s="542"/>
      <c r="M679" s="542"/>
    </row>
    <row r="680" spans="1:16" ht="36" customHeight="1" x14ac:dyDescent="0.4">
      <c r="A680" s="536"/>
      <c r="C680" s="4667"/>
      <c r="D680" s="4657" t="s">
        <v>643</v>
      </c>
      <c r="E680" s="4658"/>
      <c r="F680" s="916"/>
      <c r="G680" s="917"/>
      <c r="H680" s="917"/>
      <c r="I680" s="918"/>
      <c r="J680" s="1943"/>
      <c r="K680" s="542"/>
      <c r="L680" s="542"/>
      <c r="M680" s="542"/>
    </row>
    <row r="681" spans="1:16" ht="36" customHeight="1" thickBot="1" x14ac:dyDescent="0.45">
      <c r="A681" s="536"/>
      <c r="C681" s="4668"/>
      <c r="D681" s="4657" t="s">
        <v>261</v>
      </c>
      <c r="E681" s="4658"/>
      <c r="F681" s="916">
        <f>+F83</f>
        <v>0</v>
      </c>
      <c r="G681" s="917">
        <f>+L83+M83+N83</f>
        <v>0</v>
      </c>
      <c r="H681" s="917">
        <f t="shared" si="199"/>
        <v>0</v>
      </c>
      <c r="I681" s="918">
        <f t="shared" si="197"/>
        <v>0</v>
      </c>
      <c r="J681" s="1943">
        <f t="shared" si="198"/>
        <v>0</v>
      </c>
      <c r="K681" s="542"/>
      <c r="L681" s="542"/>
      <c r="M681" s="542"/>
    </row>
    <row r="682" spans="1:16" ht="36" customHeight="1" x14ac:dyDescent="0.4">
      <c r="A682" s="536"/>
      <c r="C682" s="920"/>
      <c r="D682" s="4659"/>
      <c r="E682" s="4660"/>
      <c r="F682" s="916"/>
      <c r="G682" s="917"/>
      <c r="H682" s="917"/>
      <c r="I682" s="918"/>
      <c r="J682" s="1943"/>
    </row>
    <row r="683" spans="1:16" ht="36" customHeight="1" x14ac:dyDescent="0.4">
      <c r="A683" s="536"/>
      <c r="C683" s="921"/>
      <c r="D683" s="4659" t="s">
        <v>508</v>
      </c>
      <c r="E683" s="4660"/>
      <c r="F683" s="916">
        <f>F46</f>
        <v>0</v>
      </c>
      <c r="G683" s="917">
        <f>SUM(L46:N46)</f>
        <v>0</v>
      </c>
      <c r="H683" s="917">
        <f>F683+G683</f>
        <v>0</v>
      </c>
      <c r="I683" s="918">
        <f t="shared" si="197"/>
        <v>0</v>
      </c>
      <c r="J683" s="1943">
        <f t="shared" si="198"/>
        <v>0</v>
      </c>
    </row>
    <row r="684" spans="1:16" ht="36" customHeight="1" x14ac:dyDescent="0.4">
      <c r="A684" s="536"/>
      <c r="C684" s="126"/>
      <c r="D684" s="4659" t="s">
        <v>262</v>
      </c>
      <c r="E684" s="4660"/>
      <c r="F684" s="916">
        <f>F14</f>
        <v>0</v>
      </c>
      <c r="G684" s="545"/>
      <c r="H684" s="545"/>
      <c r="I684" s="918"/>
      <c r="J684" s="1943"/>
    </row>
    <row r="685" spans="1:16" ht="36" customHeight="1" x14ac:dyDescent="0.4">
      <c r="A685" s="536"/>
      <c r="C685" s="126"/>
      <c r="D685" s="4659" t="s">
        <v>154</v>
      </c>
      <c r="E685" s="4660"/>
      <c r="F685" s="916" t="e">
        <f>SUM(F658:F684)</f>
        <v>#REF!</v>
      </c>
      <c r="G685" s="916" t="e">
        <f>SUM(G658:G684)</f>
        <v>#REF!</v>
      </c>
      <c r="H685" s="916" t="e">
        <f>SUM(H658:H684)</f>
        <v>#REF!</v>
      </c>
      <c r="I685" s="918" t="e">
        <f t="shared" ref="I685:I687" si="200">IF(F685=0,0,G685/H685)</f>
        <v>#REF!</v>
      </c>
      <c r="J685" s="1943" t="e">
        <f t="shared" ref="J685" si="201">+IF(F685=0,0,G685/F685)</f>
        <v>#REF!</v>
      </c>
    </row>
    <row r="686" spans="1:16" ht="36" customHeight="1" x14ac:dyDescent="0.4">
      <c r="A686" s="536"/>
      <c r="C686" s="126"/>
      <c r="D686" s="4659" t="s">
        <v>245</v>
      </c>
      <c r="E686" s="4660"/>
      <c r="F686" s="916">
        <f>+F10</f>
        <v>0</v>
      </c>
      <c r="G686" s="545"/>
      <c r="H686" s="922"/>
      <c r="I686" s="918"/>
      <c r="J686" s="1943"/>
    </row>
    <row r="687" spans="1:16" ht="36" customHeight="1" x14ac:dyDescent="0.4">
      <c r="A687" s="536"/>
      <c r="C687" s="126"/>
      <c r="D687" s="4659" t="s">
        <v>152</v>
      </c>
      <c r="E687" s="4660"/>
      <c r="F687" s="916" t="e">
        <f>F686-F685</f>
        <v>#REF!</v>
      </c>
      <c r="G687" s="917" t="e">
        <f>SUM(G658:G682)</f>
        <v>#REF!</v>
      </c>
      <c r="H687" s="917" t="e">
        <f>SUM(H658:H682)</f>
        <v>#REF!</v>
      </c>
      <c r="I687" s="918" t="e">
        <f t="shared" si="200"/>
        <v>#REF!</v>
      </c>
      <c r="J687" s="1943"/>
    </row>
    <row r="688" spans="1:16" ht="55.5" customHeight="1" thickBot="1" x14ac:dyDescent="0.65">
      <c r="A688" s="536"/>
      <c r="C688" s="163"/>
      <c r="D688" s="4661" t="s">
        <v>263</v>
      </c>
      <c r="E688" s="4662"/>
      <c r="F688" s="923">
        <f>IF(F686=0,0,+F687/F686)</f>
        <v>0</v>
      </c>
      <c r="G688" s="924"/>
      <c r="H688" s="924"/>
      <c r="I688" s="925"/>
    </row>
    <row r="689" spans="1:28" ht="57.95" customHeight="1" x14ac:dyDescent="0.55000000000000004">
      <c r="A689" s="536"/>
      <c r="B689" s="1963" t="s">
        <v>264</v>
      </c>
      <c r="C689" s="556"/>
      <c r="D689" s="556"/>
      <c r="E689" s="556"/>
      <c r="F689" s="556"/>
      <c r="G689" s="556"/>
      <c r="H689" s="556"/>
      <c r="I689" s="926"/>
      <c r="J689" s="556"/>
      <c r="K689" s="556"/>
      <c r="L689" s="556"/>
      <c r="M689" s="556"/>
      <c r="N689" s="556"/>
      <c r="O689" s="556"/>
      <c r="P689" s="556"/>
      <c r="Q689" s="556"/>
    </row>
    <row r="690" spans="1:28" ht="36" customHeight="1" x14ac:dyDescent="0.2">
      <c r="A690" s="536"/>
      <c r="B690" s="529"/>
      <c r="C690" s="10"/>
      <c r="D690" s="10"/>
      <c r="E690" s="10"/>
      <c r="F690" s="10"/>
      <c r="G690" s="10"/>
      <c r="H690" s="10"/>
      <c r="I690" s="15"/>
      <c r="J690" s="10"/>
      <c r="K690" s="10"/>
      <c r="L690" s="10"/>
      <c r="M690" s="10"/>
      <c r="N690" s="10"/>
      <c r="O690" s="10"/>
      <c r="P690" s="10"/>
      <c r="Q690" s="10"/>
    </row>
    <row r="691" spans="1:28" ht="36" customHeight="1" x14ac:dyDescent="0.2">
      <c r="A691" s="536"/>
      <c r="B691" s="16"/>
      <c r="C691" s="10"/>
      <c r="D691" s="10"/>
      <c r="E691" s="10"/>
      <c r="F691" s="10"/>
      <c r="G691" s="10"/>
      <c r="H691" s="10"/>
      <c r="I691" s="15"/>
      <c r="J691" s="10"/>
      <c r="K691" s="10"/>
      <c r="L691" s="10"/>
      <c r="M691" s="10"/>
      <c r="N691" s="10"/>
      <c r="O691" s="10"/>
      <c r="P691" s="10"/>
      <c r="Q691" s="10"/>
    </row>
    <row r="692" spans="1:28" ht="36" customHeight="1" x14ac:dyDescent="0.2">
      <c r="A692" s="536"/>
      <c r="B692" s="16"/>
      <c r="C692" s="10"/>
      <c r="D692" s="10"/>
      <c r="E692" s="10"/>
      <c r="F692" s="10"/>
      <c r="G692" s="10"/>
      <c r="H692" s="10"/>
      <c r="I692" s="15"/>
      <c r="J692" s="10"/>
      <c r="L692" s="10"/>
      <c r="M692" s="10"/>
      <c r="N692" s="10"/>
      <c r="O692" s="10"/>
      <c r="P692" s="10"/>
      <c r="Q692" s="10"/>
    </row>
    <row r="693" spans="1:28" ht="36" customHeight="1" x14ac:dyDescent="0.2">
      <c r="A693" s="536"/>
      <c r="B693" s="16"/>
      <c r="C693" s="10"/>
      <c r="D693" s="10"/>
      <c r="E693" s="10"/>
      <c r="F693" s="10"/>
      <c r="G693" s="10"/>
      <c r="H693" s="10"/>
      <c r="I693" s="15"/>
      <c r="J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</row>
    <row r="694" spans="1:28" ht="36" customHeight="1" x14ac:dyDescent="0.2">
      <c r="A694" s="536"/>
      <c r="B694" s="16"/>
      <c r="I694" s="17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</row>
    <row r="695" spans="1:28" ht="36" customHeight="1" x14ac:dyDescent="0.2">
      <c r="A695" s="536"/>
      <c r="B695" s="16"/>
      <c r="I695" s="17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</row>
    <row r="696" spans="1:28" ht="36" customHeight="1" x14ac:dyDescent="0.2">
      <c r="A696" s="536"/>
      <c r="B696" s="16"/>
      <c r="I696" s="17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</row>
    <row r="697" spans="1:28" ht="36" customHeight="1" x14ac:dyDescent="0.45">
      <c r="A697" s="536"/>
      <c r="B697" s="4075" t="s">
        <v>265</v>
      </c>
      <c r="C697" s="4076"/>
      <c r="D697" s="4076"/>
      <c r="E697" s="4076"/>
      <c r="F697" s="4076"/>
      <c r="G697" s="4076"/>
      <c r="H697" s="4076"/>
      <c r="I697" s="4077"/>
      <c r="J697" s="12"/>
      <c r="K697" s="12"/>
      <c r="L697" s="12"/>
      <c r="M697" s="12"/>
      <c r="N697" s="12"/>
      <c r="O697" s="12"/>
      <c r="P697" s="12"/>
      <c r="Q697" s="12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</row>
    <row r="698" spans="1:28" ht="36" customHeight="1" x14ac:dyDescent="0.2"/>
    <row r="699" spans="1:28" ht="36" customHeight="1" x14ac:dyDescent="0.25">
      <c r="C699" s="18" t="s">
        <v>644</v>
      </c>
    </row>
    <row r="700" spans="1:28" ht="36" customHeight="1" x14ac:dyDescent="0.25">
      <c r="C700" s="18"/>
    </row>
    <row r="701" spans="1:28" ht="36" customHeight="1" thickBot="1" x14ac:dyDescent="0.3">
      <c r="C701" s="18"/>
    </row>
    <row r="702" spans="1:28" ht="36" customHeight="1" thickBot="1" x14ac:dyDescent="0.25">
      <c r="F702" s="19" t="s">
        <v>645</v>
      </c>
      <c r="H702" s="4673" t="s">
        <v>278</v>
      </c>
      <c r="I702" s="4674"/>
      <c r="J702" s="4674"/>
      <c r="K702" s="4675"/>
    </row>
    <row r="703" spans="1:28" ht="36" customHeight="1" x14ac:dyDescent="0.2">
      <c r="C703" s="20" t="s">
        <v>268</v>
      </c>
      <c r="D703" s="20" t="s">
        <v>646</v>
      </c>
      <c r="E703" s="21"/>
      <c r="F703" s="21" t="s">
        <v>276</v>
      </c>
      <c r="G703" s="20" t="s">
        <v>647</v>
      </c>
      <c r="H703" s="22" t="s">
        <v>287</v>
      </c>
      <c r="I703" s="22" t="s">
        <v>288</v>
      </c>
      <c r="J703" s="22" t="s">
        <v>289</v>
      </c>
      <c r="K703" s="22" t="s">
        <v>290</v>
      </c>
      <c r="L703" s="20" t="e">
        <f>'GUDI  -HOJA2'!#REF!</f>
        <v>#REF!</v>
      </c>
      <c r="M703" s="20" t="e">
        <f>'GUDI  -HOJA2'!#REF!</f>
        <v>#REF!</v>
      </c>
      <c r="N703" s="20" t="e">
        <f>'GUDI  -HOJA2'!#REF!</f>
        <v>#REF!</v>
      </c>
      <c r="O703" s="20"/>
      <c r="P703" s="20"/>
      <c r="Q703" s="20"/>
      <c r="R703" s="20" t="s">
        <v>271</v>
      </c>
      <c r="S703" s="20" t="s">
        <v>273</v>
      </c>
    </row>
    <row r="704" spans="1:28" ht="36" customHeight="1" x14ac:dyDescent="0.25">
      <c r="C704" s="737">
        <f>'GUDI  -HOJA2'!A9</f>
        <v>0</v>
      </c>
      <c r="D704" s="927">
        <f>'GUDI  -HOJA2'!C9</f>
        <v>0</v>
      </c>
      <c r="E704" s="927"/>
      <c r="F704" s="927">
        <f>'GUDI  -HOJA2'!I9</f>
        <v>0</v>
      </c>
      <c r="G704" s="927">
        <f>'GUDI  -HOJA2'!N9</f>
        <v>0</v>
      </c>
      <c r="H704" s="927">
        <f>'GUDI  -HOJA2'!P9</f>
        <v>0</v>
      </c>
      <c r="I704" s="927">
        <f>'GUDI  -HOJA2'!Q9</f>
        <v>0</v>
      </c>
      <c r="J704" s="927">
        <f>'GUDI  -HOJA2'!R9</f>
        <v>0</v>
      </c>
      <c r="K704" s="927">
        <f>'GUDI  -HOJA2'!S9</f>
        <v>0</v>
      </c>
      <c r="L704" s="927" t="e">
        <f>'GUDI  -HOJA2'!#REF!</f>
        <v>#REF!</v>
      </c>
      <c r="M704" s="927" t="e">
        <f>'GUDI  -HOJA2'!#REF!</f>
        <v>#REF!</v>
      </c>
      <c r="N704" s="927" t="e">
        <f>'GUDI  -HOJA2'!#REF!</f>
        <v>#REF!</v>
      </c>
      <c r="O704" s="927"/>
      <c r="P704" s="927"/>
      <c r="Q704" s="927"/>
      <c r="R704" s="927" t="e">
        <f>'GUDI  -HOJA2'!#REF!</f>
        <v>#REF!</v>
      </c>
      <c r="S704" s="927" t="e">
        <f>'GUDI  -HOJA2'!#REF!</f>
        <v>#REF!</v>
      </c>
    </row>
    <row r="705" spans="3:20" ht="36" customHeight="1" x14ac:dyDescent="0.25">
      <c r="C705" s="737">
        <f>'GUDI  -HOJA2'!A10</f>
        <v>0</v>
      </c>
      <c r="D705" s="927">
        <f>'GUDI  -HOJA2'!C10</f>
        <v>0</v>
      </c>
      <c r="E705" s="927"/>
      <c r="F705" s="927">
        <f>'GUDI  -HOJA2'!I10</f>
        <v>0</v>
      </c>
      <c r="G705" s="927">
        <f>'GUDI  -HOJA2'!N10</f>
        <v>0</v>
      </c>
      <c r="H705" s="927">
        <f>'GUDI  -HOJA2'!P10</f>
        <v>0</v>
      </c>
      <c r="I705" s="927">
        <f>'GUDI  -HOJA2'!Q10</f>
        <v>0</v>
      </c>
      <c r="J705" s="927">
        <f>'GUDI  -HOJA2'!R10</f>
        <v>0</v>
      </c>
      <c r="K705" s="927">
        <f>'GUDI  -HOJA2'!S10</f>
        <v>0</v>
      </c>
      <c r="L705" s="927" t="e">
        <f>'GUDI  -HOJA2'!#REF!</f>
        <v>#REF!</v>
      </c>
      <c r="M705" s="927" t="e">
        <f>'GUDI  -HOJA2'!#REF!</f>
        <v>#REF!</v>
      </c>
      <c r="N705" s="927" t="e">
        <f>'GUDI  -HOJA2'!#REF!</f>
        <v>#REF!</v>
      </c>
      <c r="O705" s="927"/>
      <c r="P705" s="927"/>
      <c r="Q705" s="927"/>
      <c r="R705" s="927" t="e">
        <f>'GUDI  -HOJA2'!#REF!</f>
        <v>#REF!</v>
      </c>
      <c r="S705" s="927" t="e">
        <f>'GUDI  -HOJA2'!#REF!</f>
        <v>#REF!</v>
      </c>
    </row>
    <row r="706" spans="3:20" ht="36" customHeight="1" x14ac:dyDescent="0.25">
      <c r="C706" s="737">
        <f>'GUDI  -HOJA2'!A11</f>
        <v>0</v>
      </c>
      <c r="D706" s="927">
        <f>'GUDI  -HOJA2'!C11</f>
        <v>0</v>
      </c>
      <c r="E706" s="927"/>
      <c r="F706" s="927">
        <f>'GUDI  -HOJA2'!I11</f>
        <v>0</v>
      </c>
      <c r="G706" s="927">
        <f>'GUDI  -HOJA2'!N11</f>
        <v>0</v>
      </c>
      <c r="H706" s="927">
        <f>'GUDI  -HOJA2'!P11</f>
        <v>0</v>
      </c>
      <c r="I706" s="927">
        <f>'GUDI  -HOJA2'!Q11</f>
        <v>0</v>
      </c>
      <c r="J706" s="927">
        <f>'GUDI  -HOJA2'!R11</f>
        <v>0</v>
      </c>
      <c r="K706" s="927">
        <f>'GUDI  -HOJA2'!S11</f>
        <v>0</v>
      </c>
      <c r="L706" s="927" t="e">
        <f>'GUDI  -HOJA2'!#REF!</f>
        <v>#REF!</v>
      </c>
      <c r="M706" s="927" t="e">
        <f>'GUDI  -HOJA2'!#REF!</f>
        <v>#REF!</v>
      </c>
      <c r="N706" s="927" t="e">
        <f>'GUDI  -HOJA2'!#REF!</f>
        <v>#REF!</v>
      </c>
      <c r="O706" s="927"/>
      <c r="P706" s="927"/>
      <c r="Q706" s="927"/>
      <c r="R706" s="927" t="e">
        <f>'GUDI  -HOJA2'!#REF!</f>
        <v>#REF!</v>
      </c>
      <c r="S706" s="927" t="e">
        <f>'GUDI  -HOJA2'!#REF!</f>
        <v>#REF!</v>
      </c>
    </row>
    <row r="707" spans="3:20" ht="36" customHeight="1" x14ac:dyDescent="0.25">
      <c r="C707" s="737">
        <f>'GUDI  -HOJA2'!A12</f>
        <v>0</v>
      </c>
      <c r="D707" s="927">
        <f>'GUDI  -HOJA2'!C12</f>
        <v>0</v>
      </c>
      <c r="E707" s="927"/>
      <c r="F707" s="927">
        <f>'GUDI  -HOJA2'!I12</f>
        <v>0</v>
      </c>
      <c r="G707" s="927">
        <f>'GUDI  -HOJA2'!N12</f>
        <v>0</v>
      </c>
      <c r="H707" s="927">
        <f>'GUDI  -HOJA2'!P12</f>
        <v>0</v>
      </c>
      <c r="I707" s="927">
        <f>'GUDI  -HOJA2'!Q12</f>
        <v>0</v>
      </c>
      <c r="J707" s="927">
        <f>'GUDI  -HOJA2'!R12</f>
        <v>0</v>
      </c>
      <c r="K707" s="927">
        <f>'GUDI  -HOJA2'!S12</f>
        <v>0</v>
      </c>
      <c r="L707" s="927" t="e">
        <f>'GUDI  -HOJA2'!#REF!</f>
        <v>#REF!</v>
      </c>
      <c r="M707" s="927" t="e">
        <f>'GUDI  -HOJA2'!#REF!</f>
        <v>#REF!</v>
      </c>
      <c r="N707" s="927" t="e">
        <f>'GUDI  -HOJA2'!#REF!</f>
        <v>#REF!</v>
      </c>
      <c r="O707" s="927"/>
      <c r="P707" s="927"/>
      <c r="Q707" s="927"/>
      <c r="R707" s="927" t="e">
        <f>'GUDI  -HOJA2'!#REF!</f>
        <v>#REF!</v>
      </c>
      <c r="S707" s="927" t="e">
        <f>'GUDI  -HOJA2'!#REF!</f>
        <v>#REF!</v>
      </c>
    </row>
    <row r="708" spans="3:20" ht="36" customHeight="1" x14ac:dyDescent="0.25">
      <c r="C708" s="737">
        <f>'GUDI  -HOJA2'!A13</f>
        <v>0</v>
      </c>
      <c r="D708" s="927">
        <f>'GUDI  -HOJA2'!C13</f>
        <v>0</v>
      </c>
      <c r="E708" s="927"/>
      <c r="F708" s="927">
        <f>'GUDI  -HOJA2'!I13</f>
        <v>0</v>
      </c>
      <c r="G708" s="927">
        <f>'GUDI  -HOJA2'!N13</f>
        <v>0</v>
      </c>
      <c r="H708" s="927">
        <f>'GUDI  -HOJA2'!P13</f>
        <v>0</v>
      </c>
      <c r="I708" s="927">
        <f>'GUDI  -HOJA2'!Q13</f>
        <v>0</v>
      </c>
      <c r="J708" s="927">
        <f>'GUDI  -HOJA2'!R13</f>
        <v>0</v>
      </c>
      <c r="K708" s="927">
        <f>'GUDI  -HOJA2'!S13</f>
        <v>0</v>
      </c>
      <c r="L708" s="927" t="e">
        <f>'GUDI  -HOJA2'!#REF!</f>
        <v>#REF!</v>
      </c>
      <c r="M708" s="927" t="e">
        <f>'GUDI  -HOJA2'!#REF!</f>
        <v>#REF!</v>
      </c>
      <c r="N708" s="927" t="e">
        <f>'GUDI  -HOJA2'!#REF!</f>
        <v>#REF!</v>
      </c>
      <c r="O708" s="927"/>
      <c r="P708" s="927"/>
      <c r="Q708" s="927"/>
      <c r="R708" s="927" t="e">
        <f>'GUDI  -HOJA2'!#REF!</f>
        <v>#REF!</v>
      </c>
      <c r="S708" s="927" t="e">
        <f>'GUDI  -HOJA2'!#REF!</f>
        <v>#REF!</v>
      </c>
    </row>
    <row r="709" spans="3:20" ht="36" customHeight="1" x14ac:dyDescent="0.25">
      <c r="C709" s="737">
        <f>'GUDI  -HOJA2'!A14</f>
        <v>0</v>
      </c>
      <c r="D709" s="927">
        <f>'GUDI  -HOJA2'!C14</f>
        <v>0</v>
      </c>
      <c r="E709" s="927"/>
      <c r="F709" s="927">
        <f>'GUDI  -HOJA2'!I14</f>
        <v>0</v>
      </c>
      <c r="G709" s="927">
        <f>'GUDI  -HOJA2'!N14</f>
        <v>0</v>
      </c>
      <c r="H709" s="927">
        <f>'GUDI  -HOJA2'!P14</f>
        <v>0</v>
      </c>
      <c r="I709" s="927">
        <f>'GUDI  -HOJA2'!Q14</f>
        <v>0</v>
      </c>
      <c r="J709" s="927">
        <f>'GUDI  -HOJA2'!R14</f>
        <v>0</v>
      </c>
      <c r="K709" s="927">
        <f>'GUDI  -HOJA2'!S14</f>
        <v>0</v>
      </c>
      <c r="L709" s="927" t="e">
        <f>'GUDI  -HOJA2'!#REF!</f>
        <v>#REF!</v>
      </c>
      <c r="M709" s="927" t="e">
        <f>'GUDI  -HOJA2'!#REF!</f>
        <v>#REF!</v>
      </c>
      <c r="N709" s="927" t="e">
        <f>'GUDI  -HOJA2'!#REF!</f>
        <v>#REF!</v>
      </c>
      <c r="O709" s="927"/>
      <c r="P709" s="927"/>
      <c r="Q709" s="927"/>
      <c r="R709" s="927" t="e">
        <f>'GUDI  -HOJA2'!#REF!</f>
        <v>#REF!</v>
      </c>
      <c r="S709" s="927" t="e">
        <f>'GUDI  -HOJA2'!#REF!</f>
        <v>#REF!</v>
      </c>
    </row>
    <row r="710" spans="3:20" ht="36" customHeight="1" x14ac:dyDescent="0.25">
      <c r="C710" s="737">
        <f>'GUDI  -HOJA2'!A15</f>
        <v>0</v>
      </c>
      <c r="D710" s="927">
        <f>'GUDI  -HOJA2'!C15</f>
        <v>0</v>
      </c>
      <c r="E710" s="927"/>
      <c r="F710" s="927">
        <f>'GUDI  -HOJA2'!I15</f>
        <v>0</v>
      </c>
      <c r="G710" s="927">
        <f>'GUDI  -HOJA2'!N15</f>
        <v>0</v>
      </c>
      <c r="H710" s="927">
        <f>'GUDI  -HOJA2'!P15</f>
        <v>0</v>
      </c>
      <c r="I710" s="927">
        <f>'GUDI  -HOJA2'!Q15</f>
        <v>0</v>
      </c>
      <c r="J710" s="927">
        <f>'GUDI  -HOJA2'!R15</f>
        <v>0</v>
      </c>
      <c r="K710" s="927">
        <f>'GUDI  -HOJA2'!S15</f>
        <v>0</v>
      </c>
      <c r="L710" s="927" t="e">
        <f>'GUDI  -HOJA2'!#REF!</f>
        <v>#REF!</v>
      </c>
      <c r="M710" s="927" t="e">
        <f>'GUDI  -HOJA2'!#REF!</f>
        <v>#REF!</v>
      </c>
      <c r="N710" s="927" t="e">
        <f>'GUDI  -HOJA2'!#REF!</f>
        <v>#REF!</v>
      </c>
      <c r="O710" s="927"/>
      <c r="P710" s="927"/>
      <c r="Q710" s="927"/>
      <c r="R710" s="927" t="e">
        <f>'GUDI  -HOJA2'!#REF!</f>
        <v>#REF!</v>
      </c>
      <c r="S710" s="927" t="e">
        <f>'GUDI  -HOJA2'!#REF!</f>
        <v>#REF!</v>
      </c>
    </row>
    <row r="711" spans="3:20" ht="36" customHeight="1" x14ac:dyDescent="0.25">
      <c r="C711" s="737">
        <f>'GUDI  -HOJA2'!A16</f>
        <v>0</v>
      </c>
      <c r="D711" s="927">
        <f>'GUDI  -HOJA2'!C16</f>
        <v>0</v>
      </c>
      <c r="E711" s="927"/>
      <c r="F711" s="927">
        <f>'GUDI  -HOJA2'!I16</f>
        <v>0</v>
      </c>
      <c r="G711" s="927">
        <f>'GUDI  -HOJA2'!N16</f>
        <v>0</v>
      </c>
      <c r="H711" s="927">
        <f>'GUDI  -HOJA2'!P16</f>
        <v>0</v>
      </c>
      <c r="I711" s="927">
        <f>'GUDI  -HOJA2'!Q16</f>
        <v>0</v>
      </c>
      <c r="J711" s="927">
        <f>'GUDI  -HOJA2'!R16</f>
        <v>0</v>
      </c>
      <c r="K711" s="927">
        <f>'GUDI  -HOJA2'!S16</f>
        <v>0</v>
      </c>
      <c r="L711" s="927" t="e">
        <f>'GUDI  -HOJA2'!#REF!</f>
        <v>#REF!</v>
      </c>
      <c r="M711" s="927" t="e">
        <f>'GUDI  -HOJA2'!#REF!</f>
        <v>#REF!</v>
      </c>
      <c r="N711" s="927" t="e">
        <f>'GUDI  -HOJA2'!#REF!</f>
        <v>#REF!</v>
      </c>
      <c r="O711" s="927"/>
      <c r="P711" s="927"/>
      <c r="Q711" s="927"/>
      <c r="R711" s="927" t="e">
        <f>'GUDI  -HOJA2'!#REF!</f>
        <v>#REF!</v>
      </c>
      <c r="S711" s="927" t="e">
        <f>'GUDI  -HOJA2'!#REF!</f>
        <v>#REF!</v>
      </c>
    </row>
    <row r="712" spans="3:20" ht="36" customHeight="1" x14ac:dyDescent="0.25">
      <c r="C712" s="737">
        <f>'GUDI  -HOJA2'!A17</f>
        <v>0</v>
      </c>
      <c r="D712" s="927">
        <f>'GUDI  -HOJA2'!C17</f>
        <v>0</v>
      </c>
      <c r="E712" s="927"/>
      <c r="F712" s="927">
        <f>'GUDI  -HOJA2'!I17</f>
        <v>0</v>
      </c>
      <c r="G712" s="927">
        <f>'GUDI  -HOJA2'!N17</f>
        <v>0</v>
      </c>
      <c r="H712" s="927">
        <f>'GUDI  -HOJA2'!P17</f>
        <v>0</v>
      </c>
      <c r="I712" s="927">
        <f>'GUDI  -HOJA2'!Q17</f>
        <v>0</v>
      </c>
      <c r="J712" s="927">
        <f>'GUDI  -HOJA2'!R17</f>
        <v>0</v>
      </c>
      <c r="K712" s="927">
        <f>'GUDI  -HOJA2'!S17</f>
        <v>0</v>
      </c>
      <c r="L712" s="927" t="e">
        <f>'GUDI  -HOJA2'!#REF!</f>
        <v>#REF!</v>
      </c>
      <c r="M712" s="927" t="e">
        <f>'GUDI  -HOJA2'!#REF!</f>
        <v>#REF!</v>
      </c>
      <c r="N712" s="927" t="e">
        <f>'GUDI  -HOJA2'!#REF!</f>
        <v>#REF!</v>
      </c>
      <c r="O712" s="927"/>
      <c r="P712" s="927"/>
      <c r="Q712" s="927"/>
      <c r="R712" s="927" t="e">
        <f>'GUDI  -HOJA2'!#REF!</f>
        <v>#REF!</v>
      </c>
      <c r="S712" s="927" t="e">
        <f>'GUDI  -HOJA2'!#REF!</f>
        <v>#REF!</v>
      </c>
    </row>
    <row r="713" spans="3:20" ht="36" customHeight="1" x14ac:dyDescent="0.25">
      <c r="C713" s="737">
        <f>'GUDI  -HOJA2'!A18</f>
        <v>0</v>
      </c>
      <c r="D713" s="927">
        <f>'GUDI  -HOJA2'!C18</f>
        <v>0</v>
      </c>
      <c r="E713" s="927"/>
      <c r="F713" s="927">
        <f>'GUDI  -HOJA2'!I18</f>
        <v>0</v>
      </c>
      <c r="G713" s="927">
        <f>'GUDI  -HOJA2'!N18</f>
        <v>0</v>
      </c>
      <c r="H713" s="927">
        <f>'GUDI  -HOJA2'!P18</f>
        <v>0</v>
      </c>
      <c r="I713" s="927">
        <f>'GUDI  -HOJA2'!Q18</f>
        <v>0</v>
      </c>
      <c r="J713" s="927">
        <f>'GUDI  -HOJA2'!R18</f>
        <v>0</v>
      </c>
      <c r="K713" s="927">
        <f>'GUDI  -HOJA2'!S18</f>
        <v>0</v>
      </c>
      <c r="L713" s="927" t="e">
        <f>'GUDI  -HOJA2'!#REF!</f>
        <v>#REF!</v>
      </c>
      <c r="M713" s="927" t="e">
        <f>'GUDI  -HOJA2'!#REF!</f>
        <v>#REF!</v>
      </c>
      <c r="N713" s="927" t="e">
        <f>'GUDI  -HOJA2'!#REF!</f>
        <v>#REF!</v>
      </c>
      <c r="O713" s="927"/>
      <c r="P713" s="927"/>
      <c r="Q713" s="927"/>
      <c r="R713" s="927" t="e">
        <f>'GUDI  -HOJA2'!#REF!</f>
        <v>#REF!</v>
      </c>
      <c r="S713" s="927" t="e">
        <f>'GUDI  -HOJA2'!#REF!</f>
        <v>#REF!</v>
      </c>
      <c r="T713" s="23"/>
    </row>
    <row r="714" spans="3:20" ht="36" customHeight="1" x14ac:dyDescent="0.2"/>
    <row r="715" spans="3:20" ht="36" customHeight="1" x14ac:dyDescent="0.2">
      <c r="D715" s="9" t="s">
        <v>648</v>
      </c>
      <c r="F715" s="9" t="s">
        <v>23</v>
      </c>
      <c r="G715" s="9">
        <f>SUMIF($F$704:$F$713,"MT",G704:G713)</f>
        <v>0</v>
      </c>
      <c r="H715" s="9">
        <f>SUMIF($F$704:$F$713,"MT",H704:H713)</f>
        <v>0</v>
      </c>
      <c r="I715" s="9">
        <f>SUMIF($F$704:$F$713,"MT",I704:I713)</f>
        <v>0</v>
      </c>
      <c r="J715" s="9">
        <f>SUMIF($F$704:$F$713,"MT",J704:J713)</f>
        <v>0</v>
      </c>
      <c r="K715" s="9">
        <f>SUMIF($F$704:$F$713,"MT",K704:K713)</f>
        <v>0</v>
      </c>
    </row>
    <row r="716" spans="3:20" ht="36" customHeight="1" x14ac:dyDescent="0.2">
      <c r="D716" s="9" t="s">
        <v>648</v>
      </c>
      <c r="F716" s="9" t="s">
        <v>24</v>
      </c>
      <c r="G716" s="9">
        <f>SUMIF($F$704:$F$713,"BT",G704:G713)</f>
        <v>0</v>
      </c>
      <c r="H716" s="9">
        <f>SUMIF($F$704:$F$713,"BT",H704:H713)</f>
        <v>0</v>
      </c>
      <c r="I716" s="9">
        <f>SUMIF($F$704:$F$713,"BT",I704:I713)</f>
        <v>0</v>
      </c>
      <c r="J716" s="9">
        <f>SUMIF($F$704:$F$713,"BT",J704:J713)</f>
        <v>0</v>
      </c>
      <c r="K716" s="9">
        <f>SUMIF($F$704:$F$713,"BT",K704:K713)</f>
        <v>0</v>
      </c>
    </row>
    <row r="717" spans="3:20" ht="36" customHeight="1" x14ac:dyDescent="0.2">
      <c r="D717" s="9" t="s">
        <v>26</v>
      </c>
      <c r="F717" s="9" t="s">
        <v>23</v>
      </c>
      <c r="G717" s="9">
        <f>COUNTIF($F$704:$F$713,"MT")</f>
        <v>0</v>
      </c>
    </row>
    <row r="718" spans="3:20" ht="36" customHeight="1" x14ac:dyDescent="0.2">
      <c r="D718" s="9" t="s">
        <v>26</v>
      </c>
      <c r="F718" s="9" t="s">
        <v>24</v>
      </c>
      <c r="G718" s="9">
        <f>COUNTIF($F$704:$F$713,"BT")</f>
        <v>0</v>
      </c>
    </row>
    <row r="719" spans="3:20" ht="36" customHeight="1" x14ac:dyDescent="0.2">
      <c r="D719" s="9" t="s">
        <v>649</v>
      </c>
      <c r="G719" s="9">
        <f>G715+G716</f>
        <v>0</v>
      </c>
    </row>
    <row r="720" spans="3:20" ht="36" customHeight="1" x14ac:dyDescent="0.2">
      <c r="D720" s="9" t="s">
        <v>650</v>
      </c>
      <c r="G720" s="9">
        <f>G717+G718</f>
        <v>0</v>
      </c>
    </row>
    <row r="721" spans="1:19" ht="36" customHeight="1" x14ac:dyDescent="0.2">
      <c r="D721" s="9" t="s">
        <v>651</v>
      </c>
      <c r="G721" s="9" t="e">
        <f>G719/G720</f>
        <v>#DIV/0!</v>
      </c>
    </row>
    <row r="722" spans="1:19" ht="36" customHeight="1" x14ac:dyDescent="0.2"/>
    <row r="723" spans="1:19" ht="36" customHeight="1" thickBot="1" x14ac:dyDescent="0.25">
      <c r="A723" s="830" t="s">
        <v>652</v>
      </c>
    </row>
    <row r="724" spans="1:19" ht="36" customHeight="1" thickBot="1" x14ac:dyDescent="0.25">
      <c r="D724" s="19"/>
      <c r="F724" s="19" t="s">
        <v>645</v>
      </c>
      <c r="H724" s="4673" t="s">
        <v>278</v>
      </c>
      <c r="I724" s="4674"/>
      <c r="J724" s="4674"/>
      <c r="K724" s="4675"/>
    </row>
    <row r="725" spans="1:19" ht="36" customHeight="1" x14ac:dyDescent="0.2">
      <c r="C725" s="20" t="s">
        <v>268</v>
      </c>
      <c r="D725" s="21" t="s">
        <v>496</v>
      </c>
      <c r="E725" s="20" t="s">
        <v>653</v>
      </c>
      <c r="F725" s="21" t="s">
        <v>276</v>
      </c>
      <c r="G725" s="20" t="s">
        <v>647</v>
      </c>
      <c r="H725" s="22" t="s">
        <v>287</v>
      </c>
      <c r="I725" s="22" t="s">
        <v>288</v>
      </c>
      <c r="J725" s="22" t="s">
        <v>289</v>
      </c>
      <c r="K725" s="22" t="s">
        <v>290</v>
      </c>
      <c r="L725" s="20" t="e">
        <f>#REF!</f>
        <v>#REF!</v>
      </c>
      <c r="M725" s="20" t="e">
        <f>#REF!</f>
        <v>#REF!</v>
      </c>
      <c r="N725" s="20" t="e">
        <f>#REF!</f>
        <v>#REF!</v>
      </c>
      <c r="O725" s="20"/>
      <c r="P725" s="20"/>
      <c r="Q725" s="20"/>
      <c r="R725" s="20" t="s">
        <v>271</v>
      </c>
      <c r="S725" s="20" t="s">
        <v>273</v>
      </c>
    </row>
    <row r="726" spans="1:19" ht="36" customHeight="1" x14ac:dyDescent="0.25">
      <c r="C726" s="737"/>
      <c r="D726" s="737"/>
      <c r="E726" s="737"/>
      <c r="F726" s="737"/>
      <c r="G726" s="737"/>
      <c r="H726" s="737"/>
      <c r="I726" s="737"/>
      <c r="J726" s="737"/>
      <c r="K726" s="737"/>
      <c r="L726" s="737"/>
      <c r="M726" s="737"/>
      <c r="N726" s="737"/>
      <c r="O726" s="927"/>
      <c r="P726" s="927"/>
      <c r="Q726" s="927"/>
      <c r="R726" s="927" t="e">
        <f>'GUDI  -HOJA2'!#REF!</f>
        <v>#REF!</v>
      </c>
      <c r="S726" s="927" t="e">
        <f>'GUDI  -HOJA2'!#REF!</f>
        <v>#REF!</v>
      </c>
    </row>
    <row r="727" spans="1:19" ht="36" customHeight="1" x14ac:dyDescent="0.25">
      <c r="C727" s="737"/>
      <c r="D727" s="737"/>
      <c r="E727" s="737"/>
      <c r="F727" s="737"/>
      <c r="G727" s="737"/>
      <c r="H727" s="737"/>
      <c r="I727" s="737"/>
      <c r="J727" s="737"/>
      <c r="K727" s="737"/>
      <c r="L727" s="737"/>
      <c r="M727" s="737"/>
      <c r="N727" s="737"/>
      <c r="O727" s="927"/>
      <c r="P727" s="927"/>
      <c r="Q727" s="927"/>
      <c r="R727" s="927" t="e">
        <f>'GUDI  -HOJA2'!#REF!</f>
        <v>#REF!</v>
      </c>
      <c r="S727" s="927" t="e">
        <f>'GUDI  -HOJA2'!#REF!</f>
        <v>#REF!</v>
      </c>
    </row>
    <row r="728" spans="1:19" ht="36" customHeight="1" x14ac:dyDescent="0.25">
      <c r="C728" s="737"/>
      <c r="D728" s="737"/>
      <c r="E728" s="737"/>
      <c r="F728" s="737"/>
      <c r="G728" s="737"/>
      <c r="H728" s="737"/>
      <c r="I728" s="737"/>
      <c r="J728" s="737"/>
      <c r="K728" s="737"/>
      <c r="L728" s="737"/>
      <c r="M728" s="737"/>
      <c r="N728" s="737"/>
      <c r="O728" s="927"/>
      <c r="P728" s="927"/>
      <c r="Q728" s="927"/>
      <c r="R728" s="927" t="e">
        <f>'GUDI  -HOJA2'!#REF!</f>
        <v>#REF!</v>
      </c>
      <c r="S728" s="927" t="e">
        <f>'GUDI  -HOJA2'!#REF!</f>
        <v>#REF!</v>
      </c>
    </row>
    <row r="729" spans="1:19" ht="36" customHeight="1" x14ac:dyDescent="0.25">
      <c r="C729" s="737"/>
      <c r="D729" s="737"/>
      <c r="E729" s="737"/>
      <c r="F729" s="737"/>
      <c r="G729" s="737"/>
      <c r="H729" s="737"/>
      <c r="I729" s="737"/>
      <c r="J729" s="737"/>
      <c r="K729" s="737"/>
      <c r="L729" s="737"/>
      <c r="M729" s="737"/>
      <c r="N729" s="737"/>
      <c r="O729" s="927"/>
      <c r="P729" s="927"/>
      <c r="Q729" s="927"/>
      <c r="R729" s="927" t="e">
        <f>'GUDI  -HOJA2'!#REF!</f>
        <v>#REF!</v>
      </c>
      <c r="S729" s="927" t="e">
        <f>'GUDI  -HOJA2'!#REF!</f>
        <v>#REF!</v>
      </c>
    </row>
    <row r="730" spans="1:19" ht="36" customHeight="1" x14ac:dyDescent="0.25">
      <c r="C730" s="737"/>
      <c r="D730" s="737"/>
      <c r="E730" s="737"/>
      <c r="F730" s="737"/>
      <c r="G730" s="737"/>
      <c r="H730" s="737"/>
      <c r="I730" s="737"/>
      <c r="J730" s="737"/>
      <c r="K730" s="737"/>
      <c r="L730" s="737"/>
      <c r="M730" s="737"/>
      <c r="N730" s="737"/>
      <c r="O730" s="927"/>
      <c r="P730" s="927"/>
      <c r="Q730" s="927"/>
      <c r="R730" s="927" t="e">
        <f>'GUDI  -HOJA2'!#REF!</f>
        <v>#REF!</v>
      </c>
      <c r="S730" s="927" t="e">
        <f>'GUDI  -HOJA2'!#REF!</f>
        <v>#REF!</v>
      </c>
    </row>
    <row r="731" spans="1:19" ht="36" customHeight="1" x14ac:dyDescent="0.25">
      <c r="C731" s="737"/>
      <c r="D731" s="737"/>
      <c r="E731" s="737"/>
      <c r="F731" s="737"/>
      <c r="G731" s="737"/>
      <c r="H731" s="737"/>
      <c r="I731" s="737"/>
      <c r="J731" s="737"/>
      <c r="K731" s="737"/>
      <c r="L731" s="737"/>
      <c r="M731" s="737"/>
      <c r="N731" s="737"/>
      <c r="O731" s="927"/>
      <c r="P731" s="927"/>
      <c r="Q731" s="927"/>
      <c r="R731" s="927" t="e">
        <f>'GUDI  -HOJA2'!#REF!</f>
        <v>#REF!</v>
      </c>
      <c r="S731" s="927" t="e">
        <f>'GUDI  -HOJA2'!#REF!</f>
        <v>#REF!</v>
      </c>
    </row>
    <row r="732" spans="1:19" ht="36" customHeight="1" x14ac:dyDescent="0.25">
      <c r="C732" s="737"/>
      <c r="D732" s="737"/>
      <c r="E732" s="737"/>
      <c r="F732" s="737"/>
      <c r="G732" s="737"/>
      <c r="H732" s="737"/>
      <c r="I732" s="737"/>
      <c r="J732" s="737"/>
      <c r="K732" s="737"/>
      <c r="L732" s="737"/>
      <c r="M732" s="737"/>
      <c r="N732" s="737"/>
      <c r="O732" s="927"/>
      <c r="P732" s="927"/>
      <c r="Q732" s="927"/>
      <c r="R732" s="927" t="e">
        <f>'GUDI  -HOJA2'!#REF!</f>
        <v>#REF!</v>
      </c>
      <c r="S732" s="927" t="e">
        <f>'GUDI  -HOJA2'!#REF!</f>
        <v>#REF!</v>
      </c>
    </row>
    <row r="733" spans="1:19" ht="36" customHeight="1" x14ac:dyDescent="0.25">
      <c r="C733" s="737"/>
      <c r="D733" s="737"/>
      <c r="E733" s="737"/>
      <c r="F733" s="737"/>
      <c r="G733" s="737"/>
      <c r="H733" s="737"/>
      <c r="I733" s="737"/>
      <c r="J733" s="737"/>
      <c r="K733" s="737"/>
      <c r="L733" s="737"/>
      <c r="M733" s="737"/>
      <c r="N733" s="737"/>
      <c r="O733" s="927"/>
      <c r="P733" s="927"/>
      <c r="Q733" s="927"/>
      <c r="R733" s="927" t="e">
        <f>'GUDI  -HOJA2'!#REF!</f>
        <v>#REF!</v>
      </c>
      <c r="S733" s="927" t="e">
        <f>'GUDI  -HOJA2'!#REF!</f>
        <v>#REF!</v>
      </c>
    </row>
    <row r="734" spans="1:19" ht="36" customHeight="1" x14ac:dyDescent="0.25">
      <c r="C734" s="737"/>
      <c r="D734" s="737"/>
      <c r="E734" s="737"/>
      <c r="F734" s="737"/>
      <c r="G734" s="737"/>
      <c r="H734" s="737"/>
      <c r="I734" s="737"/>
      <c r="J734" s="737"/>
      <c r="K734" s="737"/>
      <c r="L734" s="737"/>
      <c r="M734" s="737"/>
      <c r="N734" s="737"/>
      <c r="O734" s="927"/>
      <c r="P734" s="927"/>
      <c r="Q734" s="927"/>
      <c r="R734" s="927" t="e">
        <f>'GUDI  -HOJA2'!#REF!</f>
        <v>#REF!</v>
      </c>
      <c r="S734" s="927" t="e">
        <f>'GUDI  -HOJA2'!#REF!</f>
        <v>#REF!</v>
      </c>
    </row>
    <row r="735" spans="1:19" ht="36" customHeight="1" x14ac:dyDescent="0.25">
      <c r="C735" s="737"/>
      <c r="D735" s="737"/>
      <c r="E735" s="737"/>
      <c r="F735" s="737"/>
      <c r="G735" s="737"/>
      <c r="H735" s="737"/>
      <c r="I735" s="737"/>
      <c r="J735" s="737"/>
      <c r="K735" s="737"/>
      <c r="L735" s="737"/>
      <c r="M735" s="737"/>
      <c r="N735" s="737"/>
      <c r="O735" s="927"/>
      <c r="P735" s="927"/>
      <c r="Q735" s="927"/>
      <c r="R735" s="927" t="e">
        <f>'GUDI  -HOJA2'!#REF!</f>
        <v>#REF!</v>
      </c>
      <c r="S735" s="927" t="e">
        <f>'GUDI  -HOJA2'!#REF!</f>
        <v>#REF!</v>
      </c>
    </row>
    <row r="736" spans="1:19" ht="36" customHeight="1" x14ac:dyDescent="0.2"/>
    <row r="737" spans="3:13" ht="36" customHeight="1" x14ac:dyDescent="0.2">
      <c r="D737" s="9" t="s">
        <v>648</v>
      </c>
      <c r="F737" s="9" t="s">
        <v>23</v>
      </c>
      <c r="G737" s="9">
        <f>SUMIF($F$726:$F$735,"MT",G726:G735)</f>
        <v>0</v>
      </c>
      <c r="H737" s="9">
        <f>SUMIF($F$726:$F$735,"MT",H726:H735)</f>
        <v>0</v>
      </c>
      <c r="I737" s="9">
        <f t="shared" ref="I737:K738" si="202">SUMIF($F$726:$F$735,"MT",I726:I735)</f>
        <v>0</v>
      </c>
      <c r="J737" s="9">
        <f t="shared" si="202"/>
        <v>0</v>
      </c>
      <c r="K737" s="9">
        <f t="shared" si="202"/>
        <v>0</v>
      </c>
    </row>
    <row r="738" spans="3:13" ht="36" customHeight="1" x14ac:dyDescent="0.2">
      <c r="D738" s="9" t="s">
        <v>648</v>
      </c>
      <c r="F738" s="9" t="s">
        <v>24</v>
      </c>
      <c r="G738" s="9">
        <f>SUMIF($F$726:$F$735,"BT",G726:G735)</f>
        <v>0</v>
      </c>
      <c r="H738" s="9">
        <f>SUMIF($F$726:$F$735,"BT",H726:H736)</f>
        <v>0</v>
      </c>
      <c r="I738" s="9">
        <f>SUMIF($F$726:$F$735,"BT",I726:I736)</f>
        <v>0</v>
      </c>
      <c r="J738" s="9">
        <f>SUMIF($F$726:$F$735,"BT",J726:J736)</f>
        <v>0</v>
      </c>
      <c r="K738" s="9">
        <f t="shared" si="202"/>
        <v>0</v>
      </c>
    </row>
    <row r="739" spans="3:13" ht="36" customHeight="1" x14ac:dyDescent="0.2">
      <c r="D739" s="9" t="s">
        <v>26</v>
      </c>
      <c r="F739" s="9" t="s">
        <v>23</v>
      </c>
      <c r="G739" s="9">
        <f>COUNTIF($F$726:$F$735,"MT")</f>
        <v>0</v>
      </c>
    </row>
    <row r="740" spans="3:13" ht="36" customHeight="1" x14ac:dyDescent="0.2">
      <c r="D740" s="9" t="s">
        <v>26</v>
      </c>
      <c r="F740" s="9" t="s">
        <v>24</v>
      </c>
      <c r="G740" s="9">
        <f>COUNTIF($F$726:$F$735,"BT")</f>
        <v>0</v>
      </c>
    </row>
    <row r="741" spans="3:13" ht="36" customHeight="1" x14ac:dyDescent="0.2">
      <c r="D741" s="9" t="s">
        <v>649</v>
      </c>
      <c r="G741" s="9">
        <f>G737+G738</f>
        <v>0</v>
      </c>
    </row>
    <row r="742" spans="3:13" ht="36" customHeight="1" x14ac:dyDescent="0.2">
      <c r="D742" s="9" t="s">
        <v>650</v>
      </c>
      <c r="G742" s="9">
        <f>G739+G740</f>
        <v>0</v>
      </c>
      <c r="J742" s="4653" t="s">
        <v>654</v>
      </c>
      <c r="K742" s="4653"/>
      <c r="L742" s="4653"/>
    </row>
    <row r="743" spans="3:13" ht="36" customHeight="1" x14ac:dyDescent="0.2">
      <c r="D743" s="9" t="s">
        <v>651</v>
      </c>
      <c r="G743" s="9" t="e">
        <f>G741/G742</f>
        <v>#DIV/0!</v>
      </c>
      <c r="J743" s="4653"/>
      <c r="K743" s="4653"/>
      <c r="L743" s="4653"/>
    </row>
    <row r="744" spans="3:13" s="105" customFormat="1" ht="36" customHeight="1" x14ac:dyDescent="0.2">
      <c r="D744" s="2149" t="s">
        <v>26</v>
      </c>
      <c r="E744" s="2149" t="s">
        <v>655</v>
      </c>
      <c r="F744" s="928" t="s">
        <v>5</v>
      </c>
      <c r="G744" s="2149" t="s">
        <v>6</v>
      </c>
      <c r="H744" s="2149" t="s">
        <v>7</v>
      </c>
      <c r="I744" s="2149" t="s">
        <v>4</v>
      </c>
      <c r="J744" s="928" t="s">
        <v>5</v>
      </c>
      <c r="K744" s="2149" t="s">
        <v>6</v>
      </c>
      <c r="L744" s="2149" t="s">
        <v>7</v>
      </c>
      <c r="M744" s="2149" t="s">
        <v>4</v>
      </c>
    </row>
    <row r="745" spans="3:13" s="105" customFormat="1" ht="36" customHeight="1" x14ac:dyDescent="0.2">
      <c r="C745" s="929"/>
      <c r="F745" s="930"/>
      <c r="G745" s="930"/>
      <c r="H745" s="930"/>
      <c r="I745" s="930"/>
    </row>
    <row r="746" spans="3:13" s="105" customFormat="1" ht="36" customHeight="1" x14ac:dyDescent="0.2">
      <c r="C746" s="929"/>
      <c r="F746" s="930"/>
      <c r="G746" s="930"/>
      <c r="H746" s="930"/>
      <c r="I746" s="930"/>
    </row>
    <row r="747" spans="3:13" s="105" customFormat="1" ht="36" customHeight="1" x14ac:dyDescent="0.2">
      <c r="C747" s="929"/>
      <c r="F747" s="930"/>
      <c r="G747" s="930"/>
      <c r="H747" s="930"/>
      <c r="I747" s="930"/>
    </row>
    <row r="748" spans="3:13" s="105" customFormat="1" ht="36" customHeight="1" x14ac:dyDescent="0.2">
      <c r="C748" s="929"/>
      <c r="F748" s="930"/>
      <c r="G748" s="930"/>
      <c r="H748" s="930"/>
      <c r="I748" s="930"/>
    </row>
    <row r="749" spans="3:13" s="105" customFormat="1" ht="36" customHeight="1" x14ac:dyDescent="0.2">
      <c r="C749" s="929"/>
      <c r="F749" s="930"/>
      <c r="G749" s="930"/>
      <c r="H749" s="930"/>
      <c r="I749" s="930"/>
    </row>
    <row r="750" spans="3:13" s="105" customFormat="1" ht="36" customHeight="1" x14ac:dyDescent="0.2">
      <c r="C750" s="929"/>
      <c r="F750" s="930"/>
      <c r="G750" s="930"/>
      <c r="H750" s="930"/>
      <c r="I750" s="930"/>
    </row>
    <row r="751" spans="3:13" s="105" customFormat="1" ht="36" customHeight="1" x14ac:dyDescent="0.2">
      <c r="C751" s="929"/>
      <c r="F751" s="930"/>
      <c r="G751" s="930"/>
      <c r="H751" s="930"/>
      <c r="I751" s="930"/>
    </row>
    <row r="752" spans="3:13" s="105" customFormat="1" ht="36" customHeight="1" x14ac:dyDescent="0.2">
      <c r="C752" s="929"/>
      <c r="F752" s="930"/>
      <c r="G752" s="930"/>
      <c r="H752" s="930"/>
      <c r="I752" s="930"/>
    </row>
    <row r="753" spans="1:14" s="105" customFormat="1" ht="36" customHeight="1" x14ac:dyDescent="0.2">
      <c r="C753" s="929"/>
      <c r="F753" s="930"/>
      <c r="G753" s="930"/>
      <c r="H753" s="930"/>
      <c r="I753" s="930"/>
    </row>
    <row r="754" spans="1:14" s="105" customFormat="1" ht="36" customHeight="1" x14ac:dyDescent="0.2">
      <c r="C754" s="929"/>
      <c r="F754" s="930"/>
      <c r="G754" s="930"/>
      <c r="H754" s="930"/>
      <c r="I754" s="930"/>
    </row>
    <row r="755" spans="1:14" s="105" customFormat="1" ht="36" customHeight="1" x14ac:dyDescent="0.2">
      <c r="F755" s="930"/>
      <c r="G755" s="930"/>
      <c r="H755" s="930"/>
      <c r="I755" s="930"/>
    </row>
    <row r="756" spans="1:14" s="105" customFormat="1" ht="36" customHeight="1" x14ac:dyDescent="0.2">
      <c r="F756" s="930"/>
      <c r="G756" s="930"/>
      <c r="H756" s="930"/>
      <c r="I756" s="930"/>
    </row>
    <row r="757" spans="1:14" s="105" customFormat="1" ht="36" customHeight="1" x14ac:dyDescent="0.2">
      <c r="F757" s="930"/>
      <c r="G757" s="930"/>
      <c r="H757" s="930"/>
      <c r="I757" s="930"/>
    </row>
    <row r="758" spans="1:14" ht="36" customHeight="1" x14ac:dyDescent="0.2">
      <c r="A758" s="830" t="s">
        <v>656</v>
      </c>
      <c r="D758" s="717"/>
      <c r="F758" s="931"/>
      <c r="G758" s="106"/>
      <c r="H758" s="106"/>
      <c r="I758" s="932"/>
    </row>
    <row r="759" spans="1:14" ht="36" customHeight="1" x14ac:dyDescent="0.2">
      <c r="A759" s="20"/>
      <c r="B759" s="20"/>
      <c r="C759" s="21"/>
      <c r="D759" s="21"/>
      <c r="E759" s="20"/>
      <c r="F759" s="22"/>
      <c r="G759" s="22"/>
      <c r="H759" s="22"/>
      <c r="I759" s="22"/>
      <c r="J759" s="20"/>
      <c r="K759" s="20"/>
      <c r="L759" s="20"/>
      <c r="M759" s="20"/>
      <c r="N759" s="20"/>
    </row>
    <row r="760" spans="1:14" ht="36" customHeight="1" x14ac:dyDescent="0.2"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</row>
    <row r="761" spans="1:14" ht="36" customHeight="1" x14ac:dyDescent="0.2"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</row>
    <row r="762" spans="1:14" ht="36" customHeight="1" x14ac:dyDescent="0.2"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</row>
    <row r="763" spans="1:14" ht="36" customHeight="1" x14ac:dyDescent="0.2"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</row>
    <row r="764" spans="1:14" ht="36" customHeight="1" x14ac:dyDescent="0.2"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</row>
    <row r="765" spans="1:14" ht="36" customHeight="1" x14ac:dyDescent="0.2"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</row>
    <row r="766" spans="1:14" ht="36" customHeight="1" x14ac:dyDescent="0.2"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</row>
    <row r="767" spans="1:14" ht="36" customHeight="1" x14ac:dyDescent="0.2"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</row>
    <row r="768" spans="1:14" ht="36" customHeight="1" x14ac:dyDescent="0.2"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</row>
    <row r="769" spans="3:14" ht="36" customHeight="1" x14ac:dyDescent="0.2"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</row>
    <row r="770" spans="3:14" ht="36" customHeight="1" x14ac:dyDescent="0.2"/>
    <row r="771" spans="3:14" ht="36" customHeight="1" x14ac:dyDescent="0.2">
      <c r="D771" s="9" t="s">
        <v>648</v>
      </c>
      <c r="F771" s="9" t="s">
        <v>23</v>
      </c>
      <c r="G771" s="9">
        <f>SUMIF($F$760:$F$769,"MT",G760:G769)</f>
        <v>0</v>
      </c>
      <c r="H771" s="9">
        <f>SUMIF($F$726:$F$735,"MT",H760:H769)</f>
        <v>0</v>
      </c>
      <c r="I771" s="9">
        <f>SUMIF($F$726:$F$735,"MT",I760:I769)</f>
        <v>0</v>
      </c>
      <c r="J771" s="9">
        <f>SUMIF($F$726:$F$735,"MT",J760:J769)</f>
        <v>0</v>
      </c>
      <c r="K771" s="9">
        <f>SUMIF($F$726:$F$735,"MT",K760:K769)</f>
        <v>0</v>
      </c>
    </row>
    <row r="772" spans="3:14" ht="36" customHeight="1" x14ac:dyDescent="0.2">
      <c r="D772" s="9" t="s">
        <v>648</v>
      </c>
      <c r="F772" s="9" t="s">
        <v>24</v>
      </c>
      <c r="G772" s="9">
        <f>SUMIF($F$760:$F$769,"BT",G760:G769)</f>
        <v>0</v>
      </c>
      <c r="H772" s="9">
        <f>SUMIF($F$726:$F$735,"BT",H760:H770)</f>
        <v>0</v>
      </c>
      <c r="I772" s="9">
        <f>SUMIF($F$726:$F$735,"BT",I760:I770)</f>
        <v>0</v>
      </c>
      <c r="J772" s="9">
        <f>SUMIF($F$726:$F$735,"BT",J760:J770)</f>
        <v>0</v>
      </c>
      <c r="K772" s="9">
        <f>SUMIF($F$726:$F$735,"MT",K761:K770)</f>
        <v>0</v>
      </c>
    </row>
    <row r="773" spans="3:14" ht="36" customHeight="1" x14ac:dyDescent="0.2">
      <c r="D773" s="9" t="s">
        <v>26</v>
      </c>
      <c r="F773" s="9" t="s">
        <v>23</v>
      </c>
      <c r="G773" s="9">
        <f>COUNTIF($F$726:$F$735,"MT")</f>
        <v>0</v>
      </c>
    </row>
    <row r="774" spans="3:14" ht="36" customHeight="1" x14ac:dyDescent="0.2">
      <c r="D774" s="9" t="s">
        <v>26</v>
      </c>
      <c r="F774" s="9" t="s">
        <v>24</v>
      </c>
      <c r="G774" s="9">
        <f>COUNTIF($F$726:$F$735,"BT")</f>
        <v>0</v>
      </c>
    </row>
    <row r="775" spans="3:14" ht="36" customHeight="1" x14ac:dyDescent="0.2">
      <c r="D775" s="9" t="s">
        <v>649</v>
      </c>
      <c r="G775" s="9">
        <f>G771+G772</f>
        <v>0</v>
      </c>
    </row>
    <row r="776" spans="3:14" ht="36" customHeight="1" x14ac:dyDescent="0.2">
      <c r="D776" s="9" t="s">
        <v>650</v>
      </c>
      <c r="G776" s="9">
        <f>G773+G774</f>
        <v>0</v>
      </c>
      <c r="J776" s="4653" t="s">
        <v>654</v>
      </c>
      <c r="K776" s="4653"/>
      <c r="L776" s="4653"/>
    </row>
    <row r="777" spans="3:14" ht="36" customHeight="1" x14ac:dyDescent="0.2">
      <c r="D777" s="9" t="s">
        <v>651</v>
      </c>
      <c r="G777" s="9" t="e">
        <f>G775/G776</f>
        <v>#DIV/0!</v>
      </c>
      <c r="J777" s="4653"/>
      <c r="K777" s="4653"/>
      <c r="L777" s="4653"/>
    </row>
    <row r="778" spans="3:14" ht="36" customHeight="1" x14ac:dyDescent="0.2">
      <c r="C778" s="105"/>
      <c r="D778" s="2149" t="s">
        <v>26</v>
      </c>
      <c r="E778" s="2149" t="s">
        <v>655</v>
      </c>
      <c r="F778" s="928" t="s">
        <v>5</v>
      </c>
      <c r="G778" s="2149" t="s">
        <v>6</v>
      </c>
      <c r="H778" s="2149" t="s">
        <v>7</v>
      </c>
      <c r="I778" s="2149" t="s">
        <v>4</v>
      </c>
      <c r="J778" s="928" t="s">
        <v>5</v>
      </c>
      <c r="K778" s="2149" t="s">
        <v>6</v>
      </c>
      <c r="L778" s="2149" t="s">
        <v>7</v>
      </c>
      <c r="M778" s="2149" t="s">
        <v>4</v>
      </c>
    </row>
    <row r="779" spans="3:14" ht="36" customHeight="1" x14ac:dyDescent="0.2">
      <c r="C779" s="929" t="str">
        <f t="shared" ref="C779:C788" si="203">E17</f>
        <v>642020   Servicios de comunicación por medio de teléfono, telégrafo y téfex f"J</v>
      </c>
      <c r="D779" s="105">
        <f t="shared" ref="D779:D789" si="204">IF(C779=0,0,COUNTIF(D$760:D$769,C779))</f>
        <v>0</v>
      </c>
      <c r="E779" s="105">
        <f>SUMIF(D$760:D$769,C779,G$760:G$769)</f>
        <v>0</v>
      </c>
      <c r="F779" s="930">
        <f>SUMIF(D$760:D$769,C779,H$760:H$769)</f>
        <v>0</v>
      </c>
      <c r="G779" s="930">
        <f>SUMIF(D$760:D$769,C779,I$760:I$769)</f>
        <v>0</v>
      </c>
      <c r="H779" s="930">
        <f>SUMIF(D$760:D$769,C779,J$760:J$769)</f>
        <v>0</v>
      </c>
      <c r="I779" s="930">
        <f t="shared" ref="I779:I789" si="205">SUM(F779:H779)</f>
        <v>0</v>
      </c>
      <c r="J779" s="9">
        <f t="shared" ref="J779:L784" si="206">F779*$N$88</f>
        <v>0</v>
      </c>
      <c r="K779" s="9">
        <f t="shared" si="206"/>
        <v>0</v>
      </c>
      <c r="L779" s="9">
        <f t="shared" si="206"/>
        <v>0</v>
      </c>
      <c r="M779" s="9">
        <f t="shared" ref="M779:M784" si="207">SUM(J779:L779)</f>
        <v>0</v>
      </c>
    </row>
    <row r="780" spans="3:14" ht="36" customHeight="1" x14ac:dyDescent="0.2">
      <c r="C780" s="929" t="str">
        <f t="shared" si="203"/>
        <v>652130   Servicios de la banca minorista</v>
      </c>
      <c r="D780" s="105">
        <f t="shared" si="204"/>
        <v>0</v>
      </c>
      <c r="E780" s="105">
        <f t="shared" ref="E780:E789" si="208">SUMIF(D$760:D$769,C780,G$760:G$769)</f>
        <v>0</v>
      </c>
      <c r="F780" s="930">
        <f t="shared" ref="F780:F789" si="209">SUMIF(D$760:D$769,C780,H$760:H$769)</f>
        <v>0</v>
      </c>
      <c r="G780" s="930">
        <f t="shared" ref="G780:G789" si="210">SUMIF(D$760:D$769,C780,I$760:I$769)</f>
        <v>0</v>
      </c>
      <c r="H780" s="930">
        <f t="shared" ref="H780:H789" si="211">SUMIF(D$760:D$769,C780,J$760:J$769)</f>
        <v>0</v>
      </c>
      <c r="I780" s="930">
        <f t="shared" si="205"/>
        <v>0</v>
      </c>
      <c r="J780" s="9">
        <f t="shared" si="206"/>
        <v>0</v>
      </c>
      <c r="K780" s="9">
        <f t="shared" si="206"/>
        <v>0</v>
      </c>
      <c r="L780" s="9">
        <f t="shared" si="206"/>
        <v>0</v>
      </c>
      <c r="M780" s="9">
        <f t="shared" si="207"/>
        <v>0</v>
      </c>
    </row>
    <row r="781" spans="3:14" ht="36" customHeight="1" x14ac:dyDescent="0.2">
      <c r="C781" s="929">
        <f t="shared" si="203"/>
        <v>0</v>
      </c>
      <c r="D781" s="105">
        <f t="shared" si="204"/>
        <v>0</v>
      </c>
      <c r="E781" s="105">
        <f t="shared" si="208"/>
        <v>0</v>
      </c>
      <c r="F781" s="930">
        <f t="shared" si="209"/>
        <v>0</v>
      </c>
      <c r="G781" s="930">
        <f t="shared" si="210"/>
        <v>0</v>
      </c>
      <c r="H781" s="930">
        <f t="shared" si="211"/>
        <v>0</v>
      </c>
      <c r="I781" s="930">
        <f t="shared" si="205"/>
        <v>0</v>
      </c>
      <c r="J781" s="9">
        <f t="shared" si="206"/>
        <v>0</v>
      </c>
      <c r="K781" s="9">
        <f t="shared" si="206"/>
        <v>0</v>
      </c>
      <c r="L781" s="9">
        <f t="shared" si="206"/>
        <v>0</v>
      </c>
      <c r="M781" s="9">
        <f t="shared" si="207"/>
        <v>0</v>
      </c>
    </row>
    <row r="782" spans="3:14" ht="36" customHeight="1" x14ac:dyDescent="0.2">
      <c r="C782" s="929">
        <f t="shared" si="203"/>
        <v>0</v>
      </c>
      <c r="D782" s="105">
        <f t="shared" si="204"/>
        <v>0</v>
      </c>
      <c r="E782" s="105">
        <f t="shared" si="208"/>
        <v>0</v>
      </c>
      <c r="F782" s="930">
        <f t="shared" si="209"/>
        <v>0</v>
      </c>
      <c r="G782" s="930">
        <f t="shared" si="210"/>
        <v>0</v>
      </c>
      <c r="H782" s="930">
        <f t="shared" si="211"/>
        <v>0</v>
      </c>
      <c r="I782" s="930">
        <f t="shared" si="205"/>
        <v>0</v>
      </c>
      <c r="J782" s="9">
        <f t="shared" si="206"/>
        <v>0</v>
      </c>
      <c r="K782" s="9">
        <f t="shared" si="206"/>
        <v>0</v>
      </c>
      <c r="L782" s="9">
        <f t="shared" si="206"/>
        <v>0</v>
      </c>
      <c r="M782" s="9">
        <f t="shared" si="207"/>
        <v>0</v>
      </c>
    </row>
    <row r="783" spans="3:14" ht="36" customHeight="1" x14ac:dyDescent="0.2">
      <c r="C783" s="929">
        <f t="shared" si="203"/>
        <v>0</v>
      </c>
      <c r="D783" s="105">
        <f t="shared" si="204"/>
        <v>0</v>
      </c>
      <c r="E783" s="105">
        <f t="shared" si="208"/>
        <v>0</v>
      </c>
      <c r="F783" s="930">
        <f t="shared" si="209"/>
        <v>0</v>
      </c>
      <c r="G783" s="930">
        <f t="shared" si="210"/>
        <v>0</v>
      </c>
      <c r="H783" s="930">
        <f t="shared" si="211"/>
        <v>0</v>
      </c>
      <c r="I783" s="930">
        <f t="shared" si="205"/>
        <v>0</v>
      </c>
      <c r="J783" s="9">
        <f t="shared" si="206"/>
        <v>0</v>
      </c>
      <c r="K783" s="9">
        <f t="shared" si="206"/>
        <v>0</v>
      </c>
      <c r="L783" s="9">
        <f t="shared" si="206"/>
        <v>0</v>
      </c>
      <c r="M783" s="9">
        <f t="shared" si="207"/>
        <v>0</v>
      </c>
    </row>
    <row r="784" spans="3:14" ht="36" customHeight="1" x14ac:dyDescent="0.2">
      <c r="C784" s="929">
        <f t="shared" si="203"/>
        <v>0</v>
      </c>
      <c r="D784" s="105">
        <f t="shared" si="204"/>
        <v>0</v>
      </c>
      <c r="E784" s="105">
        <f t="shared" si="208"/>
        <v>0</v>
      </c>
      <c r="F784" s="930">
        <f t="shared" si="209"/>
        <v>0</v>
      </c>
      <c r="G784" s="930">
        <f t="shared" si="210"/>
        <v>0</v>
      </c>
      <c r="H784" s="930">
        <f t="shared" si="211"/>
        <v>0</v>
      </c>
      <c r="I784" s="930">
        <f t="shared" si="205"/>
        <v>0</v>
      </c>
      <c r="J784" s="9">
        <f t="shared" si="206"/>
        <v>0</v>
      </c>
      <c r="K784" s="9">
        <f t="shared" si="206"/>
        <v>0</v>
      </c>
      <c r="L784" s="9">
        <f t="shared" si="206"/>
        <v>0</v>
      </c>
      <c r="M784" s="9">
        <f t="shared" si="207"/>
        <v>0</v>
      </c>
    </row>
    <row r="785" spans="3:15" ht="36" customHeight="1" x14ac:dyDescent="0.2">
      <c r="C785" s="929">
        <f t="shared" si="203"/>
        <v>0</v>
      </c>
      <c r="D785" s="105">
        <f t="shared" si="204"/>
        <v>0</v>
      </c>
      <c r="E785" s="105">
        <f t="shared" si="208"/>
        <v>0</v>
      </c>
      <c r="F785" s="930">
        <f t="shared" si="209"/>
        <v>0</v>
      </c>
      <c r="G785" s="930">
        <f t="shared" si="210"/>
        <v>0</v>
      </c>
      <c r="H785" s="930">
        <f t="shared" si="211"/>
        <v>0</v>
      </c>
      <c r="I785" s="930">
        <f t="shared" si="205"/>
        <v>0</v>
      </c>
      <c r="J785" s="928"/>
      <c r="K785" s="928"/>
      <c r="L785" s="933"/>
      <c r="M785" s="8">
        <f>SUM(M779:M784)</f>
        <v>0</v>
      </c>
    </row>
    <row r="786" spans="3:15" ht="36" customHeight="1" x14ac:dyDescent="0.2">
      <c r="C786" s="929">
        <f t="shared" si="203"/>
        <v>0</v>
      </c>
      <c r="D786" s="105">
        <f t="shared" si="204"/>
        <v>0</v>
      </c>
      <c r="E786" s="105">
        <f t="shared" si="208"/>
        <v>0</v>
      </c>
      <c r="F786" s="930">
        <f t="shared" si="209"/>
        <v>0</v>
      </c>
      <c r="G786" s="930">
        <f t="shared" si="210"/>
        <v>0</v>
      </c>
      <c r="H786" s="930">
        <f t="shared" si="211"/>
        <v>0</v>
      </c>
      <c r="I786" s="930">
        <f t="shared" si="205"/>
        <v>0</v>
      </c>
      <c r="M786" s="8">
        <f>M785+M751</f>
        <v>0</v>
      </c>
    </row>
    <row r="787" spans="3:15" ht="36" customHeight="1" x14ac:dyDescent="0.2">
      <c r="C787" s="929">
        <f t="shared" si="203"/>
        <v>0</v>
      </c>
      <c r="D787" s="105">
        <f t="shared" si="204"/>
        <v>0</v>
      </c>
      <c r="E787" s="105">
        <f t="shared" si="208"/>
        <v>0</v>
      </c>
      <c r="F787" s="930">
        <f t="shared" si="209"/>
        <v>0</v>
      </c>
      <c r="G787" s="930">
        <f t="shared" si="210"/>
        <v>0</v>
      </c>
      <c r="H787" s="930">
        <f t="shared" si="211"/>
        <v>0</v>
      </c>
      <c r="I787" s="930">
        <f t="shared" si="205"/>
        <v>0</v>
      </c>
      <c r="M787" s="4654"/>
      <c r="N787" s="4654"/>
      <c r="O787" s="4654"/>
    </row>
    <row r="788" spans="3:15" ht="36" customHeight="1" x14ac:dyDescent="0.2">
      <c r="C788" s="929">
        <f t="shared" si="203"/>
        <v>0</v>
      </c>
      <c r="D788" s="105">
        <f t="shared" si="204"/>
        <v>0</v>
      </c>
      <c r="E788" s="105">
        <f t="shared" si="208"/>
        <v>0</v>
      </c>
      <c r="F788" s="930">
        <f t="shared" si="209"/>
        <v>0</v>
      </c>
      <c r="G788" s="930">
        <f t="shared" si="210"/>
        <v>0</v>
      </c>
      <c r="H788" s="930">
        <f t="shared" si="211"/>
        <v>0</v>
      </c>
      <c r="I788" s="930">
        <f t="shared" si="205"/>
        <v>0</v>
      </c>
      <c r="M788" s="84"/>
      <c r="N788" s="84"/>
      <c r="O788" s="84"/>
    </row>
    <row r="789" spans="3:15" ht="36" customHeight="1" x14ac:dyDescent="0.2">
      <c r="C789" s="929"/>
      <c r="D789" s="105">
        <f t="shared" si="204"/>
        <v>0</v>
      </c>
      <c r="E789" s="105">
        <f t="shared" si="208"/>
        <v>0</v>
      </c>
      <c r="F789" s="930">
        <f t="shared" si="209"/>
        <v>0</v>
      </c>
      <c r="G789" s="930">
        <f t="shared" si="210"/>
        <v>0</v>
      </c>
      <c r="H789" s="930">
        <f t="shared" si="211"/>
        <v>0</v>
      </c>
      <c r="I789" s="930">
        <f t="shared" si="205"/>
        <v>0</v>
      </c>
      <c r="M789" s="84"/>
      <c r="N789" s="84"/>
      <c r="O789" s="84"/>
    </row>
    <row r="790" spans="3:15" ht="36" customHeight="1" x14ac:dyDescent="0.2">
      <c r="C790" s="929"/>
      <c r="M790" s="84"/>
      <c r="N790" s="84"/>
      <c r="O790" s="84"/>
    </row>
    <row r="791" spans="3:15" ht="36" customHeight="1" x14ac:dyDescent="0.2">
      <c r="F791" s="43"/>
      <c r="G791" s="711"/>
      <c r="H791" s="711"/>
      <c r="I791" s="711"/>
      <c r="M791" s="540" t="s">
        <v>5</v>
      </c>
      <c r="N791" s="540" t="s">
        <v>6</v>
      </c>
      <c r="O791" s="540" t="s">
        <v>7</v>
      </c>
    </row>
    <row r="792" spans="3:15" ht="36" customHeight="1" x14ac:dyDescent="0.5">
      <c r="C792" s="4655" t="s">
        <v>256</v>
      </c>
      <c r="D792" s="4656"/>
      <c r="E792" s="95"/>
      <c r="F792" s="934"/>
      <c r="G792" s="935">
        <v>0.33</v>
      </c>
      <c r="H792" s="936">
        <v>0.12</v>
      </c>
      <c r="I792" s="935">
        <v>0.55000000000000004</v>
      </c>
      <c r="L792" s="937" t="s">
        <v>322</v>
      </c>
      <c r="M792" s="938" t="e">
        <f t="shared" ref="M792:O793" si="212">O523</f>
        <v>#REF!</v>
      </c>
      <c r="N792" s="938" t="e">
        <f t="shared" si="212"/>
        <v>#REF!</v>
      </c>
      <c r="O792" s="938" t="e">
        <f t="shared" si="212"/>
        <v>#REF!</v>
      </c>
    </row>
    <row r="793" spans="3:15" ht="36" customHeight="1" x14ac:dyDescent="0.5">
      <c r="C793" s="939"/>
      <c r="F793" s="940"/>
      <c r="G793" s="941"/>
      <c r="H793" s="942"/>
      <c r="I793" s="941"/>
      <c r="L793" s="937" t="s">
        <v>323</v>
      </c>
      <c r="M793" s="938" t="e">
        <f t="shared" si="212"/>
        <v>#REF!</v>
      </c>
      <c r="N793" s="938" t="e">
        <f t="shared" si="212"/>
        <v>#REF!</v>
      </c>
      <c r="O793" s="938" t="e">
        <f t="shared" si="212"/>
        <v>#REF!</v>
      </c>
    </row>
    <row r="794" spans="3:15" ht="36" customHeight="1" x14ac:dyDescent="0.5">
      <c r="C794" s="939"/>
      <c r="F794" s="940"/>
      <c r="G794" s="941"/>
      <c r="H794" s="942"/>
      <c r="I794" s="941"/>
      <c r="L794" s="937" t="s">
        <v>324</v>
      </c>
      <c r="M794" s="938" t="e">
        <f>O531</f>
        <v>#REF!</v>
      </c>
      <c r="N794" s="938" t="e">
        <f>P531</f>
        <v>#REF!</v>
      </c>
      <c r="O794" s="938" t="e">
        <f>Q531</f>
        <v>#REF!</v>
      </c>
    </row>
    <row r="795" spans="3:15" ht="36" customHeight="1" x14ac:dyDescent="0.5">
      <c r="C795" s="939"/>
      <c r="F795" s="940"/>
      <c r="G795" s="941"/>
      <c r="H795" s="942"/>
      <c r="I795" s="941"/>
      <c r="L795" s="937" t="s">
        <v>325</v>
      </c>
      <c r="M795" s="938" t="e">
        <f>#REF!</f>
        <v>#REF!</v>
      </c>
      <c r="N795" s="938" t="e">
        <f>#REF!</f>
        <v>#REF!</v>
      </c>
      <c r="O795" s="938" t="e">
        <f>#REF!</f>
        <v>#REF!</v>
      </c>
    </row>
    <row r="796" spans="3:15" ht="36" customHeight="1" x14ac:dyDescent="0.5">
      <c r="C796" s="939"/>
      <c r="F796" s="940"/>
      <c r="G796" s="941"/>
      <c r="H796" s="942"/>
      <c r="I796" s="941"/>
      <c r="L796" s="937" t="s">
        <v>326</v>
      </c>
      <c r="M796" s="938" t="e">
        <f>#REF!</f>
        <v>#REF!</v>
      </c>
      <c r="N796" s="938" t="e">
        <f>#REF!</f>
        <v>#REF!</v>
      </c>
      <c r="O796" s="938" t="e">
        <f>#REF!</f>
        <v>#REF!</v>
      </c>
    </row>
    <row r="797" spans="3:15" ht="36" customHeight="1" x14ac:dyDescent="0.5">
      <c r="C797" s="939"/>
      <c r="F797" s="940"/>
      <c r="G797" s="941"/>
      <c r="H797" s="942"/>
      <c r="I797" s="941"/>
      <c r="L797" s="937" t="s">
        <v>20</v>
      </c>
      <c r="M797" s="938" t="e">
        <f>#REF!</f>
        <v>#REF!</v>
      </c>
      <c r="N797" s="938" t="e">
        <f>#REF!</f>
        <v>#REF!</v>
      </c>
      <c r="O797" s="938" t="e">
        <f>#REF!</f>
        <v>#REF!</v>
      </c>
    </row>
    <row r="798" spans="3:15" ht="36" customHeight="1" x14ac:dyDescent="0.5">
      <c r="L798" s="943" t="s">
        <v>21</v>
      </c>
      <c r="M798" s="938" t="e">
        <f>O586</f>
        <v>#REF!</v>
      </c>
      <c r="N798" s="938" t="e">
        <f>P586</f>
        <v>#REF!</v>
      </c>
      <c r="O798" s="938" t="e">
        <f>Q586</f>
        <v>#REF!</v>
      </c>
    </row>
    <row r="799" spans="3:15" ht="36" customHeight="1" x14ac:dyDescent="0.5">
      <c r="L799" s="943" t="s">
        <v>71</v>
      </c>
      <c r="M799" s="938" t="e">
        <f t="shared" ref="M799:O799" si="213">O589</f>
        <v>#REF!</v>
      </c>
      <c r="N799" s="938" t="e">
        <f t="shared" si="213"/>
        <v>#REF!</v>
      </c>
      <c r="O799" s="938" t="e">
        <f t="shared" si="213"/>
        <v>#REF!</v>
      </c>
    </row>
    <row r="800" spans="3:15" ht="36" customHeight="1" x14ac:dyDescent="0.2">
      <c r="M800" s="25"/>
      <c r="N800" s="25"/>
      <c r="O800" s="25"/>
    </row>
    <row r="801" ht="36" customHeight="1" x14ac:dyDescent="0.2"/>
    <row r="802" ht="36" customHeight="1" x14ac:dyDescent="0.2"/>
    <row r="803" ht="36" customHeight="1" x14ac:dyDescent="0.2"/>
    <row r="804" ht="36" customHeight="1" x14ac:dyDescent="0.2"/>
    <row r="805" ht="36" customHeight="1" x14ac:dyDescent="0.2"/>
    <row r="806" ht="36" customHeight="1" x14ac:dyDescent="0.2"/>
    <row r="807" ht="36" customHeight="1" x14ac:dyDescent="0.2"/>
    <row r="808" ht="36" customHeight="1" x14ac:dyDescent="0.2"/>
    <row r="809" ht="36" customHeight="1" x14ac:dyDescent="0.2"/>
    <row r="810" ht="36" customHeight="1" x14ac:dyDescent="0.2"/>
    <row r="811" ht="36" customHeight="1" x14ac:dyDescent="0.2"/>
    <row r="812" ht="36" customHeight="1" x14ac:dyDescent="0.2"/>
    <row r="813" ht="36" customHeight="1" x14ac:dyDescent="0.2"/>
    <row r="814" ht="36" customHeight="1" x14ac:dyDescent="0.2"/>
    <row r="815" ht="36" customHeight="1" x14ac:dyDescent="0.2"/>
    <row r="816" ht="36" customHeight="1" x14ac:dyDescent="0.2"/>
    <row r="817" ht="36" customHeight="1" x14ac:dyDescent="0.2"/>
    <row r="818" ht="36" customHeight="1" x14ac:dyDescent="0.2"/>
    <row r="819" ht="36" customHeight="1" x14ac:dyDescent="0.2"/>
    <row r="820" ht="36" customHeight="1" x14ac:dyDescent="0.2"/>
    <row r="821" ht="36" customHeight="1" x14ac:dyDescent="0.2"/>
    <row r="822" ht="36" customHeight="1" x14ac:dyDescent="0.2"/>
    <row r="823" ht="36" customHeight="1" x14ac:dyDescent="0.2"/>
    <row r="824" ht="36" customHeight="1" x14ac:dyDescent="0.2"/>
    <row r="825" ht="36" customHeight="1" x14ac:dyDescent="0.2"/>
    <row r="826" ht="36" customHeight="1" x14ac:dyDescent="0.2"/>
    <row r="827" ht="36" customHeight="1" x14ac:dyDescent="0.2"/>
    <row r="828" ht="36" customHeight="1" x14ac:dyDescent="0.2"/>
    <row r="829" ht="36" customHeight="1" x14ac:dyDescent="0.2"/>
    <row r="830" ht="36" customHeight="1" x14ac:dyDescent="0.2"/>
    <row r="831" ht="36" customHeight="1" x14ac:dyDescent="0.2"/>
    <row r="832" ht="36" customHeight="1" x14ac:dyDescent="0.2"/>
    <row r="833" ht="36" customHeight="1" x14ac:dyDescent="0.2"/>
    <row r="834" ht="36" customHeight="1" x14ac:dyDescent="0.2"/>
    <row r="835" ht="36" customHeight="1" x14ac:dyDescent="0.2"/>
    <row r="836" ht="36" customHeight="1" x14ac:dyDescent="0.2"/>
    <row r="837" ht="36" customHeight="1" x14ac:dyDescent="0.2"/>
    <row r="838" ht="36" customHeight="1" x14ac:dyDescent="0.2"/>
    <row r="839" ht="36" customHeight="1" x14ac:dyDescent="0.2"/>
    <row r="840" ht="36" customHeight="1" x14ac:dyDescent="0.2"/>
    <row r="841" ht="36" customHeight="1" x14ac:dyDescent="0.2"/>
    <row r="842" ht="36" customHeight="1" x14ac:dyDescent="0.2"/>
    <row r="843" ht="36" customHeight="1" x14ac:dyDescent="0.2"/>
    <row r="844" ht="36" customHeight="1" x14ac:dyDescent="0.2"/>
    <row r="845" ht="36" customHeight="1" x14ac:dyDescent="0.2"/>
    <row r="846" ht="36" customHeight="1" x14ac:dyDescent="0.2"/>
    <row r="847" ht="36" customHeight="1" x14ac:dyDescent="0.2"/>
    <row r="848" ht="36" customHeight="1" x14ac:dyDescent="0.2"/>
    <row r="849" ht="36" customHeight="1" x14ac:dyDescent="0.2"/>
    <row r="850" ht="36" customHeight="1" x14ac:dyDescent="0.2"/>
    <row r="851" ht="36" customHeight="1" x14ac:dyDescent="0.2"/>
    <row r="852" ht="36" customHeight="1" x14ac:dyDescent="0.2"/>
    <row r="853" ht="36" customHeight="1" x14ac:dyDescent="0.2"/>
    <row r="854" ht="36" customHeight="1" x14ac:dyDescent="0.2"/>
    <row r="855" ht="36" customHeight="1" x14ac:dyDescent="0.2"/>
    <row r="856" ht="36" customHeight="1" x14ac:dyDescent="0.2"/>
    <row r="857" ht="36" customHeight="1" x14ac:dyDescent="0.2"/>
    <row r="858" ht="36" customHeight="1" x14ac:dyDescent="0.2"/>
    <row r="859" ht="36" customHeight="1" x14ac:dyDescent="0.2"/>
    <row r="860" ht="36" customHeight="1" x14ac:dyDescent="0.2"/>
    <row r="861" ht="36" customHeight="1" x14ac:dyDescent="0.2"/>
    <row r="862" ht="36" customHeight="1" x14ac:dyDescent="0.2"/>
    <row r="863" ht="36" customHeight="1" x14ac:dyDescent="0.2"/>
    <row r="864" ht="36" customHeight="1" x14ac:dyDescent="0.2"/>
    <row r="865" ht="36" customHeight="1" x14ac:dyDescent="0.2"/>
    <row r="866" ht="36" customHeight="1" x14ac:dyDescent="0.2"/>
    <row r="867" ht="36" customHeight="1" x14ac:dyDescent="0.2"/>
    <row r="868" ht="36" customHeight="1" x14ac:dyDescent="0.2"/>
    <row r="869" ht="36" customHeight="1" x14ac:dyDescent="0.2"/>
    <row r="870" ht="36" customHeight="1" x14ac:dyDescent="0.2"/>
    <row r="871" ht="36" customHeight="1" x14ac:dyDescent="0.2"/>
    <row r="872" ht="36" customHeight="1" x14ac:dyDescent="0.2"/>
    <row r="873" ht="36" customHeight="1" x14ac:dyDescent="0.2"/>
    <row r="874" ht="36" customHeight="1" x14ac:dyDescent="0.2"/>
    <row r="875" ht="36" customHeight="1" x14ac:dyDescent="0.2"/>
    <row r="876" ht="36" customHeight="1" x14ac:dyDescent="0.2"/>
    <row r="877" ht="36" customHeight="1" x14ac:dyDescent="0.2"/>
    <row r="878" ht="36" customHeight="1" x14ac:dyDescent="0.2"/>
    <row r="879" ht="36" customHeight="1" x14ac:dyDescent="0.2"/>
    <row r="880" ht="36" customHeight="1" x14ac:dyDescent="0.2"/>
    <row r="881" spans="7:9" ht="36" customHeight="1" x14ac:dyDescent="0.2"/>
    <row r="882" spans="7:9" ht="36" customHeight="1" x14ac:dyDescent="0.2"/>
    <row r="883" spans="7:9" ht="36" customHeight="1" x14ac:dyDescent="0.2"/>
    <row r="884" spans="7:9" ht="36" customHeight="1" x14ac:dyDescent="0.2"/>
    <row r="885" spans="7:9" ht="36" customHeight="1" x14ac:dyDescent="0.2"/>
    <row r="886" spans="7:9" ht="36" customHeight="1" x14ac:dyDescent="0.2"/>
    <row r="887" spans="7:9" ht="36" customHeight="1" x14ac:dyDescent="0.2"/>
    <row r="888" spans="7:9" ht="36" customHeight="1" x14ac:dyDescent="0.2">
      <c r="G888" s="944"/>
      <c r="H888" s="85"/>
      <c r="I888" s="85"/>
    </row>
    <row r="889" spans="7:9" ht="36" customHeight="1" x14ac:dyDescent="0.2"/>
    <row r="890" spans="7:9" ht="36" customHeight="1" x14ac:dyDescent="0.2"/>
    <row r="891" spans="7:9" ht="36" customHeight="1" x14ac:dyDescent="0.2"/>
    <row r="892" spans="7:9" ht="36" customHeight="1" x14ac:dyDescent="0.2"/>
    <row r="893" spans="7:9" ht="36" customHeight="1" x14ac:dyDescent="0.2"/>
    <row r="894" spans="7:9" ht="36" customHeight="1" x14ac:dyDescent="0.2"/>
    <row r="895" spans="7:9" ht="36" customHeight="1" x14ac:dyDescent="0.2"/>
    <row r="896" spans="7:9" ht="36" customHeight="1" x14ac:dyDescent="0.2"/>
    <row r="897" spans="4:60" ht="36" customHeight="1" x14ac:dyDescent="0.2"/>
    <row r="898" spans="4:60" ht="36" customHeight="1" x14ac:dyDescent="0.2"/>
    <row r="899" spans="4:60" ht="36" customHeight="1" x14ac:dyDescent="0.2"/>
    <row r="900" spans="4:60" ht="36" customHeight="1" x14ac:dyDescent="0.2"/>
    <row r="901" spans="4:60" ht="36" customHeight="1" x14ac:dyDescent="0.2"/>
    <row r="902" spans="4:60" ht="36" customHeight="1" x14ac:dyDescent="0.2"/>
    <row r="903" spans="4:60" ht="36" customHeight="1" x14ac:dyDescent="0.2"/>
    <row r="904" spans="4:60" ht="36" customHeight="1" x14ac:dyDescent="0.2">
      <c r="D904" s="945"/>
      <c r="E904" s="945"/>
      <c r="BC904" s="946" t="s">
        <v>657</v>
      </c>
      <c r="BD904" s="946"/>
      <c r="BE904" s="946"/>
      <c r="BF904" s="946"/>
      <c r="BG904" s="946"/>
      <c r="BH904" s="946"/>
    </row>
    <row r="905" spans="4:60" ht="36" customHeight="1" x14ac:dyDescent="0.2">
      <c r="BC905" s="946" t="s">
        <v>658</v>
      </c>
      <c r="BD905" s="946"/>
      <c r="BE905" s="946"/>
      <c r="BF905" s="946"/>
      <c r="BG905" s="946"/>
      <c r="BH905" s="946"/>
    </row>
    <row r="906" spans="4:60" ht="36" customHeight="1" x14ac:dyDescent="0.2">
      <c r="BC906" s="946" t="s">
        <v>659</v>
      </c>
      <c r="BD906" s="946"/>
      <c r="BE906" s="946"/>
      <c r="BF906" s="946"/>
      <c r="BG906" s="946"/>
      <c r="BH906" s="946"/>
    </row>
    <row r="907" spans="4:60" ht="36" customHeight="1" x14ac:dyDescent="0.2">
      <c r="BC907" s="946" t="s">
        <v>660</v>
      </c>
      <c r="BD907" s="946"/>
      <c r="BE907" s="946"/>
      <c r="BF907" s="946"/>
      <c r="BG907" s="946"/>
      <c r="BH907" s="946"/>
    </row>
    <row r="908" spans="4:60" ht="36" customHeight="1" x14ac:dyDescent="0.2">
      <c r="BC908" s="946" t="s">
        <v>661</v>
      </c>
      <c r="BD908" s="946"/>
      <c r="BE908" s="946"/>
      <c r="BF908" s="946"/>
      <c r="BG908" s="946"/>
      <c r="BH908" s="946"/>
    </row>
    <row r="909" spans="4:60" ht="36" customHeight="1" x14ac:dyDescent="0.2">
      <c r="BC909" s="946" t="s">
        <v>662</v>
      </c>
      <c r="BD909" s="946"/>
      <c r="BE909" s="946"/>
      <c r="BF909" s="946"/>
      <c r="BG909" s="946"/>
      <c r="BH909" s="946"/>
    </row>
    <row r="910" spans="4:60" ht="36" customHeight="1" x14ac:dyDescent="0.2">
      <c r="BC910" s="946" t="s">
        <v>663</v>
      </c>
      <c r="BD910" s="946"/>
      <c r="BE910" s="946"/>
      <c r="BF910" s="946"/>
      <c r="BG910" s="946"/>
      <c r="BH910" s="946"/>
    </row>
    <row r="911" spans="4:60" ht="36" customHeight="1" x14ac:dyDescent="0.2">
      <c r="BC911" s="946" t="s">
        <v>664</v>
      </c>
      <c r="BD911" s="946"/>
      <c r="BE911" s="946"/>
      <c r="BF911" s="946"/>
      <c r="BG911" s="946"/>
      <c r="BH911" s="946"/>
    </row>
    <row r="912" spans="4:60" ht="36" customHeight="1" x14ac:dyDescent="0.2">
      <c r="BC912" s="946" t="s">
        <v>665</v>
      </c>
      <c r="BD912" s="946"/>
      <c r="BE912" s="946"/>
      <c r="BF912" s="946"/>
      <c r="BG912" s="946"/>
      <c r="BH912" s="946"/>
    </row>
    <row r="913" spans="55:60" ht="36" customHeight="1" x14ac:dyDescent="0.2">
      <c r="BC913" s="946" t="s">
        <v>666</v>
      </c>
      <c r="BD913" s="946"/>
      <c r="BE913" s="946"/>
      <c r="BF913" s="946"/>
      <c r="BG913" s="946"/>
      <c r="BH913" s="946"/>
    </row>
    <row r="914" spans="55:60" ht="36" customHeight="1" x14ac:dyDescent="0.2">
      <c r="BC914" s="946" t="s">
        <v>667</v>
      </c>
      <c r="BD914" s="946"/>
      <c r="BE914" s="946"/>
      <c r="BF914" s="946"/>
      <c r="BG914" s="946"/>
      <c r="BH914" s="946"/>
    </row>
    <row r="915" spans="55:60" ht="36" customHeight="1" x14ac:dyDescent="0.2">
      <c r="BC915" s="946" t="s">
        <v>668</v>
      </c>
      <c r="BD915" s="946"/>
      <c r="BE915" s="946"/>
      <c r="BF915" s="946"/>
      <c r="BG915" s="946"/>
      <c r="BH915" s="946"/>
    </row>
    <row r="916" spans="55:60" ht="36" customHeight="1" x14ac:dyDescent="0.2">
      <c r="BC916" s="946" t="s">
        <v>669</v>
      </c>
      <c r="BD916" s="946"/>
      <c r="BE916" s="946"/>
      <c r="BF916" s="946"/>
      <c r="BG916" s="946"/>
      <c r="BH916" s="946"/>
    </row>
    <row r="917" spans="55:60" ht="36" customHeight="1" x14ac:dyDescent="0.2">
      <c r="BC917" s="946" t="s">
        <v>670</v>
      </c>
      <c r="BD917" s="946"/>
      <c r="BE917" s="946"/>
      <c r="BF917" s="946"/>
      <c r="BG917" s="946"/>
      <c r="BH917" s="946"/>
    </row>
    <row r="918" spans="55:60" ht="36" customHeight="1" x14ac:dyDescent="0.2">
      <c r="BC918" s="946" t="s">
        <v>671</v>
      </c>
      <c r="BD918" s="946"/>
      <c r="BE918" s="946"/>
      <c r="BF918" s="946"/>
      <c r="BG918" s="946"/>
      <c r="BH918" s="946"/>
    </row>
    <row r="919" spans="55:60" ht="36" customHeight="1" x14ac:dyDescent="0.2">
      <c r="BC919" s="946" t="s">
        <v>672</v>
      </c>
      <c r="BD919" s="946"/>
      <c r="BE919" s="946"/>
      <c r="BF919" s="946"/>
      <c r="BG919" s="946"/>
      <c r="BH919" s="946"/>
    </row>
    <row r="920" spans="55:60" ht="36" customHeight="1" x14ac:dyDescent="0.2">
      <c r="BC920" s="946" t="s">
        <v>673</v>
      </c>
      <c r="BD920" s="946"/>
      <c r="BE920" s="946"/>
      <c r="BF920" s="946"/>
      <c r="BG920" s="946"/>
      <c r="BH920" s="946"/>
    </row>
    <row r="921" spans="55:60" ht="36" customHeight="1" x14ac:dyDescent="0.2">
      <c r="BC921" s="946" t="s">
        <v>674</v>
      </c>
      <c r="BD921" s="946"/>
      <c r="BE921" s="946"/>
      <c r="BF921" s="946"/>
      <c r="BG921" s="946"/>
      <c r="BH921" s="946"/>
    </row>
    <row r="922" spans="55:60" ht="36" customHeight="1" x14ac:dyDescent="0.2">
      <c r="BC922" s="946" t="s">
        <v>497</v>
      </c>
      <c r="BD922" s="946"/>
      <c r="BE922" s="946"/>
      <c r="BF922" s="946"/>
      <c r="BG922" s="946"/>
      <c r="BH922" s="946"/>
    </row>
    <row r="923" spans="55:60" ht="36" customHeight="1" x14ac:dyDescent="0.2">
      <c r="BC923" s="946" t="s">
        <v>675</v>
      </c>
      <c r="BD923" s="946"/>
      <c r="BE923" s="946"/>
      <c r="BF923" s="946"/>
      <c r="BG923" s="946"/>
      <c r="BH923" s="946"/>
    </row>
    <row r="924" spans="55:60" ht="36" customHeight="1" x14ac:dyDescent="0.2">
      <c r="BC924" s="946" t="s">
        <v>676</v>
      </c>
      <c r="BD924" s="946"/>
      <c r="BE924" s="946"/>
      <c r="BF924" s="946"/>
      <c r="BG924" s="946"/>
      <c r="BH924" s="946"/>
    </row>
    <row r="925" spans="55:60" ht="36" customHeight="1" x14ac:dyDescent="0.2">
      <c r="BC925" s="946" t="s">
        <v>677</v>
      </c>
      <c r="BD925" s="946"/>
      <c r="BE925" s="946"/>
      <c r="BF925" s="946"/>
      <c r="BG925" s="946"/>
      <c r="BH925" s="946"/>
    </row>
    <row r="926" spans="55:60" ht="36" customHeight="1" x14ac:dyDescent="0.2">
      <c r="BC926" s="946" t="s">
        <v>498</v>
      </c>
      <c r="BD926" s="946"/>
      <c r="BE926" s="946"/>
      <c r="BF926" s="946"/>
      <c r="BG926" s="946"/>
      <c r="BH926" s="946"/>
    </row>
    <row r="927" spans="55:60" ht="36" customHeight="1" x14ac:dyDescent="0.2">
      <c r="BC927" s="946" t="s">
        <v>678</v>
      </c>
      <c r="BD927" s="946"/>
      <c r="BE927" s="946"/>
      <c r="BF927" s="946"/>
      <c r="BG927" s="946"/>
      <c r="BH927" s="946"/>
    </row>
    <row r="928" spans="55:60" ht="36" customHeight="1" x14ac:dyDescent="0.2">
      <c r="BC928" s="946" t="s">
        <v>679</v>
      </c>
      <c r="BD928" s="946"/>
      <c r="BE928" s="946"/>
      <c r="BF928" s="946"/>
      <c r="BG928" s="946"/>
      <c r="BH928" s="946"/>
    </row>
    <row r="929" spans="55:60" ht="36" customHeight="1" x14ac:dyDescent="0.2">
      <c r="BC929" s="946" t="s">
        <v>680</v>
      </c>
      <c r="BD929" s="946"/>
      <c r="BE929" s="946"/>
      <c r="BF929" s="946"/>
      <c r="BG929" s="946"/>
      <c r="BH929" s="946"/>
    </row>
    <row r="930" spans="55:60" ht="36" customHeight="1" x14ac:dyDescent="0.2">
      <c r="BC930" s="946" t="s">
        <v>681</v>
      </c>
      <c r="BD930" s="946"/>
      <c r="BE930" s="946"/>
      <c r="BF930" s="946"/>
      <c r="BG930" s="946"/>
      <c r="BH930" s="946"/>
    </row>
    <row r="931" spans="55:60" ht="36" customHeight="1" x14ac:dyDescent="0.2">
      <c r="BC931" s="946" t="s">
        <v>682</v>
      </c>
      <c r="BD931" s="946"/>
      <c r="BE931" s="946"/>
      <c r="BF931" s="946"/>
      <c r="BG931" s="946"/>
      <c r="BH931" s="946"/>
    </row>
    <row r="932" spans="55:60" ht="36" customHeight="1" x14ac:dyDescent="0.2">
      <c r="BC932" s="946" t="s">
        <v>683</v>
      </c>
      <c r="BD932" s="946"/>
      <c r="BE932" s="946"/>
      <c r="BF932" s="946"/>
      <c r="BG932" s="946"/>
      <c r="BH932" s="946"/>
    </row>
    <row r="933" spans="55:60" ht="36" customHeight="1" x14ac:dyDescent="0.2">
      <c r="BC933" s="946" t="s">
        <v>684</v>
      </c>
      <c r="BD933" s="946"/>
      <c r="BE933" s="946"/>
      <c r="BF933" s="946"/>
      <c r="BG933" s="946"/>
      <c r="BH933" s="946"/>
    </row>
    <row r="934" spans="55:60" ht="36" customHeight="1" x14ac:dyDescent="0.2">
      <c r="BC934" s="946" t="s">
        <v>685</v>
      </c>
      <c r="BD934" s="946"/>
      <c r="BE934" s="946"/>
      <c r="BF934" s="946"/>
      <c r="BG934" s="946"/>
      <c r="BH934" s="946"/>
    </row>
    <row r="935" spans="55:60" ht="36" customHeight="1" x14ac:dyDescent="0.2">
      <c r="BC935" s="946" t="s">
        <v>686</v>
      </c>
      <c r="BD935" s="946"/>
      <c r="BE935" s="946"/>
      <c r="BF935" s="946"/>
      <c r="BG935" s="946"/>
      <c r="BH935" s="946"/>
    </row>
    <row r="936" spans="55:60" ht="36" customHeight="1" x14ac:dyDescent="0.2">
      <c r="BC936" s="946" t="s">
        <v>687</v>
      </c>
      <c r="BD936" s="946"/>
      <c r="BE936" s="946"/>
      <c r="BF936" s="946"/>
      <c r="BG936" s="946"/>
      <c r="BH936" s="946"/>
    </row>
    <row r="937" spans="55:60" ht="36" customHeight="1" x14ac:dyDescent="0.2">
      <c r="BC937" s="946" t="s">
        <v>688</v>
      </c>
      <c r="BD937" s="946"/>
      <c r="BE937" s="946"/>
      <c r="BF937" s="946"/>
      <c r="BG937" s="946"/>
      <c r="BH937" s="946"/>
    </row>
    <row r="938" spans="55:60" ht="36" customHeight="1" x14ac:dyDescent="0.2">
      <c r="BC938" s="946" t="s">
        <v>689</v>
      </c>
      <c r="BD938" s="946"/>
      <c r="BE938" s="946"/>
      <c r="BF938" s="946"/>
      <c r="BG938" s="946"/>
      <c r="BH938" s="946"/>
    </row>
    <row r="939" spans="55:60" ht="36" customHeight="1" x14ac:dyDescent="0.2">
      <c r="BC939" s="946" t="s">
        <v>690</v>
      </c>
      <c r="BD939" s="946"/>
      <c r="BE939" s="946"/>
      <c r="BF939" s="946"/>
      <c r="BG939" s="946"/>
      <c r="BH939" s="946"/>
    </row>
    <row r="940" spans="55:60" ht="36" customHeight="1" x14ac:dyDescent="0.2">
      <c r="BC940" s="946" t="s">
        <v>691</v>
      </c>
      <c r="BD940" s="946"/>
      <c r="BE940" s="946"/>
      <c r="BF940" s="946"/>
      <c r="BG940" s="946"/>
      <c r="BH940" s="946"/>
    </row>
    <row r="941" spans="55:60" ht="36" customHeight="1" x14ac:dyDescent="0.2">
      <c r="BC941" s="946" t="s">
        <v>692</v>
      </c>
      <c r="BD941" s="946"/>
      <c r="BE941" s="946"/>
      <c r="BF941" s="946"/>
      <c r="BG941" s="946"/>
      <c r="BH941" s="946"/>
    </row>
    <row r="942" spans="55:60" ht="36" customHeight="1" x14ac:dyDescent="0.2">
      <c r="BC942" s="946" t="s">
        <v>693</v>
      </c>
      <c r="BD942" s="946"/>
      <c r="BE942" s="946"/>
      <c r="BF942" s="946"/>
      <c r="BG942" s="946"/>
      <c r="BH942" s="946"/>
    </row>
    <row r="943" spans="55:60" ht="36" customHeight="1" x14ac:dyDescent="0.2">
      <c r="BC943" s="946" t="s">
        <v>694</v>
      </c>
      <c r="BD943" s="946"/>
      <c r="BE943" s="946"/>
      <c r="BF943" s="946"/>
      <c r="BG943" s="946"/>
      <c r="BH943" s="946"/>
    </row>
    <row r="944" spans="55:60" ht="36" customHeight="1" x14ac:dyDescent="0.2">
      <c r="BC944" s="946" t="s">
        <v>695</v>
      </c>
      <c r="BD944" s="946"/>
      <c r="BE944" s="946"/>
      <c r="BF944" s="946"/>
      <c r="BG944" s="946"/>
      <c r="BH944" s="946"/>
    </row>
    <row r="945" spans="55:60" ht="36" customHeight="1" x14ac:dyDescent="0.2">
      <c r="BC945" s="946" t="s">
        <v>696</v>
      </c>
      <c r="BD945" s="946"/>
      <c r="BE945" s="946"/>
      <c r="BF945" s="946"/>
      <c r="BG945" s="946"/>
      <c r="BH945" s="946"/>
    </row>
    <row r="946" spans="55:60" ht="36" customHeight="1" x14ac:dyDescent="0.2">
      <c r="BC946" s="946" t="s">
        <v>697</v>
      </c>
      <c r="BD946" s="946"/>
      <c r="BE946" s="946"/>
      <c r="BF946" s="946"/>
      <c r="BG946" s="946"/>
      <c r="BH946" s="946"/>
    </row>
    <row r="947" spans="55:60" ht="36" customHeight="1" x14ac:dyDescent="0.2">
      <c r="BC947" s="946" t="s">
        <v>698</v>
      </c>
      <c r="BD947" s="946"/>
      <c r="BE947" s="946"/>
      <c r="BF947" s="946"/>
      <c r="BG947" s="946"/>
      <c r="BH947" s="946"/>
    </row>
    <row r="948" spans="55:60" ht="36" customHeight="1" x14ac:dyDescent="0.2">
      <c r="BC948" s="946" t="s">
        <v>699</v>
      </c>
      <c r="BD948" s="946"/>
      <c r="BE948" s="946"/>
      <c r="BF948" s="946"/>
      <c r="BG948" s="946"/>
      <c r="BH948" s="946"/>
    </row>
    <row r="949" spans="55:60" ht="36" customHeight="1" x14ac:dyDescent="0.2">
      <c r="BC949" s="946" t="s">
        <v>700</v>
      </c>
      <c r="BD949" s="946"/>
      <c r="BE949" s="946"/>
      <c r="BF949" s="946"/>
      <c r="BG949" s="946"/>
      <c r="BH949" s="946"/>
    </row>
    <row r="950" spans="55:60" ht="36" customHeight="1" x14ac:dyDescent="0.2">
      <c r="BC950" s="946" t="s">
        <v>701</v>
      </c>
      <c r="BD950" s="946"/>
      <c r="BE950" s="946"/>
      <c r="BF950" s="946"/>
      <c r="BG950" s="946"/>
      <c r="BH950" s="946"/>
    </row>
    <row r="951" spans="55:60" ht="36" customHeight="1" x14ac:dyDescent="0.2">
      <c r="BC951" s="946" t="s">
        <v>702</v>
      </c>
      <c r="BD951" s="946"/>
      <c r="BE951" s="946"/>
      <c r="BF951" s="946"/>
      <c r="BG951" s="946"/>
      <c r="BH951" s="946"/>
    </row>
    <row r="952" spans="55:60" ht="36" customHeight="1" x14ac:dyDescent="0.2">
      <c r="BC952" s="946" t="s">
        <v>703</v>
      </c>
      <c r="BD952" s="946"/>
      <c r="BE952" s="946"/>
      <c r="BF952" s="946"/>
      <c r="BG952" s="946"/>
      <c r="BH952" s="946"/>
    </row>
    <row r="953" spans="55:60" ht="36" customHeight="1" x14ac:dyDescent="0.2">
      <c r="BC953" s="946" t="s">
        <v>704</v>
      </c>
      <c r="BD953" s="946"/>
      <c r="BE953" s="946"/>
      <c r="BF953" s="946"/>
      <c r="BG953" s="946"/>
      <c r="BH953" s="946"/>
    </row>
    <row r="954" spans="55:60" ht="36" customHeight="1" x14ac:dyDescent="0.2">
      <c r="BC954" s="946" t="s">
        <v>705</v>
      </c>
      <c r="BD954" s="946"/>
      <c r="BE954" s="946"/>
      <c r="BF954" s="946"/>
      <c r="BG954" s="946"/>
      <c r="BH954" s="946"/>
    </row>
    <row r="955" spans="55:60" ht="36" customHeight="1" x14ac:dyDescent="0.2">
      <c r="BC955" s="946" t="s">
        <v>706</v>
      </c>
      <c r="BD955" s="946"/>
      <c r="BE955" s="946"/>
      <c r="BF955" s="946"/>
      <c r="BG955" s="946"/>
      <c r="BH955" s="946"/>
    </row>
    <row r="956" spans="55:60" ht="36" customHeight="1" x14ac:dyDescent="0.2">
      <c r="BC956" s="946" t="s">
        <v>707</v>
      </c>
      <c r="BD956" s="946"/>
      <c r="BE956" s="946"/>
      <c r="BF956" s="946"/>
      <c r="BG956" s="946"/>
      <c r="BH956" s="946"/>
    </row>
    <row r="957" spans="55:60" ht="36" customHeight="1" x14ac:dyDescent="0.2">
      <c r="BC957" s="946" t="s">
        <v>708</v>
      </c>
      <c r="BD957" s="946"/>
      <c r="BE957" s="946"/>
      <c r="BF957" s="946"/>
      <c r="BG957" s="946"/>
      <c r="BH957" s="946"/>
    </row>
    <row r="958" spans="55:60" ht="36" customHeight="1" x14ac:dyDescent="0.2">
      <c r="BC958" s="946" t="s">
        <v>709</v>
      </c>
      <c r="BD958" s="946"/>
      <c r="BE958" s="946"/>
      <c r="BF958" s="946"/>
      <c r="BG958" s="946"/>
      <c r="BH958" s="946"/>
    </row>
    <row r="959" spans="55:60" ht="36" customHeight="1" x14ac:dyDescent="0.2">
      <c r="BC959" s="946" t="s">
        <v>710</v>
      </c>
      <c r="BD959" s="946"/>
      <c r="BE959" s="946"/>
      <c r="BF959" s="946"/>
      <c r="BG959" s="946"/>
      <c r="BH959" s="946"/>
    </row>
    <row r="960" spans="55:60" ht="36" customHeight="1" x14ac:dyDescent="0.2">
      <c r="BC960" s="946" t="s">
        <v>711</v>
      </c>
      <c r="BD960" s="946"/>
      <c r="BE960" s="946"/>
      <c r="BF960" s="946"/>
      <c r="BG960" s="946"/>
      <c r="BH960" s="946"/>
    </row>
    <row r="961" spans="55:60" ht="36" customHeight="1" x14ac:dyDescent="0.2">
      <c r="BC961" s="946" t="s">
        <v>712</v>
      </c>
      <c r="BD961" s="946"/>
      <c r="BE961" s="946"/>
      <c r="BF961" s="946"/>
      <c r="BG961" s="946"/>
      <c r="BH961" s="946"/>
    </row>
    <row r="962" spans="55:60" ht="36" customHeight="1" x14ac:dyDescent="0.2">
      <c r="BC962" s="946" t="s">
        <v>713</v>
      </c>
      <c r="BD962" s="946"/>
      <c r="BE962" s="946"/>
      <c r="BF962" s="946"/>
      <c r="BG962" s="946"/>
      <c r="BH962" s="946"/>
    </row>
    <row r="963" spans="55:60" ht="36" customHeight="1" x14ac:dyDescent="0.2">
      <c r="BC963" s="946" t="s">
        <v>714</v>
      </c>
      <c r="BD963" s="946"/>
      <c r="BE963" s="946"/>
      <c r="BF963" s="946"/>
      <c r="BG963" s="946"/>
      <c r="BH963" s="946"/>
    </row>
    <row r="964" spans="55:60" ht="36" customHeight="1" x14ac:dyDescent="0.2">
      <c r="BC964" s="946" t="s">
        <v>715</v>
      </c>
      <c r="BD964" s="946"/>
      <c r="BE964" s="946"/>
      <c r="BF964" s="946"/>
      <c r="BG964" s="946"/>
      <c r="BH964" s="946"/>
    </row>
    <row r="965" spans="55:60" ht="36" customHeight="1" x14ac:dyDescent="0.2">
      <c r="BC965" s="946" t="s">
        <v>716</v>
      </c>
      <c r="BD965" s="946"/>
      <c r="BE965" s="946"/>
      <c r="BF965" s="946"/>
      <c r="BG965" s="946"/>
      <c r="BH965" s="946"/>
    </row>
    <row r="966" spans="55:60" ht="36" customHeight="1" x14ac:dyDescent="0.2">
      <c r="BC966" s="946" t="s">
        <v>717</v>
      </c>
      <c r="BD966" s="946"/>
      <c r="BE966" s="946"/>
      <c r="BF966" s="946"/>
      <c r="BG966" s="946"/>
      <c r="BH966" s="946"/>
    </row>
    <row r="967" spans="55:60" ht="36" customHeight="1" x14ac:dyDescent="0.2">
      <c r="BC967" s="946" t="s">
        <v>718</v>
      </c>
      <c r="BD967" s="946"/>
      <c r="BE967" s="946"/>
      <c r="BF967" s="946"/>
      <c r="BG967" s="946"/>
      <c r="BH967" s="946"/>
    </row>
    <row r="968" spans="55:60" ht="36" customHeight="1" x14ac:dyDescent="0.2">
      <c r="BC968" s="946" t="s">
        <v>719</v>
      </c>
      <c r="BD968" s="946"/>
      <c r="BE968" s="946"/>
      <c r="BF968" s="946"/>
      <c r="BG968" s="946"/>
      <c r="BH968" s="946"/>
    </row>
    <row r="969" spans="55:60" ht="36" customHeight="1" x14ac:dyDescent="0.2">
      <c r="BC969" s="946" t="s">
        <v>720</v>
      </c>
      <c r="BD969" s="946"/>
      <c r="BE969" s="946"/>
      <c r="BF969" s="946"/>
      <c r="BG969" s="946"/>
      <c r="BH969" s="946"/>
    </row>
    <row r="970" spans="55:60" ht="36" customHeight="1" x14ac:dyDescent="0.2">
      <c r="BC970" s="946" t="s">
        <v>721</v>
      </c>
      <c r="BD970" s="946"/>
      <c r="BE970" s="946"/>
      <c r="BF970" s="946"/>
      <c r="BG970" s="946"/>
      <c r="BH970" s="946"/>
    </row>
    <row r="971" spans="55:60" ht="36" customHeight="1" x14ac:dyDescent="0.2">
      <c r="BC971" s="946" t="s">
        <v>722</v>
      </c>
      <c r="BD971" s="946"/>
      <c r="BE971" s="946"/>
      <c r="BF971" s="946"/>
      <c r="BG971" s="946"/>
      <c r="BH971" s="946"/>
    </row>
    <row r="972" spans="55:60" ht="36" customHeight="1" x14ac:dyDescent="0.2">
      <c r="BC972" s="946" t="s">
        <v>723</v>
      </c>
      <c r="BD972" s="946"/>
      <c r="BE972" s="946"/>
      <c r="BF972" s="946"/>
      <c r="BG972" s="946"/>
      <c r="BH972" s="946"/>
    </row>
    <row r="973" spans="55:60" ht="36" customHeight="1" x14ac:dyDescent="0.2">
      <c r="BC973" s="946" t="s">
        <v>724</v>
      </c>
      <c r="BD973" s="946"/>
      <c r="BE973" s="946"/>
      <c r="BF973" s="946"/>
      <c r="BG973" s="946"/>
      <c r="BH973" s="946"/>
    </row>
    <row r="974" spans="55:60" ht="36" customHeight="1" x14ac:dyDescent="0.2">
      <c r="BC974" s="946" t="s">
        <v>725</v>
      </c>
      <c r="BD974" s="946"/>
      <c r="BE974" s="946"/>
      <c r="BF974" s="946"/>
      <c r="BG974" s="946"/>
      <c r="BH974" s="946"/>
    </row>
    <row r="975" spans="55:60" ht="36" customHeight="1" x14ac:dyDescent="0.2">
      <c r="BC975" s="946" t="s">
        <v>726</v>
      </c>
      <c r="BD975" s="946"/>
      <c r="BE975" s="946"/>
      <c r="BF975" s="946"/>
      <c r="BG975" s="946"/>
      <c r="BH975" s="946"/>
    </row>
    <row r="976" spans="55:60" ht="36" customHeight="1" x14ac:dyDescent="0.2">
      <c r="BC976" s="946" t="s">
        <v>727</v>
      </c>
      <c r="BD976" s="946"/>
      <c r="BE976" s="946"/>
      <c r="BF976" s="946"/>
      <c r="BG976" s="946"/>
      <c r="BH976" s="946"/>
    </row>
    <row r="977" spans="55:60" ht="36" customHeight="1" x14ac:dyDescent="0.2">
      <c r="BC977" s="946" t="s">
        <v>728</v>
      </c>
      <c r="BD977" s="946"/>
      <c r="BE977" s="946"/>
      <c r="BF977" s="946"/>
      <c r="BG977" s="946"/>
      <c r="BH977" s="946"/>
    </row>
    <row r="978" spans="55:60" ht="36" customHeight="1" x14ac:dyDescent="0.2">
      <c r="BC978" s="946" t="s">
        <v>729</v>
      </c>
      <c r="BD978" s="946"/>
      <c r="BE978" s="946"/>
      <c r="BF978" s="946"/>
      <c r="BG978" s="946"/>
      <c r="BH978" s="946"/>
    </row>
    <row r="979" spans="55:60" ht="36" customHeight="1" x14ac:dyDescent="0.2">
      <c r="BC979" s="946" t="s">
        <v>730</v>
      </c>
      <c r="BD979" s="946"/>
      <c r="BE979" s="946"/>
      <c r="BF979" s="946"/>
      <c r="BG979" s="946"/>
      <c r="BH979" s="946"/>
    </row>
    <row r="980" spans="55:60" ht="36" customHeight="1" x14ac:dyDescent="0.2">
      <c r="BC980" s="946" t="s">
        <v>731</v>
      </c>
      <c r="BD980" s="946"/>
      <c r="BE980" s="946"/>
      <c r="BF980" s="946"/>
      <c r="BG980" s="946"/>
      <c r="BH980" s="946"/>
    </row>
    <row r="981" spans="55:60" ht="36" customHeight="1" x14ac:dyDescent="0.2">
      <c r="BC981" s="946" t="s">
        <v>732</v>
      </c>
      <c r="BD981" s="946"/>
      <c r="BE981" s="946"/>
      <c r="BF981" s="946"/>
      <c r="BG981" s="946"/>
      <c r="BH981" s="946"/>
    </row>
    <row r="982" spans="55:60" ht="36" customHeight="1" x14ac:dyDescent="0.2">
      <c r="BC982" s="946" t="s">
        <v>733</v>
      </c>
      <c r="BD982" s="946"/>
      <c r="BE982" s="946"/>
      <c r="BF982" s="946"/>
      <c r="BG982" s="946"/>
      <c r="BH982" s="946"/>
    </row>
    <row r="983" spans="55:60" ht="36" customHeight="1" x14ac:dyDescent="0.2">
      <c r="BC983" s="946" t="s">
        <v>734</v>
      </c>
      <c r="BD983" s="946"/>
      <c r="BE983" s="946"/>
      <c r="BF983" s="946"/>
      <c r="BG983" s="946"/>
      <c r="BH983" s="946"/>
    </row>
    <row r="984" spans="55:60" ht="36" customHeight="1" x14ac:dyDescent="0.2">
      <c r="BC984" s="946" t="s">
        <v>735</v>
      </c>
      <c r="BD984" s="946"/>
      <c r="BE984" s="946"/>
      <c r="BF984" s="946"/>
      <c r="BG984" s="946"/>
      <c r="BH984" s="946"/>
    </row>
    <row r="985" spans="55:60" ht="36" customHeight="1" x14ac:dyDescent="0.2">
      <c r="BC985" s="946" t="s">
        <v>736</v>
      </c>
      <c r="BD985" s="946"/>
      <c r="BE985" s="946"/>
      <c r="BF985" s="946"/>
      <c r="BG985" s="946"/>
      <c r="BH985" s="946"/>
    </row>
    <row r="986" spans="55:60" ht="36" customHeight="1" x14ac:dyDescent="0.2">
      <c r="BC986" s="946" t="s">
        <v>737</v>
      </c>
      <c r="BD986" s="946"/>
      <c r="BE986" s="946"/>
      <c r="BF986" s="946"/>
      <c r="BG986" s="946"/>
      <c r="BH986" s="946"/>
    </row>
    <row r="987" spans="55:60" ht="36" customHeight="1" x14ac:dyDescent="0.2">
      <c r="BC987" s="946" t="s">
        <v>738</v>
      </c>
      <c r="BD987" s="946"/>
      <c r="BE987" s="946"/>
      <c r="BF987" s="946"/>
      <c r="BG987" s="946"/>
      <c r="BH987" s="946"/>
    </row>
    <row r="988" spans="55:60" ht="36" customHeight="1" x14ac:dyDescent="0.2">
      <c r="BC988" s="946" t="s">
        <v>739</v>
      </c>
      <c r="BD988" s="946"/>
      <c r="BE988" s="946"/>
      <c r="BF988" s="946"/>
      <c r="BG988" s="946"/>
      <c r="BH988" s="946"/>
    </row>
    <row r="989" spans="55:60" ht="36" customHeight="1" x14ac:dyDescent="0.2">
      <c r="BC989" s="946" t="s">
        <v>740</v>
      </c>
      <c r="BD989" s="946"/>
      <c r="BE989" s="946"/>
      <c r="BF989" s="946"/>
      <c r="BG989" s="946"/>
      <c r="BH989" s="946"/>
    </row>
    <row r="990" spans="55:60" ht="36" customHeight="1" x14ac:dyDescent="0.2">
      <c r="BC990" s="946" t="s">
        <v>741</v>
      </c>
      <c r="BD990" s="946"/>
      <c r="BE990" s="946"/>
      <c r="BF990" s="946"/>
      <c r="BG990" s="946"/>
      <c r="BH990" s="946"/>
    </row>
    <row r="991" spans="55:60" ht="36" customHeight="1" x14ac:dyDescent="0.2">
      <c r="BC991" s="946" t="s">
        <v>742</v>
      </c>
      <c r="BD991" s="946"/>
      <c r="BE991" s="946"/>
      <c r="BF991" s="946"/>
      <c r="BG991" s="946"/>
      <c r="BH991" s="946"/>
    </row>
    <row r="992" spans="55:60" ht="36" customHeight="1" x14ac:dyDescent="0.2">
      <c r="BC992" s="946" t="s">
        <v>743</v>
      </c>
      <c r="BD992" s="946"/>
      <c r="BE992" s="946"/>
      <c r="BF992" s="946"/>
      <c r="BG992" s="946"/>
      <c r="BH992" s="946"/>
    </row>
    <row r="993" spans="55:60" ht="36" customHeight="1" x14ac:dyDescent="0.2">
      <c r="BC993" s="946" t="s">
        <v>744</v>
      </c>
      <c r="BD993" s="946"/>
      <c r="BE993" s="946"/>
      <c r="BF993" s="946"/>
      <c r="BG993" s="946"/>
      <c r="BH993" s="946"/>
    </row>
    <row r="994" spans="55:60" ht="36" customHeight="1" x14ac:dyDescent="0.2">
      <c r="BC994" s="946" t="s">
        <v>745</v>
      </c>
      <c r="BD994" s="946"/>
      <c r="BE994" s="946"/>
      <c r="BF994" s="946"/>
      <c r="BG994" s="946"/>
      <c r="BH994" s="946"/>
    </row>
    <row r="995" spans="55:60" ht="36" customHeight="1" x14ac:dyDescent="0.2">
      <c r="BC995" s="946" t="s">
        <v>746</v>
      </c>
      <c r="BD995" s="946"/>
      <c r="BE995" s="946"/>
      <c r="BF995" s="946"/>
      <c r="BG995" s="946"/>
      <c r="BH995" s="946"/>
    </row>
    <row r="996" spans="55:60" ht="36" customHeight="1" x14ac:dyDescent="0.2">
      <c r="BC996" s="946" t="s">
        <v>747</v>
      </c>
      <c r="BD996" s="946"/>
      <c r="BE996" s="946"/>
      <c r="BF996" s="946"/>
      <c r="BG996" s="946"/>
      <c r="BH996" s="946"/>
    </row>
    <row r="997" spans="55:60" ht="36" customHeight="1" x14ac:dyDescent="0.2">
      <c r="BC997" s="946" t="s">
        <v>748</v>
      </c>
      <c r="BD997" s="946"/>
      <c r="BE997" s="946"/>
      <c r="BF997" s="946"/>
      <c r="BG997" s="946"/>
      <c r="BH997" s="946"/>
    </row>
    <row r="998" spans="55:60" ht="36" customHeight="1" x14ac:dyDescent="0.2">
      <c r="BC998" s="946" t="s">
        <v>749</v>
      </c>
      <c r="BD998" s="946"/>
      <c r="BE998" s="946"/>
      <c r="BF998" s="946"/>
      <c r="BG998" s="946"/>
      <c r="BH998" s="946"/>
    </row>
    <row r="999" spans="55:60" ht="36" customHeight="1" x14ac:dyDescent="0.2">
      <c r="BC999" s="946" t="s">
        <v>750</v>
      </c>
      <c r="BD999" s="946"/>
      <c r="BE999" s="946"/>
      <c r="BF999" s="946"/>
      <c r="BG999" s="946"/>
      <c r="BH999" s="946"/>
    </row>
    <row r="1000" spans="55:60" ht="36" customHeight="1" x14ac:dyDescent="0.2">
      <c r="BC1000" s="946" t="s">
        <v>751</v>
      </c>
      <c r="BD1000" s="946"/>
      <c r="BE1000" s="946"/>
      <c r="BF1000" s="946"/>
      <c r="BG1000" s="946"/>
      <c r="BH1000" s="946"/>
    </row>
    <row r="1001" spans="55:60" ht="36" customHeight="1" x14ac:dyDescent="0.2">
      <c r="BC1001" s="946" t="s">
        <v>752</v>
      </c>
      <c r="BD1001" s="946"/>
      <c r="BE1001" s="946"/>
      <c r="BF1001" s="946"/>
      <c r="BG1001" s="946"/>
      <c r="BH1001" s="946"/>
    </row>
    <row r="1002" spans="55:60" ht="36" customHeight="1" x14ac:dyDescent="0.2">
      <c r="BC1002" s="946" t="s">
        <v>753</v>
      </c>
      <c r="BD1002" s="946"/>
      <c r="BE1002" s="946"/>
      <c r="BF1002" s="946"/>
      <c r="BG1002" s="946"/>
      <c r="BH1002" s="946"/>
    </row>
    <row r="1003" spans="55:60" ht="36" customHeight="1" x14ac:dyDescent="0.2">
      <c r="BC1003" s="946" t="s">
        <v>754</v>
      </c>
      <c r="BD1003" s="946"/>
      <c r="BE1003" s="946"/>
      <c r="BF1003" s="946"/>
      <c r="BG1003" s="946"/>
      <c r="BH1003" s="946"/>
    </row>
    <row r="1004" spans="55:60" ht="36" customHeight="1" x14ac:dyDescent="0.2">
      <c r="BC1004" s="946" t="s">
        <v>755</v>
      </c>
      <c r="BD1004" s="946"/>
      <c r="BE1004" s="946"/>
      <c r="BF1004" s="946"/>
      <c r="BG1004" s="946"/>
      <c r="BH1004" s="946"/>
    </row>
    <row r="1005" spans="55:60" ht="36" customHeight="1" x14ac:dyDescent="0.2">
      <c r="BC1005" s="946" t="s">
        <v>756</v>
      </c>
      <c r="BD1005" s="946"/>
      <c r="BE1005" s="946"/>
      <c r="BF1005" s="946"/>
      <c r="BG1005" s="946"/>
      <c r="BH1005" s="946"/>
    </row>
    <row r="1006" spans="55:60" ht="36" customHeight="1" x14ac:dyDescent="0.2">
      <c r="BC1006" s="946" t="s">
        <v>757</v>
      </c>
      <c r="BD1006" s="946"/>
      <c r="BE1006" s="946"/>
      <c r="BF1006" s="946"/>
      <c r="BG1006" s="946"/>
      <c r="BH1006" s="946"/>
    </row>
    <row r="1007" spans="55:60" ht="36" customHeight="1" x14ac:dyDescent="0.2"/>
    <row r="1008" spans="55:60" ht="36" customHeight="1" x14ac:dyDescent="0.2"/>
    <row r="1009" ht="36" customHeight="1" x14ac:dyDescent="0.2"/>
    <row r="1010" ht="36" customHeight="1" x14ac:dyDescent="0.2"/>
    <row r="1011" ht="36" customHeight="1" x14ac:dyDescent="0.2"/>
    <row r="1012" ht="36" customHeight="1" x14ac:dyDescent="0.2"/>
    <row r="1013" ht="36" customHeight="1" x14ac:dyDescent="0.2"/>
    <row r="1014" ht="36" customHeight="1" x14ac:dyDescent="0.2"/>
  </sheetData>
  <sheetProtection algorithmName="SHA-512" hashValue="vR4V7VtG+1HQ5HZeaN9vS9HWdlkbZaW5Y82nGdZiQ+kDR6HznlBLjGnfxuVVkr574uwCrAilukISNFgktJfdhw==" saltValue="6lhj8kDhMvEO95v+DkP8OA==" spinCount="100000" sheet="1" objects="1" scenarios="1"/>
  <mergeCells count="490">
    <mergeCell ref="C8:E9"/>
    <mergeCell ref="F8:I8"/>
    <mergeCell ref="C10:E10"/>
    <mergeCell ref="C12:E13"/>
    <mergeCell ref="G12:I12"/>
    <mergeCell ref="C14:E14"/>
    <mergeCell ref="A1:K1"/>
    <mergeCell ref="AA1:AD1"/>
    <mergeCell ref="D2:H2"/>
    <mergeCell ref="D3:H3"/>
    <mergeCell ref="F4:H4"/>
    <mergeCell ref="F6:H6"/>
    <mergeCell ref="S6:V6"/>
    <mergeCell ref="L42:N42"/>
    <mergeCell ref="O42:R42"/>
    <mergeCell ref="A44:A45"/>
    <mergeCell ref="C44:D44"/>
    <mergeCell ref="C45:D45"/>
    <mergeCell ref="C46:E46"/>
    <mergeCell ref="AA14:AD14"/>
    <mergeCell ref="G15:H15"/>
    <mergeCell ref="C17:D26"/>
    <mergeCell ref="F27:G27"/>
    <mergeCell ref="C28:D38"/>
    <mergeCell ref="A42:E43"/>
    <mergeCell ref="F42:F43"/>
    <mergeCell ref="G42:I42"/>
    <mergeCell ref="J42:J43"/>
    <mergeCell ref="K42:K43"/>
    <mergeCell ref="A48:I49"/>
    <mergeCell ref="C50:D51"/>
    <mergeCell ref="G50:I50"/>
    <mergeCell ref="J50:J51"/>
    <mergeCell ref="K50:K51"/>
    <mergeCell ref="A52:A83"/>
    <mergeCell ref="C52:D52"/>
    <mergeCell ref="C53:D62"/>
    <mergeCell ref="C67:D67"/>
    <mergeCell ref="C68:D77"/>
    <mergeCell ref="D113:E113"/>
    <mergeCell ref="D114:E114"/>
    <mergeCell ref="C81:E81"/>
    <mergeCell ref="C82:E82"/>
    <mergeCell ref="C83:E83"/>
    <mergeCell ref="A86:R87"/>
    <mergeCell ref="C88:E89"/>
    <mergeCell ref="G88:I88"/>
    <mergeCell ref="J88:J89"/>
    <mergeCell ref="K88:K89"/>
    <mergeCell ref="L88:N88"/>
    <mergeCell ref="O88:Q88"/>
    <mergeCell ref="A90:A169"/>
    <mergeCell ref="C90:C114"/>
    <mergeCell ref="D90:E90"/>
    <mergeCell ref="D91:D100"/>
    <mergeCell ref="D101:E101"/>
    <mergeCell ref="D102:D111"/>
    <mergeCell ref="B112:B114"/>
    <mergeCell ref="D112:E112"/>
    <mergeCell ref="C116:C169"/>
    <mergeCell ref="D116:E116"/>
    <mergeCell ref="D117:D126"/>
    <mergeCell ref="D127:E127"/>
    <mergeCell ref="D128:D137"/>
    <mergeCell ref="D138:E138"/>
    <mergeCell ref="D139:D148"/>
    <mergeCell ref="D149:E149"/>
    <mergeCell ref="D150:D159"/>
    <mergeCell ref="D160:E160"/>
    <mergeCell ref="D169:E169"/>
    <mergeCell ref="D161:E161"/>
    <mergeCell ref="D163:E163"/>
    <mergeCell ref="D164:E164"/>
    <mergeCell ref="D165:E165"/>
    <mergeCell ref="D167:E167"/>
    <mergeCell ref="D168:E168"/>
    <mergeCell ref="D205:D214"/>
    <mergeCell ref="D215:E215"/>
    <mergeCell ref="D216:E216"/>
    <mergeCell ref="D218:E218"/>
    <mergeCell ref="D219:E219"/>
    <mergeCell ref="D220:E220"/>
    <mergeCell ref="A171:A220"/>
    <mergeCell ref="C171:C220"/>
    <mergeCell ref="D171:E171"/>
    <mergeCell ref="D172:D181"/>
    <mergeCell ref="D182:E182"/>
    <mergeCell ref="D183:D192"/>
    <mergeCell ref="D193:E193"/>
    <mergeCell ref="D194:D203"/>
    <mergeCell ref="D204:E204"/>
    <mergeCell ref="G222:I222"/>
    <mergeCell ref="J222:J223"/>
    <mergeCell ref="K222:K223"/>
    <mergeCell ref="L222:N222"/>
    <mergeCell ref="O222:Q222"/>
    <mergeCell ref="C264:D264"/>
    <mergeCell ref="C265:D265"/>
    <mergeCell ref="A292:E292"/>
    <mergeCell ref="A294:I294"/>
    <mergeCell ref="A251:A265"/>
    <mergeCell ref="C251:D251"/>
    <mergeCell ref="C252:D252"/>
    <mergeCell ref="C253:D262"/>
    <mergeCell ref="C263:D263"/>
    <mergeCell ref="A224:A249"/>
    <mergeCell ref="C224:D224"/>
    <mergeCell ref="B225:B234"/>
    <mergeCell ref="C225:D234"/>
    <mergeCell ref="C235:D235"/>
    <mergeCell ref="C236:D236"/>
    <mergeCell ref="C237:D246"/>
    <mergeCell ref="C247:D247"/>
    <mergeCell ref="C248:D248"/>
    <mergeCell ref="C249:D249"/>
    <mergeCell ref="K348:M348"/>
    <mergeCell ref="C301:C311"/>
    <mergeCell ref="C312:E312"/>
    <mergeCell ref="D372:E372"/>
    <mergeCell ref="C374:E374"/>
    <mergeCell ref="C375:E375"/>
    <mergeCell ref="K295:M295"/>
    <mergeCell ref="N295:P295"/>
    <mergeCell ref="Q295:Q296"/>
    <mergeCell ref="C296:E297"/>
    <mergeCell ref="C373:E373"/>
    <mergeCell ref="N348:Q348"/>
    <mergeCell ref="D371:E371"/>
    <mergeCell ref="A314:I314"/>
    <mergeCell ref="C315:E315"/>
    <mergeCell ref="H315:J315"/>
    <mergeCell ref="C316:E316"/>
    <mergeCell ref="H348:J348"/>
    <mergeCell ref="A295:A312"/>
    <mergeCell ref="C295:E295"/>
    <mergeCell ref="H295:J295"/>
    <mergeCell ref="A361:H362"/>
    <mergeCell ref="A363:E364"/>
    <mergeCell ref="F363:F364"/>
    <mergeCell ref="G363:G364"/>
    <mergeCell ref="H363:H364"/>
    <mergeCell ref="I363:I364"/>
    <mergeCell ref="B365:B373"/>
    <mergeCell ref="C365:E365"/>
    <mergeCell ref="C366:E366"/>
    <mergeCell ref="C367:E367"/>
    <mergeCell ref="C368:E368"/>
    <mergeCell ref="C369:C372"/>
    <mergeCell ref="D369:E369"/>
    <mergeCell ref="D370:E370"/>
    <mergeCell ref="A365:A421"/>
    <mergeCell ref="B374:B388"/>
    <mergeCell ref="B389:B399"/>
    <mergeCell ref="B400:B410"/>
    <mergeCell ref="B411:B421"/>
    <mergeCell ref="D420:E420"/>
    <mergeCell ref="D397:E397"/>
    <mergeCell ref="D398:E398"/>
    <mergeCell ref="C376:E376"/>
    <mergeCell ref="C377:E377"/>
    <mergeCell ref="C410:E410"/>
    <mergeCell ref="C417:C420"/>
    <mergeCell ref="C421:E421"/>
    <mergeCell ref="C435:E435"/>
    <mergeCell ref="C381:E381"/>
    <mergeCell ref="D382:E382"/>
    <mergeCell ref="D383:E383"/>
    <mergeCell ref="D384:E384"/>
    <mergeCell ref="D385:E385"/>
    <mergeCell ref="D386:E386"/>
    <mergeCell ref="D387:E387"/>
    <mergeCell ref="C391:E391"/>
    <mergeCell ref="D407:E407"/>
    <mergeCell ref="C405:E405"/>
    <mergeCell ref="D406:E406"/>
    <mergeCell ref="C388:E388"/>
    <mergeCell ref="C399:E399"/>
    <mergeCell ref="C406:C409"/>
    <mergeCell ref="C401:E401"/>
    <mergeCell ref="C403:E403"/>
    <mergeCell ref="C404:E404"/>
    <mergeCell ref="C412:E412"/>
    <mergeCell ref="C413:E413"/>
    <mergeCell ref="C414:E414"/>
    <mergeCell ref="C400:E400"/>
    <mergeCell ref="C392:E392"/>
    <mergeCell ref="C393:E393"/>
    <mergeCell ref="C468:C473"/>
    <mergeCell ref="D468:E468"/>
    <mergeCell ref="D469:E469"/>
    <mergeCell ref="C402:E402"/>
    <mergeCell ref="C441:E441"/>
    <mergeCell ref="C442:E442"/>
    <mergeCell ref="C443:E443"/>
    <mergeCell ref="C378:E378"/>
    <mergeCell ref="C379:E379"/>
    <mergeCell ref="C380:E380"/>
    <mergeCell ref="C394:E394"/>
    <mergeCell ref="D396:E396"/>
    <mergeCell ref="D417:E417"/>
    <mergeCell ref="D418:E418"/>
    <mergeCell ref="C415:E415"/>
    <mergeCell ref="C416:E416"/>
    <mergeCell ref="C382:C387"/>
    <mergeCell ref="C389:E389"/>
    <mergeCell ref="C390:E390"/>
    <mergeCell ref="C395:C398"/>
    <mergeCell ref="D395:E395"/>
    <mergeCell ref="C411:E411"/>
    <mergeCell ref="D408:E408"/>
    <mergeCell ref="D409:E409"/>
    <mergeCell ref="C501:E501"/>
    <mergeCell ref="C502:E502"/>
    <mergeCell ref="C503:E503"/>
    <mergeCell ref="D419:E419"/>
    <mergeCell ref="D493:E493"/>
    <mergeCell ref="A520:G520"/>
    <mergeCell ref="C484:E484"/>
    <mergeCell ref="C485:E485"/>
    <mergeCell ref="C504:C509"/>
    <mergeCell ref="C449:C456"/>
    <mergeCell ref="D449:E449"/>
    <mergeCell ref="D450:E450"/>
    <mergeCell ref="D451:E451"/>
    <mergeCell ref="D452:E452"/>
    <mergeCell ref="D453:E453"/>
    <mergeCell ref="D454:E454"/>
    <mergeCell ref="D475:E475"/>
    <mergeCell ref="C464:E464"/>
    <mergeCell ref="C465:E465"/>
    <mergeCell ref="C466:E466"/>
    <mergeCell ref="C467:E467"/>
    <mergeCell ref="D472:E472"/>
    <mergeCell ref="D473:E473"/>
    <mergeCell ref="D474:E474"/>
    <mergeCell ref="L521:N521"/>
    <mergeCell ref="O521:Q521"/>
    <mergeCell ref="D523:E523"/>
    <mergeCell ref="D524:E524"/>
    <mergeCell ref="D547:E547"/>
    <mergeCell ref="D548:E548"/>
    <mergeCell ref="D550:E550"/>
    <mergeCell ref="D504:E504"/>
    <mergeCell ref="D505:E505"/>
    <mergeCell ref="D506:E506"/>
    <mergeCell ref="F521:F522"/>
    <mergeCell ref="G521:G522"/>
    <mergeCell ref="D536:E536"/>
    <mergeCell ref="D537:E537"/>
    <mergeCell ref="D535:E535"/>
    <mergeCell ref="D538:D542"/>
    <mergeCell ref="D544:E544"/>
    <mergeCell ref="D507:E507"/>
    <mergeCell ref="D508:E508"/>
    <mergeCell ref="D509:E509"/>
    <mergeCell ref="D510:E510"/>
    <mergeCell ref="D511:E511"/>
    <mergeCell ref="D545:E545"/>
    <mergeCell ref="F430:F431"/>
    <mergeCell ref="C425:E425"/>
    <mergeCell ref="C426:E426"/>
    <mergeCell ref="H702:K702"/>
    <mergeCell ref="H724:K724"/>
    <mergeCell ref="C480:E480"/>
    <mergeCell ref="C481:E481"/>
    <mergeCell ref="C482:E482"/>
    <mergeCell ref="D489:E489"/>
    <mergeCell ref="D490:E490"/>
    <mergeCell ref="D491:E491"/>
    <mergeCell ref="D492:E492"/>
    <mergeCell ref="C476:E476"/>
    <mergeCell ref="C477:E477"/>
    <mergeCell ref="G430:G431"/>
    <mergeCell ref="I430:K430"/>
    <mergeCell ref="C495:E495"/>
    <mergeCell ref="C496:E496"/>
    <mergeCell ref="C497:E497"/>
    <mergeCell ref="C498:E498"/>
    <mergeCell ref="D470:E470"/>
    <mergeCell ref="I521:K521"/>
    <mergeCell ref="C499:E499"/>
    <mergeCell ref="C500:E500"/>
    <mergeCell ref="J742:L743"/>
    <mergeCell ref="J776:L777"/>
    <mergeCell ref="M787:O787"/>
    <mergeCell ref="C792:D792"/>
    <mergeCell ref="D681:E681"/>
    <mergeCell ref="D682:E682"/>
    <mergeCell ref="D683:E683"/>
    <mergeCell ref="D684:E684"/>
    <mergeCell ref="D685:E685"/>
    <mergeCell ref="D686:E686"/>
    <mergeCell ref="B697:I697"/>
    <mergeCell ref="D687:E687"/>
    <mergeCell ref="D688:E688"/>
    <mergeCell ref="C672:C681"/>
    <mergeCell ref="D672:D673"/>
    <mergeCell ref="D676:E676"/>
    <mergeCell ref="D677:E677"/>
    <mergeCell ref="D678:E678"/>
    <mergeCell ref="D679:E679"/>
    <mergeCell ref="D680:E680"/>
    <mergeCell ref="A422:A425"/>
    <mergeCell ref="B422:B424"/>
    <mergeCell ref="C422:E422"/>
    <mergeCell ref="C423:E423"/>
    <mergeCell ref="C424:E424"/>
    <mergeCell ref="B425:B426"/>
    <mergeCell ref="A427:E427"/>
    <mergeCell ref="A430:E431"/>
    <mergeCell ref="B476:B493"/>
    <mergeCell ref="C478:E478"/>
    <mergeCell ref="C479:E479"/>
    <mergeCell ref="C486:C491"/>
    <mergeCell ref="D486:E486"/>
    <mergeCell ref="D487:E487"/>
    <mergeCell ref="D488:E488"/>
    <mergeCell ref="B459:B475"/>
    <mergeCell ref="C461:E461"/>
    <mergeCell ref="C462:E462"/>
    <mergeCell ref="C463:E463"/>
    <mergeCell ref="D471:E471"/>
    <mergeCell ref="D455:E455"/>
    <mergeCell ref="C459:E459"/>
    <mergeCell ref="C460:E460"/>
    <mergeCell ref="D458:E458"/>
    <mergeCell ref="L430:N430"/>
    <mergeCell ref="O430:Q430"/>
    <mergeCell ref="A432:A511"/>
    <mergeCell ref="B432:B440"/>
    <mergeCell ref="C432:E432"/>
    <mergeCell ref="C433:E433"/>
    <mergeCell ref="C434:E434"/>
    <mergeCell ref="C436:C439"/>
    <mergeCell ref="D436:E436"/>
    <mergeCell ref="D437:E437"/>
    <mergeCell ref="D438:E438"/>
    <mergeCell ref="D439:E439"/>
    <mergeCell ref="D440:E440"/>
    <mergeCell ref="B441:B458"/>
    <mergeCell ref="C444:E444"/>
    <mergeCell ref="C445:E445"/>
    <mergeCell ref="C446:E446"/>
    <mergeCell ref="C447:E447"/>
    <mergeCell ref="C448:E448"/>
    <mergeCell ref="D456:E456"/>
    <mergeCell ref="D457:E457"/>
    <mergeCell ref="C483:E483"/>
    <mergeCell ref="B494:B511"/>
    <mergeCell ref="C494:E494"/>
    <mergeCell ref="D570:E570"/>
    <mergeCell ref="D571:E571"/>
    <mergeCell ref="D572:E572"/>
    <mergeCell ref="D573:E573"/>
    <mergeCell ref="D574:E574"/>
    <mergeCell ref="D576:D578"/>
    <mergeCell ref="D580:E580"/>
    <mergeCell ref="D641:E641"/>
    <mergeCell ref="D674:D675"/>
    <mergeCell ref="C596:D596"/>
    <mergeCell ref="D575:E575"/>
    <mergeCell ref="A649:E649"/>
    <mergeCell ref="D632:E632"/>
    <mergeCell ref="D633:E633"/>
    <mergeCell ref="D634:E634"/>
    <mergeCell ref="D635:E635"/>
    <mergeCell ref="D636:E636"/>
    <mergeCell ref="D637:E637"/>
    <mergeCell ref="A638:A642"/>
    <mergeCell ref="B638:B642"/>
    <mergeCell ref="B569:B580"/>
    <mergeCell ref="D569:E569"/>
    <mergeCell ref="D581:E581"/>
    <mergeCell ref="D582:E582"/>
    <mergeCell ref="B643:B644"/>
    <mergeCell ref="C643:E643"/>
    <mergeCell ref="C644:E644"/>
    <mergeCell ref="C645:E645"/>
    <mergeCell ref="B646:B648"/>
    <mergeCell ref="C646:E646"/>
    <mergeCell ref="D624:E624"/>
    <mergeCell ref="D625:E625"/>
    <mergeCell ref="A592:E592"/>
    <mergeCell ref="C593:D593"/>
    <mergeCell ref="C594:D594"/>
    <mergeCell ref="C597:E597"/>
    <mergeCell ref="A643:A647"/>
    <mergeCell ref="C647:E647"/>
    <mergeCell ref="C648:E648"/>
    <mergeCell ref="D642:E642"/>
    <mergeCell ref="D622:E622"/>
    <mergeCell ref="B622:B629"/>
    <mergeCell ref="B630:B637"/>
    <mergeCell ref="D631:E631"/>
    <mergeCell ref="K657:P657"/>
    <mergeCell ref="C658:C671"/>
    <mergeCell ref="D663:D670"/>
    <mergeCell ref="C657:E657"/>
    <mergeCell ref="A599:G599"/>
    <mergeCell ref="F600:F601"/>
    <mergeCell ref="G600:G601"/>
    <mergeCell ref="L600:N600"/>
    <mergeCell ref="C589:E589"/>
    <mergeCell ref="C590:E590"/>
    <mergeCell ref="C591:E591"/>
    <mergeCell ref="C654:J655"/>
    <mergeCell ref="D629:E629"/>
    <mergeCell ref="D639:E639"/>
    <mergeCell ref="D640:E640"/>
    <mergeCell ref="D638:E638"/>
    <mergeCell ref="I600:K600"/>
    <mergeCell ref="D626:E626"/>
    <mergeCell ref="D627:E627"/>
    <mergeCell ref="D628:E628"/>
    <mergeCell ref="A600:E601"/>
    <mergeCell ref="D621:E621"/>
    <mergeCell ref="D613:E613"/>
    <mergeCell ref="D623:E623"/>
    <mergeCell ref="O600:Q600"/>
    <mergeCell ref="A602:A637"/>
    <mergeCell ref="B602:B605"/>
    <mergeCell ref="D606:E606"/>
    <mergeCell ref="D607:E607"/>
    <mergeCell ref="D608:E608"/>
    <mergeCell ref="D609:E609"/>
    <mergeCell ref="D605:E605"/>
    <mergeCell ref="B606:B613"/>
    <mergeCell ref="D630:E630"/>
    <mergeCell ref="D614:E614"/>
    <mergeCell ref="D615:E615"/>
    <mergeCell ref="D616:E616"/>
    <mergeCell ref="D617:E617"/>
    <mergeCell ref="D618:E618"/>
    <mergeCell ref="D619:E619"/>
    <mergeCell ref="D620:E620"/>
    <mergeCell ref="D602:E602"/>
    <mergeCell ref="D603:E603"/>
    <mergeCell ref="D604:E604"/>
    <mergeCell ref="D610:E610"/>
    <mergeCell ref="D611:E611"/>
    <mergeCell ref="D612:E612"/>
    <mergeCell ref="B614:B621"/>
    <mergeCell ref="B557:B568"/>
    <mergeCell ref="D557:E557"/>
    <mergeCell ref="A581:A585"/>
    <mergeCell ref="D583:E583"/>
    <mergeCell ref="D584:E584"/>
    <mergeCell ref="D585:E585"/>
    <mergeCell ref="A586:A589"/>
    <mergeCell ref="B586:B588"/>
    <mergeCell ref="C586:E586"/>
    <mergeCell ref="C587:E587"/>
    <mergeCell ref="C588:E588"/>
    <mergeCell ref="D558:E558"/>
    <mergeCell ref="D559:E559"/>
    <mergeCell ref="D560:E560"/>
    <mergeCell ref="D563:E563"/>
    <mergeCell ref="A523:A580"/>
    <mergeCell ref="B523:B530"/>
    <mergeCell ref="D525:E525"/>
    <mergeCell ref="D526:D529"/>
    <mergeCell ref="D530:E530"/>
    <mergeCell ref="B531:B544"/>
    <mergeCell ref="D531:E531"/>
    <mergeCell ref="B589:B591"/>
    <mergeCell ref="B581:B585"/>
    <mergeCell ref="A512:A516"/>
    <mergeCell ref="D549:E549"/>
    <mergeCell ref="D552:D554"/>
    <mergeCell ref="D561:E561"/>
    <mergeCell ref="D562:E562"/>
    <mergeCell ref="D564:D566"/>
    <mergeCell ref="D568:E568"/>
    <mergeCell ref="A518:E518"/>
    <mergeCell ref="D532:E532"/>
    <mergeCell ref="B512:B513"/>
    <mergeCell ref="C512:E512"/>
    <mergeCell ref="C513:E513"/>
    <mergeCell ref="C514:E514"/>
    <mergeCell ref="B515:B517"/>
    <mergeCell ref="C515:E515"/>
    <mergeCell ref="C516:E516"/>
    <mergeCell ref="C517:E517"/>
    <mergeCell ref="D551:E551"/>
    <mergeCell ref="D533:E533"/>
    <mergeCell ref="D534:E534"/>
    <mergeCell ref="A521:E522"/>
    <mergeCell ref="B545:B556"/>
    <mergeCell ref="D546:E546"/>
    <mergeCell ref="D556:E556"/>
  </mergeCells>
  <dataValidations disablePrompts="1" count="4">
    <dataValidation type="list" allowBlank="1" showInputMessage="1" showErrorMessage="1" sqref="I6" xr:uid="{00000000-0002-0000-0800-000000000000}">
      <formula1>$BL$3:$BL$4</formula1>
    </dataValidation>
    <dataValidation type="list" allowBlank="1" showInputMessage="1" showErrorMessage="1" sqref="I29:I41" xr:uid="{00000000-0002-0000-0800-000001000000}">
      <formula1>$BI$2:$BI$5</formula1>
    </dataValidation>
    <dataValidation type="list" allowBlank="1" showInputMessage="1" showErrorMessage="1" promptTitle="ACTIVIDADES SIN SUBSIDIO " prompt="SELECCIONES LAS ACTIVIDADES CORRESPONDIENTES A USUARIOS DE LA COOPERATIVA" sqref="E17" xr:uid="{00000000-0002-0000-0800-000002000000}">
      <formula1>$BC$904:$BC$1006</formula1>
    </dataValidation>
    <dataValidation type="list" allowBlank="1" showInputMessage="1" showErrorMessage="1" sqref="E18:E26 E47" xr:uid="{00000000-0002-0000-0800-000003000000}">
      <formula1>$BC$904:$BC$1006</formula1>
    </dataValidation>
  </dataValidations>
  <pageMargins left="0.7" right="0.7" top="0.75" bottom="0.75" header="0.3" footer="0.3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T294"/>
  <sheetViews>
    <sheetView topLeftCell="F279" zoomScale="50" zoomScaleNormal="50" workbookViewId="0">
      <selection activeCell="K294" sqref="K294"/>
    </sheetView>
  </sheetViews>
  <sheetFormatPr baseColWidth="10" defaultColWidth="12.5703125" defaultRowHeight="12.75" x14ac:dyDescent="0.2"/>
  <cols>
    <col min="1" max="1" width="18.5703125" style="9" customWidth="1"/>
    <col min="2" max="2" width="21.5703125" style="9" customWidth="1"/>
    <col min="3" max="3" width="53.42578125" style="9" customWidth="1"/>
    <col min="4" max="4" width="43.5703125" style="9" customWidth="1"/>
    <col min="5" max="5" width="90.5703125" style="9" bestFit="1" customWidth="1"/>
    <col min="6" max="6" width="59.140625" style="9" customWidth="1"/>
    <col min="7" max="9" width="47.140625" style="9" customWidth="1"/>
    <col min="10" max="10" width="42.140625" style="9" customWidth="1"/>
    <col min="11" max="11" width="50" style="9" customWidth="1"/>
    <col min="12" max="12" width="32" style="9" customWidth="1"/>
    <col min="13" max="13" width="43.5703125" style="9" customWidth="1"/>
    <col min="14" max="14" width="37" style="9" customWidth="1"/>
    <col min="15" max="15" width="28.5703125" style="9" customWidth="1"/>
    <col min="16" max="16" width="26.42578125" style="9" customWidth="1"/>
    <col min="17" max="17" width="29.42578125" style="9" customWidth="1"/>
    <col min="18" max="18" width="25.5703125" style="9" customWidth="1"/>
    <col min="19" max="19" width="25" style="9" hidden="1" customWidth="1"/>
    <col min="20" max="20" width="23.42578125" style="9" hidden="1" customWidth="1"/>
    <col min="21" max="21" width="20" style="9" hidden="1" customWidth="1"/>
    <col min="22" max="22" width="17.42578125" style="9" hidden="1" customWidth="1"/>
    <col min="23" max="23" width="22" style="9" hidden="1" customWidth="1"/>
    <col min="24" max="26" width="11.42578125" style="9" hidden="1" customWidth="1"/>
    <col min="27" max="27" width="17.5703125" style="9" hidden="1" customWidth="1"/>
    <col min="28" max="28" width="18.42578125" style="9" hidden="1" customWidth="1"/>
    <col min="29" max="29" width="19.42578125" style="9" hidden="1" customWidth="1"/>
    <col min="30" max="54" width="11.42578125" style="9" hidden="1" customWidth="1"/>
    <col min="55" max="55" width="185.42578125" style="9" hidden="1" customWidth="1"/>
    <col min="56" max="67" width="12.5703125" style="9" hidden="1" customWidth="1"/>
    <col min="68" max="68" width="21.5703125" style="9" hidden="1" customWidth="1"/>
    <col min="69" max="196" width="12.5703125" style="9" hidden="1" customWidth="1"/>
    <col min="197" max="346" width="0" style="9" hidden="1" customWidth="1"/>
    <col min="347" max="348" width="12.5703125" style="9"/>
    <col min="349" max="358" width="30.28515625" style="9" customWidth="1"/>
    <col min="359" max="16384" width="12.5703125" style="9"/>
  </cols>
  <sheetData>
    <row r="1" spans="1:67" ht="264.75" customHeight="1" thickBot="1" x14ac:dyDescent="0.25">
      <c r="A1" s="4959" t="s">
        <v>817</v>
      </c>
      <c r="B1" s="4960"/>
      <c r="C1" s="4960"/>
      <c r="D1" s="4960"/>
      <c r="E1" s="4960"/>
      <c r="F1" s="4960"/>
      <c r="G1" s="4960"/>
      <c r="H1" s="4960"/>
      <c r="I1" s="4960"/>
      <c r="J1" s="4960"/>
      <c r="K1" s="4961"/>
      <c r="L1" s="145"/>
      <c r="M1" s="145"/>
      <c r="N1" s="145"/>
      <c r="O1" s="145"/>
      <c r="P1" s="145"/>
      <c r="Q1" s="145"/>
      <c r="R1" s="146"/>
      <c r="AA1" s="3832" t="s">
        <v>75</v>
      </c>
      <c r="AB1" s="3833"/>
      <c r="AC1" s="3833"/>
      <c r="AD1" s="3834"/>
    </row>
    <row r="2" spans="1:67" ht="34.5" customHeight="1" thickBot="1" x14ac:dyDescent="0.45">
      <c r="A2" s="614"/>
      <c r="B2" s="537" t="s">
        <v>76</v>
      </c>
      <c r="C2" s="8"/>
      <c r="D2" s="4945" t="str">
        <f>+'[1]DATOS DE ENTRADA'!C11</f>
        <v>COOP CLEMIC</v>
      </c>
      <c r="E2" s="4946"/>
      <c r="F2" s="4946"/>
      <c r="G2" s="4946"/>
      <c r="H2" s="4947"/>
      <c r="I2" s="3014"/>
      <c r="J2" s="539"/>
      <c r="R2" s="96"/>
      <c r="AA2" s="2123"/>
      <c r="AB2" s="540"/>
      <c r="AC2" s="540"/>
      <c r="AD2" s="540"/>
      <c r="AG2" s="541" t="s">
        <v>23</v>
      </c>
      <c r="AH2" s="541">
        <v>1.4800000000000001E-2</v>
      </c>
      <c r="AI2" s="541">
        <v>4.2799999999999998E-2</v>
      </c>
      <c r="BI2" s="1956" t="s">
        <v>77</v>
      </c>
    </row>
    <row r="3" spans="1:67" ht="27.75" customHeight="1" thickBot="1" x14ac:dyDescent="0.45">
      <c r="A3" s="614"/>
      <c r="B3" s="537" t="s">
        <v>78</v>
      </c>
      <c r="C3" s="8"/>
      <c r="D3" s="4948"/>
      <c r="E3" s="4949"/>
      <c r="F3" s="4949"/>
      <c r="G3" s="4949"/>
      <c r="H3" s="4950"/>
      <c r="R3" s="96"/>
      <c r="AA3" s="2123"/>
      <c r="AB3" s="540"/>
      <c r="AC3" s="540"/>
      <c r="AD3" s="540"/>
      <c r="AG3" s="541" t="s">
        <v>24</v>
      </c>
      <c r="AH3" s="541">
        <v>6.7799999999999999E-2</v>
      </c>
      <c r="AI3" s="541">
        <v>9.7299999999999998E-2</v>
      </c>
      <c r="BI3" s="1956" t="s">
        <v>79</v>
      </c>
      <c r="BL3" s="542" t="s">
        <v>23</v>
      </c>
      <c r="BM3" s="9" t="s">
        <v>23</v>
      </c>
      <c r="BN3" s="9">
        <v>1.4800000000000001E-2</v>
      </c>
      <c r="BO3" s="9">
        <v>4.2799999999999998E-2</v>
      </c>
    </row>
    <row r="4" spans="1:67" ht="38.25" customHeight="1" x14ac:dyDescent="0.4">
      <c r="A4" s="614"/>
      <c r="B4" s="537" t="s">
        <v>80</v>
      </c>
      <c r="C4" s="543"/>
      <c r="D4" s="543"/>
      <c r="E4" s="543"/>
      <c r="F4" s="4951">
        <f>+'[1]DATOS DE ENTRADA'!F2</f>
        <v>45261</v>
      </c>
      <c r="G4" s="4952"/>
      <c r="H4" s="4953"/>
      <c r="I4" s="10"/>
      <c r="J4" s="10"/>
      <c r="K4" s="10"/>
      <c r="L4" s="10"/>
      <c r="M4" s="10"/>
      <c r="N4" s="10"/>
      <c r="O4" s="10"/>
      <c r="P4" s="10"/>
      <c r="Q4" s="10"/>
      <c r="R4" s="96"/>
      <c r="Y4" s="544">
        <v>37987</v>
      </c>
      <c r="Z4" s="9">
        <v>31</v>
      </c>
      <c r="AA4" s="2126"/>
      <c r="AB4" s="617"/>
      <c r="AC4" s="617"/>
      <c r="AD4" s="617"/>
      <c r="BI4" s="1956" t="s">
        <v>81</v>
      </c>
      <c r="BL4" s="542" t="s">
        <v>82</v>
      </c>
      <c r="BM4" s="9" t="s">
        <v>24</v>
      </c>
      <c r="BN4" s="9">
        <v>6.7799999999999999E-2</v>
      </c>
      <c r="BO4" s="9">
        <v>9.7299999999999998E-2</v>
      </c>
    </row>
    <row r="5" spans="1:67" ht="53.25" customHeight="1" thickBot="1" x14ac:dyDescent="0.4">
      <c r="A5" s="774"/>
      <c r="B5" s="775"/>
      <c r="C5" s="776"/>
      <c r="D5" s="776"/>
      <c r="E5" s="776"/>
      <c r="F5" s="777"/>
      <c r="G5" s="777"/>
      <c r="H5" s="778"/>
      <c r="I5" s="778"/>
      <c r="J5" s="778"/>
      <c r="K5" s="778"/>
      <c r="L5" s="778"/>
      <c r="M5" s="778"/>
      <c r="N5" s="778"/>
      <c r="O5" s="778"/>
      <c r="P5" s="778"/>
      <c r="Q5" s="778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67" ht="30.75" customHeight="1" x14ac:dyDescent="0.2">
      <c r="A6" s="3855" t="s">
        <v>159</v>
      </c>
      <c r="B6" s="3856"/>
      <c r="C6" s="3856"/>
      <c r="D6" s="3856"/>
      <c r="E6" s="3856"/>
      <c r="F6" s="3856"/>
      <c r="G6" s="3856"/>
      <c r="H6" s="3857"/>
      <c r="I6" s="2646"/>
      <c r="J6" s="2142"/>
      <c r="K6" s="10"/>
      <c r="L6" s="3125"/>
      <c r="M6" s="3125"/>
      <c r="N6" s="3125"/>
      <c r="O6" s="3126"/>
      <c r="Q6" s="675"/>
      <c r="R6" s="675"/>
      <c r="S6" s="675"/>
      <c r="T6" s="675"/>
      <c r="U6" s="10"/>
      <c r="V6" s="10"/>
      <c r="W6" s="10"/>
      <c r="X6" s="10"/>
      <c r="Y6" s="10"/>
      <c r="Z6" s="10"/>
      <c r="AA6" s="10"/>
      <c r="AB6" s="10"/>
    </row>
    <row r="7" spans="1:67" ht="30.75" customHeight="1" thickBot="1" x14ac:dyDescent="0.25">
      <c r="A7" s="3858"/>
      <c r="B7" s="3859"/>
      <c r="C7" s="3859"/>
      <c r="D7" s="3859"/>
      <c r="E7" s="3859"/>
      <c r="F7" s="4926"/>
      <c r="G7" s="4926"/>
      <c r="H7" s="4927"/>
      <c r="I7" s="10"/>
      <c r="J7" s="10"/>
      <c r="K7" s="10"/>
      <c r="L7" s="2135"/>
      <c r="M7" s="543"/>
      <c r="N7" s="11"/>
      <c r="O7" s="11"/>
      <c r="P7" s="11"/>
      <c r="Q7" s="548"/>
      <c r="R7" s="675"/>
      <c r="S7" s="675"/>
      <c r="T7" s="675"/>
      <c r="U7" s="675"/>
      <c r="V7" s="10"/>
      <c r="W7" s="10"/>
      <c r="X7" s="10"/>
      <c r="Y7" s="10"/>
      <c r="Z7" s="10"/>
      <c r="AA7" s="10"/>
      <c r="AB7" s="10"/>
      <c r="AC7" s="10"/>
    </row>
    <row r="8" spans="1:67" ht="72.599999999999994" customHeight="1" x14ac:dyDescent="0.2">
      <c r="A8" s="4928" t="s">
        <v>160</v>
      </c>
      <c r="B8" s="4929"/>
      <c r="C8" s="4929"/>
      <c r="D8" s="4929"/>
      <c r="E8" s="4930"/>
      <c r="F8" s="4933" t="s">
        <v>151</v>
      </c>
      <c r="G8" s="4954" t="s">
        <v>101</v>
      </c>
      <c r="H8" s="4956" t="s">
        <v>818</v>
      </c>
      <c r="I8" s="4956" t="s">
        <v>819</v>
      </c>
      <c r="J8" s="548"/>
      <c r="K8" s="548"/>
      <c r="L8" s="548"/>
      <c r="M8" s="548"/>
      <c r="N8" s="548"/>
      <c r="O8" s="548"/>
      <c r="P8" s="548"/>
      <c r="Q8" s="11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</row>
    <row r="9" spans="1:67" ht="72.599999999999994" customHeight="1" thickBot="1" x14ac:dyDescent="0.25">
      <c r="A9" s="4928"/>
      <c r="B9" s="4931"/>
      <c r="C9" s="4931"/>
      <c r="D9" s="4931"/>
      <c r="E9" s="4932"/>
      <c r="F9" s="4934"/>
      <c r="G9" s="4955"/>
      <c r="H9" s="4956"/>
      <c r="I9" s="4956"/>
      <c r="J9" s="3127"/>
      <c r="K9" s="3127"/>
      <c r="L9" s="3127"/>
      <c r="M9" s="3127"/>
      <c r="N9" s="836"/>
      <c r="O9" s="675"/>
      <c r="P9" s="675"/>
      <c r="Q9" s="675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spans="1:67" ht="72.599999999999994" customHeight="1" thickBot="1" x14ac:dyDescent="1.1000000000000001">
      <c r="A10" s="3917"/>
      <c r="B10" s="4939" t="s">
        <v>322</v>
      </c>
      <c r="C10" s="4891" t="s">
        <v>167</v>
      </c>
      <c r="D10" s="4906" t="s">
        <v>46</v>
      </c>
      <c r="E10" s="4907"/>
      <c r="F10" s="3016">
        <f>+'Compra -HOJA1'!F87</f>
        <v>0</v>
      </c>
      <c r="G10" s="3016">
        <f>+'Compra -HOJA1'!G87</f>
        <v>0</v>
      </c>
      <c r="H10" s="3133">
        <f>+IF(G10=0,0,IF((F10/G10)&lt;=350,(F10/G10)*G10,350*G10))</f>
        <v>0</v>
      </c>
      <c r="I10" s="3134">
        <f>+IF(F10=0,0,IF((F10/G10)&lt;=350,0,IF((F10/G10)&gt;350,F10-(350*G10))))</f>
        <v>0</v>
      </c>
      <c r="J10" s="4912">
        <f>SUM(H10:H13)</f>
        <v>0</v>
      </c>
      <c r="K10" s="4913">
        <f>+I10+I11+I12+I13</f>
        <v>0</v>
      </c>
      <c r="L10" s="3127"/>
      <c r="M10" s="3127"/>
      <c r="N10" s="836"/>
      <c r="O10" s="675"/>
      <c r="P10" s="675"/>
      <c r="Q10" s="675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67" ht="72.599999999999994" customHeight="1" thickBot="1" x14ac:dyDescent="1.1000000000000001">
      <c r="A11" s="3917"/>
      <c r="B11" s="4939"/>
      <c r="C11" s="4905"/>
      <c r="D11" s="4906" t="s">
        <v>47</v>
      </c>
      <c r="E11" s="4907"/>
      <c r="F11" s="3016">
        <f>+'Compra -HOJA1'!F88</f>
        <v>0</v>
      </c>
      <c r="G11" s="3016">
        <f>+'Compra -HOJA1'!G88</f>
        <v>0</v>
      </c>
      <c r="H11" s="3133">
        <f t="shared" ref="H11:H25" si="0">+IF(G11=0,0,IF((F11/G11)&lt;=350,(F11/G11)*G11,350*G11))</f>
        <v>0</v>
      </c>
      <c r="I11" s="3134">
        <f t="shared" ref="I11:I25" si="1">+IF(F11=0,0,IF((F11/G11)&lt;=350,0,IF((F11/G11)&gt;350,F11-(350*G11))))</f>
        <v>0</v>
      </c>
      <c r="J11" s="4912"/>
      <c r="K11" s="4913"/>
      <c r="L11" s="3127"/>
      <c r="M11" s="3127"/>
      <c r="N11" s="836"/>
      <c r="O11" s="675"/>
      <c r="P11" s="675"/>
      <c r="Q11" s="675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67" ht="72.599999999999994" customHeight="1" thickBot="1" x14ac:dyDescent="1.1000000000000001">
      <c r="A12" s="3917"/>
      <c r="B12" s="4939"/>
      <c r="C12" s="4905"/>
      <c r="D12" s="4895" t="s">
        <v>169</v>
      </c>
      <c r="E12" s="4186"/>
      <c r="F12" s="3016">
        <f>+'Compra -HOJA1'!F89</f>
        <v>0</v>
      </c>
      <c r="G12" s="3016">
        <f>+'Compra -HOJA1'!G89</f>
        <v>0</v>
      </c>
      <c r="H12" s="3133">
        <f t="shared" si="0"/>
        <v>0</v>
      </c>
      <c r="I12" s="3134">
        <f t="shared" si="1"/>
        <v>0</v>
      </c>
      <c r="J12" s="4912"/>
      <c r="K12" s="4913"/>
      <c r="L12" s="3127"/>
      <c r="M12" s="3127"/>
      <c r="N12" s="836"/>
      <c r="O12" s="675"/>
      <c r="P12" s="675"/>
      <c r="Q12" s="675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</row>
    <row r="13" spans="1:67" ht="72.599999999999994" customHeight="1" thickBot="1" x14ac:dyDescent="1.1000000000000001">
      <c r="A13" s="3917"/>
      <c r="B13" s="4939"/>
      <c r="C13" s="4892"/>
      <c r="D13" s="4895" t="s">
        <v>49</v>
      </c>
      <c r="E13" s="4186"/>
      <c r="F13" s="3016">
        <f>+'Compra -HOJA1'!F90</f>
        <v>0</v>
      </c>
      <c r="G13" s="3016">
        <f>+'Compra -HOJA1'!G90</f>
        <v>0</v>
      </c>
      <c r="H13" s="3133">
        <f t="shared" si="0"/>
        <v>0</v>
      </c>
      <c r="I13" s="3134">
        <f t="shared" si="1"/>
        <v>0</v>
      </c>
      <c r="J13" s="4912"/>
      <c r="K13" s="4913"/>
      <c r="L13" s="3127"/>
      <c r="M13" s="3127"/>
      <c r="N13" s="836"/>
      <c r="O13" s="675"/>
      <c r="P13" s="675"/>
      <c r="Q13" s="675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</row>
    <row r="14" spans="1:67" ht="72.599999999999994" customHeight="1" thickBot="1" x14ac:dyDescent="1.1000000000000001">
      <c r="A14" s="3917"/>
      <c r="B14" s="4915" t="s">
        <v>323</v>
      </c>
      <c r="C14" s="4891" t="s">
        <v>167</v>
      </c>
      <c r="D14" s="3692" t="s">
        <v>174</v>
      </c>
      <c r="E14" s="3679"/>
      <c r="F14" s="3016">
        <f>+'Compra -HOJA1'!F106</f>
        <v>0</v>
      </c>
      <c r="G14" s="3016">
        <f>+'Compra -HOJA1'!G106</f>
        <v>0</v>
      </c>
      <c r="H14" s="3133">
        <f t="shared" si="0"/>
        <v>0</v>
      </c>
      <c r="I14" s="3134">
        <f t="shared" si="1"/>
        <v>0</v>
      </c>
      <c r="J14" s="4912">
        <f>SUM(H14:H19)</f>
        <v>0</v>
      </c>
      <c r="K14" s="4914">
        <f>+I14+I15+I16+I17+I18+I19</f>
        <v>0</v>
      </c>
      <c r="L14" s="3127"/>
      <c r="M14" s="3127"/>
      <c r="N14" s="836"/>
      <c r="O14" s="675"/>
      <c r="P14" s="675"/>
      <c r="Q14" s="675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</row>
    <row r="15" spans="1:67" ht="72.599999999999994" customHeight="1" thickBot="1" x14ac:dyDescent="1.1000000000000001">
      <c r="A15" s="3917"/>
      <c r="B15" s="4916"/>
      <c r="C15" s="4905"/>
      <c r="D15" s="3692" t="s">
        <v>175</v>
      </c>
      <c r="E15" s="3679"/>
      <c r="F15" s="3016">
        <f>+'Compra -HOJA1'!F107</f>
        <v>0</v>
      </c>
      <c r="G15" s="3016">
        <f>+'Compra -HOJA1'!G107</f>
        <v>0</v>
      </c>
      <c r="H15" s="3133">
        <f t="shared" si="0"/>
        <v>0</v>
      </c>
      <c r="I15" s="3134">
        <f t="shared" si="1"/>
        <v>0</v>
      </c>
      <c r="J15" s="4912"/>
      <c r="K15" s="4914"/>
      <c r="L15" s="3127"/>
      <c r="M15" s="3127"/>
      <c r="N15" s="836"/>
      <c r="O15" s="675"/>
      <c r="P15" s="675"/>
      <c r="Q15" s="675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</row>
    <row r="16" spans="1:67" ht="72.599999999999994" customHeight="1" thickBot="1" x14ac:dyDescent="1.1000000000000001">
      <c r="A16" s="3917"/>
      <c r="B16" s="4916"/>
      <c r="C16" s="4905"/>
      <c r="D16" s="3692" t="s">
        <v>176</v>
      </c>
      <c r="E16" s="3679"/>
      <c r="F16" s="3016">
        <f>+'Compra -HOJA1'!F108</f>
        <v>0</v>
      </c>
      <c r="G16" s="3016">
        <f>+'Compra -HOJA1'!G108</f>
        <v>0</v>
      </c>
      <c r="H16" s="3133">
        <f t="shared" si="0"/>
        <v>0</v>
      </c>
      <c r="I16" s="3134">
        <f t="shared" si="1"/>
        <v>0</v>
      </c>
      <c r="J16" s="4912"/>
      <c r="K16" s="4914"/>
      <c r="L16" s="3127"/>
      <c r="M16" s="3127"/>
      <c r="N16" s="836"/>
      <c r="O16" s="675"/>
      <c r="P16" s="675"/>
      <c r="Q16" s="675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</row>
    <row r="17" spans="1:29" ht="72.599999999999994" customHeight="1" thickBot="1" x14ac:dyDescent="1.1000000000000001">
      <c r="A17" s="3917"/>
      <c r="B17" s="4916"/>
      <c r="C17" s="4905"/>
      <c r="D17" s="3693" t="s">
        <v>55</v>
      </c>
      <c r="E17" s="3681"/>
      <c r="F17" s="3016">
        <f>+'Compra -HOJA1'!F110</f>
        <v>0</v>
      </c>
      <c r="G17" s="3016">
        <f>+'Compra -HOJA1'!G110</f>
        <v>0</v>
      </c>
      <c r="H17" s="3133">
        <f t="shared" si="0"/>
        <v>0</v>
      </c>
      <c r="I17" s="3134">
        <f t="shared" si="1"/>
        <v>0</v>
      </c>
      <c r="J17" s="4912"/>
      <c r="K17" s="4914"/>
      <c r="L17" s="3127"/>
      <c r="M17" s="3127"/>
      <c r="N17" s="836"/>
      <c r="O17" s="675"/>
      <c r="P17" s="675"/>
      <c r="Q17" s="675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</row>
    <row r="18" spans="1:29" ht="72.599999999999994" customHeight="1" thickBot="1" x14ac:dyDescent="1.1000000000000001">
      <c r="A18" s="3917"/>
      <c r="B18" s="4916"/>
      <c r="C18" s="4905"/>
      <c r="D18" s="3693" t="s">
        <v>177</v>
      </c>
      <c r="E18" s="3681"/>
      <c r="F18" s="3016">
        <f>+'Compra -HOJA1'!F111</f>
        <v>0</v>
      </c>
      <c r="G18" s="3016">
        <f>+'Compra -HOJA1'!G111</f>
        <v>0</v>
      </c>
      <c r="H18" s="3133">
        <f t="shared" si="0"/>
        <v>0</v>
      </c>
      <c r="I18" s="3134">
        <f t="shared" si="1"/>
        <v>0</v>
      </c>
      <c r="J18" s="4912"/>
      <c r="K18" s="4914"/>
      <c r="L18" s="3127"/>
      <c r="M18" s="3127"/>
      <c r="N18" s="836"/>
      <c r="O18" s="675"/>
      <c r="P18" s="675"/>
      <c r="Q18" s="675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</row>
    <row r="19" spans="1:29" ht="72.599999999999994" customHeight="1" thickBot="1" x14ac:dyDescent="1.1000000000000001">
      <c r="A19" s="3917"/>
      <c r="B19" s="4917"/>
      <c r="C19" s="4892"/>
      <c r="D19" s="3693" t="s">
        <v>178</v>
      </c>
      <c r="E19" s="3681"/>
      <c r="F19" s="3016">
        <f>+'Compra -HOJA1'!F112</f>
        <v>0</v>
      </c>
      <c r="G19" s="3016">
        <f>+'Compra -HOJA1'!G112</f>
        <v>0</v>
      </c>
      <c r="H19" s="3133">
        <f t="shared" si="0"/>
        <v>0</v>
      </c>
      <c r="I19" s="3134">
        <f t="shared" si="1"/>
        <v>0</v>
      </c>
      <c r="J19" s="4912"/>
      <c r="K19" s="4914"/>
      <c r="L19" s="3127"/>
      <c r="M19" s="3127"/>
      <c r="N19" s="836"/>
      <c r="O19" s="675"/>
      <c r="P19" s="675"/>
      <c r="Q19" s="675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</row>
    <row r="20" spans="1:29" ht="72.599999999999994" customHeight="1" thickBot="1" x14ac:dyDescent="1.1000000000000001">
      <c r="A20" s="3917"/>
      <c r="B20" s="4957" t="s">
        <v>324</v>
      </c>
      <c r="C20" s="4891" t="s">
        <v>58</v>
      </c>
      <c r="D20" s="4893" t="s">
        <v>59</v>
      </c>
      <c r="E20" s="4894"/>
      <c r="F20" s="3016">
        <f>+'Compra -HOJA1'!F133</f>
        <v>0</v>
      </c>
      <c r="G20" s="3016">
        <f>+'Compra -HOJA1'!G133</f>
        <v>0</v>
      </c>
      <c r="H20" s="3133">
        <f t="shared" si="0"/>
        <v>0</v>
      </c>
      <c r="I20" s="3134">
        <f t="shared" si="1"/>
        <v>0</v>
      </c>
      <c r="J20" s="4912">
        <f>SUM(H20:H21)</f>
        <v>0</v>
      </c>
      <c r="K20" s="4914">
        <f>SUM(I20:I21)</f>
        <v>0</v>
      </c>
      <c r="L20" s="3127"/>
      <c r="M20" s="3127"/>
      <c r="N20" s="836"/>
      <c r="O20" s="675"/>
      <c r="P20" s="675"/>
      <c r="Q20" s="675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</row>
    <row r="21" spans="1:29" ht="72.599999999999994" customHeight="1" thickBot="1" x14ac:dyDescent="1.1000000000000001">
      <c r="A21" s="3917"/>
      <c r="B21" s="4957"/>
      <c r="C21" s="4892"/>
      <c r="D21" s="4895" t="s">
        <v>60</v>
      </c>
      <c r="E21" s="4186"/>
      <c r="F21" s="3016">
        <f>+'Compra -HOJA1'!F135</f>
        <v>0</v>
      </c>
      <c r="G21" s="3016">
        <f>+'Compra -HOJA1'!G135</f>
        <v>0</v>
      </c>
      <c r="H21" s="3133">
        <f t="shared" si="0"/>
        <v>0</v>
      </c>
      <c r="I21" s="3134">
        <f t="shared" si="1"/>
        <v>0</v>
      </c>
      <c r="J21" s="4912"/>
      <c r="K21" s="4914"/>
      <c r="L21" s="3127"/>
      <c r="M21" s="3127"/>
      <c r="N21" s="836"/>
      <c r="O21" s="675"/>
      <c r="P21" s="675"/>
      <c r="Q21" s="675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</row>
    <row r="22" spans="1:29" ht="72.599999999999994" customHeight="1" thickBot="1" x14ac:dyDescent="1.1000000000000001">
      <c r="A22" s="3917"/>
      <c r="B22" s="4958" t="s">
        <v>325</v>
      </c>
      <c r="C22" s="4941" t="s">
        <v>45</v>
      </c>
      <c r="D22" s="4893" t="s">
        <v>64</v>
      </c>
      <c r="E22" s="4894"/>
      <c r="F22" s="3016">
        <f>+'Compra -HOJA1'!F148</f>
        <v>0</v>
      </c>
      <c r="G22" s="3016">
        <f>+'Compra -HOJA1'!G148</f>
        <v>0</v>
      </c>
      <c r="H22" s="3133">
        <f t="shared" si="0"/>
        <v>0</v>
      </c>
      <c r="I22" s="3134">
        <f t="shared" si="1"/>
        <v>0</v>
      </c>
      <c r="J22" s="4912">
        <f>SUM(H22:H23)</f>
        <v>0</v>
      </c>
      <c r="K22" s="4914">
        <f>SUM(I22:I23)</f>
        <v>0</v>
      </c>
      <c r="L22" s="3127"/>
      <c r="M22" s="3127"/>
      <c r="N22" s="836"/>
      <c r="O22" s="675"/>
      <c r="P22" s="675"/>
      <c r="Q22" s="675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</row>
    <row r="23" spans="1:29" ht="72.599999999999994" customHeight="1" thickBot="1" x14ac:dyDescent="1.1000000000000001">
      <c r="A23" s="3917"/>
      <c r="B23" s="4958"/>
      <c r="C23" s="4941"/>
      <c r="D23" s="4895" t="s">
        <v>65</v>
      </c>
      <c r="E23" s="4186"/>
      <c r="F23" s="3016">
        <f>+'Compra -HOJA1'!F150</f>
        <v>0</v>
      </c>
      <c r="G23" s="3016">
        <f>+'Compra -HOJA1'!G150</f>
        <v>0</v>
      </c>
      <c r="H23" s="3133">
        <f t="shared" si="0"/>
        <v>0</v>
      </c>
      <c r="I23" s="3134">
        <f t="shared" si="1"/>
        <v>0</v>
      </c>
      <c r="J23" s="4912"/>
      <c r="K23" s="4914"/>
      <c r="L23" s="3127"/>
      <c r="M23" s="3127"/>
      <c r="N23" s="836"/>
      <c r="O23" s="675"/>
      <c r="P23" s="675"/>
      <c r="Q23" s="675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</row>
    <row r="24" spans="1:29" ht="72.599999999999994" customHeight="1" thickBot="1" x14ac:dyDescent="1.1000000000000001">
      <c r="A24" s="3917"/>
      <c r="B24" s="4940" t="s">
        <v>326</v>
      </c>
      <c r="C24" s="4941" t="s">
        <v>45</v>
      </c>
      <c r="D24" s="4893" t="s">
        <v>68</v>
      </c>
      <c r="E24" s="4894"/>
      <c r="F24" s="3016">
        <f>+'Compra -HOJA1'!F163</f>
        <v>0</v>
      </c>
      <c r="G24" s="3016">
        <f>+'Compra -HOJA1'!G163</f>
        <v>0</v>
      </c>
      <c r="H24" s="3133">
        <f t="shared" si="0"/>
        <v>0</v>
      </c>
      <c r="I24" s="3134">
        <f t="shared" si="1"/>
        <v>0</v>
      </c>
      <c r="J24" s="4912">
        <f>SUM(H24:H25)</f>
        <v>0</v>
      </c>
      <c r="K24" s="4914">
        <f>SUM(I24:I25)</f>
        <v>0</v>
      </c>
      <c r="L24" s="3127"/>
      <c r="M24" s="3127"/>
      <c r="N24" s="836"/>
      <c r="O24" s="675"/>
      <c r="P24" s="675"/>
      <c r="Q24" s="675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</row>
    <row r="25" spans="1:29" ht="72.599999999999994" customHeight="1" thickBot="1" x14ac:dyDescent="1.1000000000000001">
      <c r="A25" s="3917"/>
      <c r="B25" s="4940"/>
      <c r="C25" s="4941"/>
      <c r="D25" s="4895" t="s">
        <v>69</v>
      </c>
      <c r="E25" s="4186"/>
      <c r="F25" s="3016">
        <f>+'Compra -HOJA1'!F165</f>
        <v>0</v>
      </c>
      <c r="G25" s="3016">
        <f>+'Compra -HOJA1'!G165</f>
        <v>0</v>
      </c>
      <c r="H25" s="3133">
        <f t="shared" si="0"/>
        <v>0</v>
      </c>
      <c r="I25" s="3134">
        <f t="shared" si="1"/>
        <v>0</v>
      </c>
      <c r="J25" s="4912"/>
      <c r="K25" s="4914"/>
      <c r="L25" s="3127"/>
      <c r="M25" s="3127"/>
      <c r="N25" s="836"/>
      <c r="O25" s="675"/>
      <c r="P25" s="675"/>
      <c r="Q25" s="675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</row>
    <row r="26" spans="1:29" ht="72.599999999999994" customHeight="1" x14ac:dyDescent="0.2">
      <c r="A26" s="4942" t="s">
        <v>190</v>
      </c>
      <c r="B26" s="4943"/>
      <c r="C26" s="4943"/>
      <c r="D26" s="4943"/>
      <c r="E26" s="4944"/>
      <c r="F26" s="3155">
        <f>SUM(F10:F25)</f>
        <v>0</v>
      </c>
      <c r="G26" s="3155">
        <f>SUM(G10:G25)</f>
        <v>0</v>
      </c>
      <c r="I26" s="3127"/>
      <c r="J26" s="3156">
        <f>SUM(J10:J25)</f>
        <v>0</v>
      </c>
      <c r="K26" s="3157">
        <f>SUM(K10:K25)</f>
        <v>0</v>
      </c>
      <c r="L26" s="3155">
        <f>+K26+J26</f>
        <v>0</v>
      </c>
      <c r="M26" s="3127"/>
      <c r="N26" s="836"/>
      <c r="O26" s="675"/>
      <c r="P26" s="675"/>
      <c r="Q26" s="675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</row>
    <row r="27" spans="1:29" ht="72.599999999999994" customHeight="1" x14ac:dyDescent="0.2">
      <c r="A27" s="3153"/>
      <c r="B27" s="3153"/>
      <c r="C27" s="3153"/>
      <c r="D27" s="3153"/>
      <c r="E27" s="3153"/>
      <c r="F27" s="3154"/>
      <c r="G27" s="3154"/>
      <c r="I27" s="3127"/>
      <c r="J27" s="3161"/>
      <c r="K27" s="3162"/>
      <c r="L27" s="3154"/>
      <c r="M27" s="3127"/>
      <c r="N27" s="836"/>
      <c r="O27" s="675"/>
      <c r="P27" s="675"/>
      <c r="Q27" s="675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</row>
    <row r="28" spans="1:29" ht="72.599999999999994" customHeight="1" thickBot="1" x14ac:dyDescent="0.25">
      <c r="A28" s="3153"/>
      <c r="B28" s="3153"/>
      <c r="C28" s="3153"/>
      <c r="D28" s="3153"/>
      <c r="E28" s="3153"/>
      <c r="F28" s="3154"/>
      <c r="G28" s="3154"/>
      <c r="I28" s="3127"/>
      <c r="J28" s="3161"/>
      <c r="K28" s="3162"/>
      <c r="L28" s="3154"/>
      <c r="M28" s="3127"/>
      <c r="N28" s="836"/>
      <c r="O28" s="675"/>
      <c r="P28" s="675"/>
      <c r="Q28" s="675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</row>
    <row r="29" spans="1:29" ht="72.599999999999994" customHeight="1" x14ac:dyDescent="0.2">
      <c r="A29" s="3153"/>
      <c r="B29" s="3153"/>
      <c r="C29" s="3153"/>
      <c r="D29" s="3153"/>
      <c r="E29" s="3153"/>
      <c r="F29" s="3154"/>
      <c r="G29" s="3154"/>
      <c r="I29" s="4041" t="s">
        <v>192</v>
      </c>
      <c r="J29" s="3934"/>
      <c r="K29" s="3935"/>
      <c r="L29" s="3933" t="s">
        <v>193</v>
      </c>
      <c r="M29" s="3934"/>
      <c r="N29" s="3935"/>
      <c r="O29" s="3763" t="s">
        <v>194</v>
      </c>
      <c r="P29" s="3764"/>
      <c r="Q29" s="3764"/>
      <c r="R29" s="1965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</row>
    <row r="30" spans="1:29" ht="30.75" customHeight="1" x14ac:dyDescent="0.2">
      <c r="A30" s="774"/>
      <c r="B30" s="842"/>
      <c r="C30" s="786"/>
      <c r="D30" s="786"/>
      <c r="E30" s="914"/>
      <c r="F30" s="914"/>
      <c r="G30" s="914"/>
      <c r="H30" s="3127"/>
      <c r="I30" s="1966" t="s">
        <v>5</v>
      </c>
      <c r="J30" s="585" t="s">
        <v>6</v>
      </c>
      <c r="K30" s="585" t="s">
        <v>7</v>
      </c>
      <c r="L30" s="585" t="s">
        <v>5</v>
      </c>
      <c r="M30" s="585" t="s">
        <v>6</v>
      </c>
      <c r="N30" s="585" t="s">
        <v>7</v>
      </c>
      <c r="O30" s="585" t="s">
        <v>5</v>
      </c>
      <c r="P30" s="585" t="s">
        <v>6</v>
      </c>
      <c r="Q30" s="585" t="s">
        <v>7</v>
      </c>
      <c r="R30" s="1967" t="s">
        <v>4</v>
      </c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</row>
    <row r="31" spans="1:29" ht="76.5" customHeight="1" x14ac:dyDescent="0.2">
      <c r="A31" s="774"/>
      <c r="B31" s="3158" t="s">
        <v>322</v>
      </c>
      <c r="C31" s="3159">
        <v>5040</v>
      </c>
      <c r="D31" s="4918" t="s">
        <v>218</v>
      </c>
      <c r="E31" s="4908"/>
      <c r="F31" s="3163">
        <f>+J10</f>
        <v>0</v>
      </c>
      <c r="G31" s="3163">
        <f>+SUM(G10:G13)</f>
        <v>0</v>
      </c>
      <c r="H31" s="3127"/>
      <c r="I31" s="808">
        <f>IF(F31=0,0,ROUND($F31*COEF!$J$27,0))</f>
        <v>0</v>
      </c>
      <c r="J31" s="808">
        <f>IF(F31=0,0,ROUND($F31*COEF!$K$27,0))</f>
        <v>0</v>
      </c>
      <c r="K31" s="808">
        <f>IF(F31=0,0,ROUND($F31*COEF!$L$27,0))</f>
        <v>0</v>
      </c>
      <c r="L31" s="808">
        <f ca="1">+ROUND(I31*'Compra -HOJA1'!I$395,0)</f>
        <v>0</v>
      </c>
      <c r="M31" s="808">
        <f ca="1">+ROUND(J31*'Compra -HOJA1'!J$395,0)</f>
        <v>0</v>
      </c>
      <c r="N31" s="808">
        <f ca="1">+ROUND(K31*'Compra -HOJA1'!K$395,0)</f>
        <v>0</v>
      </c>
      <c r="O31" s="3165">
        <f t="shared" ref="O31" ca="1" si="2">I31+L31</f>
        <v>0</v>
      </c>
      <c r="P31" s="3165">
        <f t="shared" ref="P31" ca="1" si="3">J31+M31</f>
        <v>0</v>
      </c>
      <c r="Q31" s="3165">
        <f t="shared" ref="Q31" ca="1" si="4">K31+N31</f>
        <v>0</v>
      </c>
      <c r="R31" s="3164">
        <f t="shared" ref="R31" ca="1" si="5">SUM(O31:Q31)</f>
        <v>0</v>
      </c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</row>
    <row r="32" spans="1:29" ht="76.5" customHeight="1" thickBot="1" x14ac:dyDescent="0.25">
      <c r="A32" s="774"/>
      <c r="B32" s="4919" t="s">
        <v>323</v>
      </c>
      <c r="C32" s="3150">
        <v>5040</v>
      </c>
      <c r="D32" s="4908" t="s">
        <v>218</v>
      </c>
      <c r="E32" s="4909"/>
      <c r="F32" s="3160">
        <f>+J14</f>
        <v>0</v>
      </c>
      <c r="G32" s="3160">
        <f>+G14+G15+G17+G18</f>
        <v>0</v>
      </c>
      <c r="H32" s="3127"/>
      <c r="I32" s="808">
        <f>IF(F32=0,0,ROUND($F32*COEF!$J$27,0))</f>
        <v>0</v>
      </c>
      <c r="J32" s="808">
        <f>IF(F32=0,0,ROUND($F32*COEF!$K$27,0))</f>
        <v>0</v>
      </c>
      <c r="K32" s="808">
        <f>IF(F32=0,0,ROUND($F32*COEF!$L$27,0))</f>
        <v>0</v>
      </c>
      <c r="L32" s="808">
        <f ca="1">+ROUND(I32*'Compra -HOJA1'!I$395,0)</f>
        <v>0</v>
      </c>
      <c r="M32" s="808">
        <f ca="1">+ROUND(J32*'Compra -HOJA1'!J$395,0)</f>
        <v>0</v>
      </c>
      <c r="N32" s="808">
        <f ca="1">+ROUND(K32*'Compra -HOJA1'!K$395,0)</f>
        <v>0</v>
      </c>
      <c r="O32" s="3165">
        <f t="shared" ref="O32:O38" ca="1" si="6">I32+L32</f>
        <v>0</v>
      </c>
      <c r="P32" s="3165">
        <f t="shared" ref="P32:P38" ca="1" si="7">J32+M32</f>
        <v>0</v>
      </c>
      <c r="Q32" s="3165">
        <f t="shared" ref="Q32:Q38" ca="1" si="8">K32+N32</f>
        <v>0</v>
      </c>
      <c r="R32" s="3164">
        <f t="shared" ref="R32:R38" ca="1" si="9">SUM(O32:Q32)</f>
        <v>0</v>
      </c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</row>
    <row r="33" spans="1:29" ht="76.5" customHeight="1" thickBot="1" x14ac:dyDescent="0.25">
      <c r="A33" s="774"/>
      <c r="B33" s="4919"/>
      <c r="C33" s="3151">
        <v>5045</v>
      </c>
      <c r="D33" s="4910" t="s">
        <v>820</v>
      </c>
      <c r="E33" s="4911"/>
      <c r="F33" s="3016">
        <f>+K14</f>
        <v>0</v>
      </c>
      <c r="G33" s="3016">
        <f>+G16+G19</f>
        <v>0</v>
      </c>
      <c r="H33" s="3127"/>
      <c r="I33" s="808">
        <f>IF(F33=0,0,ROUND($F33*COEF!$J$27,0))</f>
        <v>0</v>
      </c>
      <c r="J33" s="808">
        <f>IF(F33=0,0,ROUND($F33*COEF!$K$27,0))</f>
        <v>0</v>
      </c>
      <c r="K33" s="808">
        <f>IF(F33=0,0,ROUND($F33*COEF!$L$27,0))</f>
        <v>0</v>
      </c>
      <c r="L33" s="808">
        <f ca="1">+ROUND(I33*'Compra -HOJA1'!I$395,0)</f>
        <v>0</v>
      </c>
      <c r="M33" s="808">
        <f ca="1">+ROUND(J33*'Compra -HOJA1'!J$395,0)</f>
        <v>0</v>
      </c>
      <c r="N33" s="808">
        <f ca="1">+ROUND(K33*'Compra -HOJA1'!K$395,0)</f>
        <v>0</v>
      </c>
      <c r="O33" s="3165">
        <f t="shared" ca="1" si="6"/>
        <v>0</v>
      </c>
      <c r="P33" s="3165">
        <f t="shared" ca="1" si="7"/>
        <v>0</v>
      </c>
      <c r="Q33" s="3165">
        <f t="shared" ca="1" si="8"/>
        <v>0</v>
      </c>
      <c r="R33" s="3164">
        <f t="shared" ca="1" si="9"/>
        <v>0</v>
      </c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</row>
    <row r="34" spans="1:29" ht="76.5" customHeight="1" thickBot="1" x14ac:dyDescent="0.25">
      <c r="A34" s="774"/>
      <c r="B34" s="4919" t="s">
        <v>324</v>
      </c>
      <c r="C34" s="3150">
        <v>5040</v>
      </c>
      <c r="D34" s="4908" t="s">
        <v>218</v>
      </c>
      <c r="E34" s="4909"/>
      <c r="F34" s="3152">
        <f>+J20</f>
        <v>0</v>
      </c>
      <c r="G34" s="3016">
        <f>+G20+G21</f>
        <v>0</v>
      </c>
      <c r="H34" s="3127"/>
      <c r="I34" s="808">
        <f>IF(F34=0,0,ROUND($F34*COEF!$J$27,0))</f>
        <v>0</v>
      </c>
      <c r="J34" s="808">
        <f>IF(F34=0,0,ROUND($F34*COEF!$K$27,0))</f>
        <v>0</v>
      </c>
      <c r="K34" s="808">
        <f>IF(F34=0,0,ROUND($F34*COEF!$L$27,0))</f>
        <v>0</v>
      </c>
      <c r="L34" s="808">
        <f ca="1">+ROUND(I34*'Compra -HOJA1'!I$395,0)</f>
        <v>0</v>
      </c>
      <c r="M34" s="808">
        <f ca="1">+ROUND(J34*'Compra -HOJA1'!J$395,0)</f>
        <v>0</v>
      </c>
      <c r="N34" s="808">
        <f ca="1">+ROUND(K34*'Compra -HOJA1'!K$395,0)</f>
        <v>0</v>
      </c>
      <c r="O34" s="3165">
        <f t="shared" ca="1" si="6"/>
        <v>0</v>
      </c>
      <c r="P34" s="3165">
        <f t="shared" ca="1" si="7"/>
        <v>0</v>
      </c>
      <c r="Q34" s="3165">
        <f t="shared" ca="1" si="8"/>
        <v>0</v>
      </c>
      <c r="R34" s="3164">
        <f t="shared" ca="1" si="9"/>
        <v>0</v>
      </c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</row>
    <row r="35" spans="1:29" ht="76.5" customHeight="1" thickBot="1" x14ac:dyDescent="0.25">
      <c r="A35" s="774"/>
      <c r="B35" s="4919"/>
      <c r="C35" s="3151">
        <v>5045</v>
      </c>
      <c r="D35" s="4910" t="s">
        <v>820</v>
      </c>
      <c r="E35" s="4911"/>
      <c r="F35" s="3152">
        <f>+K20</f>
        <v>0</v>
      </c>
      <c r="G35" s="3016">
        <f>+G34</f>
        <v>0</v>
      </c>
      <c r="H35" s="3127"/>
      <c r="I35" s="808">
        <f>IF(F35=0,0,ROUND($F35*COEF!$J$27,0))</f>
        <v>0</v>
      </c>
      <c r="J35" s="808">
        <f>IF(F35=0,0,ROUND($F35*COEF!$K$27,0))</f>
        <v>0</v>
      </c>
      <c r="K35" s="808">
        <f>IF(F35=0,0,ROUND($F35*COEF!$L$27,0))</f>
        <v>0</v>
      </c>
      <c r="L35" s="808">
        <f ca="1">+ROUND(I35*'Compra -HOJA1'!I$395,0)</f>
        <v>0</v>
      </c>
      <c r="M35" s="808">
        <f ca="1">+ROUND(J35*'Compra -HOJA1'!J$395,0)</f>
        <v>0</v>
      </c>
      <c r="N35" s="808">
        <f ca="1">+ROUND(K35*'Compra -HOJA1'!K$395,0)</f>
        <v>0</v>
      </c>
      <c r="O35" s="3165">
        <f t="shared" ca="1" si="6"/>
        <v>0</v>
      </c>
      <c r="P35" s="3165">
        <f t="shared" ca="1" si="7"/>
        <v>0</v>
      </c>
      <c r="Q35" s="3165">
        <f t="shared" ca="1" si="8"/>
        <v>0</v>
      </c>
      <c r="R35" s="3164">
        <f t="shared" ca="1" si="9"/>
        <v>0</v>
      </c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</row>
    <row r="36" spans="1:29" ht="76.5" customHeight="1" thickBot="1" x14ac:dyDescent="0.25">
      <c r="A36" s="774"/>
      <c r="B36" s="4919" t="s">
        <v>325</v>
      </c>
      <c r="C36" s="3150">
        <v>5040</v>
      </c>
      <c r="D36" s="4908" t="s">
        <v>218</v>
      </c>
      <c r="E36" s="4909"/>
      <c r="F36" s="3152">
        <f>+J22</f>
        <v>0</v>
      </c>
      <c r="G36" s="3016">
        <f>+G20+G21</f>
        <v>0</v>
      </c>
      <c r="H36" s="3127"/>
      <c r="I36" s="808">
        <f>IF(F36=0,0,ROUND($F36*COEF!$J$27,0))</f>
        <v>0</v>
      </c>
      <c r="J36" s="808">
        <f>IF(F36=0,0,ROUND($F36*COEF!$K$27,0))</f>
        <v>0</v>
      </c>
      <c r="K36" s="808">
        <f>IF(F36=0,0,ROUND($F36*COEF!$L$27,0))</f>
        <v>0</v>
      </c>
      <c r="L36" s="808">
        <f ca="1">+ROUND(I36*'Compra -HOJA1'!I$395,0)</f>
        <v>0</v>
      </c>
      <c r="M36" s="808">
        <f ca="1">+ROUND(J36*'Compra -HOJA1'!J$395,0)</f>
        <v>0</v>
      </c>
      <c r="N36" s="808">
        <f ca="1">+ROUND(K36*'Compra -HOJA1'!K$395,0)</f>
        <v>0</v>
      </c>
      <c r="O36" s="3165">
        <f t="shared" ca="1" si="6"/>
        <v>0</v>
      </c>
      <c r="P36" s="3165">
        <f t="shared" ca="1" si="7"/>
        <v>0</v>
      </c>
      <c r="Q36" s="3165">
        <f t="shared" ca="1" si="8"/>
        <v>0</v>
      </c>
      <c r="R36" s="3164">
        <f t="shared" ca="1" si="9"/>
        <v>0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</row>
    <row r="37" spans="1:29" ht="76.5" customHeight="1" thickBot="1" x14ac:dyDescent="0.25">
      <c r="A37" s="774"/>
      <c r="B37" s="4919"/>
      <c r="C37" s="3151">
        <v>5045</v>
      </c>
      <c r="D37" s="4910" t="s">
        <v>820</v>
      </c>
      <c r="E37" s="4911"/>
      <c r="F37" s="3152">
        <f>+K22</f>
        <v>0</v>
      </c>
      <c r="G37" s="3016">
        <f>+G36</f>
        <v>0</v>
      </c>
      <c r="H37" s="3127"/>
      <c r="I37" s="808">
        <f>IF(F37=0,0,ROUND($F37*COEF!$J$27,0))</f>
        <v>0</v>
      </c>
      <c r="J37" s="808">
        <f>IF(F37=0,0,ROUND($F37*COEF!$K$27,0))</f>
        <v>0</v>
      </c>
      <c r="K37" s="808">
        <f>IF(F37=0,0,ROUND($F37*COEF!$L$27,0))</f>
        <v>0</v>
      </c>
      <c r="L37" s="808">
        <f ca="1">+ROUND(I37*'Compra -HOJA1'!I$395,0)</f>
        <v>0</v>
      </c>
      <c r="M37" s="808">
        <f ca="1">+ROUND(J37*'Compra -HOJA1'!J$395,0)</f>
        <v>0</v>
      </c>
      <c r="N37" s="808">
        <f ca="1">+ROUND(K37*'Compra -HOJA1'!K$395,0)</f>
        <v>0</v>
      </c>
      <c r="O37" s="3165">
        <f t="shared" ca="1" si="6"/>
        <v>0</v>
      </c>
      <c r="P37" s="3165">
        <f t="shared" ca="1" si="7"/>
        <v>0</v>
      </c>
      <c r="Q37" s="3165">
        <f t="shared" ca="1" si="8"/>
        <v>0</v>
      </c>
      <c r="R37" s="3164">
        <f t="shared" ca="1" si="9"/>
        <v>0</v>
      </c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</row>
    <row r="38" spans="1:29" ht="76.5" customHeight="1" thickBot="1" x14ac:dyDescent="0.25">
      <c r="A38" s="774"/>
      <c r="B38" s="4919" t="s">
        <v>326</v>
      </c>
      <c r="C38" s="3150">
        <v>5040</v>
      </c>
      <c r="D38" s="4908" t="s">
        <v>218</v>
      </c>
      <c r="E38" s="4909"/>
      <c r="F38" s="3152">
        <f>+J24</f>
        <v>0</v>
      </c>
      <c r="G38" s="3016">
        <f>+G24+G25</f>
        <v>0</v>
      </c>
      <c r="H38" s="3127"/>
      <c r="I38" s="808">
        <f>IF(F38=0,0,ROUND($F38*COEF!$J$27,0))</f>
        <v>0</v>
      </c>
      <c r="J38" s="808">
        <f>IF(F38=0,0,ROUND($F38*COEF!$K$27,0))</f>
        <v>0</v>
      </c>
      <c r="K38" s="808">
        <f>IF(F38=0,0,ROUND($F38*COEF!$L$27,0))</f>
        <v>0</v>
      </c>
      <c r="L38" s="808">
        <f ca="1">+ROUND(I38*'Compra -HOJA1'!I$395,0)</f>
        <v>0</v>
      </c>
      <c r="M38" s="808">
        <f ca="1">+ROUND(J38*'Compra -HOJA1'!J$395,0)</f>
        <v>0</v>
      </c>
      <c r="N38" s="808">
        <f ca="1">+ROUND(K38*'Compra -HOJA1'!K$395,0)</f>
        <v>0</v>
      </c>
      <c r="O38" s="3165">
        <f t="shared" ca="1" si="6"/>
        <v>0</v>
      </c>
      <c r="P38" s="3165">
        <f t="shared" ca="1" si="7"/>
        <v>0</v>
      </c>
      <c r="Q38" s="3165">
        <f t="shared" ca="1" si="8"/>
        <v>0</v>
      </c>
      <c r="R38" s="3164">
        <f t="shared" ca="1" si="9"/>
        <v>0</v>
      </c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</row>
    <row r="39" spans="1:29" ht="76.5" customHeight="1" thickBot="1" x14ac:dyDescent="0.25">
      <c r="A39" s="774"/>
      <c r="B39" s="4919"/>
      <c r="C39" s="3151">
        <v>5045</v>
      </c>
      <c r="D39" s="4910" t="s">
        <v>820</v>
      </c>
      <c r="E39" s="4911"/>
      <c r="F39" s="3152">
        <f>+K24</f>
        <v>0</v>
      </c>
      <c r="G39" s="3016">
        <f>+G38</f>
        <v>0</v>
      </c>
      <c r="H39" s="3127"/>
      <c r="I39" s="808">
        <f>IF(F39=0,0,ROUND($F39*COEF!$J$27,0))</f>
        <v>0</v>
      </c>
      <c r="J39" s="808">
        <f>IF(F39=0,0,ROUND($F39*COEF!$K$27,0))</f>
        <v>0</v>
      </c>
      <c r="K39" s="808">
        <f>IF(F39=0,0,ROUND($F39*COEF!$L$27,0))</f>
        <v>0</v>
      </c>
      <c r="L39" s="808">
        <f ca="1">+ROUND(I39*'Compra -HOJA1'!I$395,0)</f>
        <v>0</v>
      </c>
      <c r="M39" s="808">
        <f ca="1">+ROUND(J39*'Compra -HOJA1'!J$395,0)</f>
        <v>0</v>
      </c>
      <c r="N39" s="808">
        <f ca="1">+ROUND(K39*'Compra -HOJA1'!K$395,0)</f>
        <v>0</v>
      </c>
      <c r="O39" s="3165">
        <f t="shared" ref="O39" ca="1" si="10">I39+L39</f>
        <v>0</v>
      </c>
      <c r="P39" s="3165">
        <f t="shared" ref="P39" ca="1" si="11">J39+M39</f>
        <v>0</v>
      </c>
      <c r="Q39" s="3165">
        <f t="shared" ref="Q39" ca="1" si="12">K39+N39</f>
        <v>0</v>
      </c>
      <c r="R39" s="3164">
        <f t="shared" ref="R39" ca="1" si="13">SUM(O39:Q39)</f>
        <v>0</v>
      </c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</row>
    <row r="40" spans="1:29" ht="86.45" customHeight="1" thickBot="1" x14ac:dyDescent="0.25">
      <c r="A40" s="774"/>
      <c r="B40" s="842"/>
      <c r="C40" s="786"/>
      <c r="D40" s="914"/>
      <c r="E40" s="914"/>
      <c r="F40" s="3022">
        <f>SUM(F31:F39)</f>
        <v>0</v>
      </c>
      <c r="G40" s="3167">
        <f>SUM(G31:G39)</f>
        <v>0</v>
      </c>
      <c r="H40" s="3169">
        <f>+I40+J40+K40</f>
        <v>0</v>
      </c>
      <c r="I40" s="3168">
        <f>SUM(I31:I39)</f>
        <v>0</v>
      </c>
      <c r="J40" s="3166">
        <f t="shared" ref="J40:R40" si="14">SUM(J31:J39)</f>
        <v>0</v>
      </c>
      <c r="K40" s="3166">
        <f t="shared" si="14"/>
        <v>0</v>
      </c>
      <c r="L40" s="3166">
        <f t="shared" ca="1" si="14"/>
        <v>0</v>
      </c>
      <c r="M40" s="3166">
        <f t="shared" ca="1" si="14"/>
        <v>0</v>
      </c>
      <c r="N40" s="3166">
        <f t="shared" ca="1" si="14"/>
        <v>0</v>
      </c>
      <c r="O40" s="3166">
        <f t="shared" ca="1" si="14"/>
        <v>0</v>
      </c>
      <c r="P40" s="3166">
        <f t="shared" ca="1" si="14"/>
        <v>0</v>
      </c>
      <c r="Q40" s="3166">
        <f t="shared" ca="1" si="14"/>
        <v>0</v>
      </c>
      <c r="R40" s="3166">
        <f t="shared" ca="1" si="14"/>
        <v>0</v>
      </c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</row>
    <row r="41" spans="1:29" ht="30.75" customHeight="1" x14ac:dyDescent="0.2">
      <c r="A41" s="842"/>
      <c r="B41" s="842"/>
      <c r="C41" s="2142"/>
      <c r="D41" s="2142"/>
      <c r="F41" s="826"/>
      <c r="H41" s="843"/>
      <c r="I41" s="843"/>
      <c r="J41" s="843"/>
      <c r="K41" s="3128"/>
      <c r="L41" s="10"/>
      <c r="M41" s="834"/>
      <c r="N41" s="675"/>
      <c r="O41" s="675"/>
      <c r="P41" s="841"/>
      <c r="Q41" s="675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</row>
    <row r="42" spans="1:29" ht="30.75" customHeight="1" x14ac:dyDescent="0.2">
      <c r="A42" s="842"/>
      <c r="B42" s="842"/>
      <c r="C42" s="2142"/>
      <c r="D42" s="2142"/>
      <c r="F42" s="826"/>
      <c r="H42" s="843"/>
      <c r="I42" s="843"/>
      <c r="J42" s="843"/>
      <c r="K42" s="3128"/>
      <c r="L42" s="10"/>
      <c r="M42" s="834"/>
      <c r="N42" s="675"/>
      <c r="O42" s="675"/>
      <c r="P42" s="841"/>
      <c r="Q42" s="675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</row>
    <row r="43" spans="1:29" ht="30.75" customHeight="1" thickBot="1" x14ac:dyDescent="0.25">
      <c r="A43" s="3017"/>
      <c r="B43" s="842"/>
      <c r="C43" s="2142"/>
      <c r="D43" s="2142"/>
      <c r="F43" s="831"/>
      <c r="H43" s="843"/>
      <c r="I43" s="843"/>
      <c r="J43" s="843"/>
      <c r="K43" s="3018"/>
      <c r="L43" s="10"/>
      <c r="M43" s="834"/>
      <c r="N43" s="675"/>
      <c r="O43" s="675"/>
      <c r="P43" s="841"/>
      <c r="Q43" s="675"/>
      <c r="R43" s="3015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</row>
    <row r="44" spans="1:29" ht="27.75" customHeight="1" x14ac:dyDescent="0.2">
      <c r="A44" s="3855" t="s">
        <v>159</v>
      </c>
      <c r="B44" s="3856"/>
      <c r="C44" s="3856"/>
      <c r="D44" s="3856"/>
      <c r="E44" s="3856"/>
      <c r="F44" s="3856"/>
      <c r="G44" s="3856"/>
      <c r="H44" s="3857"/>
      <c r="I44" s="843"/>
      <c r="J44" s="843"/>
      <c r="K44" s="3018"/>
      <c r="L44" s="10"/>
      <c r="M44" s="834"/>
      <c r="N44" s="675"/>
      <c r="O44" s="675"/>
      <c r="P44" s="841"/>
      <c r="Q44" s="675"/>
      <c r="R44" s="3015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</row>
    <row r="45" spans="1:29" ht="30.75" customHeight="1" thickBot="1" x14ac:dyDescent="0.25">
      <c r="A45" s="3858"/>
      <c r="B45" s="3859"/>
      <c r="C45" s="3859"/>
      <c r="D45" s="3859"/>
      <c r="E45" s="3859"/>
      <c r="F45" s="4926"/>
      <c r="G45" s="4926"/>
      <c r="H45" s="4927"/>
      <c r="I45" s="843"/>
      <c r="J45" s="843"/>
      <c r="K45" s="3018"/>
      <c r="L45" s="10"/>
      <c r="M45" s="834"/>
      <c r="N45" s="675"/>
      <c r="O45" s="675"/>
      <c r="P45" s="841"/>
      <c r="Q45" s="675"/>
      <c r="R45" s="3015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</row>
    <row r="46" spans="1:29" ht="30.75" customHeight="1" x14ac:dyDescent="0.2">
      <c r="A46" s="4928" t="s">
        <v>160</v>
      </c>
      <c r="B46" s="4929"/>
      <c r="C46" s="4929"/>
      <c r="D46" s="4929"/>
      <c r="E46" s="4930"/>
      <c r="F46" s="4933" t="s">
        <v>151</v>
      </c>
      <c r="G46" s="4933" t="s">
        <v>101</v>
      </c>
      <c r="H46" s="4935" t="s">
        <v>161</v>
      </c>
      <c r="I46" s="4937" t="s">
        <v>162</v>
      </c>
      <c r="J46" s="843"/>
      <c r="K46" s="3018"/>
      <c r="L46" s="10"/>
      <c r="M46" s="834"/>
      <c r="N46" s="675"/>
      <c r="O46" s="675"/>
      <c r="P46" s="841"/>
      <c r="Q46" s="675"/>
      <c r="R46" s="3015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</row>
    <row r="47" spans="1:29" ht="52.5" customHeight="1" thickBot="1" x14ac:dyDescent="0.25">
      <c r="A47" s="4928"/>
      <c r="B47" s="4931"/>
      <c r="C47" s="4931"/>
      <c r="D47" s="4931"/>
      <c r="E47" s="4932"/>
      <c r="F47" s="4934"/>
      <c r="G47" s="4934"/>
      <c r="H47" s="4936"/>
      <c r="I47" s="4938"/>
      <c r="J47" s="843"/>
      <c r="K47" s="3018"/>
      <c r="L47" s="10"/>
      <c r="M47" s="834"/>
      <c r="N47" s="675"/>
      <c r="O47" s="675"/>
      <c r="P47" s="841"/>
      <c r="Q47" s="675"/>
      <c r="R47" s="3015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</row>
    <row r="48" spans="1:29" ht="93.75" customHeight="1" thickBot="1" x14ac:dyDescent="1.1000000000000001">
      <c r="A48" s="3917"/>
      <c r="B48" s="4711" t="s">
        <v>322</v>
      </c>
      <c r="C48" s="4891" t="s">
        <v>821</v>
      </c>
      <c r="D48" s="4906" t="s">
        <v>46</v>
      </c>
      <c r="E48" s="4907"/>
      <c r="F48" s="3016">
        <f>+'Compra -HOJA1'!F87</f>
        <v>0</v>
      </c>
      <c r="G48" s="3016">
        <f>+'Compra -HOJA1'!G87</f>
        <v>0</v>
      </c>
      <c r="H48" s="3020" t="str">
        <f>+IF(G48=0,"S.D.",IF((F48/G48)&lt;=120,"O.K.","VERIFICAR"))</f>
        <v>S.D.</v>
      </c>
      <c r="I48" s="3019" t="str">
        <f t="shared" ref="I48:I97" si="15">+IF(AND(F48&gt;0,G48=0),"FALTA CANT USUARIOS",IF(AND(G48&gt;0,F48=0),"FALTAN KWH FACT"," "))</f>
        <v xml:space="preserve"> </v>
      </c>
      <c r="J48" s="843"/>
      <c r="K48" s="3018"/>
      <c r="L48" s="10"/>
      <c r="M48" s="834"/>
      <c r="N48" s="675"/>
      <c r="O48" s="675"/>
      <c r="P48" s="841"/>
      <c r="Q48" s="675"/>
      <c r="R48" s="3015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</row>
    <row r="49" spans="1:29" ht="93.75" customHeight="1" thickBot="1" x14ac:dyDescent="1.1000000000000001">
      <c r="A49" s="3917"/>
      <c r="B49" s="4711"/>
      <c r="C49" s="4905"/>
      <c r="D49" s="4906" t="s">
        <v>47</v>
      </c>
      <c r="E49" s="4907"/>
      <c r="F49" s="3016">
        <f>+'Compra -HOJA1'!F88</f>
        <v>0</v>
      </c>
      <c r="G49" s="3016">
        <f>+'Compra -HOJA1'!G88</f>
        <v>0</v>
      </c>
      <c r="H49" s="3020" t="str">
        <f>+IF(G49=0,"S.D.",IF(AND((F49/G49)&gt;120,(F49/G49)&lt;=150),"O.K.","VERIFICAR"))</f>
        <v>S.D.</v>
      </c>
      <c r="I49" s="3019" t="str">
        <f t="shared" si="15"/>
        <v xml:space="preserve"> </v>
      </c>
      <c r="J49" s="843"/>
      <c r="K49" s="3018"/>
      <c r="L49" s="10"/>
      <c r="M49" s="834"/>
      <c r="N49" s="675"/>
      <c r="O49" s="675"/>
      <c r="P49" s="841"/>
      <c r="Q49" s="675"/>
      <c r="R49" s="3015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</row>
    <row r="50" spans="1:29" ht="93.75" customHeight="1" thickBot="1" x14ac:dyDescent="1.1000000000000001">
      <c r="A50" s="3917"/>
      <c r="B50" s="4711"/>
      <c r="C50" s="4905"/>
      <c r="D50" s="4895" t="s">
        <v>169</v>
      </c>
      <c r="E50" s="4186"/>
      <c r="F50" s="3016">
        <f>+'Compra -HOJA1'!F89</f>
        <v>0</v>
      </c>
      <c r="G50" s="3016">
        <f>+'Compra -HOJA1'!G89</f>
        <v>0</v>
      </c>
      <c r="H50" s="3020" t="str">
        <f>+IF(G50=0,"S.D.",IF((F50/G50)&lt;=120,"O.K.","VERIFICAR"))</f>
        <v>S.D.</v>
      </c>
      <c r="I50" s="3019"/>
      <c r="J50" s="843"/>
      <c r="K50" s="3018"/>
      <c r="L50" s="10"/>
      <c r="M50" s="834"/>
      <c r="N50" s="675"/>
      <c r="O50" s="675"/>
      <c r="P50" s="841"/>
      <c r="Q50" s="675"/>
      <c r="R50" s="3015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</row>
    <row r="51" spans="1:29" ht="93.75" customHeight="1" thickBot="1" x14ac:dyDescent="1.1000000000000001">
      <c r="A51" s="3917"/>
      <c r="B51" s="4711"/>
      <c r="C51" s="4892"/>
      <c r="D51" s="4895" t="s">
        <v>49</v>
      </c>
      <c r="E51" s="4186"/>
      <c r="F51" s="3016">
        <f>+'Compra -HOJA1'!F90</f>
        <v>0</v>
      </c>
      <c r="G51" s="3016">
        <f>+'Compra -HOJA1'!G90</f>
        <v>0</v>
      </c>
      <c r="H51" s="3020" t="str">
        <f>+IF(G51=0,"S.D.",IF(AND((F51/G51)&gt;120,(F51/G51)&lt;=150),"O.K.","VERIFICAR"))</f>
        <v>S.D.</v>
      </c>
      <c r="I51" s="3019"/>
      <c r="K51" s="3565">
        <f>SUM(F48:F51)</f>
        <v>0</v>
      </c>
      <c r="L51" s="10"/>
      <c r="M51" s="834"/>
      <c r="N51" s="675"/>
      <c r="O51" s="675"/>
      <c r="P51" s="841"/>
      <c r="Q51" s="675"/>
      <c r="R51" s="3015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</row>
    <row r="52" spans="1:29" ht="93.75" customHeight="1" thickBot="1" x14ac:dyDescent="1.1000000000000001">
      <c r="A52" s="3917"/>
      <c r="B52" s="4711"/>
      <c r="C52" s="4891" t="s">
        <v>822</v>
      </c>
      <c r="D52" s="4906" t="s">
        <v>46</v>
      </c>
      <c r="E52" s="4907"/>
      <c r="F52" s="3016">
        <f>+'Compra -HOJA1'!F91</f>
        <v>0</v>
      </c>
      <c r="G52" s="3016">
        <f>+'Compra -HOJA1'!G91</f>
        <v>0</v>
      </c>
      <c r="H52" s="3020" t="str">
        <f>+IF(G52=0,"S.D.",IF((F52/G52)&lt;=120,"O.K.","VERIFICAR"))</f>
        <v>S.D.</v>
      </c>
      <c r="I52" s="3019" t="str">
        <f t="shared" ref="I52:I53" si="16">+IF(AND(F52&gt;0,G52=0),"FALTA CANT USUARIOS",IF(AND(G52&gt;0,F52=0),"FALTAN KWH FACT"," "))</f>
        <v xml:space="preserve"> </v>
      </c>
      <c r="J52" s="843"/>
      <c r="K52" s="3018"/>
      <c r="L52" s="10"/>
      <c r="M52" s="834"/>
      <c r="N52" s="675"/>
      <c r="O52" s="675"/>
      <c r="P52" s="841"/>
      <c r="Q52" s="675"/>
      <c r="R52" s="3015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</row>
    <row r="53" spans="1:29" ht="93.75" customHeight="1" thickBot="1" x14ac:dyDescent="1.1000000000000001">
      <c r="A53" s="3917"/>
      <c r="B53" s="4711"/>
      <c r="C53" s="4905"/>
      <c r="D53" s="4906" t="s">
        <v>47</v>
      </c>
      <c r="E53" s="4907"/>
      <c r="F53" s="3016">
        <f>+'Compra -HOJA1'!F92</f>
        <v>0</v>
      </c>
      <c r="G53" s="3016">
        <f>+'Compra -HOJA1'!G92</f>
        <v>0</v>
      </c>
      <c r="H53" s="3020" t="str">
        <f>+IF(G53=0,"S.D.",IF(AND((F53/G53)&gt;120,(F53/G53)&lt;=150),"O.K.","VERIFICAR"))</f>
        <v>S.D.</v>
      </c>
      <c r="I53" s="3019" t="str">
        <f t="shared" si="16"/>
        <v xml:space="preserve"> </v>
      </c>
      <c r="J53" s="843"/>
      <c r="K53" s="3018"/>
      <c r="L53" s="10"/>
      <c r="M53" s="834"/>
      <c r="N53" s="675"/>
      <c r="O53" s="675"/>
      <c r="P53" s="841"/>
      <c r="Q53" s="675"/>
      <c r="R53" s="3015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</row>
    <row r="54" spans="1:29" ht="93.75" customHeight="1" thickBot="1" x14ac:dyDescent="1.1000000000000001">
      <c r="A54" s="3917"/>
      <c r="B54" s="4711"/>
      <c r="C54" s="4905"/>
      <c r="D54" s="4895" t="s">
        <v>169</v>
      </c>
      <c r="E54" s="4186"/>
      <c r="F54" s="3016">
        <f>+'Compra -HOJA1'!F93</f>
        <v>0</v>
      </c>
      <c r="G54" s="3016">
        <f>+'Compra -HOJA1'!G93</f>
        <v>0</v>
      </c>
      <c r="H54" s="3020" t="str">
        <f>+IF(G54=0,"S.D.",IF((F54/G54)&lt;=120,"O.K.","VERIFICAR"))</f>
        <v>S.D.</v>
      </c>
      <c r="I54" s="3019"/>
      <c r="J54" s="843"/>
      <c r="K54" s="3018"/>
      <c r="L54" s="10"/>
      <c r="M54" s="834"/>
      <c r="N54" s="675"/>
      <c r="O54" s="675"/>
      <c r="P54" s="841"/>
      <c r="Q54" s="675"/>
      <c r="R54" s="3015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</row>
    <row r="55" spans="1:29" ht="93.75" customHeight="1" thickBot="1" x14ac:dyDescent="1.1000000000000001">
      <c r="A55" s="3917"/>
      <c r="B55" s="4711"/>
      <c r="C55" s="4892"/>
      <c r="D55" s="4895" t="s">
        <v>49</v>
      </c>
      <c r="E55" s="4186"/>
      <c r="F55" s="3016">
        <f>+'Compra -HOJA1'!F94</f>
        <v>0</v>
      </c>
      <c r="G55" s="3016">
        <f>+'Compra -HOJA1'!G94</f>
        <v>0</v>
      </c>
      <c r="H55" s="3020" t="str">
        <f>+IF(G55=0,"S.D.",IF(AND((F55/G55)&gt;120,(F55/G55)&lt;=150),"O.K.","VERIFICAR"))</f>
        <v>S.D.</v>
      </c>
      <c r="I55" s="3019"/>
      <c r="J55" s="843"/>
      <c r="K55" s="3018"/>
      <c r="L55" s="10"/>
      <c r="M55" s="834"/>
      <c r="N55" s="675"/>
      <c r="O55" s="675"/>
      <c r="P55" s="841"/>
      <c r="Q55" s="675"/>
      <c r="R55" s="3015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</row>
    <row r="56" spans="1:29" ht="93.75" customHeight="1" thickBot="1" x14ac:dyDescent="1.1000000000000001">
      <c r="A56" s="3917"/>
      <c r="B56" s="4711"/>
      <c r="C56" s="4891" t="s">
        <v>823</v>
      </c>
      <c r="D56" s="4906" t="s">
        <v>46</v>
      </c>
      <c r="E56" s="4907"/>
      <c r="F56" s="3016">
        <f>+'Compra -HOJA1'!F95</f>
        <v>0</v>
      </c>
      <c r="G56" s="3016">
        <f>+'Compra -HOJA1'!G95</f>
        <v>0</v>
      </c>
      <c r="H56" s="3020" t="str">
        <f>+IF(G56=0,"S.D.",IF((F56/G56)&lt;=120,"O.K.","VERIFICAR"))</f>
        <v>S.D.</v>
      </c>
      <c r="I56" s="3019" t="str">
        <f t="shared" ref="I56:I57" si="17">+IF(AND(F56&gt;0,G56=0),"FALTA CANT USUARIOS",IF(AND(G56&gt;0,F56=0),"FALTAN KWH FACT"," "))</f>
        <v xml:space="preserve"> </v>
      </c>
      <c r="J56" s="843"/>
      <c r="K56" s="3018"/>
      <c r="L56" s="10"/>
      <c r="M56" s="834"/>
      <c r="N56" s="675"/>
      <c r="O56" s="675"/>
      <c r="P56" s="841"/>
      <c r="Q56" s="675"/>
      <c r="R56" s="3015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</row>
    <row r="57" spans="1:29" ht="93.75" customHeight="1" thickBot="1" x14ac:dyDescent="1.1000000000000001">
      <c r="A57" s="3917"/>
      <c r="B57" s="4711"/>
      <c r="C57" s="4905"/>
      <c r="D57" s="4906" t="s">
        <v>47</v>
      </c>
      <c r="E57" s="4907"/>
      <c r="F57" s="3016">
        <f>+'Compra -HOJA1'!F96</f>
        <v>0</v>
      </c>
      <c r="G57" s="3016">
        <f>+'Compra -HOJA1'!G96</f>
        <v>0</v>
      </c>
      <c r="H57" s="3020" t="str">
        <f>+IF(G57=0,"S.D.",IF(AND((F57/G57)&gt;120,(F57/G57)&lt;=150),"O.K.","VERIFICAR"))</f>
        <v>S.D.</v>
      </c>
      <c r="I57" s="3019" t="str">
        <f t="shared" si="17"/>
        <v xml:space="preserve"> </v>
      </c>
      <c r="J57" s="843"/>
      <c r="K57" s="3018"/>
      <c r="L57" s="10"/>
      <c r="M57" s="834"/>
      <c r="N57" s="675"/>
      <c r="O57" s="675"/>
      <c r="P57" s="841"/>
      <c r="Q57" s="675"/>
      <c r="R57" s="3015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</row>
    <row r="58" spans="1:29" ht="93.75" customHeight="1" thickBot="1" x14ac:dyDescent="1.1000000000000001">
      <c r="A58" s="3917"/>
      <c r="B58" s="4711"/>
      <c r="C58" s="4905"/>
      <c r="D58" s="4895" t="s">
        <v>169</v>
      </c>
      <c r="E58" s="4186"/>
      <c r="F58" s="3016">
        <f>+'Compra -HOJA1'!F97</f>
        <v>0</v>
      </c>
      <c r="G58" s="3016">
        <f>+'Compra -HOJA1'!G97</f>
        <v>0</v>
      </c>
      <c r="H58" s="3020" t="str">
        <f>+IF(G58=0,"S.D.",IF((F58/G58)&lt;=120,"O.K.","VERIFICAR"))</f>
        <v>S.D.</v>
      </c>
      <c r="I58" s="3019"/>
      <c r="J58" s="843"/>
      <c r="K58" s="3018"/>
      <c r="L58" s="10"/>
      <c r="M58" s="834"/>
      <c r="N58" s="675"/>
      <c r="O58" s="675"/>
      <c r="P58" s="841"/>
      <c r="Q58" s="675"/>
      <c r="R58" s="3015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</row>
    <row r="59" spans="1:29" ht="93.75" customHeight="1" thickBot="1" x14ac:dyDescent="1.1000000000000001">
      <c r="A59" s="3917"/>
      <c r="B59" s="4711"/>
      <c r="C59" s="4892"/>
      <c r="D59" s="4895" t="s">
        <v>49</v>
      </c>
      <c r="E59" s="4186"/>
      <c r="F59" s="3016">
        <f>+'Compra -HOJA1'!F98</f>
        <v>0</v>
      </c>
      <c r="G59" s="3016">
        <f>+'Compra -HOJA1'!G98</f>
        <v>0</v>
      </c>
      <c r="H59" s="3020" t="str">
        <f>+IF(G59=0,"S.D.",IF(AND((F59/G59)&gt;120,(F59/G59)&lt;=150),"O.K.","VERIFICAR"))</f>
        <v>S.D.</v>
      </c>
      <c r="I59" s="3019"/>
      <c r="J59" s="843"/>
      <c r="K59" s="3018"/>
      <c r="L59" s="10"/>
      <c r="M59" s="834"/>
      <c r="N59" s="675"/>
      <c r="O59" s="675"/>
      <c r="P59" s="841"/>
      <c r="Q59" s="675"/>
      <c r="R59" s="3015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</row>
    <row r="60" spans="1:29" ht="93.75" customHeight="1" thickBot="1" x14ac:dyDescent="1.1000000000000001">
      <c r="A60" s="3917"/>
      <c r="B60" s="4698" t="s">
        <v>323</v>
      </c>
      <c r="C60" s="4902" t="s">
        <v>821</v>
      </c>
      <c r="D60" s="4893" t="s">
        <v>53</v>
      </c>
      <c r="E60" s="4894"/>
      <c r="F60" s="3016">
        <f>+'Compra -HOJA1'!F106</f>
        <v>0</v>
      </c>
      <c r="G60" s="3016">
        <f>+'Compra -HOJA1'!G106</f>
        <v>0</v>
      </c>
      <c r="H60" s="3020" t="str">
        <f>+IF(G60=0,"S.D.",IF(AND((F60/G60)&gt;150,(F60/G60)&lt;=300),"O.K.","VERIFICAR"))</f>
        <v>S.D.</v>
      </c>
      <c r="I60" s="3019" t="str">
        <f t="shared" si="15"/>
        <v xml:space="preserve"> </v>
      </c>
      <c r="J60" s="843"/>
      <c r="K60" s="3018"/>
      <c r="L60" s="10"/>
      <c r="M60" s="834"/>
      <c r="N60" s="675"/>
      <c r="O60" s="675"/>
      <c r="P60" s="841"/>
      <c r="Q60" s="675"/>
      <c r="R60" s="3015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</row>
    <row r="61" spans="1:29" ht="93.75" customHeight="1" thickBot="1" x14ac:dyDescent="1.1000000000000001">
      <c r="A61" s="3917"/>
      <c r="B61" s="4698"/>
      <c r="C61" s="4903"/>
      <c r="D61" s="4893" t="s">
        <v>54</v>
      </c>
      <c r="E61" s="4894"/>
      <c r="F61" s="3016">
        <f>+'Compra -HOJA1'!F107+'Compra -HOJA1'!F108</f>
        <v>0</v>
      </c>
      <c r="G61" s="3016">
        <f>+'Compra -HOJA1'!G107+'Compra -HOJA1'!G108</f>
        <v>0</v>
      </c>
      <c r="H61" s="3020" t="str">
        <f>+IF(G61=0,"S.D.",IF(AND((F61/G61)&gt;300,(F61/G61)&lt;=500),"O.K.","VERIFICAR"))</f>
        <v>S.D.</v>
      </c>
      <c r="I61" s="3019" t="str">
        <f t="shared" si="15"/>
        <v xml:space="preserve"> </v>
      </c>
      <c r="J61" s="843"/>
      <c r="K61" s="3018"/>
      <c r="L61" s="10"/>
      <c r="M61" s="834"/>
      <c r="N61" s="675"/>
      <c r="O61" s="675"/>
      <c r="P61" s="841"/>
      <c r="Q61" s="675"/>
      <c r="R61" s="3015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</row>
    <row r="62" spans="1:29" ht="93.75" customHeight="1" thickBot="1" x14ac:dyDescent="1.1000000000000001">
      <c r="A62" s="3917"/>
      <c r="B62" s="4698"/>
      <c r="C62" s="4903"/>
      <c r="D62" s="4898" t="s">
        <v>1368</v>
      </c>
      <c r="E62" s="4899"/>
      <c r="F62" s="3016">
        <f>+'Compra -HOJA1'!F109</f>
        <v>0</v>
      </c>
      <c r="G62" s="3016">
        <f>+'Compra -HOJA1'!G109</f>
        <v>0</v>
      </c>
      <c r="H62" s="3020" t="str">
        <f>+IF(G62=0,"S.D.",IF(AND((F62/G62)&gt;350,(F62/G62)&lt;=500),"O.K.","VERIFICAR"))</f>
        <v>S.D.</v>
      </c>
      <c r="I62" s="3019" t="str">
        <f t="shared" si="15"/>
        <v xml:space="preserve"> </v>
      </c>
      <c r="J62" s="3559" t="s">
        <v>1369</v>
      </c>
      <c r="K62" s="3565">
        <f>SUM(F60:F62)</f>
        <v>0</v>
      </c>
      <c r="L62" s="10"/>
      <c r="M62" s="834"/>
      <c r="N62" s="675"/>
      <c r="O62" s="675"/>
      <c r="P62" s="841"/>
      <c r="Q62" s="675"/>
      <c r="R62" s="3015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</row>
    <row r="63" spans="1:29" ht="93.75" customHeight="1" thickBot="1" x14ac:dyDescent="1.1000000000000001">
      <c r="A63" s="3917"/>
      <c r="B63" s="4698"/>
      <c r="C63" s="4903"/>
      <c r="D63" s="4895" t="s">
        <v>55</v>
      </c>
      <c r="E63" s="4186"/>
      <c r="F63" s="3016">
        <f>+'Compra -HOJA1'!F110</f>
        <v>0</v>
      </c>
      <c r="G63" s="3016">
        <f>+'Compra -HOJA1'!G110</f>
        <v>0</v>
      </c>
      <c r="H63" s="3020" t="str">
        <f>+IF(G63=0,"S.D.",IF(AND((F63/G63)&gt;150,(F63/G63)&lt;=300),"O.K.","VERIFICAR"))</f>
        <v>S.D.</v>
      </c>
      <c r="I63" s="3019" t="str">
        <f t="shared" si="15"/>
        <v xml:space="preserve"> </v>
      </c>
      <c r="J63" s="843"/>
      <c r="K63" s="3018"/>
      <c r="L63" s="10"/>
      <c r="M63" s="834"/>
      <c r="N63" s="675"/>
      <c r="O63" s="675"/>
      <c r="P63" s="841"/>
      <c r="Q63" s="675"/>
      <c r="R63" s="3015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</row>
    <row r="64" spans="1:29" ht="93.75" customHeight="1" thickBot="1" x14ac:dyDescent="1.1000000000000001">
      <c r="A64" s="3917"/>
      <c r="B64" s="4698"/>
      <c r="C64" s="4903"/>
      <c r="D64" s="4895" t="s">
        <v>56</v>
      </c>
      <c r="E64" s="4186"/>
      <c r="F64" s="3016">
        <f>+'Compra -HOJA1'!F112+'Compra -HOJA1'!F111</f>
        <v>0</v>
      </c>
      <c r="G64" s="3016">
        <f>+'Compra -HOJA1'!G112+'Compra -HOJA1'!G111</f>
        <v>0</v>
      </c>
      <c r="H64" s="3020" t="str">
        <f>+IF(G64=0,"S.D.",IF(AND((F64/G64)&gt;300,(F64/G64)&lt;=500),"O.K.","VERIFICAR"))</f>
        <v>S.D.</v>
      </c>
      <c r="I64" s="3019" t="str">
        <f t="shared" si="15"/>
        <v xml:space="preserve"> </v>
      </c>
      <c r="J64" s="843"/>
      <c r="K64" s="3018"/>
      <c r="L64" s="10"/>
      <c r="M64" s="834"/>
      <c r="N64" s="675"/>
      <c r="O64" s="675"/>
      <c r="P64" s="841"/>
      <c r="Q64" s="675"/>
      <c r="R64" s="3015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</row>
    <row r="65" spans="1:29" ht="93.75" customHeight="1" thickBot="1" x14ac:dyDescent="1.1000000000000001">
      <c r="A65" s="3917"/>
      <c r="B65" s="4698"/>
      <c r="C65" s="4904"/>
      <c r="D65" s="4895" t="s">
        <v>203</v>
      </c>
      <c r="E65" s="4186"/>
      <c r="F65" s="3016">
        <f>+'Compra -HOJA1'!F113</f>
        <v>0</v>
      </c>
      <c r="G65" s="3016">
        <f>+'Compra -HOJA1'!G113</f>
        <v>0</v>
      </c>
      <c r="H65" s="3020" t="str">
        <f>+IF(G65=0,"S.D.",IF(AND((F65/G65)&gt;350,(F65/G65)&lt;=500),"O.K.","VERIFICAR"))</f>
        <v>S.D.</v>
      </c>
      <c r="I65" s="3019" t="str">
        <f t="shared" si="15"/>
        <v xml:space="preserve"> </v>
      </c>
      <c r="J65" s="3559" t="s">
        <v>1369</v>
      </c>
      <c r="K65" s="3565">
        <f>SUM(F60:F65)</f>
        <v>0</v>
      </c>
      <c r="L65" s="10"/>
      <c r="M65" s="834"/>
      <c r="N65" s="675"/>
      <c r="O65" s="675"/>
      <c r="P65" s="841"/>
      <c r="Q65" s="675"/>
      <c r="R65" s="3015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</row>
    <row r="66" spans="1:29" ht="93.75" customHeight="1" thickBot="1" x14ac:dyDescent="1.1000000000000001">
      <c r="A66" s="3917"/>
      <c r="B66" s="4698"/>
      <c r="C66" s="4891" t="s">
        <v>822</v>
      </c>
      <c r="D66" s="4893" t="s">
        <v>53</v>
      </c>
      <c r="E66" s="4894"/>
      <c r="F66" s="3016">
        <f>+'Compra -HOJA1'!F114</f>
        <v>0</v>
      </c>
      <c r="G66" s="3016">
        <f>+'Compra -HOJA1'!G114</f>
        <v>0</v>
      </c>
      <c r="H66" s="3020" t="str">
        <f>+IF(G66=0,"S.D.",IF(AND((F66/G66)&gt;150,(F66/G66)&lt;=300),"O.K.","VERIFICAR"))</f>
        <v>S.D.</v>
      </c>
      <c r="I66" s="3019" t="str">
        <f t="shared" si="15"/>
        <v xml:space="preserve"> </v>
      </c>
      <c r="J66" s="843"/>
      <c r="K66" s="3018"/>
      <c r="L66" s="10"/>
      <c r="M66" s="834"/>
      <c r="N66" s="675"/>
      <c r="O66" s="675"/>
      <c r="P66" s="841"/>
      <c r="Q66" s="675"/>
      <c r="R66" s="3015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</row>
    <row r="67" spans="1:29" ht="93.75" customHeight="1" thickBot="1" x14ac:dyDescent="1.1000000000000001">
      <c r="A67" s="3917"/>
      <c r="B67" s="4698"/>
      <c r="C67" s="4905"/>
      <c r="D67" s="4893" t="s">
        <v>54</v>
      </c>
      <c r="E67" s="4894"/>
      <c r="F67" s="3016">
        <f>+'Compra -HOJA1'!F115+'Compra -HOJA1'!F116</f>
        <v>0</v>
      </c>
      <c r="G67" s="3016">
        <f>+'Compra -HOJA1'!G115+'Compra -HOJA1'!G116</f>
        <v>0</v>
      </c>
      <c r="H67" s="3020" t="str">
        <f>+IF(G67=0,"S.D.",IF(AND((F67/G67)&gt;300,(F67/G67)&lt;=500),"O.K.","VERIFICAR"))</f>
        <v>S.D.</v>
      </c>
      <c r="I67" s="3019" t="str">
        <f t="shared" si="15"/>
        <v xml:space="preserve"> </v>
      </c>
      <c r="J67" s="843"/>
      <c r="K67" s="3018"/>
      <c r="L67" s="10"/>
      <c r="M67" s="834"/>
      <c r="N67" s="675"/>
      <c r="O67" s="675"/>
      <c r="P67" s="841"/>
      <c r="Q67" s="675"/>
      <c r="R67" s="3015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</row>
    <row r="68" spans="1:29" ht="93.75" customHeight="1" thickBot="1" x14ac:dyDescent="1.1000000000000001">
      <c r="A68" s="3917"/>
      <c r="B68" s="4698"/>
      <c r="C68" s="4905"/>
      <c r="D68" s="4895" t="s">
        <v>55</v>
      </c>
      <c r="E68" s="4186"/>
      <c r="F68" s="3016">
        <f>+'Compra -HOJA1'!F117</f>
        <v>0</v>
      </c>
      <c r="G68" s="3016">
        <f>+'Compra -HOJA1'!G117</f>
        <v>0</v>
      </c>
      <c r="H68" s="3020" t="str">
        <f>+IF(G68=0,"S.D.",IF(AND((F68/G68)&gt;150,(F68/G68)&lt;=300),"O.K.","VERIFICAR"))</f>
        <v>S.D.</v>
      </c>
      <c r="I68" s="3019" t="str">
        <f t="shared" si="15"/>
        <v xml:space="preserve"> </v>
      </c>
      <c r="J68" s="843"/>
      <c r="K68" s="3018"/>
      <c r="L68" s="10"/>
      <c r="M68" s="834"/>
      <c r="N68" s="675"/>
      <c r="O68" s="675"/>
      <c r="P68" s="841"/>
      <c r="Q68" s="675"/>
      <c r="R68" s="3015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</row>
    <row r="69" spans="1:29" ht="93.75" customHeight="1" thickBot="1" x14ac:dyDescent="1.1000000000000001">
      <c r="A69" s="3917"/>
      <c r="B69" s="4698"/>
      <c r="C69" s="4892"/>
      <c r="D69" s="4895" t="s">
        <v>56</v>
      </c>
      <c r="E69" s="4186"/>
      <c r="F69" s="3016">
        <f>+'Compra -HOJA1'!F118+'Compra -HOJA1'!F119</f>
        <v>0</v>
      </c>
      <c r="G69" s="3016">
        <f>+'Compra -HOJA1'!G118+'Compra -HOJA1'!G119</f>
        <v>0</v>
      </c>
      <c r="H69" s="3020" t="str">
        <f>+IF(G69=0,"S.D.",IF(AND((F69/G69)&gt;300,(F69/G69)&lt;=500),"O.K.","VERIFICAR"))</f>
        <v>S.D.</v>
      </c>
      <c r="I69" s="3019" t="str">
        <f t="shared" si="15"/>
        <v xml:space="preserve"> </v>
      </c>
      <c r="J69" s="843"/>
      <c r="K69" s="3018"/>
      <c r="L69" s="10"/>
      <c r="M69" s="834"/>
      <c r="N69" s="675"/>
      <c r="O69" s="675"/>
      <c r="P69" s="841"/>
      <c r="Q69" s="675"/>
      <c r="R69" s="3015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</row>
    <row r="70" spans="1:29" ht="93.75" customHeight="1" thickBot="1" x14ac:dyDescent="1.1000000000000001">
      <c r="A70" s="3917"/>
      <c r="B70" s="4698"/>
      <c r="C70" s="4891" t="s">
        <v>823</v>
      </c>
      <c r="D70" s="4893" t="s">
        <v>53</v>
      </c>
      <c r="E70" s="4894"/>
      <c r="F70" s="3016">
        <f>+'Compra -HOJA1'!F120</f>
        <v>0</v>
      </c>
      <c r="G70" s="3016">
        <f>+'Compra -HOJA1'!G120</f>
        <v>0</v>
      </c>
      <c r="H70" s="3020" t="str">
        <f>+IF(G70=0,"S.D.",IF(AND((F70/G70)&gt;150,(F70/G70)&lt;=300),"O.K.","VERIFICAR"))</f>
        <v>S.D.</v>
      </c>
      <c r="I70" s="3019" t="str">
        <f t="shared" si="15"/>
        <v xml:space="preserve"> </v>
      </c>
      <c r="J70" s="843"/>
      <c r="K70" s="3018"/>
      <c r="L70" s="10"/>
      <c r="M70" s="834"/>
      <c r="N70" s="675"/>
      <c r="O70" s="675"/>
      <c r="P70" s="841"/>
      <c r="Q70" s="675"/>
      <c r="R70" s="3015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</row>
    <row r="71" spans="1:29" ht="93.75" customHeight="1" thickBot="1" x14ac:dyDescent="1.1000000000000001">
      <c r="A71" s="3917"/>
      <c r="B71" s="4698"/>
      <c r="C71" s="4905"/>
      <c r="D71" s="4893" t="s">
        <v>54</v>
      </c>
      <c r="E71" s="4894"/>
      <c r="F71" s="3016">
        <f>+'Compra -HOJA1'!F121+'Compra -HOJA1'!F122</f>
        <v>0</v>
      </c>
      <c r="G71" s="3016">
        <f>+'Compra -HOJA1'!G121+'Compra -HOJA1'!G122</f>
        <v>0</v>
      </c>
      <c r="H71" s="3020" t="str">
        <f>+IF(G71=0,"S.D.",IF(AND((F71/G71)&gt;300,(F71/G71)&lt;=500),"O.K.","VERIFICAR"))</f>
        <v>S.D.</v>
      </c>
      <c r="I71" s="3019" t="str">
        <f t="shared" si="15"/>
        <v xml:space="preserve"> </v>
      </c>
      <c r="J71" s="843"/>
      <c r="K71" s="3018"/>
      <c r="L71" s="10"/>
      <c r="M71" s="834"/>
      <c r="N71" s="675"/>
      <c r="O71" s="675"/>
      <c r="P71" s="841"/>
      <c r="Q71" s="675"/>
      <c r="R71" s="3015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</row>
    <row r="72" spans="1:29" ht="93.75" customHeight="1" thickBot="1" x14ac:dyDescent="1.1000000000000001">
      <c r="A72" s="3917"/>
      <c r="B72" s="4698"/>
      <c r="C72" s="4905"/>
      <c r="D72" s="4895" t="s">
        <v>55</v>
      </c>
      <c r="E72" s="4186"/>
      <c r="F72" s="3016">
        <f>+'Compra -HOJA1'!F124</f>
        <v>0</v>
      </c>
      <c r="G72" s="3016">
        <f>+'Compra -HOJA1'!G124</f>
        <v>0</v>
      </c>
      <c r="H72" s="3020" t="str">
        <f>+IF(G72=0,"S.D.",IF(AND((F72/G72)&gt;150,(F72/G72)&lt;=300),"O.K.","VERIFICAR"))</f>
        <v>S.D.</v>
      </c>
      <c r="I72" s="3019" t="str">
        <f t="shared" si="15"/>
        <v xml:space="preserve"> </v>
      </c>
      <c r="J72" s="843"/>
      <c r="K72" s="3018"/>
      <c r="L72" s="10"/>
      <c r="M72" s="834"/>
      <c r="N72" s="675"/>
      <c r="O72" s="675"/>
      <c r="P72" s="841"/>
      <c r="Q72" s="675"/>
      <c r="R72" s="3015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</row>
    <row r="73" spans="1:29" ht="93.75" customHeight="1" thickBot="1" x14ac:dyDescent="1.1000000000000001">
      <c r="A73" s="3917"/>
      <c r="B73" s="4698"/>
      <c r="C73" s="4892"/>
      <c r="D73" s="4895" t="s">
        <v>56</v>
      </c>
      <c r="E73" s="4186"/>
      <c r="F73" s="3016">
        <f>+'Compra -HOJA1'!F125+'Compra -HOJA1'!F126</f>
        <v>0</v>
      </c>
      <c r="G73" s="3016">
        <f>+'Compra -HOJA1'!G125+'Compra -HOJA1'!G126</f>
        <v>0</v>
      </c>
      <c r="H73" s="3020" t="str">
        <f>+IF(G73=0,"S.D.",IF(AND((F73/G73)&gt;300,(F73/G73)&lt;=500),"O.K.","VERIFICAR"))</f>
        <v>S.D.</v>
      </c>
      <c r="I73" s="3019" t="str">
        <f t="shared" si="15"/>
        <v xml:space="preserve"> </v>
      </c>
      <c r="J73" s="843"/>
      <c r="K73" s="3018"/>
      <c r="L73" s="10"/>
      <c r="M73" s="834"/>
      <c r="N73" s="675"/>
      <c r="O73" s="675"/>
      <c r="P73" s="841"/>
      <c r="Q73" s="675"/>
      <c r="R73" s="3015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</row>
    <row r="74" spans="1:29" ht="93.75" customHeight="1" thickBot="1" x14ac:dyDescent="1.1000000000000001">
      <c r="A74" s="3917"/>
      <c r="B74" s="4701" t="s">
        <v>324</v>
      </c>
      <c r="C74" s="4902" t="s">
        <v>824</v>
      </c>
      <c r="D74" s="4893" t="s">
        <v>59</v>
      </c>
      <c r="E74" s="4894"/>
      <c r="F74" s="3016">
        <f>+'Compra -HOJA1'!F133</f>
        <v>0</v>
      </c>
      <c r="G74" s="3016">
        <f>+'Compra -HOJA1'!G133</f>
        <v>0</v>
      </c>
      <c r="H74" s="3020" t="str">
        <f t="shared" ref="H74:H81" si="18">IF(G74=0,"S.D.",+IF(AND((F74/G74)&gt;500,(F74/G74)&lt;=700),"O.K.","VERIFICAR"))</f>
        <v>S.D.</v>
      </c>
      <c r="I74" s="3019" t="str">
        <f t="shared" si="15"/>
        <v xml:space="preserve"> </v>
      </c>
      <c r="J74" s="843"/>
      <c r="K74" s="3018"/>
      <c r="L74" s="10"/>
      <c r="M74" s="834"/>
      <c r="N74" s="675"/>
      <c r="O74" s="675"/>
      <c r="P74" s="841"/>
      <c r="Q74" s="675"/>
      <c r="R74" s="3015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</row>
    <row r="75" spans="1:29" ht="93.75" customHeight="1" thickBot="1" x14ac:dyDescent="1.1000000000000001">
      <c r="A75" s="3917"/>
      <c r="B75" s="4701"/>
      <c r="C75" s="4903"/>
      <c r="D75" s="4898" t="s">
        <v>59</v>
      </c>
      <c r="E75" s="4899"/>
      <c r="F75" s="3016">
        <f>+'Compra -HOJA1'!F134</f>
        <v>0</v>
      </c>
      <c r="G75" s="3016">
        <f>+'Compra -HOJA1'!G134</f>
        <v>0</v>
      </c>
      <c r="H75" s="3020" t="str">
        <f t="shared" si="18"/>
        <v>S.D.</v>
      </c>
      <c r="I75" s="3019" t="str">
        <f t="shared" si="15"/>
        <v xml:space="preserve"> </v>
      </c>
      <c r="J75" s="3559" t="s">
        <v>1369</v>
      </c>
      <c r="K75" s="3018"/>
      <c r="L75" s="10"/>
      <c r="M75" s="834"/>
      <c r="N75" s="675"/>
      <c r="O75" s="675"/>
      <c r="P75" s="841"/>
      <c r="Q75" s="675"/>
      <c r="R75" s="3015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</row>
    <row r="76" spans="1:29" ht="93.75" customHeight="1" thickBot="1" x14ac:dyDescent="1.1000000000000001">
      <c r="A76" s="3917"/>
      <c r="B76" s="4701"/>
      <c r="C76" s="4903"/>
      <c r="D76" s="4895" t="s">
        <v>60</v>
      </c>
      <c r="E76" s="4186"/>
      <c r="F76" s="3016">
        <f>+'Compra -HOJA1'!F135</f>
        <v>0</v>
      </c>
      <c r="G76" s="3016">
        <f>+'Compra -HOJA1'!G135</f>
        <v>0</v>
      </c>
      <c r="H76" s="3021" t="str">
        <f t="shared" si="18"/>
        <v>S.D.</v>
      </c>
      <c r="I76" s="3019" t="str">
        <f t="shared" si="15"/>
        <v xml:space="preserve"> </v>
      </c>
      <c r="J76" s="843"/>
      <c r="K76" s="3018"/>
      <c r="L76" s="10"/>
      <c r="M76" s="834"/>
      <c r="N76" s="675"/>
      <c r="O76" s="675"/>
      <c r="P76" s="841"/>
      <c r="Q76" s="675"/>
      <c r="R76" s="3015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</row>
    <row r="77" spans="1:29" ht="93.75" customHeight="1" thickBot="1" x14ac:dyDescent="1.1000000000000001">
      <c r="A77" s="3917"/>
      <c r="B77" s="4701"/>
      <c r="C77" s="4904"/>
      <c r="D77" s="4900" t="s">
        <v>60</v>
      </c>
      <c r="E77" s="4901"/>
      <c r="F77" s="3016">
        <f>+'Compra -HOJA1'!F136</f>
        <v>0</v>
      </c>
      <c r="G77" s="3016">
        <f>+'Compra -HOJA1'!G136</f>
        <v>0</v>
      </c>
      <c r="H77" s="3021" t="str">
        <f t="shared" si="18"/>
        <v>S.D.</v>
      </c>
      <c r="I77" s="3019" t="str">
        <f t="shared" si="15"/>
        <v xml:space="preserve"> </v>
      </c>
      <c r="J77" s="3559" t="s">
        <v>1369</v>
      </c>
      <c r="K77" s="3565">
        <f>SUM(F74:F77)</f>
        <v>0</v>
      </c>
      <c r="L77" s="10"/>
      <c r="M77" s="834"/>
      <c r="N77" s="675"/>
      <c r="O77" s="675"/>
      <c r="P77" s="841"/>
      <c r="Q77" s="675"/>
      <c r="R77" s="3015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</row>
    <row r="78" spans="1:29" ht="93.75" customHeight="1" thickBot="1" x14ac:dyDescent="1.1000000000000001">
      <c r="A78" s="3917"/>
      <c r="B78" s="4701"/>
      <c r="C78" s="4891" t="s">
        <v>825</v>
      </c>
      <c r="D78" s="4893" t="s">
        <v>59</v>
      </c>
      <c r="E78" s="4894"/>
      <c r="F78" s="3016">
        <f>+'Compra -HOJA1'!F137</f>
        <v>0</v>
      </c>
      <c r="G78" s="3016">
        <f>+'Compra -HOJA1'!G137</f>
        <v>0</v>
      </c>
      <c r="H78" s="3020" t="str">
        <f t="shared" si="18"/>
        <v>S.D.</v>
      </c>
      <c r="I78" s="3019" t="str">
        <f t="shared" si="15"/>
        <v xml:space="preserve"> </v>
      </c>
      <c r="J78" s="843"/>
      <c r="K78" s="3018"/>
      <c r="L78" s="10"/>
      <c r="M78" s="834"/>
      <c r="N78" s="675"/>
      <c r="O78" s="675"/>
      <c r="P78" s="841"/>
      <c r="Q78" s="675"/>
      <c r="R78" s="3015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</row>
    <row r="79" spans="1:29" ht="93.75" customHeight="1" thickBot="1" x14ac:dyDescent="1.1000000000000001">
      <c r="A79" s="3917"/>
      <c r="B79" s="4701"/>
      <c r="C79" s="4892"/>
      <c r="D79" s="4895" t="s">
        <v>60</v>
      </c>
      <c r="E79" s="4186"/>
      <c r="F79" s="3016">
        <f>+'Compra -HOJA1'!F138</f>
        <v>0</v>
      </c>
      <c r="G79" s="3016">
        <f>+'Compra -HOJA1'!G138</f>
        <v>0</v>
      </c>
      <c r="H79" s="3021" t="str">
        <f t="shared" si="18"/>
        <v>S.D.</v>
      </c>
      <c r="I79" s="3019" t="str">
        <f t="shared" si="15"/>
        <v xml:space="preserve"> </v>
      </c>
      <c r="J79" s="843"/>
      <c r="K79" s="3018"/>
      <c r="L79" s="10"/>
      <c r="M79" s="834"/>
      <c r="N79" s="675"/>
      <c r="O79" s="675"/>
      <c r="P79" s="841"/>
      <c r="Q79" s="675"/>
      <c r="R79" s="3015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</row>
    <row r="80" spans="1:29" ht="93.75" customHeight="1" thickBot="1" x14ac:dyDescent="1.1000000000000001">
      <c r="A80" s="3917"/>
      <c r="B80" s="4701"/>
      <c r="C80" s="4891" t="s">
        <v>826</v>
      </c>
      <c r="D80" s="4893" t="s">
        <v>59</v>
      </c>
      <c r="E80" s="4894"/>
      <c r="F80" s="3016">
        <f>+'Compra -HOJA1'!F139</f>
        <v>0</v>
      </c>
      <c r="G80" s="3016">
        <f>+'Compra -HOJA1'!G139</f>
        <v>0</v>
      </c>
      <c r="H80" s="3020" t="str">
        <f t="shared" si="18"/>
        <v>S.D.</v>
      </c>
      <c r="I80" s="3019" t="str">
        <f t="shared" si="15"/>
        <v xml:space="preserve"> </v>
      </c>
      <c r="J80" s="843"/>
      <c r="K80" s="3018"/>
      <c r="L80" s="10"/>
      <c r="M80" s="834"/>
      <c r="N80" s="675"/>
      <c r="O80" s="675"/>
      <c r="P80" s="841"/>
      <c r="Q80" s="675"/>
      <c r="R80" s="3015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</row>
    <row r="81" spans="1:29" ht="93.75" customHeight="1" thickBot="1" x14ac:dyDescent="1.1000000000000001">
      <c r="A81" s="3917"/>
      <c r="B81" s="4701"/>
      <c r="C81" s="4892"/>
      <c r="D81" s="4895" t="s">
        <v>60</v>
      </c>
      <c r="E81" s="4186"/>
      <c r="F81" s="3016">
        <f>+'Compra -HOJA1'!F141</f>
        <v>0</v>
      </c>
      <c r="G81" s="3016">
        <f>+'Compra -HOJA1'!G141</f>
        <v>0</v>
      </c>
      <c r="H81" s="3021" t="str">
        <f t="shared" si="18"/>
        <v>S.D.</v>
      </c>
      <c r="I81" s="3019" t="str">
        <f t="shared" si="15"/>
        <v xml:space="preserve"> </v>
      </c>
      <c r="J81" s="843"/>
      <c r="K81" s="3018"/>
      <c r="L81" s="10"/>
      <c r="M81" s="834"/>
      <c r="N81" s="675"/>
      <c r="O81" s="675"/>
      <c r="P81" s="841"/>
      <c r="Q81" s="675"/>
      <c r="R81" s="3015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</row>
    <row r="82" spans="1:29" ht="93.75" customHeight="1" thickBot="1" x14ac:dyDescent="1.1000000000000001">
      <c r="A82" s="3917"/>
      <c r="B82" s="4704" t="s">
        <v>325</v>
      </c>
      <c r="C82" s="4902" t="s">
        <v>824</v>
      </c>
      <c r="D82" s="4893" t="s">
        <v>64</v>
      </c>
      <c r="E82" s="4894"/>
      <c r="F82" s="3016">
        <f>+'Compra -HOJA1'!F148</f>
        <v>0</v>
      </c>
      <c r="G82" s="3016">
        <f>+'Compra -HOJA1'!G148</f>
        <v>0</v>
      </c>
      <c r="H82" s="3020" t="str">
        <f t="shared" ref="H82:H89" si="19">IF(G82=0,"S.D.",+IF(AND((F82/G82)&gt;700,(F82/G82)&lt;=1400),"O.K.","VERIFICAR"))</f>
        <v>S.D.</v>
      </c>
      <c r="I82" s="3019" t="str">
        <f t="shared" si="15"/>
        <v xml:space="preserve"> </v>
      </c>
      <c r="J82" s="843"/>
      <c r="K82" s="3018"/>
      <c r="L82" s="10"/>
      <c r="M82" s="834"/>
      <c r="N82" s="675"/>
      <c r="O82" s="675"/>
      <c r="P82" s="841"/>
      <c r="Q82" s="675"/>
      <c r="R82" s="3015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</row>
    <row r="83" spans="1:29" ht="93.75" customHeight="1" thickBot="1" x14ac:dyDescent="1.1000000000000001">
      <c r="A83" s="3917"/>
      <c r="B83" s="4704"/>
      <c r="C83" s="4903"/>
      <c r="D83" s="4898" t="s">
        <v>64</v>
      </c>
      <c r="E83" s="4899"/>
      <c r="F83" s="3016">
        <f>+'Compra -HOJA1'!F149</f>
        <v>0</v>
      </c>
      <c r="G83" s="3016">
        <f>+'Compra -HOJA1'!G149</f>
        <v>0</v>
      </c>
      <c r="H83" s="3020" t="str">
        <f t="shared" ref="H83" si="20">IF(G83=0,"S.D.",+IF(AND((F83/G83)&gt;700,(F83/G83)&lt;=1400),"O.K.","VERIFICAR"))</f>
        <v>S.D.</v>
      </c>
      <c r="I83" s="3019" t="str">
        <f t="shared" si="15"/>
        <v xml:space="preserve"> </v>
      </c>
      <c r="J83" s="3559" t="s">
        <v>1369</v>
      </c>
      <c r="K83" s="3018"/>
      <c r="L83" s="10"/>
      <c r="M83" s="834"/>
      <c r="N83" s="675"/>
      <c r="O83" s="675"/>
      <c r="P83" s="841"/>
      <c r="Q83" s="675"/>
      <c r="R83" s="3015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</row>
    <row r="84" spans="1:29" ht="93.75" customHeight="1" thickBot="1" x14ac:dyDescent="1.1000000000000001">
      <c r="A84" s="3917"/>
      <c r="B84" s="4704"/>
      <c r="C84" s="4903"/>
      <c r="D84" s="4895" t="s">
        <v>65</v>
      </c>
      <c r="E84" s="4186"/>
      <c r="F84" s="3016">
        <f>+'Compra -HOJA1'!F150</f>
        <v>0</v>
      </c>
      <c r="G84" s="3016">
        <f>+'Compra -HOJA1'!G150</f>
        <v>0</v>
      </c>
      <c r="H84" s="3021" t="str">
        <f t="shared" si="19"/>
        <v>S.D.</v>
      </c>
      <c r="I84" s="3019" t="str">
        <f t="shared" si="15"/>
        <v xml:space="preserve"> </v>
      </c>
      <c r="J84" s="843"/>
      <c r="K84" s="3018"/>
      <c r="L84" s="10"/>
      <c r="M84" s="834"/>
      <c r="N84" s="675"/>
      <c r="O84" s="675"/>
      <c r="P84" s="841"/>
      <c r="Q84" s="675"/>
      <c r="R84" s="3015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</row>
    <row r="85" spans="1:29" ht="93.75" customHeight="1" thickBot="1" x14ac:dyDescent="1.1000000000000001">
      <c r="A85" s="3917"/>
      <c r="B85" s="4704"/>
      <c r="C85" s="4904"/>
      <c r="D85" s="4900" t="s">
        <v>65</v>
      </c>
      <c r="E85" s="4901"/>
      <c r="F85" s="3016">
        <f>+'Compra -HOJA1'!F151</f>
        <v>0</v>
      </c>
      <c r="G85" s="3016">
        <f>+'Compra -HOJA1'!G151</f>
        <v>0</v>
      </c>
      <c r="H85" s="3021" t="str">
        <f t="shared" ref="H85" si="21">IF(G85=0,"S.D.",+IF(AND((F85/G85)&gt;700,(F85/G85)&lt;=1400),"O.K.","VERIFICAR"))</f>
        <v>S.D.</v>
      </c>
      <c r="I85" s="3019" t="str">
        <f t="shared" si="15"/>
        <v xml:space="preserve"> </v>
      </c>
      <c r="J85" s="3559" t="s">
        <v>1369</v>
      </c>
      <c r="K85" s="3565">
        <f>SUM(F82:F85)</f>
        <v>0</v>
      </c>
      <c r="L85" s="10"/>
      <c r="M85" s="834"/>
      <c r="N85" s="675"/>
      <c r="O85" s="675"/>
      <c r="P85" s="841"/>
      <c r="Q85" s="675"/>
      <c r="R85" s="3015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</row>
    <row r="86" spans="1:29" ht="93.75" customHeight="1" thickBot="1" x14ac:dyDescent="1.1000000000000001">
      <c r="A86" s="3917"/>
      <c r="B86" s="4704"/>
      <c r="C86" s="4891" t="s">
        <v>825</v>
      </c>
      <c r="D86" s="4893" t="s">
        <v>64</v>
      </c>
      <c r="E86" s="4894"/>
      <c r="F86" s="3016">
        <f>+'Compra -HOJA1'!F152</f>
        <v>0</v>
      </c>
      <c r="G86" s="3016">
        <f>+'Compra -HOJA1'!G152</f>
        <v>0</v>
      </c>
      <c r="H86" s="3020" t="str">
        <f t="shared" si="19"/>
        <v>S.D.</v>
      </c>
      <c r="I86" s="3019" t="str">
        <f t="shared" si="15"/>
        <v xml:space="preserve"> </v>
      </c>
      <c r="J86" s="843"/>
      <c r="K86" s="3018"/>
      <c r="L86" s="10"/>
      <c r="M86" s="834"/>
      <c r="N86" s="675"/>
      <c r="O86" s="675"/>
      <c r="P86" s="841"/>
      <c r="Q86" s="675"/>
      <c r="R86" s="3015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</row>
    <row r="87" spans="1:29" ht="93.75" customHeight="1" thickBot="1" x14ac:dyDescent="1.1000000000000001">
      <c r="A87" s="3917"/>
      <c r="B87" s="4704"/>
      <c r="C87" s="4892"/>
      <c r="D87" s="4895" t="s">
        <v>65</v>
      </c>
      <c r="E87" s="4186"/>
      <c r="F87" s="3016">
        <f>+'Compra -HOJA1'!F153</f>
        <v>0</v>
      </c>
      <c r="G87" s="3016">
        <f>+'Compra -HOJA1'!G153</f>
        <v>0</v>
      </c>
      <c r="H87" s="3021" t="str">
        <f t="shared" si="19"/>
        <v>S.D.</v>
      </c>
      <c r="I87" s="3019" t="str">
        <f t="shared" si="15"/>
        <v xml:space="preserve"> </v>
      </c>
      <c r="J87" s="843"/>
      <c r="K87" s="3018"/>
      <c r="L87" s="10"/>
      <c r="M87" s="834"/>
      <c r="N87" s="675"/>
      <c r="O87" s="675"/>
      <c r="P87" s="841"/>
      <c r="Q87" s="675"/>
      <c r="R87" s="3015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</row>
    <row r="88" spans="1:29" ht="93.75" customHeight="1" thickBot="1" x14ac:dyDescent="1.1000000000000001">
      <c r="A88" s="3917"/>
      <c r="B88" s="4704"/>
      <c r="C88" s="4891" t="s">
        <v>826</v>
      </c>
      <c r="D88" s="4893" t="s">
        <v>64</v>
      </c>
      <c r="E88" s="4894"/>
      <c r="F88" s="3016">
        <f>+'Compra -HOJA1'!F154</f>
        <v>0</v>
      </c>
      <c r="G88" s="3016">
        <f>+'Compra -HOJA1'!G154</f>
        <v>0</v>
      </c>
      <c r="H88" s="3020" t="str">
        <f t="shared" si="19"/>
        <v>S.D.</v>
      </c>
      <c r="I88" s="3019" t="str">
        <f t="shared" si="15"/>
        <v xml:space="preserve"> </v>
      </c>
      <c r="J88" s="843"/>
      <c r="K88" s="3018"/>
      <c r="L88" s="10"/>
      <c r="M88" s="834"/>
      <c r="N88" s="675"/>
      <c r="O88" s="675"/>
      <c r="P88" s="841"/>
      <c r="Q88" s="675"/>
      <c r="R88" s="3015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</row>
    <row r="89" spans="1:29" ht="93.75" customHeight="1" thickBot="1" x14ac:dyDescent="1.1000000000000001">
      <c r="A89" s="3917"/>
      <c r="B89" s="4704"/>
      <c r="C89" s="4892"/>
      <c r="D89" s="4895" t="s">
        <v>65</v>
      </c>
      <c r="E89" s="4186"/>
      <c r="F89" s="3016">
        <f>+'Compra -HOJA1'!F156</f>
        <v>0</v>
      </c>
      <c r="G89" s="3016">
        <f>+'Compra -HOJA1'!G156</f>
        <v>0</v>
      </c>
      <c r="H89" s="3021" t="str">
        <f t="shared" si="19"/>
        <v>S.D.</v>
      </c>
      <c r="I89" s="3019" t="str">
        <f t="shared" si="15"/>
        <v xml:space="preserve"> </v>
      </c>
      <c r="J89" s="843"/>
      <c r="K89" s="3018"/>
      <c r="L89" s="10"/>
      <c r="M89" s="834"/>
      <c r="N89" s="675"/>
      <c r="O89" s="675"/>
      <c r="P89" s="841"/>
      <c r="Q89" s="675"/>
      <c r="R89" s="3015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</row>
    <row r="90" spans="1:29" ht="93.75" customHeight="1" thickBot="1" x14ac:dyDescent="1.1000000000000001">
      <c r="A90" s="3917"/>
      <c r="B90" s="4896" t="s">
        <v>326</v>
      </c>
      <c r="C90" s="4891" t="s">
        <v>824</v>
      </c>
      <c r="D90" s="4893" t="s">
        <v>68</v>
      </c>
      <c r="E90" s="4894"/>
      <c r="F90" s="3016">
        <f>+'Compra -HOJA1'!F163</f>
        <v>0</v>
      </c>
      <c r="G90" s="3016">
        <f>+'Compra -HOJA1'!G163</f>
        <v>0</v>
      </c>
      <c r="H90" s="3021" t="str">
        <f t="shared" ref="H90:H92" si="22">IF(G90=0,"S.D.",+IF(AND((F90/G90)&gt;1400,(F90/G90)&lt;=3000),"O.K.","VERIFICAR"))</f>
        <v>S.D.</v>
      </c>
      <c r="I90" s="3019" t="str">
        <f t="shared" si="15"/>
        <v xml:space="preserve"> </v>
      </c>
      <c r="J90" s="843"/>
      <c r="K90" s="3018"/>
      <c r="L90" s="10"/>
      <c r="M90" s="834"/>
      <c r="N90" s="675"/>
      <c r="O90" s="675"/>
      <c r="P90" s="841"/>
      <c r="Q90" s="675"/>
      <c r="R90" s="3015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</row>
    <row r="91" spans="1:29" ht="93.75" customHeight="1" thickBot="1" x14ac:dyDescent="1.1000000000000001">
      <c r="A91" s="3917"/>
      <c r="B91" s="4896"/>
      <c r="C91" s="4905"/>
      <c r="D91" s="4898" t="s">
        <v>68</v>
      </c>
      <c r="E91" s="4899"/>
      <c r="F91" s="3016">
        <f>+'Compra -HOJA1'!F164</f>
        <v>0</v>
      </c>
      <c r="G91" s="3016">
        <f>+'Compra -HOJA1'!G164</f>
        <v>0</v>
      </c>
      <c r="H91" s="3021" t="str">
        <f t="shared" ref="H91" si="23">IF(G91=0,"S.D.",+IF(AND((F91/G91)&gt;1400,(F91/G91)&lt;=3000),"O.K.","VERIFICAR"))</f>
        <v>S.D.</v>
      </c>
      <c r="I91" s="3019" t="str">
        <f t="shared" si="15"/>
        <v xml:space="preserve"> </v>
      </c>
      <c r="J91" s="3559" t="s">
        <v>1369</v>
      </c>
      <c r="K91" s="3018"/>
      <c r="L91" s="10"/>
      <c r="M91" s="834"/>
      <c r="N91" s="675"/>
      <c r="O91" s="675"/>
      <c r="P91" s="841"/>
      <c r="Q91" s="675"/>
      <c r="R91" s="3015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</row>
    <row r="92" spans="1:29" ht="93.75" customHeight="1" thickBot="1" x14ac:dyDescent="1.1000000000000001">
      <c r="A92" s="3917"/>
      <c r="B92" s="4896"/>
      <c r="C92" s="4905"/>
      <c r="D92" s="4895" t="s">
        <v>69</v>
      </c>
      <c r="E92" s="4186"/>
      <c r="F92" s="3016">
        <f>+'Compra -HOJA1'!F165</f>
        <v>0</v>
      </c>
      <c r="G92" s="3016">
        <f>+'Compra -HOJA1'!G165</f>
        <v>0</v>
      </c>
      <c r="H92" s="3021" t="str">
        <f t="shared" si="22"/>
        <v>S.D.</v>
      </c>
      <c r="I92" s="3019" t="str">
        <f t="shared" si="15"/>
        <v xml:space="preserve"> </v>
      </c>
      <c r="J92" s="843"/>
      <c r="K92" s="3018"/>
      <c r="L92" s="10"/>
      <c r="M92" s="834"/>
      <c r="N92" s="675"/>
      <c r="O92" s="675"/>
      <c r="P92" s="841"/>
      <c r="Q92" s="675"/>
      <c r="R92" s="3015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</row>
    <row r="93" spans="1:29" ht="93.75" customHeight="1" thickBot="1" x14ac:dyDescent="1.1000000000000001">
      <c r="A93" s="3366"/>
      <c r="B93" s="4896"/>
      <c r="C93" s="4892"/>
      <c r="D93" s="4900" t="s">
        <v>69</v>
      </c>
      <c r="E93" s="4901"/>
      <c r="F93" s="3016">
        <f>+'Compra -HOJA1'!F166</f>
        <v>0</v>
      </c>
      <c r="G93" s="3016">
        <f>+'Compra -HOJA1'!G166</f>
        <v>0</v>
      </c>
      <c r="H93" s="3021" t="str">
        <f t="shared" ref="H93" si="24">IF(G93=0,"S.D.",+IF(AND((F93/G93)&gt;1400,(F93/G93)&lt;=3000),"O.K.","VERIFICAR"))</f>
        <v>S.D.</v>
      </c>
      <c r="I93" s="3019" t="str">
        <f t="shared" si="15"/>
        <v xml:space="preserve"> </v>
      </c>
      <c r="J93" s="3559" t="s">
        <v>1369</v>
      </c>
      <c r="K93" s="3565">
        <f>SUM(F90:F93)</f>
        <v>0</v>
      </c>
      <c r="L93" s="10"/>
      <c r="M93" s="834"/>
      <c r="N93" s="675"/>
      <c r="O93" s="675"/>
      <c r="P93" s="841"/>
      <c r="Q93" s="675"/>
      <c r="R93" s="3015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</row>
    <row r="94" spans="1:29" ht="93.75" customHeight="1" thickBot="1" x14ac:dyDescent="1.1000000000000001">
      <c r="A94" s="3366"/>
      <c r="B94" s="4896"/>
      <c r="C94" s="4891" t="s">
        <v>825</v>
      </c>
      <c r="D94" s="4893" t="s">
        <v>68</v>
      </c>
      <c r="E94" s="4894"/>
      <c r="F94" s="3016">
        <f>+'Compra -HOJA1'!F167</f>
        <v>0</v>
      </c>
      <c r="G94" s="3016">
        <f>+'Compra -HOJA1'!G167</f>
        <v>0</v>
      </c>
      <c r="H94" s="3021" t="str">
        <f t="shared" ref="H94:H97" si="25">IF(G94=0,"S.D.",+IF(AND((F94/G94)&gt;1400,(F94/G94)&lt;=3000),"O.K.","VERIFICAR"))</f>
        <v>S.D.</v>
      </c>
      <c r="I94" s="3019" t="str">
        <f t="shared" si="15"/>
        <v xml:space="preserve"> </v>
      </c>
      <c r="J94" s="843"/>
      <c r="K94" s="3018"/>
      <c r="L94" s="10"/>
      <c r="M94" s="834"/>
      <c r="N94" s="675"/>
      <c r="O94" s="675"/>
      <c r="P94" s="841"/>
      <c r="Q94" s="675"/>
      <c r="R94" s="3015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</row>
    <row r="95" spans="1:29" ht="93.75" customHeight="1" thickBot="1" x14ac:dyDescent="1.1000000000000001">
      <c r="A95" s="3366"/>
      <c r="B95" s="4896"/>
      <c r="C95" s="4892"/>
      <c r="D95" s="4895" t="s">
        <v>69</v>
      </c>
      <c r="E95" s="4186"/>
      <c r="F95" s="3016">
        <f>+'Compra -HOJA1'!F168</f>
        <v>0</v>
      </c>
      <c r="G95" s="3016">
        <f>+'Compra -HOJA1'!G168</f>
        <v>0</v>
      </c>
      <c r="H95" s="3021" t="str">
        <f t="shared" si="25"/>
        <v>S.D.</v>
      </c>
      <c r="I95" s="3019" t="str">
        <f t="shared" si="15"/>
        <v xml:space="preserve"> </v>
      </c>
      <c r="J95" s="843"/>
      <c r="K95" s="3018"/>
      <c r="L95" s="10"/>
      <c r="M95" s="834"/>
      <c r="N95" s="675"/>
      <c r="O95" s="675"/>
      <c r="P95" s="841"/>
      <c r="Q95" s="675"/>
      <c r="R95" s="3015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</row>
    <row r="96" spans="1:29" ht="93.75" customHeight="1" thickBot="1" x14ac:dyDescent="1.1000000000000001">
      <c r="A96" s="3366"/>
      <c r="B96" s="4896"/>
      <c r="C96" s="4891" t="s">
        <v>826</v>
      </c>
      <c r="D96" s="4893" t="s">
        <v>68</v>
      </c>
      <c r="E96" s="4894"/>
      <c r="F96" s="3016">
        <f>+'Compra -HOJA1'!F169</f>
        <v>0</v>
      </c>
      <c r="G96" s="3016">
        <f>+'Compra -HOJA1'!G169</f>
        <v>0</v>
      </c>
      <c r="H96" s="3021" t="str">
        <f t="shared" si="25"/>
        <v>S.D.</v>
      </c>
      <c r="I96" s="3019" t="str">
        <f t="shared" si="15"/>
        <v xml:space="preserve"> </v>
      </c>
      <c r="J96" s="843"/>
      <c r="K96" s="3018"/>
      <c r="L96" s="10"/>
      <c r="M96" s="834"/>
      <c r="N96" s="675"/>
      <c r="O96" s="675"/>
      <c r="P96" s="841"/>
      <c r="Q96" s="675"/>
      <c r="R96" s="3015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</row>
    <row r="97" spans="1:29" ht="93.75" customHeight="1" thickBot="1" x14ac:dyDescent="1.1000000000000001">
      <c r="A97" s="3366"/>
      <c r="B97" s="4897"/>
      <c r="C97" s="4892"/>
      <c r="D97" s="4895" t="s">
        <v>69</v>
      </c>
      <c r="E97" s="4186"/>
      <c r="F97" s="3016">
        <f>+'Compra -HOJA1'!F171</f>
        <v>0</v>
      </c>
      <c r="G97" s="3016">
        <f>+'Compra -HOJA1'!G171</f>
        <v>0</v>
      </c>
      <c r="H97" s="3021" t="str">
        <f t="shared" si="25"/>
        <v>S.D.</v>
      </c>
      <c r="I97" s="3019" t="str">
        <f t="shared" si="15"/>
        <v xml:space="preserve"> </v>
      </c>
      <c r="J97" s="843"/>
      <c r="K97" s="3018"/>
      <c r="L97" s="10"/>
      <c r="M97" s="834"/>
      <c r="N97" s="675"/>
      <c r="O97" s="675"/>
      <c r="P97" s="841"/>
      <c r="Q97" s="675"/>
      <c r="R97" s="3015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</row>
    <row r="98" spans="1:29" ht="57.75" customHeight="1" thickBot="1" x14ac:dyDescent="0.25">
      <c r="A98" s="3810" t="s">
        <v>190</v>
      </c>
      <c r="B98" s="3811"/>
      <c r="C98" s="3811"/>
      <c r="D98" s="3811"/>
      <c r="E98" s="3812"/>
      <c r="F98" s="3022">
        <f>SUM(F48:F97)</f>
        <v>0</v>
      </c>
      <c r="G98" s="3022">
        <f>SUM(G48:G97)</f>
        <v>0</v>
      </c>
      <c r="H98" s="164"/>
      <c r="I98" s="3023"/>
      <c r="J98" s="3024"/>
      <c r="K98" s="3025"/>
      <c r="L98" s="3026"/>
      <c r="M98" s="3027"/>
      <c r="N98" s="3028"/>
      <c r="O98" s="3028"/>
      <c r="P98" s="3029"/>
      <c r="Q98" s="3028"/>
      <c r="R98" s="303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</row>
    <row r="99" spans="1:29" ht="30.75" customHeight="1" thickBot="1" x14ac:dyDescent="0.4">
      <c r="D99" s="852"/>
      <c r="E99" s="853" t="s">
        <v>597</v>
      </c>
      <c r="F99" s="854" t="str">
        <f>+IF((F98-F293)=0," O.K.", (F98-F293))</f>
        <v xml:space="preserve"> O.K.</v>
      </c>
      <c r="G99" s="854" t="str">
        <f>+IF((G98-G293)=0," O.K.", (G98-G293))</f>
        <v xml:space="preserve"> O.K.</v>
      </c>
      <c r="H99" s="3031"/>
      <c r="I99" s="843"/>
      <c r="J99" s="843"/>
      <c r="K99" s="2146"/>
      <c r="L99" s="10"/>
      <c r="M99" s="834"/>
      <c r="N99" s="675"/>
      <c r="O99" s="675"/>
      <c r="P99" s="841"/>
      <c r="Q99" s="675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</row>
    <row r="100" spans="1:29" ht="30.75" customHeight="1" x14ac:dyDescent="0.35">
      <c r="D100" s="852"/>
      <c r="E100" s="853"/>
      <c r="F100" s="854"/>
      <c r="G100" s="3118"/>
      <c r="H100" s="3118"/>
      <c r="I100" s="843"/>
      <c r="J100" s="843"/>
      <c r="K100" s="2146"/>
      <c r="L100" s="10"/>
      <c r="M100" s="834"/>
      <c r="N100" s="675"/>
      <c r="O100" s="675"/>
      <c r="P100" s="841"/>
      <c r="Q100" s="675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</row>
    <row r="101" spans="1:29" ht="30.75" customHeight="1" x14ac:dyDescent="0.55000000000000004">
      <c r="D101" s="852"/>
      <c r="E101" s="3119" t="s">
        <v>762</v>
      </c>
      <c r="F101" s="3120">
        <f>+F90+F82+F74+F61+F60+F49+F48</f>
        <v>0</v>
      </c>
      <c r="G101" s="3120">
        <f>+G90+G82+G74+G61+G60+G49+G48</f>
        <v>0</v>
      </c>
      <c r="H101" s="3118"/>
      <c r="I101" s="843"/>
      <c r="J101" s="843"/>
      <c r="K101" s="2146"/>
      <c r="L101" s="10"/>
      <c r="M101" s="834"/>
      <c r="N101" s="675"/>
      <c r="O101" s="675"/>
      <c r="P101" s="841"/>
      <c r="Q101" s="675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</row>
    <row r="102" spans="1:29" ht="30.75" customHeight="1" x14ac:dyDescent="0.55000000000000004">
      <c r="D102" s="852"/>
      <c r="E102" s="3119" t="s">
        <v>778</v>
      </c>
      <c r="F102" s="3120">
        <f>+F50+F51+F63+F64+F76+F84+F92</f>
        <v>0</v>
      </c>
      <c r="G102" s="3120">
        <f>+G50+G51+G63+G64+G76+G84+G92</f>
        <v>0</v>
      </c>
      <c r="H102" s="3118"/>
      <c r="I102" s="843"/>
      <c r="J102" s="843"/>
      <c r="K102" s="2146"/>
      <c r="L102" s="10"/>
      <c r="M102" s="834"/>
      <c r="N102" s="675"/>
      <c r="O102" s="675"/>
      <c r="P102" s="841"/>
      <c r="Q102" s="675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</row>
    <row r="103" spans="1:29" ht="30.75" customHeight="1" x14ac:dyDescent="0.35">
      <c r="D103" s="852"/>
      <c r="E103" s="853"/>
      <c r="F103" s="854">
        <f>SUM(F101:F102)</f>
        <v>0</v>
      </c>
      <c r="G103" s="3118"/>
      <c r="H103" s="3118"/>
      <c r="I103" s="843"/>
      <c r="J103" s="843"/>
      <c r="K103" s="2146"/>
      <c r="L103" s="10"/>
      <c r="M103" s="834"/>
      <c r="N103" s="675"/>
      <c r="O103" s="675"/>
      <c r="P103" s="841"/>
      <c r="Q103" s="675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</row>
    <row r="104" spans="1:29" ht="30.75" customHeight="1" thickBot="1" x14ac:dyDescent="0.4">
      <c r="D104" s="852"/>
      <c r="E104" s="853"/>
      <c r="F104" s="854"/>
      <c r="I104" s="843"/>
      <c r="J104" s="843"/>
      <c r="K104" s="2146"/>
      <c r="L104" s="10"/>
      <c r="M104" s="834"/>
      <c r="N104" s="675"/>
      <c r="O104" s="675"/>
      <c r="P104" s="841"/>
      <c r="Q104" s="675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</row>
    <row r="105" spans="1:29" ht="30.75" customHeight="1" x14ac:dyDescent="0.2">
      <c r="A105" s="3816" t="s">
        <v>160</v>
      </c>
      <c r="B105" s="4923"/>
      <c r="C105" s="4923"/>
      <c r="D105" s="4923"/>
      <c r="E105" s="4924"/>
      <c r="F105" s="4920" t="s">
        <v>191</v>
      </c>
      <c r="G105" s="4920" t="s">
        <v>101</v>
      </c>
      <c r="I105" s="4041" t="s">
        <v>192</v>
      </c>
      <c r="J105" s="3934"/>
      <c r="K105" s="3935"/>
      <c r="L105" s="3933" t="s">
        <v>193</v>
      </c>
      <c r="M105" s="3934"/>
      <c r="N105" s="3935"/>
      <c r="O105" s="3763" t="s">
        <v>194</v>
      </c>
      <c r="P105" s="3764"/>
      <c r="Q105" s="3764"/>
      <c r="R105" s="1965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</row>
    <row r="106" spans="1:29" ht="30.75" customHeight="1" x14ac:dyDescent="0.2">
      <c r="A106" s="4081"/>
      <c r="B106" s="4082"/>
      <c r="C106" s="4082"/>
      <c r="D106" s="4082"/>
      <c r="E106" s="4925"/>
      <c r="F106" s="4921"/>
      <c r="G106" s="4921"/>
      <c r="I106" s="1966" t="s">
        <v>5</v>
      </c>
      <c r="J106" s="585" t="s">
        <v>6</v>
      </c>
      <c r="K106" s="585" t="s">
        <v>7</v>
      </c>
      <c r="L106" s="585" t="s">
        <v>5</v>
      </c>
      <c r="M106" s="585" t="s">
        <v>6</v>
      </c>
      <c r="N106" s="585" t="s">
        <v>7</v>
      </c>
      <c r="O106" s="585" t="s">
        <v>5</v>
      </c>
      <c r="P106" s="585" t="s">
        <v>6</v>
      </c>
      <c r="Q106" s="585" t="s">
        <v>7</v>
      </c>
      <c r="R106" s="1967" t="s">
        <v>4</v>
      </c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</row>
    <row r="107" spans="1:29" ht="52.5" customHeight="1" x14ac:dyDescent="0.2">
      <c r="A107" s="4020"/>
      <c r="B107" s="3953" t="s">
        <v>322</v>
      </c>
      <c r="C107" s="3686" t="s">
        <v>821</v>
      </c>
      <c r="D107" s="3911" t="s">
        <v>46</v>
      </c>
      <c r="E107" s="4922"/>
      <c r="F107" s="3032">
        <f t="shared" ref="F107:G110" si="26">+F48</f>
        <v>0</v>
      </c>
      <c r="G107" s="3032">
        <f t="shared" si="26"/>
        <v>0</v>
      </c>
      <c r="H107" s="12"/>
      <c r="I107" s="1968">
        <f>IF(F107=0,0,ROUND($F107*COEF!$J$27,0))</f>
        <v>0</v>
      </c>
      <c r="J107" s="858">
        <f>IF(F107=0,0,ROUND($F107*COEF!$K$27,0))</f>
        <v>0</v>
      </c>
      <c r="K107" s="858">
        <f>IF(F107=0,0,ROUND($F107*COEF!$L$27,0))</f>
        <v>0</v>
      </c>
      <c r="L107" s="859">
        <f ca="1">+ROUND(I107*'Compra -HOJA1'!I$395,0)</f>
        <v>0</v>
      </c>
      <c r="M107" s="859">
        <f ca="1">+ROUND(J107*'Compra -HOJA1'!J$395,0)</f>
        <v>0</v>
      </c>
      <c r="N107" s="859">
        <f ca="1">+ROUND(K107*'Compra -HOJA1'!K$395,0)</f>
        <v>0</v>
      </c>
      <c r="O107" s="860">
        <f t="shared" ref="O107:Q107" ca="1" si="27">I107+L107</f>
        <v>0</v>
      </c>
      <c r="P107" s="860">
        <f t="shared" ca="1" si="27"/>
        <v>0</v>
      </c>
      <c r="Q107" s="860">
        <f t="shared" ca="1" si="27"/>
        <v>0</v>
      </c>
      <c r="R107" s="1969">
        <f t="shared" ref="R107" ca="1" si="28">SUM(O107:Q107)</f>
        <v>0</v>
      </c>
      <c r="S107" s="675">
        <f t="shared" ref="S107:S151" si="29">SUM(I107:K107)</f>
        <v>0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</row>
    <row r="108" spans="1:29" ht="52.5" customHeight="1" x14ac:dyDescent="0.2">
      <c r="A108" s="4020"/>
      <c r="B108" s="3953"/>
      <c r="C108" s="3687"/>
      <c r="D108" s="3911" t="s">
        <v>47</v>
      </c>
      <c r="E108" s="4922"/>
      <c r="F108" s="3032">
        <f t="shared" si="26"/>
        <v>0</v>
      </c>
      <c r="G108" s="3032">
        <f t="shared" si="26"/>
        <v>0</v>
      </c>
      <c r="H108" s="12"/>
      <c r="I108" s="1968">
        <f>IF(F108=0,0,ROUND($F108*COEF!$J$27,0))</f>
        <v>0</v>
      </c>
      <c r="J108" s="858">
        <f>IF(F108=0,0,ROUND($F108*COEF!$K$27,0))</f>
        <v>0</v>
      </c>
      <c r="K108" s="858">
        <f>IF(F108=0,0,ROUND($F108*COEF!$L$27,0))</f>
        <v>0</v>
      </c>
      <c r="L108" s="859">
        <f ca="1">+ROUND(I108*'Compra -HOJA1'!I$395,0)</f>
        <v>0</v>
      </c>
      <c r="M108" s="859">
        <f ca="1">+ROUND(J108*'Compra -HOJA1'!J$395,0)</f>
        <v>0</v>
      </c>
      <c r="N108" s="859">
        <f ca="1">+ROUND(K108*'Compra -HOJA1'!K$395,0)</f>
        <v>0</v>
      </c>
      <c r="O108" s="860">
        <f t="shared" ref="O108:O156" ca="1" si="30">I108+L108</f>
        <v>0</v>
      </c>
      <c r="P108" s="860">
        <f t="shared" ref="P108:P156" ca="1" si="31">J108+M108</f>
        <v>0</v>
      </c>
      <c r="Q108" s="860">
        <f t="shared" ref="Q108:Q156" ca="1" si="32">K108+N108</f>
        <v>0</v>
      </c>
      <c r="R108" s="1969">
        <f t="shared" ref="R108:R156" ca="1" si="33">SUM(O108:Q108)</f>
        <v>0</v>
      </c>
      <c r="S108" s="675">
        <f t="shared" si="29"/>
        <v>0</v>
      </c>
      <c r="T108" s="10"/>
      <c r="U108" s="10"/>
      <c r="V108" s="10"/>
      <c r="W108" s="10"/>
      <c r="X108" s="10"/>
      <c r="Y108" s="10"/>
      <c r="Z108" s="10"/>
      <c r="AA108" s="10"/>
      <c r="AB108" s="10"/>
      <c r="AC108" s="10"/>
    </row>
    <row r="109" spans="1:29" ht="52.5" customHeight="1" x14ac:dyDescent="0.2">
      <c r="A109" s="4020"/>
      <c r="B109" s="3953"/>
      <c r="C109" s="3687"/>
      <c r="D109" s="3651" t="s">
        <v>169</v>
      </c>
      <c r="E109" s="4854"/>
      <c r="F109" s="3032">
        <f t="shared" si="26"/>
        <v>0</v>
      </c>
      <c r="G109" s="3032">
        <f t="shared" si="26"/>
        <v>0</v>
      </c>
      <c r="H109" s="12"/>
      <c r="I109" s="1968">
        <f>IF(F109=0,0,ROUND($F109*COEF!$J$27,0))</f>
        <v>0</v>
      </c>
      <c r="J109" s="858">
        <f>IF(F109=0,0,ROUND($F109*COEF!$K$27,0))</f>
        <v>0</v>
      </c>
      <c r="K109" s="858">
        <f>IF(F109=0,0,ROUND($F109*COEF!$L$27,0))</f>
        <v>0</v>
      </c>
      <c r="L109" s="859">
        <f ca="1">+ROUND(I109*'Compra -HOJA1'!I$395,0)</f>
        <v>0</v>
      </c>
      <c r="M109" s="859">
        <f ca="1">+ROUND(J109*'Compra -HOJA1'!J$395,0)</f>
        <v>0</v>
      </c>
      <c r="N109" s="859">
        <f ca="1">+ROUND(K109*'Compra -HOJA1'!K$395,0)</f>
        <v>0</v>
      </c>
      <c r="O109" s="860">
        <f t="shared" ca="1" si="30"/>
        <v>0</v>
      </c>
      <c r="P109" s="860">
        <f t="shared" ca="1" si="31"/>
        <v>0</v>
      </c>
      <c r="Q109" s="860">
        <f t="shared" ca="1" si="32"/>
        <v>0</v>
      </c>
      <c r="R109" s="1969">
        <f t="shared" ca="1" si="33"/>
        <v>0</v>
      </c>
      <c r="S109" s="675">
        <f t="shared" si="29"/>
        <v>0</v>
      </c>
      <c r="T109" s="10"/>
      <c r="U109" s="10"/>
      <c r="V109" s="10"/>
      <c r="W109" s="10"/>
      <c r="X109" s="10"/>
      <c r="Y109" s="10"/>
      <c r="Z109" s="10"/>
      <c r="AA109" s="10"/>
      <c r="AB109" s="10"/>
      <c r="AC109" s="10"/>
    </row>
    <row r="110" spans="1:29" ht="52.5" customHeight="1" x14ac:dyDescent="0.2">
      <c r="A110" s="4020"/>
      <c r="B110" s="3953"/>
      <c r="C110" s="4096"/>
      <c r="D110" s="3651" t="s">
        <v>49</v>
      </c>
      <c r="E110" s="4854"/>
      <c r="F110" s="3032">
        <f t="shared" si="26"/>
        <v>0</v>
      </c>
      <c r="G110" s="3032">
        <f t="shared" si="26"/>
        <v>0</v>
      </c>
      <c r="H110" s="12"/>
      <c r="I110" s="1968">
        <f>IF(F110=0,0,ROUND($F110*COEF!$J$27,0))</f>
        <v>0</v>
      </c>
      <c r="J110" s="858">
        <f>IF(F110=0,0,ROUND($F110*COEF!$K$27,0))</f>
        <v>0</v>
      </c>
      <c r="K110" s="858">
        <f>IF(F110=0,0,ROUND($F110*COEF!$L$27,0))</f>
        <v>0</v>
      </c>
      <c r="L110" s="859">
        <f ca="1">+ROUND(I110*'Compra -HOJA1'!I$395,0)</f>
        <v>0</v>
      </c>
      <c r="M110" s="859">
        <f ca="1">+ROUND(J110*'Compra -HOJA1'!J$395,0)</f>
        <v>0</v>
      </c>
      <c r="N110" s="859">
        <f ca="1">+ROUND(K110*'Compra -HOJA1'!K$395,0)</f>
        <v>0</v>
      </c>
      <c r="O110" s="860">
        <f t="shared" ca="1" si="30"/>
        <v>0</v>
      </c>
      <c r="P110" s="860">
        <f t="shared" ca="1" si="31"/>
        <v>0</v>
      </c>
      <c r="Q110" s="860">
        <f t="shared" ca="1" si="32"/>
        <v>0</v>
      </c>
      <c r="R110" s="1969">
        <f t="shared" ca="1" si="33"/>
        <v>0</v>
      </c>
      <c r="S110" s="675">
        <f t="shared" si="29"/>
        <v>0</v>
      </c>
      <c r="T110" s="10"/>
      <c r="U110" s="10"/>
      <c r="V110" s="10"/>
      <c r="W110" s="10"/>
      <c r="X110" s="10"/>
      <c r="Y110" s="10"/>
      <c r="Z110" s="10"/>
      <c r="AA110" s="10"/>
      <c r="AB110" s="10"/>
      <c r="AC110" s="10"/>
    </row>
    <row r="111" spans="1:29" ht="52.5" customHeight="1" x14ac:dyDescent="0.2">
      <c r="A111" s="4020"/>
      <c r="B111" s="3953"/>
      <c r="C111" s="3686" t="s">
        <v>822</v>
      </c>
      <c r="D111" s="3911" t="s">
        <v>46</v>
      </c>
      <c r="E111" s="4922"/>
      <c r="F111" s="3032">
        <f t="shared" ref="F111:G111" si="34">+F52</f>
        <v>0</v>
      </c>
      <c r="G111" s="3032">
        <f t="shared" si="34"/>
        <v>0</v>
      </c>
      <c r="H111" s="12"/>
      <c r="I111" s="1968">
        <f>IF(F111=0,0,ROUND($F111*COEF!$J$27,0))</f>
        <v>0</v>
      </c>
      <c r="J111" s="858">
        <f>IF(F111=0,0,ROUND($F111*COEF!$K$27,0))</f>
        <v>0</v>
      </c>
      <c r="K111" s="858">
        <f>IF(F111=0,0,ROUND($F111*COEF!$L$27,0))</f>
        <v>0</v>
      </c>
      <c r="L111" s="859">
        <f ca="1">+ROUND(I111*'Compra -HOJA1'!I$395,0)</f>
        <v>0</v>
      </c>
      <c r="M111" s="859">
        <f ca="1">+ROUND(J111*'Compra -HOJA1'!J$395,0)</f>
        <v>0</v>
      </c>
      <c r="N111" s="859">
        <f ca="1">+ROUND(K111*'Compra -HOJA1'!K$395,0)</f>
        <v>0</v>
      </c>
      <c r="O111" s="860">
        <f t="shared" ca="1" si="30"/>
        <v>0</v>
      </c>
      <c r="P111" s="860">
        <f t="shared" ca="1" si="31"/>
        <v>0</v>
      </c>
      <c r="Q111" s="860">
        <f t="shared" ca="1" si="32"/>
        <v>0</v>
      </c>
      <c r="R111" s="1969">
        <f t="shared" ca="1" si="33"/>
        <v>0</v>
      </c>
      <c r="S111" s="67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</row>
    <row r="112" spans="1:29" ht="52.5" customHeight="1" x14ac:dyDescent="0.2">
      <c r="A112" s="4020"/>
      <c r="B112" s="3953"/>
      <c r="C112" s="3687"/>
      <c r="D112" s="3911" t="s">
        <v>47</v>
      </c>
      <c r="E112" s="4922"/>
      <c r="F112" s="3032">
        <f t="shared" ref="F112:G112" si="35">+F53</f>
        <v>0</v>
      </c>
      <c r="G112" s="3032">
        <f t="shared" si="35"/>
        <v>0</v>
      </c>
      <c r="H112" s="12"/>
      <c r="I112" s="1968">
        <f>IF(F112=0,0,ROUND($F112*COEF!$J$27,0))</f>
        <v>0</v>
      </c>
      <c r="J112" s="858">
        <f>IF(F112=0,0,ROUND($F112*COEF!$K$27,0))</f>
        <v>0</v>
      </c>
      <c r="K112" s="858">
        <f>IF(F112=0,0,ROUND($F112*COEF!$L$27,0))</f>
        <v>0</v>
      </c>
      <c r="L112" s="859">
        <f ca="1">+ROUND(I112*'Compra -HOJA1'!I$395,0)</f>
        <v>0</v>
      </c>
      <c r="M112" s="859">
        <f ca="1">+ROUND(J112*'Compra -HOJA1'!J$395,0)</f>
        <v>0</v>
      </c>
      <c r="N112" s="859">
        <f ca="1">+ROUND(K112*'Compra -HOJA1'!K$395,0)</f>
        <v>0</v>
      </c>
      <c r="O112" s="860">
        <f t="shared" ca="1" si="30"/>
        <v>0</v>
      </c>
      <c r="P112" s="860">
        <f t="shared" ca="1" si="31"/>
        <v>0</v>
      </c>
      <c r="Q112" s="860">
        <f t="shared" ca="1" si="32"/>
        <v>0</v>
      </c>
      <c r="R112" s="1969">
        <f t="shared" ca="1" si="33"/>
        <v>0</v>
      </c>
      <c r="S112" s="67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</row>
    <row r="113" spans="1:29" ht="52.5" customHeight="1" x14ac:dyDescent="0.2">
      <c r="A113" s="4020"/>
      <c r="B113" s="3953"/>
      <c r="C113" s="3687"/>
      <c r="D113" s="3651" t="s">
        <v>169</v>
      </c>
      <c r="E113" s="4854"/>
      <c r="F113" s="3032">
        <f t="shared" ref="F113:G113" si="36">+F54</f>
        <v>0</v>
      </c>
      <c r="G113" s="3032">
        <f t="shared" si="36"/>
        <v>0</v>
      </c>
      <c r="H113" s="12"/>
      <c r="I113" s="1968">
        <f>IF(F113=0,0,ROUND($F113*COEF!$J$27,0))</f>
        <v>0</v>
      </c>
      <c r="J113" s="858">
        <f>IF(F113=0,0,ROUND($F113*COEF!$K$27,0))</f>
        <v>0</v>
      </c>
      <c r="K113" s="858">
        <f>IF(F113=0,0,ROUND($F113*COEF!$L$27,0))</f>
        <v>0</v>
      </c>
      <c r="L113" s="859">
        <f ca="1">+ROUND(I113*'Compra -HOJA1'!I$395,0)</f>
        <v>0</v>
      </c>
      <c r="M113" s="859">
        <f ca="1">+ROUND(J113*'Compra -HOJA1'!J$395,0)</f>
        <v>0</v>
      </c>
      <c r="N113" s="859">
        <f ca="1">+ROUND(K113*'Compra -HOJA1'!K$395,0)</f>
        <v>0</v>
      </c>
      <c r="O113" s="860">
        <f t="shared" ca="1" si="30"/>
        <v>0</v>
      </c>
      <c r="P113" s="860">
        <f t="shared" ca="1" si="31"/>
        <v>0</v>
      </c>
      <c r="Q113" s="860">
        <f t="shared" ca="1" si="32"/>
        <v>0</v>
      </c>
      <c r="R113" s="1969">
        <f t="shared" ca="1" si="33"/>
        <v>0</v>
      </c>
      <c r="S113" s="675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</row>
    <row r="114" spans="1:29" ht="52.5" customHeight="1" x14ac:dyDescent="0.2">
      <c r="A114" s="4020"/>
      <c r="B114" s="3953"/>
      <c r="C114" s="4096"/>
      <c r="D114" s="3651" t="s">
        <v>49</v>
      </c>
      <c r="E114" s="4854"/>
      <c r="F114" s="3032">
        <f t="shared" ref="F114:G114" si="37">+F55</f>
        <v>0</v>
      </c>
      <c r="G114" s="3032">
        <f t="shared" si="37"/>
        <v>0</v>
      </c>
      <c r="H114" s="12"/>
      <c r="I114" s="1968">
        <f>IF(F114=0,0,ROUND($F114*COEF!$J$27,0))</f>
        <v>0</v>
      </c>
      <c r="J114" s="858">
        <f>IF(F114=0,0,ROUND($F114*COEF!$K$27,0))</f>
        <v>0</v>
      </c>
      <c r="K114" s="858">
        <f>IF(F114=0,0,ROUND($F114*COEF!$L$27,0))</f>
        <v>0</v>
      </c>
      <c r="L114" s="859">
        <f ca="1">+ROUND(I114*'Compra -HOJA1'!I$395,0)</f>
        <v>0</v>
      </c>
      <c r="M114" s="859">
        <f ca="1">+ROUND(J114*'Compra -HOJA1'!J$395,0)</f>
        <v>0</v>
      </c>
      <c r="N114" s="859">
        <f ca="1">+ROUND(K114*'Compra -HOJA1'!K$395,0)</f>
        <v>0</v>
      </c>
      <c r="O114" s="860">
        <f t="shared" ca="1" si="30"/>
        <v>0</v>
      </c>
      <c r="P114" s="860">
        <f t="shared" ca="1" si="31"/>
        <v>0</v>
      </c>
      <c r="Q114" s="860">
        <f t="shared" ca="1" si="32"/>
        <v>0</v>
      </c>
      <c r="R114" s="1969">
        <f t="shared" ca="1" si="33"/>
        <v>0</v>
      </c>
      <c r="S114" s="675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</row>
    <row r="115" spans="1:29" ht="52.5" customHeight="1" x14ac:dyDescent="0.2">
      <c r="A115" s="4020"/>
      <c r="B115" s="3953"/>
      <c r="C115" s="3686" t="s">
        <v>823</v>
      </c>
      <c r="D115" s="3911" t="s">
        <v>46</v>
      </c>
      <c r="E115" s="4922"/>
      <c r="F115" s="3032">
        <f t="shared" ref="F115:G115" si="38">+F56</f>
        <v>0</v>
      </c>
      <c r="G115" s="3032">
        <f t="shared" si="38"/>
        <v>0</v>
      </c>
      <c r="H115" s="12"/>
      <c r="I115" s="1968">
        <f>IF(F115=0,0,ROUND($F115*COEF!$J$27,0))</f>
        <v>0</v>
      </c>
      <c r="J115" s="858">
        <f>IF(F115=0,0,ROUND($F115*COEF!$K$27,0))</f>
        <v>0</v>
      </c>
      <c r="K115" s="858">
        <f>IF(F115=0,0,ROUND($F115*COEF!$L$27,0))</f>
        <v>0</v>
      </c>
      <c r="L115" s="859">
        <f ca="1">+ROUND(I115*'Compra -HOJA1'!I$395,0)</f>
        <v>0</v>
      </c>
      <c r="M115" s="859">
        <f ca="1">+ROUND(J115*'Compra -HOJA1'!J$395,0)</f>
        <v>0</v>
      </c>
      <c r="N115" s="859">
        <f ca="1">+ROUND(K115*'Compra -HOJA1'!K$395,0)</f>
        <v>0</v>
      </c>
      <c r="O115" s="860">
        <f t="shared" ca="1" si="30"/>
        <v>0</v>
      </c>
      <c r="P115" s="860">
        <f t="shared" ca="1" si="31"/>
        <v>0</v>
      </c>
      <c r="Q115" s="860">
        <f t="shared" ca="1" si="32"/>
        <v>0</v>
      </c>
      <c r="R115" s="1969">
        <f t="shared" ca="1" si="33"/>
        <v>0</v>
      </c>
      <c r="S115" s="675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</row>
    <row r="116" spans="1:29" ht="52.5" customHeight="1" x14ac:dyDescent="0.2">
      <c r="A116" s="4020"/>
      <c r="B116" s="3953"/>
      <c r="C116" s="3687"/>
      <c r="D116" s="3911" t="s">
        <v>47</v>
      </c>
      <c r="E116" s="4922"/>
      <c r="F116" s="3032">
        <f t="shared" ref="F116:G116" si="39">+F57</f>
        <v>0</v>
      </c>
      <c r="G116" s="3032">
        <f t="shared" si="39"/>
        <v>0</v>
      </c>
      <c r="H116" s="12"/>
      <c r="I116" s="1968">
        <f>IF(F116=0,0,ROUND($F116*COEF!$J$27,0))</f>
        <v>0</v>
      </c>
      <c r="J116" s="858">
        <f>IF(F116=0,0,ROUND($F116*COEF!$K$27,0))</f>
        <v>0</v>
      </c>
      <c r="K116" s="858">
        <f>IF(F116=0,0,ROUND($F116*COEF!$L$27,0))</f>
        <v>0</v>
      </c>
      <c r="L116" s="859">
        <f ca="1">+ROUND(I116*'Compra -HOJA1'!I$395,0)</f>
        <v>0</v>
      </c>
      <c r="M116" s="859">
        <f ca="1">+ROUND(J116*'Compra -HOJA1'!J$395,0)</f>
        <v>0</v>
      </c>
      <c r="N116" s="859">
        <f ca="1">+ROUND(K116*'Compra -HOJA1'!K$395,0)</f>
        <v>0</v>
      </c>
      <c r="O116" s="860">
        <f t="shared" ca="1" si="30"/>
        <v>0</v>
      </c>
      <c r="P116" s="860">
        <f t="shared" ca="1" si="31"/>
        <v>0</v>
      </c>
      <c r="Q116" s="860">
        <f t="shared" ca="1" si="32"/>
        <v>0</v>
      </c>
      <c r="R116" s="1969">
        <f t="shared" ca="1" si="33"/>
        <v>0</v>
      </c>
      <c r="S116" s="675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</row>
    <row r="117" spans="1:29" ht="52.5" customHeight="1" x14ac:dyDescent="0.2">
      <c r="A117" s="4020"/>
      <c r="B117" s="3953"/>
      <c r="C117" s="3687"/>
      <c r="D117" s="3651" t="s">
        <v>169</v>
      </c>
      <c r="E117" s="4854"/>
      <c r="F117" s="3032">
        <f t="shared" ref="F117:G117" si="40">+F58</f>
        <v>0</v>
      </c>
      <c r="G117" s="3032">
        <f t="shared" si="40"/>
        <v>0</v>
      </c>
      <c r="H117" s="12"/>
      <c r="I117" s="1968">
        <f>IF(F117=0,0,ROUND($F117*COEF!$J$27,0))</f>
        <v>0</v>
      </c>
      <c r="J117" s="858">
        <f>IF(F117=0,0,ROUND($F117*COEF!$K$27,0))</f>
        <v>0</v>
      </c>
      <c r="K117" s="858">
        <f>IF(F117=0,0,ROUND($F117*COEF!$L$27,0))</f>
        <v>0</v>
      </c>
      <c r="L117" s="859">
        <f ca="1">+ROUND(I117*'Compra -HOJA1'!I$395,0)</f>
        <v>0</v>
      </c>
      <c r="M117" s="859">
        <f ca="1">+ROUND(J117*'Compra -HOJA1'!J$395,0)</f>
        <v>0</v>
      </c>
      <c r="N117" s="859">
        <f ca="1">+ROUND(K117*'Compra -HOJA1'!K$395,0)</f>
        <v>0</v>
      </c>
      <c r="O117" s="860">
        <f t="shared" ca="1" si="30"/>
        <v>0</v>
      </c>
      <c r="P117" s="860">
        <f t="shared" ca="1" si="31"/>
        <v>0</v>
      </c>
      <c r="Q117" s="860">
        <f t="shared" ca="1" si="32"/>
        <v>0</v>
      </c>
      <c r="R117" s="1969">
        <f t="shared" ca="1" si="33"/>
        <v>0</v>
      </c>
      <c r="S117" s="675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</row>
    <row r="118" spans="1:29" ht="52.5" customHeight="1" x14ac:dyDescent="0.2">
      <c r="A118" s="4020"/>
      <c r="B118" s="3953"/>
      <c r="C118" s="4096"/>
      <c r="D118" s="3651" t="s">
        <v>49</v>
      </c>
      <c r="E118" s="4854"/>
      <c r="F118" s="3032">
        <f t="shared" ref="F118:G118" si="41">+F59</f>
        <v>0</v>
      </c>
      <c r="G118" s="3032">
        <f t="shared" si="41"/>
        <v>0</v>
      </c>
      <c r="H118" s="12"/>
      <c r="I118" s="1968">
        <f>IF(F118=0,0,ROUND($F118*COEF!$J$27,0))</f>
        <v>0</v>
      </c>
      <c r="J118" s="858">
        <f>IF(F118=0,0,ROUND($F118*COEF!$K$27,0))</f>
        <v>0</v>
      </c>
      <c r="K118" s="858">
        <f>IF(F118=0,0,ROUND($F118*COEF!$L$27,0))</f>
        <v>0</v>
      </c>
      <c r="L118" s="859">
        <f ca="1">+ROUND(I118*'Compra -HOJA1'!I$395,0)</f>
        <v>0</v>
      </c>
      <c r="M118" s="859">
        <f ca="1">+ROUND(J118*'Compra -HOJA1'!J$395,0)</f>
        <v>0</v>
      </c>
      <c r="N118" s="859">
        <f ca="1">+ROUND(K118*'Compra -HOJA1'!K$395,0)</f>
        <v>0</v>
      </c>
      <c r="O118" s="860">
        <f t="shared" ca="1" si="30"/>
        <v>0</v>
      </c>
      <c r="P118" s="860">
        <f t="shared" ca="1" si="31"/>
        <v>0</v>
      </c>
      <c r="Q118" s="860">
        <f t="shared" ca="1" si="32"/>
        <v>0</v>
      </c>
      <c r="R118" s="1969">
        <f t="shared" ca="1" si="33"/>
        <v>0</v>
      </c>
      <c r="S118" s="675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</row>
    <row r="119" spans="1:29" ht="52.5" customHeight="1" x14ac:dyDescent="0.2">
      <c r="A119" s="4020"/>
      <c r="B119" s="4018" t="s">
        <v>323</v>
      </c>
      <c r="C119" s="3686" t="s">
        <v>821</v>
      </c>
      <c r="D119" s="3649" t="s">
        <v>53</v>
      </c>
      <c r="E119" s="4853"/>
      <c r="F119" s="3032">
        <f t="shared" ref="F119:G124" si="42">+F60</f>
        <v>0</v>
      </c>
      <c r="G119" s="3032">
        <f t="shared" si="42"/>
        <v>0</v>
      </c>
      <c r="H119" s="12"/>
      <c r="I119" s="1968">
        <f>IF(F119=0,0,ROUND($F119*COEF!$J$27,0))</f>
        <v>0</v>
      </c>
      <c r="J119" s="858">
        <f>IF(F119=0,0,ROUND($F119*COEF!$K$27,0))</f>
        <v>0</v>
      </c>
      <c r="K119" s="858">
        <f>IF(F119=0,0,ROUND($F119*COEF!$L$27,0))</f>
        <v>0</v>
      </c>
      <c r="L119" s="859">
        <f ca="1">+ROUND(I119*'Compra -HOJA1'!I$395,0)</f>
        <v>0</v>
      </c>
      <c r="M119" s="859">
        <f ca="1">+ROUND(J119*'Compra -HOJA1'!J$395,0)</f>
        <v>0</v>
      </c>
      <c r="N119" s="859">
        <f ca="1">+ROUND(K119*'Compra -HOJA1'!K$395,0)</f>
        <v>0</v>
      </c>
      <c r="O119" s="860">
        <f t="shared" ca="1" si="30"/>
        <v>0</v>
      </c>
      <c r="P119" s="860">
        <f t="shared" ca="1" si="31"/>
        <v>0</v>
      </c>
      <c r="Q119" s="860">
        <f t="shared" ca="1" si="32"/>
        <v>0</v>
      </c>
      <c r="R119" s="1969">
        <f t="shared" ca="1" si="33"/>
        <v>0</v>
      </c>
      <c r="S119" s="675">
        <f t="shared" si="29"/>
        <v>0</v>
      </c>
      <c r="T119" s="10"/>
      <c r="U119" s="10"/>
      <c r="V119" s="10"/>
      <c r="W119" s="10"/>
      <c r="X119" s="10"/>
      <c r="Y119" s="10"/>
      <c r="Z119" s="10"/>
      <c r="AA119" s="10"/>
      <c r="AB119" s="10"/>
      <c r="AC119" s="10"/>
    </row>
    <row r="120" spans="1:29" ht="52.5" customHeight="1" x14ac:dyDescent="0.2">
      <c r="A120" s="4020"/>
      <c r="B120" s="4018"/>
      <c r="C120" s="3687"/>
      <c r="D120" s="3649" t="s">
        <v>54</v>
      </c>
      <c r="E120" s="4853"/>
      <c r="F120" s="3032">
        <f t="shared" si="42"/>
        <v>0</v>
      </c>
      <c r="G120" s="3032">
        <f t="shared" si="42"/>
        <v>0</v>
      </c>
      <c r="H120" s="12"/>
      <c r="I120" s="1968">
        <f>IF(F120=0,0,ROUND($F120*COEF!$J$27,0))</f>
        <v>0</v>
      </c>
      <c r="J120" s="858">
        <f>IF(F120=0,0,ROUND($F120*COEF!$K$27,0))</f>
        <v>0</v>
      </c>
      <c r="K120" s="858">
        <f>IF(F120=0,0,ROUND($F120*COEF!$L$27,0))</f>
        <v>0</v>
      </c>
      <c r="L120" s="859">
        <f ca="1">+ROUND(I120*'Compra -HOJA1'!I$395,0)</f>
        <v>0</v>
      </c>
      <c r="M120" s="859">
        <f ca="1">+ROUND(J120*'Compra -HOJA1'!J$395,0)</f>
        <v>0</v>
      </c>
      <c r="N120" s="859">
        <f ca="1">+ROUND(K120*'Compra -HOJA1'!K$395,0)</f>
        <v>0</v>
      </c>
      <c r="O120" s="860">
        <f t="shared" ca="1" si="30"/>
        <v>0</v>
      </c>
      <c r="P120" s="860">
        <f t="shared" ca="1" si="31"/>
        <v>0</v>
      </c>
      <c r="Q120" s="860">
        <f t="shared" ca="1" si="32"/>
        <v>0</v>
      </c>
      <c r="R120" s="1969">
        <f t="shared" ca="1" si="33"/>
        <v>0</v>
      </c>
      <c r="S120" s="675">
        <f t="shared" si="29"/>
        <v>0</v>
      </c>
      <c r="T120" s="10"/>
      <c r="U120" s="10"/>
      <c r="V120" s="10"/>
      <c r="W120" s="10"/>
      <c r="X120" s="10"/>
      <c r="Y120" s="10"/>
      <c r="Z120" s="10"/>
      <c r="AA120" s="10"/>
      <c r="AB120" s="10"/>
      <c r="AC120" s="10"/>
    </row>
    <row r="121" spans="1:29" ht="52.5" customHeight="1" x14ac:dyDescent="0.2">
      <c r="A121" s="4020"/>
      <c r="B121" s="4018"/>
      <c r="C121" s="3687"/>
      <c r="D121" s="4093" t="s">
        <v>54</v>
      </c>
      <c r="E121" s="4865"/>
      <c r="F121" s="3032">
        <f t="shared" si="42"/>
        <v>0</v>
      </c>
      <c r="G121" s="3032">
        <f t="shared" si="42"/>
        <v>0</v>
      </c>
      <c r="H121" s="3560"/>
      <c r="I121" s="1968">
        <f>IF(F121=0,0,ROUND($F121*COEF!$J$27,0))</f>
        <v>0</v>
      </c>
      <c r="J121" s="858">
        <f>IF(F121=0,0,ROUND($F121*COEF!$K$27,0))</f>
        <v>0</v>
      </c>
      <c r="K121" s="858">
        <f>IF(F121=0,0,ROUND($F121*COEF!$L$27,0))</f>
        <v>0</v>
      </c>
      <c r="L121" s="859">
        <f ca="1">+ROUND(I121*'Compra -HOJA1'!I$395,0)</f>
        <v>0</v>
      </c>
      <c r="M121" s="859">
        <f ca="1">+ROUND(J121*'Compra -HOJA1'!J$395,0)</f>
        <v>0</v>
      </c>
      <c r="N121" s="859">
        <f ca="1">+ROUND(K121*'Compra -HOJA1'!K$395,0)</f>
        <v>0</v>
      </c>
      <c r="O121" s="860">
        <f t="shared" ca="1" si="30"/>
        <v>0</v>
      </c>
      <c r="P121" s="860">
        <f t="shared" ca="1" si="31"/>
        <v>0</v>
      </c>
      <c r="Q121" s="860">
        <f t="shared" ca="1" si="32"/>
        <v>0</v>
      </c>
      <c r="R121" s="1969">
        <f t="shared" ca="1" si="33"/>
        <v>0</v>
      </c>
      <c r="S121" s="675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</row>
    <row r="122" spans="1:29" ht="52.5" customHeight="1" x14ac:dyDescent="0.2">
      <c r="A122" s="4020"/>
      <c r="B122" s="4018"/>
      <c r="C122" s="3687"/>
      <c r="D122" s="3651" t="s">
        <v>55</v>
      </c>
      <c r="E122" s="4854"/>
      <c r="F122" s="3032">
        <f t="shared" si="42"/>
        <v>0</v>
      </c>
      <c r="G122" s="3032">
        <f t="shared" si="42"/>
        <v>0</v>
      </c>
      <c r="H122" s="12"/>
      <c r="I122" s="1968">
        <f>IF(F122=0,0,ROUND($F122*COEF!$J$27,0))</f>
        <v>0</v>
      </c>
      <c r="J122" s="858">
        <f>IF(F122=0,0,ROUND($F122*COEF!$K$27,0))</f>
        <v>0</v>
      </c>
      <c r="K122" s="858">
        <f>IF(F122=0,0,ROUND($F122*COEF!$L$27,0))</f>
        <v>0</v>
      </c>
      <c r="L122" s="859">
        <f ca="1">+ROUND(I122*'Compra -HOJA1'!I$395,0)</f>
        <v>0</v>
      </c>
      <c r="M122" s="859">
        <f ca="1">+ROUND(J122*'Compra -HOJA1'!J$395,0)</f>
        <v>0</v>
      </c>
      <c r="N122" s="859">
        <f ca="1">+ROUND(K122*'Compra -HOJA1'!K$395,0)</f>
        <v>0</v>
      </c>
      <c r="O122" s="860">
        <f t="shared" ca="1" si="30"/>
        <v>0</v>
      </c>
      <c r="P122" s="860">
        <f t="shared" ca="1" si="31"/>
        <v>0</v>
      </c>
      <c r="Q122" s="860">
        <f t="shared" ca="1" si="32"/>
        <v>0</v>
      </c>
      <c r="R122" s="1969">
        <f t="shared" ca="1" si="33"/>
        <v>0</v>
      </c>
      <c r="S122" s="675">
        <f t="shared" si="29"/>
        <v>0</v>
      </c>
      <c r="T122" s="10"/>
      <c r="U122" s="10"/>
      <c r="V122" s="10"/>
      <c r="W122" s="10"/>
      <c r="X122" s="10"/>
      <c r="Y122" s="10"/>
      <c r="Z122" s="10"/>
      <c r="AA122" s="10"/>
      <c r="AB122" s="10"/>
      <c r="AC122" s="10"/>
    </row>
    <row r="123" spans="1:29" ht="52.5" customHeight="1" x14ac:dyDescent="0.2">
      <c r="A123" s="4020"/>
      <c r="B123" s="4018"/>
      <c r="C123" s="4096"/>
      <c r="D123" s="3651" t="s">
        <v>56</v>
      </c>
      <c r="E123" s="4854"/>
      <c r="F123" s="3032">
        <f t="shared" si="42"/>
        <v>0</v>
      </c>
      <c r="G123" s="3032">
        <f t="shared" si="42"/>
        <v>0</v>
      </c>
      <c r="H123" s="12"/>
      <c r="I123" s="1968">
        <f>IF(F123=0,0,ROUND($F123*COEF!$J$27,0))</f>
        <v>0</v>
      </c>
      <c r="J123" s="858">
        <f>IF(F123=0,0,ROUND($F123*COEF!$K$27,0))</f>
        <v>0</v>
      </c>
      <c r="K123" s="858">
        <f>IF(F123=0,0,ROUND($F123*COEF!$L$27,0))</f>
        <v>0</v>
      </c>
      <c r="L123" s="859">
        <f ca="1">+ROUND(I123*'Compra -HOJA1'!I$395,0)</f>
        <v>0</v>
      </c>
      <c r="M123" s="859">
        <f ca="1">+ROUND(J123*'Compra -HOJA1'!J$395,0)</f>
        <v>0</v>
      </c>
      <c r="N123" s="859">
        <f ca="1">+ROUND(K123*'Compra -HOJA1'!K$395,0)</f>
        <v>0</v>
      </c>
      <c r="O123" s="860">
        <f t="shared" ca="1" si="30"/>
        <v>0</v>
      </c>
      <c r="P123" s="860">
        <f t="shared" ca="1" si="31"/>
        <v>0</v>
      </c>
      <c r="Q123" s="860">
        <f t="shared" ca="1" si="32"/>
        <v>0</v>
      </c>
      <c r="R123" s="1969">
        <f t="shared" ca="1" si="33"/>
        <v>0</v>
      </c>
      <c r="S123" s="675">
        <f t="shared" si="29"/>
        <v>0</v>
      </c>
      <c r="T123" s="10"/>
      <c r="U123" s="10"/>
      <c r="V123" s="10"/>
      <c r="W123" s="10"/>
      <c r="X123" s="10"/>
      <c r="Y123" s="10"/>
      <c r="Z123" s="10"/>
      <c r="AA123" s="10"/>
      <c r="AB123" s="10"/>
      <c r="AC123" s="10"/>
    </row>
    <row r="124" spans="1:29" ht="52.5" customHeight="1" x14ac:dyDescent="0.2">
      <c r="A124" s="4020"/>
      <c r="B124" s="4018"/>
      <c r="C124" s="3498"/>
      <c r="D124" s="4095" t="s">
        <v>56</v>
      </c>
      <c r="E124" s="4866"/>
      <c r="F124" s="3032">
        <f t="shared" si="42"/>
        <v>0</v>
      </c>
      <c r="G124" s="3032">
        <f t="shared" si="42"/>
        <v>0</v>
      </c>
      <c r="H124" s="3560"/>
      <c r="I124" s="1968">
        <f>IF(F124=0,0,ROUND($F124*COEF!$J$27,0))</f>
        <v>0</v>
      </c>
      <c r="J124" s="858">
        <f>IF(F124=0,0,ROUND($F124*COEF!$K$27,0))</f>
        <v>0</v>
      </c>
      <c r="K124" s="858">
        <f>IF(F124=0,0,ROUND($F124*COEF!$L$27,0))</f>
        <v>0</v>
      </c>
      <c r="L124" s="859">
        <f ca="1">+ROUND(I124*'Compra -HOJA1'!I$395,0)</f>
        <v>0</v>
      </c>
      <c r="M124" s="859">
        <f ca="1">+ROUND(J124*'Compra -HOJA1'!J$395,0)</f>
        <v>0</v>
      </c>
      <c r="N124" s="859">
        <f ca="1">+ROUND(K124*'Compra -HOJA1'!K$395,0)</f>
        <v>0</v>
      </c>
      <c r="O124" s="860">
        <f t="shared" ca="1" si="30"/>
        <v>0</v>
      </c>
      <c r="P124" s="860">
        <f t="shared" ca="1" si="31"/>
        <v>0</v>
      </c>
      <c r="Q124" s="860">
        <f t="shared" ca="1" si="32"/>
        <v>0</v>
      </c>
      <c r="R124" s="1969">
        <f t="shared" ca="1" si="33"/>
        <v>0</v>
      </c>
      <c r="S124" s="675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</row>
    <row r="125" spans="1:29" ht="52.5" customHeight="1" x14ac:dyDescent="0.2">
      <c r="A125" s="4020"/>
      <c r="B125" s="4018"/>
      <c r="C125" s="3686" t="s">
        <v>822</v>
      </c>
      <c r="D125" s="3649" t="s">
        <v>53</v>
      </c>
      <c r="E125" s="4853"/>
      <c r="F125" s="3032">
        <f t="shared" ref="F125:G125" si="43">+F66</f>
        <v>0</v>
      </c>
      <c r="G125" s="3032">
        <f t="shared" si="43"/>
        <v>0</v>
      </c>
      <c r="H125" s="12"/>
      <c r="I125" s="1968">
        <f>IF(F125=0,0,ROUND($F125*COEF!$J$27,0))</f>
        <v>0</v>
      </c>
      <c r="J125" s="858">
        <f>IF(F125=0,0,ROUND($F125*COEF!$K$27,0))</f>
        <v>0</v>
      </c>
      <c r="K125" s="858">
        <f>IF(F125=0,0,ROUND($F125*COEF!$L$27,0))</f>
        <v>0</v>
      </c>
      <c r="L125" s="859">
        <f ca="1">+ROUND(I125*'Compra -HOJA1'!I$395,0)</f>
        <v>0</v>
      </c>
      <c r="M125" s="859">
        <f ca="1">+ROUND(J125*'Compra -HOJA1'!J$395,0)</f>
        <v>0</v>
      </c>
      <c r="N125" s="859">
        <f ca="1">+ROUND(K125*'Compra -HOJA1'!K$395,0)</f>
        <v>0</v>
      </c>
      <c r="O125" s="860">
        <f t="shared" ca="1" si="30"/>
        <v>0</v>
      </c>
      <c r="P125" s="860">
        <f t="shared" ca="1" si="31"/>
        <v>0</v>
      </c>
      <c r="Q125" s="860">
        <f t="shared" ca="1" si="32"/>
        <v>0</v>
      </c>
      <c r="R125" s="1969">
        <f t="shared" ca="1" si="33"/>
        <v>0</v>
      </c>
      <c r="S125" s="675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</row>
    <row r="126" spans="1:29" ht="52.5" customHeight="1" x14ac:dyDescent="0.2">
      <c r="A126" s="4020"/>
      <c r="B126" s="4018"/>
      <c r="C126" s="3687"/>
      <c r="D126" s="3649" t="s">
        <v>54</v>
      </c>
      <c r="E126" s="4853"/>
      <c r="F126" s="3032">
        <f t="shared" ref="F126:G126" si="44">+F67</f>
        <v>0</v>
      </c>
      <c r="G126" s="3032">
        <f t="shared" si="44"/>
        <v>0</v>
      </c>
      <c r="H126" s="12"/>
      <c r="I126" s="1968">
        <f>IF(F126=0,0,ROUND($F126*COEF!$J$27,0))</f>
        <v>0</v>
      </c>
      <c r="J126" s="858">
        <f>IF(F126=0,0,ROUND($F126*COEF!$K$27,0))</f>
        <v>0</v>
      </c>
      <c r="K126" s="858">
        <f>IF(F126=0,0,ROUND($F126*COEF!$L$27,0))</f>
        <v>0</v>
      </c>
      <c r="L126" s="859">
        <f ca="1">+ROUND(I126*'Compra -HOJA1'!I$395,0)</f>
        <v>0</v>
      </c>
      <c r="M126" s="859">
        <f ca="1">+ROUND(J126*'Compra -HOJA1'!J$395,0)</f>
        <v>0</v>
      </c>
      <c r="N126" s="859">
        <f ca="1">+ROUND(K126*'Compra -HOJA1'!K$395,0)</f>
        <v>0</v>
      </c>
      <c r="O126" s="860">
        <f t="shared" ca="1" si="30"/>
        <v>0</v>
      </c>
      <c r="P126" s="860">
        <f t="shared" ca="1" si="31"/>
        <v>0</v>
      </c>
      <c r="Q126" s="860">
        <f t="shared" ca="1" si="32"/>
        <v>0</v>
      </c>
      <c r="R126" s="1969">
        <f t="shared" ca="1" si="33"/>
        <v>0</v>
      </c>
      <c r="S126" s="675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</row>
    <row r="127" spans="1:29" ht="52.5" customHeight="1" x14ac:dyDescent="0.2">
      <c r="A127" s="4020"/>
      <c r="B127" s="4018"/>
      <c r="C127" s="3687"/>
      <c r="D127" s="3651" t="s">
        <v>55</v>
      </c>
      <c r="E127" s="4854"/>
      <c r="F127" s="3032">
        <f t="shared" ref="F127:G127" si="45">+F68</f>
        <v>0</v>
      </c>
      <c r="G127" s="3032">
        <f t="shared" si="45"/>
        <v>0</v>
      </c>
      <c r="H127" s="12"/>
      <c r="I127" s="1968">
        <f>IF(F127=0,0,ROUND($F127*COEF!$J$27,0))</f>
        <v>0</v>
      </c>
      <c r="J127" s="858">
        <f>IF(F127=0,0,ROUND($F127*COEF!$K$27,0))</f>
        <v>0</v>
      </c>
      <c r="K127" s="858">
        <f>IF(F127=0,0,ROUND($F127*COEF!$L$27,0))</f>
        <v>0</v>
      </c>
      <c r="L127" s="859">
        <f ca="1">+ROUND(I127*'Compra -HOJA1'!I$395,0)</f>
        <v>0</v>
      </c>
      <c r="M127" s="859">
        <f ca="1">+ROUND(J127*'Compra -HOJA1'!J$395,0)</f>
        <v>0</v>
      </c>
      <c r="N127" s="859">
        <f ca="1">+ROUND(K127*'Compra -HOJA1'!K$395,0)</f>
        <v>0</v>
      </c>
      <c r="O127" s="860">
        <f t="shared" ca="1" si="30"/>
        <v>0</v>
      </c>
      <c r="P127" s="860">
        <f t="shared" ca="1" si="31"/>
        <v>0</v>
      </c>
      <c r="Q127" s="860">
        <f t="shared" ca="1" si="32"/>
        <v>0</v>
      </c>
      <c r="R127" s="1969">
        <f t="shared" ca="1" si="33"/>
        <v>0</v>
      </c>
      <c r="S127" s="675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</row>
    <row r="128" spans="1:29" ht="52.5" customHeight="1" x14ac:dyDescent="0.2">
      <c r="A128" s="4020"/>
      <c r="B128" s="4018"/>
      <c r="C128" s="4096"/>
      <c r="D128" s="3651" t="s">
        <v>56</v>
      </c>
      <c r="E128" s="4854"/>
      <c r="F128" s="3032">
        <f t="shared" ref="F128:G128" si="46">+F69</f>
        <v>0</v>
      </c>
      <c r="G128" s="3032">
        <f t="shared" si="46"/>
        <v>0</v>
      </c>
      <c r="H128" s="12"/>
      <c r="I128" s="1968">
        <f>IF(F128=0,0,ROUND($F128*COEF!$J$27,0))</f>
        <v>0</v>
      </c>
      <c r="J128" s="858">
        <f>IF(F128=0,0,ROUND($F128*COEF!$K$27,0))</f>
        <v>0</v>
      </c>
      <c r="K128" s="858">
        <f>IF(F128=0,0,ROUND($F128*COEF!$L$27,0))</f>
        <v>0</v>
      </c>
      <c r="L128" s="859">
        <f ca="1">+ROUND(I128*'Compra -HOJA1'!I$395,0)</f>
        <v>0</v>
      </c>
      <c r="M128" s="859">
        <f ca="1">+ROUND(J128*'Compra -HOJA1'!J$395,0)</f>
        <v>0</v>
      </c>
      <c r="N128" s="859">
        <f ca="1">+ROUND(K128*'Compra -HOJA1'!K$395,0)</f>
        <v>0</v>
      </c>
      <c r="O128" s="860">
        <f t="shared" ca="1" si="30"/>
        <v>0</v>
      </c>
      <c r="P128" s="860">
        <f t="shared" ca="1" si="31"/>
        <v>0</v>
      </c>
      <c r="Q128" s="860">
        <f t="shared" ca="1" si="32"/>
        <v>0</v>
      </c>
      <c r="R128" s="1969">
        <f t="shared" ca="1" si="33"/>
        <v>0</v>
      </c>
      <c r="S128" s="675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</row>
    <row r="129" spans="1:29" ht="52.5" customHeight="1" x14ac:dyDescent="0.2">
      <c r="A129" s="4020"/>
      <c r="B129" s="4018"/>
      <c r="C129" s="3686" t="s">
        <v>823</v>
      </c>
      <c r="D129" s="3649" t="s">
        <v>53</v>
      </c>
      <c r="E129" s="4853"/>
      <c r="F129" s="3032">
        <f t="shared" ref="F129:G129" si="47">+F70</f>
        <v>0</v>
      </c>
      <c r="G129" s="3032">
        <f t="shared" si="47"/>
        <v>0</v>
      </c>
      <c r="H129" s="12"/>
      <c r="I129" s="1968">
        <f>IF(F129=0,0,ROUND($F129*COEF!$J$27,0))</f>
        <v>0</v>
      </c>
      <c r="J129" s="858">
        <f>IF(F129=0,0,ROUND($F129*COEF!$K$27,0))</f>
        <v>0</v>
      </c>
      <c r="K129" s="858">
        <f>IF(F129=0,0,ROUND($F129*COEF!$L$27,0))</f>
        <v>0</v>
      </c>
      <c r="L129" s="859">
        <f ca="1">+ROUND(I129*'Compra -HOJA1'!I$395,0)</f>
        <v>0</v>
      </c>
      <c r="M129" s="859">
        <f ca="1">+ROUND(J129*'Compra -HOJA1'!J$395,0)</f>
        <v>0</v>
      </c>
      <c r="N129" s="859">
        <f ca="1">+ROUND(K129*'Compra -HOJA1'!K$395,0)</f>
        <v>0</v>
      </c>
      <c r="O129" s="860">
        <f t="shared" ca="1" si="30"/>
        <v>0</v>
      </c>
      <c r="P129" s="860">
        <f t="shared" ca="1" si="31"/>
        <v>0</v>
      </c>
      <c r="Q129" s="860">
        <f t="shared" ca="1" si="32"/>
        <v>0</v>
      </c>
      <c r="R129" s="1969">
        <f t="shared" ca="1" si="33"/>
        <v>0</v>
      </c>
      <c r="S129" s="675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</row>
    <row r="130" spans="1:29" ht="52.5" customHeight="1" x14ac:dyDescent="0.2">
      <c r="A130" s="4020"/>
      <c r="B130" s="4018"/>
      <c r="C130" s="3687"/>
      <c r="D130" s="3649" t="s">
        <v>54</v>
      </c>
      <c r="E130" s="4853"/>
      <c r="F130" s="3032">
        <f t="shared" ref="F130:G130" si="48">+F71</f>
        <v>0</v>
      </c>
      <c r="G130" s="3032">
        <f t="shared" si="48"/>
        <v>0</v>
      </c>
      <c r="H130" s="12"/>
      <c r="I130" s="1968">
        <f>IF(F130=0,0,ROUND($F130*COEF!$J$27,0))</f>
        <v>0</v>
      </c>
      <c r="J130" s="858">
        <f>IF(F130=0,0,ROUND($F130*COEF!$K$27,0))</f>
        <v>0</v>
      </c>
      <c r="K130" s="858">
        <f>IF(F130=0,0,ROUND($F130*COEF!$L$27,0))</f>
        <v>0</v>
      </c>
      <c r="L130" s="859">
        <f ca="1">+ROUND(I130*'Compra -HOJA1'!I$395,0)</f>
        <v>0</v>
      </c>
      <c r="M130" s="859">
        <f ca="1">+ROUND(J130*'Compra -HOJA1'!J$395,0)</f>
        <v>0</v>
      </c>
      <c r="N130" s="859">
        <f ca="1">+ROUND(K130*'Compra -HOJA1'!K$395,0)</f>
        <v>0</v>
      </c>
      <c r="O130" s="860">
        <f t="shared" ca="1" si="30"/>
        <v>0</v>
      </c>
      <c r="P130" s="860">
        <f t="shared" ca="1" si="31"/>
        <v>0</v>
      </c>
      <c r="Q130" s="860">
        <f t="shared" ca="1" si="32"/>
        <v>0</v>
      </c>
      <c r="R130" s="1969">
        <f t="shared" ca="1" si="33"/>
        <v>0</v>
      </c>
      <c r="S130" s="675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</row>
    <row r="131" spans="1:29" ht="52.5" customHeight="1" x14ac:dyDescent="0.2">
      <c r="A131" s="4020"/>
      <c r="B131" s="4018"/>
      <c r="C131" s="3687"/>
      <c r="D131" s="3651" t="s">
        <v>55</v>
      </c>
      <c r="E131" s="4854"/>
      <c r="F131" s="3032">
        <f t="shared" ref="F131:G131" si="49">+F72</f>
        <v>0</v>
      </c>
      <c r="G131" s="3032">
        <f t="shared" si="49"/>
        <v>0</v>
      </c>
      <c r="H131" s="12"/>
      <c r="I131" s="1968">
        <f>IF(F131=0,0,ROUND($F131*COEF!$J$27,0))</f>
        <v>0</v>
      </c>
      <c r="J131" s="858">
        <f>IF(F131=0,0,ROUND($F131*COEF!$K$27,0))</f>
        <v>0</v>
      </c>
      <c r="K131" s="858">
        <f>IF(F131=0,0,ROUND($F131*COEF!$L$27,0))</f>
        <v>0</v>
      </c>
      <c r="L131" s="859">
        <f ca="1">+ROUND(I131*'Compra -HOJA1'!I$395,0)</f>
        <v>0</v>
      </c>
      <c r="M131" s="859">
        <f ca="1">+ROUND(J131*'Compra -HOJA1'!J$395,0)</f>
        <v>0</v>
      </c>
      <c r="N131" s="859">
        <f ca="1">+ROUND(K131*'Compra -HOJA1'!K$395,0)</f>
        <v>0</v>
      </c>
      <c r="O131" s="860">
        <f t="shared" ca="1" si="30"/>
        <v>0</v>
      </c>
      <c r="P131" s="860">
        <f t="shared" ca="1" si="31"/>
        <v>0</v>
      </c>
      <c r="Q131" s="860">
        <f t="shared" ca="1" si="32"/>
        <v>0</v>
      </c>
      <c r="R131" s="1969">
        <f t="shared" ca="1" si="33"/>
        <v>0</v>
      </c>
      <c r="S131" s="675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</row>
    <row r="132" spans="1:29" ht="52.5" customHeight="1" x14ac:dyDescent="0.2">
      <c r="A132" s="4020"/>
      <c r="B132" s="4018"/>
      <c r="C132" s="4096"/>
      <c r="D132" s="3651" t="s">
        <v>56</v>
      </c>
      <c r="E132" s="4854"/>
      <c r="F132" s="3032">
        <f t="shared" ref="F132:G132" si="50">+F73</f>
        <v>0</v>
      </c>
      <c r="G132" s="3032">
        <f t="shared" si="50"/>
        <v>0</v>
      </c>
      <c r="H132" s="12"/>
      <c r="I132" s="1968">
        <f>IF(F132=0,0,ROUND($F132*COEF!$J$27,0))</f>
        <v>0</v>
      </c>
      <c r="J132" s="858">
        <f>IF(F132=0,0,ROUND($F132*COEF!$K$27,0))</f>
        <v>0</v>
      </c>
      <c r="K132" s="858">
        <f>IF(F132=0,0,ROUND($F132*COEF!$L$27,0))</f>
        <v>0</v>
      </c>
      <c r="L132" s="859">
        <f ca="1">+ROUND(I132*'Compra -HOJA1'!I$395,0)</f>
        <v>0</v>
      </c>
      <c r="M132" s="859">
        <f ca="1">+ROUND(J132*'Compra -HOJA1'!J$395,0)</f>
        <v>0</v>
      </c>
      <c r="N132" s="859">
        <f ca="1">+ROUND(K132*'Compra -HOJA1'!K$395,0)</f>
        <v>0</v>
      </c>
      <c r="O132" s="860">
        <f t="shared" ca="1" si="30"/>
        <v>0</v>
      </c>
      <c r="P132" s="860">
        <f t="shared" ca="1" si="31"/>
        <v>0</v>
      </c>
      <c r="Q132" s="860">
        <f t="shared" ca="1" si="32"/>
        <v>0</v>
      </c>
      <c r="R132" s="1969">
        <f t="shared" ca="1" si="33"/>
        <v>0</v>
      </c>
      <c r="S132" s="675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</row>
    <row r="133" spans="1:29" ht="52.5" customHeight="1" x14ac:dyDescent="0.2">
      <c r="A133" s="4020"/>
      <c r="B133" s="3964" t="s">
        <v>324</v>
      </c>
      <c r="C133" s="3686" t="s">
        <v>824</v>
      </c>
      <c r="D133" s="3649" t="s">
        <v>59</v>
      </c>
      <c r="E133" s="4853"/>
      <c r="F133" s="3032">
        <f>+F74</f>
        <v>0</v>
      </c>
      <c r="G133" s="3032">
        <f>+G74</f>
        <v>0</v>
      </c>
      <c r="H133" s="12"/>
      <c r="I133" s="1968">
        <f>IF(F133=0,0,ROUND($F133*COEF!$J$27,0))</f>
        <v>0</v>
      </c>
      <c r="J133" s="858">
        <f>IF(F133=0,0,ROUND($F133*COEF!$K$27,0))</f>
        <v>0</v>
      </c>
      <c r="K133" s="858">
        <f>IF(F133=0,0,ROUND($F133*COEF!$L$27,0))</f>
        <v>0</v>
      </c>
      <c r="L133" s="859">
        <f ca="1">+ROUND(I133*'Compra -HOJA1'!I$395,0)</f>
        <v>0</v>
      </c>
      <c r="M133" s="859">
        <f ca="1">+ROUND(J133*'Compra -HOJA1'!J$395,0)</f>
        <v>0</v>
      </c>
      <c r="N133" s="859">
        <f ca="1">+ROUND(K133*'Compra -HOJA1'!K$395,0)</f>
        <v>0</v>
      </c>
      <c r="O133" s="860">
        <f t="shared" ca="1" si="30"/>
        <v>0</v>
      </c>
      <c r="P133" s="860">
        <f t="shared" ca="1" si="31"/>
        <v>0</v>
      </c>
      <c r="Q133" s="860">
        <f t="shared" ca="1" si="32"/>
        <v>0</v>
      </c>
      <c r="R133" s="1969">
        <f t="shared" ca="1" si="33"/>
        <v>0</v>
      </c>
      <c r="S133" s="675">
        <f t="shared" si="29"/>
        <v>0</v>
      </c>
      <c r="T133" s="10"/>
      <c r="U133" s="10"/>
      <c r="V133" s="10"/>
      <c r="W133" s="10"/>
      <c r="X133" s="10"/>
      <c r="Y133" s="10"/>
      <c r="Z133" s="10"/>
      <c r="AA133" s="10"/>
      <c r="AB133" s="10"/>
      <c r="AC133" s="10"/>
    </row>
    <row r="134" spans="1:29" ht="52.5" customHeight="1" x14ac:dyDescent="0.2">
      <c r="A134" s="4020"/>
      <c r="B134" s="3964"/>
      <c r="C134" s="3687"/>
      <c r="D134" s="4093" t="s">
        <v>59</v>
      </c>
      <c r="E134" s="4865"/>
      <c r="F134" s="3032">
        <f t="shared" ref="F134:G134" si="51">+F75</f>
        <v>0</v>
      </c>
      <c r="G134" s="3032">
        <f t="shared" si="51"/>
        <v>0</v>
      </c>
      <c r="H134" s="3560"/>
      <c r="I134" s="1968">
        <f>IF(F134=0,0,ROUND($F134*COEF!$J$27,0))</f>
        <v>0</v>
      </c>
      <c r="J134" s="858">
        <f>IF(F134=0,0,ROUND($F134*COEF!$K$27,0))</f>
        <v>0</v>
      </c>
      <c r="K134" s="858">
        <f>IF(F134=0,0,ROUND($F134*COEF!$L$27,0))</f>
        <v>0</v>
      </c>
      <c r="L134" s="859">
        <f ca="1">+ROUND(I134*'Compra -HOJA1'!I$395,0)</f>
        <v>0</v>
      </c>
      <c r="M134" s="859">
        <f ca="1">+ROUND(J134*'Compra -HOJA1'!J$395,0)</f>
        <v>0</v>
      </c>
      <c r="N134" s="859">
        <f ca="1">+ROUND(K134*'Compra -HOJA1'!K$395,0)</f>
        <v>0</v>
      </c>
      <c r="O134" s="860">
        <f t="shared" ca="1" si="30"/>
        <v>0</v>
      </c>
      <c r="P134" s="860">
        <f t="shared" ca="1" si="31"/>
        <v>0</v>
      </c>
      <c r="Q134" s="860">
        <f t="shared" ca="1" si="32"/>
        <v>0</v>
      </c>
      <c r="R134" s="1969">
        <f t="shared" ca="1" si="33"/>
        <v>0</v>
      </c>
      <c r="S134" s="675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</row>
    <row r="135" spans="1:29" ht="52.5" customHeight="1" x14ac:dyDescent="0.2">
      <c r="A135" s="4020"/>
      <c r="B135" s="3964"/>
      <c r="C135" s="4096"/>
      <c r="D135" s="3651" t="s">
        <v>60</v>
      </c>
      <c r="E135" s="4854"/>
      <c r="F135" s="3032">
        <f t="shared" ref="F135:G135" si="52">+F76</f>
        <v>0</v>
      </c>
      <c r="G135" s="3032">
        <f t="shared" si="52"/>
        <v>0</v>
      </c>
      <c r="H135" s="12"/>
      <c r="I135" s="1968">
        <f>IF(F135=0,0,ROUND($F135*COEF!$J$27,0))</f>
        <v>0</v>
      </c>
      <c r="J135" s="858">
        <f>IF(F135=0,0,ROUND($F135*COEF!$K$27,0))</f>
        <v>0</v>
      </c>
      <c r="K135" s="858">
        <f>IF(F135=0,0,ROUND($F135*COEF!$L$27,0))</f>
        <v>0</v>
      </c>
      <c r="L135" s="859">
        <f ca="1">+ROUND(I135*'Compra -HOJA1'!I$395,0)</f>
        <v>0</v>
      </c>
      <c r="M135" s="859">
        <f ca="1">+ROUND(J135*'Compra -HOJA1'!J$395,0)</f>
        <v>0</v>
      </c>
      <c r="N135" s="859">
        <f ca="1">+ROUND(K135*'Compra -HOJA1'!K$395,0)</f>
        <v>0</v>
      </c>
      <c r="O135" s="860">
        <f t="shared" ca="1" si="30"/>
        <v>0</v>
      </c>
      <c r="P135" s="860">
        <f t="shared" ca="1" si="31"/>
        <v>0</v>
      </c>
      <c r="Q135" s="860">
        <f t="shared" ca="1" si="32"/>
        <v>0</v>
      </c>
      <c r="R135" s="1969">
        <f t="shared" ca="1" si="33"/>
        <v>0</v>
      </c>
      <c r="S135" s="675">
        <f t="shared" si="29"/>
        <v>0</v>
      </c>
      <c r="T135" s="10"/>
      <c r="U135" s="10"/>
      <c r="V135" s="10"/>
      <c r="W135" s="10"/>
      <c r="X135" s="10"/>
      <c r="Y135" s="10"/>
      <c r="Z135" s="10"/>
      <c r="AA135" s="10"/>
      <c r="AB135" s="10"/>
      <c r="AC135" s="10"/>
    </row>
    <row r="136" spans="1:29" ht="52.5" customHeight="1" x14ac:dyDescent="0.2">
      <c r="A136" s="4020"/>
      <c r="B136" s="3964"/>
      <c r="C136" s="3498"/>
      <c r="D136" s="4095" t="s">
        <v>60</v>
      </c>
      <c r="E136" s="4866"/>
      <c r="F136" s="3032">
        <f t="shared" ref="F136:G136" si="53">+F77</f>
        <v>0</v>
      </c>
      <c r="G136" s="3032">
        <f t="shared" si="53"/>
        <v>0</v>
      </c>
      <c r="H136" s="3560"/>
      <c r="I136" s="1968">
        <f>IF(F136=0,0,ROUND($F136*COEF!$J$27,0))</f>
        <v>0</v>
      </c>
      <c r="J136" s="858">
        <f>IF(F136=0,0,ROUND($F136*COEF!$K$27,0))</f>
        <v>0</v>
      </c>
      <c r="K136" s="858">
        <f>IF(F136=0,0,ROUND($F136*COEF!$L$27,0))</f>
        <v>0</v>
      </c>
      <c r="L136" s="859">
        <f ca="1">+ROUND(I136*'Compra -HOJA1'!I$395,0)</f>
        <v>0</v>
      </c>
      <c r="M136" s="859">
        <f ca="1">+ROUND(J136*'Compra -HOJA1'!J$395,0)</f>
        <v>0</v>
      </c>
      <c r="N136" s="859">
        <f ca="1">+ROUND(K136*'Compra -HOJA1'!K$395,0)</f>
        <v>0</v>
      </c>
      <c r="O136" s="860">
        <f t="shared" ca="1" si="30"/>
        <v>0</v>
      </c>
      <c r="P136" s="860">
        <f t="shared" ca="1" si="31"/>
        <v>0</v>
      </c>
      <c r="Q136" s="860">
        <f t="shared" ca="1" si="32"/>
        <v>0</v>
      </c>
      <c r="R136" s="1969">
        <f t="shared" ca="1" si="33"/>
        <v>0</v>
      </c>
      <c r="S136" s="675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</row>
    <row r="137" spans="1:29" ht="52.5" customHeight="1" x14ac:dyDescent="0.2">
      <c r="A137" s="4020"/>
      <c r="B137" s="3964"/>
      <c r="C137" s="3686" t="s">
        <v>825</v>
      </c>
      <c r="D137" s="3649" t="s">
        <v>59</v>
      </c>
      <c r="E137" s="4853"/>
      <c r="F137" s="3032">
        <f t="shared" ref="F137:G137" si="54">+F78</f>
        <v>0</v>
      </c>
      <c r="G137" s="3032">
        <f t="shared" si="54"/>
        <v>0</v>
      </c>
      <c r="H137" s="12"/>
      <c r="I137" s="1968">
        <f>IF(F137=0,0,ROUND($F137*COEF!$J$27,0))</f>
        <v>0</v>
      </c>
      <c r="J137" s="858">
        <f>IF(F137=0,0,ROUND($F137*COEF!$K$27,0))</f>
        <v>0</v>
      </c>
      <c r="K137" s="858">
        <f>IF(F137=0,0,ROUND($F137*COEF!$L$27,0))</f>
        <v>0</v>
      </c>
      <c r="L137" s="859">
        <f ca="1">+ROUND(I137*'Compra -HOJA1'!I$395,0)</f>
        <v>0</v>
      </c>
      <c r="M137" s="859">
        <f ca="1">+ROUND(J137*'Compra -HOJA1'!J$395,0)</f>
        <v>0</v>
      </c>
      <c r="N137" s="859">
        <f ca="1">+ROUND(K137*'Compra -HOJA1'!K$395,0)</f>
        <v>0</v>
      </c>
      <c r="O137" s="860">
        <f t="shared" ca="1" si="30"/>
        <v>0</v>
      </c>
      <c r="P137" s="860">
        <f t="shared" ca="1" si="31"/>
        <v>0</v>
      </c>
      <c r="Q137" s="860">
        <f t="shared" ca="1" si="32"/>
        <v>0</v>
      </c>
      <c r="R137" s="1969">
        <f t="shared" ca="1" si="33"/>
        <v>0</v>
      </c>
      <c r="S137" s="675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</row>
    <row r="138" spans="1:29" ht="52.5" customHeight="1" x14ac:dyDescent="0.2">
      <c r="A138" s="4020"/>
      <c r="B138" s="3964"/>
      <c r="C138" s="4096"/>
      <c r="D138" s="3651" t="s">
        <v>60</v>
      </c>
      <c r="E138" s="4854"/>
      <c r="F138" s="3032">
        <f t="shared" ref="F138:G138" si="55">+F79</f>
        <v>0</v>
      </c>
      <c r="G138" s="3032">
        <f t="shared" si="55"/>
        <v>0</v>
      </c>
      <c r="H138" s="12"/>
      <c r="I138" s="1968">
        <f>IF(F138=0,0,ROUND($F138*COEF!$J$27,0))</f>
        <v>0</v>
      </c>
      <c r="J138" s="858">
        <f>IF(F138=0,0,ROUND($F138*COEF!$K$27,0))</f>
        <v>0</v>
      </c>
      <c r="K138" s="858">
        <f>IF(F138=0,0,ROUND($F138*COEF!$L$27,0))</f>
        <v>0</v>
      </c>
      <c r="L138" s="859">
        <f ca="1">+ROUND(I138*'Compra -HOJA1'!I$395,0)</f>
        <v>0</v>
      </c>
      <c r="M138" s="859">
        <f ca="1">+ROUND(J138*'Compra -HOJA1'!J$395,0)</f>
        <v>0</v>
      </c>
      <c r="N138" s="859">
        <f ca="1">+ROUND(K138*'Compra -HOJA1'!K$395,0)</f>
        <v>0</v>
      </c>
      <c r="O138" s="860">
        <f t="shared" ca="1" si="30"/>
        <v>0</v>
      </c>
      <c r="P138" s="860">
        <f t="shared" ca="1" si="31"/>
        <v>0</v>
      </c>
      <c r="Q138" s="860">
        <f t="shared" ca="1" si="32"/>
        <v>0</v>
      </c>
      <c r="R138" s="1969">
        <f t="shared" ca="1" si="33"/>
        <v>0</v>
      </c>
      <c r="S138" s="675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</row>
    <row r="139" spans="1:29" ht="52.5" customHeight="1" x14ac:dyDescent="0.2">
      <c r="A139" s="4020"/>
      <c r="B139" s="3964"/>
      <c r="C139" s="3686" t="s">
        <v>826</v>
      </c>
      <c r="D139" s="3649" t="s">
        <v>59</v>
      </c>
      <c r="E139" s="4853"/>
      <c r="F139" s="3032">
        <f t="shared" ref="F139:G139" si="56">+F80</f>
        <v>0</v>
      </c>
      <c r="G139" s="3032">
        <f t="shared" si="56"/>
        <v>0</v>
      </c>
      <c r="H139" s="12"/>
      <c r="I139" s="1968">
        <f>IF(F139=0,0,ROUND($F139*COEF!$J$27,0))</f>
        <v>0</v>
      </c>
      <c r="J139" s="858">
        <f>IF(F139=0,0,ROUND($F139*COEF!$K$27,0))</f>
        <v>0</v>
      </c>
      <c r="K139" s="858">
        <f>IF(F139=0,0,ROUND($F139*COEF!$L$27,0))</f>
        <v>0</v>
      </c>
      <c r="L139" s="859">
        <f ca="1">+ROUND(I139*'Compra -HOJA1'!I$395,0)</f>
        <v>0</v>
      </c>
      <c r="M139" s="859">
        <f ca="1">+ROUND(J139*'Compra -HOJA1'!J$395,0)</f>
        <v>0</v>
      </c>
      <c r="N139" s="859">
        <f ca="1">+ROUND(K139*'Compra -HOJA1'!K$395,0)</f>
        <v>0</v>
      </c>
      <c r="O139" s="860">
        <f t="shared" ca="1" si="30"/>
        <v>0</v>
      </c>
      <c r="P139" s="860">
        <f t="shared" ca="1" si="31"/>
        <v>0</v>
      </c>
      <c r="Q139" s="860">
        <f t="shared" ca="1" si="32"/>
        <v>0</v>
      </c>
      <c r="R139" s="1969">
        <f t="shared" ca="1" si="33"/>
        <v>0</v>
      </c>
      <c r="S139" s="675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</row>
    <row r="140" spans="1:29" ht="52.5" customHeight="1" x14ac:dyDescent="0.2">
      <c r="A140" s="4020"/>
      <c r="B140" s="3964"/>
      <c r="C140" s="4096"/>
      <c r="D140" s="3651" t="s">
        <v>60</v>
      </c>
      <c r="E140" s="4854"/>
      <c r="F140" s="3032">
        <f t="shared" ref="F140:G140" si="57">+F81</f>
        <v>0</v>
      </c>
      <c r="G140" s="3032">
        <f t="shared" si="57"/>
        <v>0</v>
      </c>
      <c r="H140" s="12"/>
      <c r="I140" s="1968">
        <f>IF(F140=0,0,ROUND($F140*COEF!$J$27,0))</f>
        <v>0</v>
      </c>
      <c r="J140" s="858">
        <f>IF(F140=0,0,ROUND($F140*COEF!$K$27,0))</f>
        <v>0</v>
      </c>
      <c r="K140" s="858">
        <f>IF(F140=0,0,ROUND($F140*COEF!$L$27,0))</f>
        <v>0</v>
      </c>
      <c r="L140" s="859">
        <f ca="1">+ROUND(I140*'Compra -HOJA1'!I$395,0)</f>
        <v>0</v>
      </c>
      <c r="M140" s="859">
        <f ca="1">+ROUND(J140*'Compra -HOJA1'!J$395,0)</f>
        <v>0</v>
      </c>
      <c r="N140" s="859">
        <f ca="1">+ROUND(K140*'Compra -HOJA1'!K$395,0)</f>
        <v>0</v>
      </c>
      <c r="O140" s="860">
        <f t="shared" ca="1" si="30"/>
        <v>0</v>
      </c>
      <c r="P140" s="860">
        <f t="shared" ca="1" si="31"/>
        <v>0</v>
      </c>
      <c r="Q140" s="860">
        <f t="shared" ca="1" si="32"/>
        <v>0</v>
      </c>
      <c r="R140" s="1969">
        <f t="shared" ca="1" si="33"/>
        <v>0</v>
      </c>
      <c r="S140" s="675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</row>
    <row r="141" spans="1:29" ht="52.5" customHeight="1" x14ac:dyDescent="0.2">
      <c r="A141" s="4020"/>
      <c r="B141" s="4855" t="s">
        <v>325</v>
      </c>
      <c r="C141" s="3686" t="s">
        <v>824</v>
      </c>
      <c r="D141" s="3649" t="s">
        <v>64</v>
      </c>
      <c r="E141" s="4853"/>
      <c r="F141" s="3032">
        <f>+F82</f>
        <v>0</v>
      </c>
      <c r="G141" s="3032">
        <f>+G82</f>
        <v>0</v>
      </c>
      <c r="H141" s="12"/>
      <c r="I141" s="1968">
        <f>IF(F141=0,0,ROUND($F141*COEF!$J$27,0))</f>
        <v>0</v>
      </c>
      <c r="J141" s="858">
        <f>IF(F141=0,0,ROUND($F141*COEF!$K$27,0))</f>
        <v>0</v>
      </c>
      <c r="K141" s="858">
        <f>IF(F141=0,0,ROUND($F141*COEF!$L$27,0))</f>
        <v>0</v>
      </c>
      <c r="L141" s="859">
        <f ca="1">+ROUND(I141*'Compra -HOJA1'!I$395,0)</f>
        <v>0</v>
      </c>
      <c r="M141" s="859">
        <f ca="1">+ROUND(J141*'Compra -HOJA1'!J$395,0)</f>
        <v>0</v>
      </c>
      <c r="N141" s="859">
        <f ca="1">+ROUND(K141*'Compra -HOJA1'!K$395,0)</f>
        <v>0</v>
      </c>
      <c r="O141" s="860">
        <f t="shared" ca="1" si="30"/>
        <v>0</v>
      </c>
      <c r="P141" s="860">
        <f t="shared" ca="1" si="31"/>
        <v>0</v>
      </c>
      <c r="Q141" s="860">
        <f t="shared" ca="1" si="32"/>
        <v>0</v>
      </c>
      <c r="R141" s="1969">
        <f t="shared" ca="1" si="33"/>
        <v>0</v>
      </c>
      <c r="S141" s="675">
        <f t="shared" si="29"/>
        <v>0</v>
      </c>
      <c r="T141" s="10"/>
      <c r="U141" s="10"/>
      <c r="V141" s="10"/>
      <c r="W141" s="10"/>
      <c r="X141" s="10"/>
      <c r="Y141" s="10"/>
      <c r="Z141" s="10"/>
      <c r="AA141" s="10"/>
      <c r="AB141" s="10"/>
      <c r="AC141" s="10"/>
    </row>
    <row r="142" spans="1:29" ht="52.5" customHeight="1" x14ac:dyDescent="0.2">
      <c r="A142" s="4020"/>
      <c r="B142" s="4855"/>
      <c r="C142" s="3687"/>
      <c r="D142" s="4093" t="s">
        <v>64</v>
      </c>
      <c r="E142" s="4865"/>
      <c r="F142" s="3032">
        <f t="shared" ref="F142:G142" si="58">+F83</f>
        <v>0</v>
      </c>
      <c r="G142" s="3032">
        <f t="shared" si="58"/>
        <v>0</v>
      </c>
      <c r="H142" s="3560"/>
      <c r="I142" s="1968">
        <f>IF(F142=0,0,ROUND($F142*COEF!$J$27,0))</f>
        <v>0</v>
      </c>
      <c r="J142" s="858">
        <f>IF(F142=0,0,ROUND($F142*COEF!$K$27,0))</f>
        <v>0</v>
      </c>
      <c r="K142" s="858">
        <f>IF(F142=0,0,ROUND($F142*COEF!$L$27,0))</f>
        <v>0</v>
      </c>
      <c r="L142" s="859">
        <f ca="1">+ROUND(I142*'Compra -HOJA1'!I$395,0)</f>
        <v>0</v>
      </c>
      <c r="M142" s="859">
        <f ca="1">+ROUND(J142*'Compra -HOJA1'!J$395,0)</f>
        <v>0</v>
      </c>
      <c r="N142" s="859">
        <f ca="1">+ROUND(K142*'Compra -HOJA1'!K$395,0)</f>
        <v>0</v>
      </c>
      <c r="O142" s="860">
        <f t="shared" ca="1" si="30"/>
        <v>0</v>
      </c>
      <c r="P142" s="860">
        <f t="shared" ca="1" si="31"/>
        <v>0</v>
      </c>
      <c r="Q142" s="860">
        <f t="shared" ca="1" si="32"/>
        <v>0</v>
      </c>
      <c r="R142" s="1969">
        <f t="shared" ca="1" si="33"/>
        <v>0</v>
      </c>
      <c r="S142" s="675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</row>
    <row r="143" spans="1:29" ht="52.5" customHeight="1" x14ac:dyDescent="0.2">
      <c r="A143" s="4020"/>
      <c r="B143" s="4855"/>
      <c r="C143" s="4096"/>
      <c r="D143" s="3651" t="s">
        <v>65</v>
      </c>
      <c r="E143" s="4854"/>
      <c r="F143" s="3032">
        <f t="shared" ref="F143:G143" si="59">+F84</f>
        <v>0</v>
      </c>
      <c r="G143" s="3032">
        <f t="shared" si="59"/>
        <v>0</v>
      </c>
      <c r="H143" s="12"/>
      <c r="I143" s="1968">
        <f>IF(F143=0,0,ROUND($F143*COEF!$J$27,0))</f>
        <v>0</v>
      </c>
      <c r="J143" s="858">
        <f>IF(F143=0,0,ROUND($F143*COEF!$K$27,0))</f>
        <v>0</v>
      </c>
      <c r="K143" s="858">
        <f>IF(F143=0,0,ROUND($F143*COEF!$L$27,0))</f>
        <v>0</v>
      </c>
      <c r="L143" s="859">
        <f ca="1">+ROUND(I143*'Compra -HOJA1'!I$395,0)</f>
        <v>0</v>
      </c>
      <c r="M143" s="859">
        <f ca="1">+ROUND(J143*'Compra -HOJA1'!J$395,0)</f>
        <v>0</v>
      </c>
      <c r="N143" s="859">
        <f ca="1">+ROUND(K143*'Compra -HOJA1'!K$395,0)</f>
        <v>0</v>
      </c>
      <c r="O143" s="860">
        <f t="shared" ca="1" si="30"/>
        <v>0</v>
      </c>
      <c r="P143" s="860">
        <f t="shared" ca="1" si="31"/>
        <v>0</v>
      </c>
      <c r="Q143" s="860">
        <f t="shared" ca="1" si="32"/>
        <v>0</v>
      </c>
      <c r="R143" s="1969">
        <f t="shared" ca="1" si="33"/>
        <v>0</v>
      </c>
      <c r="S143" s="675">
        <f t="shared" si="29"/>
        <v>0</v>
      </c>
      <c r="T143" s="10"/>
      <c r="U143" s="10"/>
      <c r="V143" s="10"/>
      <c r="W143" s="10"/>
      <c r="X143" s="10"/>
      <c r="Y143" s="10"/>
      <c r="Z143" s="10"/>
      <c r="AA143" s="10"/>
      <c r="AB143" s="10"/>
      <c r="AC143" s="10"/>
    </row>
    <row r="144" spans="1:29" ht="52.5" customHeight="1" x14ac:dyDescent="0.2">
      <c r="A144" s="4020"/>
      <c r="B144" s="4855"/>
      <c r="C144" s="3498"/>
      <c r="D144" s="4095" t="s">
        <v>65</v>
      </c>
      <c r="E144" s="4866"/>
      <c r="F144" s="3032">
        <f t="shared" ref="F144:G144" si="60">+F85</f>
        <v>0</v>
      </c>
      <c r="G144" s="3032">
        <f t="shared" si="60"/>
        <v>0</v>
      </c>
      <c r="H144" s="3560"/>
      <c r="I144" s="1968">
        <f>IF(F144=0,0,ROUND($F144*COEF!$J$27,0))</f>
        <v>0</v>
      </c>
      <c r="J144" s="858">
        <f>IF(F144=0,0,ROUND($F144*COEF!$K$27,0))</f>
        <v>0</v>
      </c>
      <c r="K144" s="858">
        <f>IF(F144=0,0,ROUND($F144*COEF!$L$27,0))</f>
        <v>0</v>
      </c>
      <c r="L144" s="859">
        <f ca="1">+ROUND(I144*'Compra -HOJA1'!I$395,0)</f>
        <v>0</v>
      </c>
      <c r="M144" s="859">
        <f ca="1">+ROUND(J144*'Compra -HOJA1'!J$395,0)</f>
        <v>0</v>
      </c>
      <c r="N144" s="859">
        <f ca="1">+ROUND(K144*'Compra -HOJA1'!K$395,0)</f>
        <v>0</v>
      </c>
      <c r="O144" s="860">
        <f t="shared" ca="1" si="30"/>
        <v>0</v>
      </c>
      <c r="P144" s="860">
        <f t="shared" ca="1" si="31"/>
        <v>0</v>
      </c>
      <c r="Q144" s="860">
        <f t="shared" ca="1" si="32"/>
        <v>0</v>
      </c>
      <c r="R144" s="1969">
        <f t="shared" ca="1" si="33"/>
        <v>0</v>
      </c>
      <c r="S144" s="675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</row>
    <row r="145" spans="1:44" ht="52.5" customHeight="1" x14ac:dyDescent="0.2">
      <c r="A145" s="4020"/>
      <c r="B145" s="4855"/>
      <c r="C145" s="3686" t="s">
        <v>825</v>
      </c>
      <c r="D145" s="3649" t="s">
        <v>64</v>
      </c>
      <c r="E145" s="4853"/>
      <c r="F145" s="3032">
        <f t="shared" ref="F145:G145" si="61">+F86</f>
        <v>0</v>
      </c>
      <c r="G145" s="3032">
        <f t="shared" si="61"/>
        <v>0</v>
      </c>
      <c r="H145" s="12"/>
      <c r="I145" s="1968">
        <f>IF(F145=0,0,ROUND($F145*COEF!$J$27,0))</f>
        <v>0</v>
      </c>
      <c r="J145" s="858">
        <f>IF(F145=0,0,ROUND($F145*COEF!$K$27,0))</f>
        <v>0</v>
      </c>
      <c r="K145" s="858">
        <f>IF(F145=0,0,ROUND($F145*COEF!$L$27,0))</f>
        <v>0</v>
      </c>
      <c r="L145" s="859">
        <f ca="1">+ROUND(I145*'Compra -HOJA1'!I$395,0)</f>
        <v>0</v>
      </c>
      <c r="M145" s="859">
        <f ca="1">+ROUND(J145*'Compra -HOJA1'!J$395,0)</f>
        <v>0</v>
      </c>
      <c r="N145" s="859">
        <f ca="1">+ROUND(K145*'Compra -HOJA1'!K$395,0)</f>
        <v>0</v>
      </c>
      <c r="O145" s="860">
        <f t="shared" ca="1" si="30"/>
        <v>0</v>
      </c>
      <c r="P145" s="860">
        <f t="shared" ca="1" si="31"/>
        <v>0</v>
      </c>
      <c r="Q145" s="860">
        <f t="shared" ca="1" si="32"/>
        <v>0</v>
      </c>
      <c r="R145" s="1969">
        <f t="shared" ca="1" si="33"/>
        <v>0</v>
      </c>
      <c r="S145" s="675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</row>
    <row r="146" spans="1:44" ht="52.5" customHeight="1" x14ac:dyDescent="0.2">
      <c r="A146" s="4020"/>
      <c r="B146" s="4855"/>
      <c r="C146" s="4096"/>
      <c r="D146" s="3651" t="s">
        <v>65</v>
      </c>
      <c r="E146" s="4854"/>
      <c r="F146" s="3032">
        <f t="shared" ref="F146:G146" si="62">+F87</f>
        <v>0</v>
      </c>
      <c r="G146" s="3032">
        <f t="shared" si="62"/>
        <v>0</v>
      </c>
      <c r="H146" s="12"/>
      <c r="I146" s="1968">
        <f>IF(F146=0,0,ROUND($F146*COEF!$J$27,0))</f>
        <v>0</v>
      </c>
      <c r="J146" s="858">
        <f>IF(F146=0,0,ROUND($F146*COEF!$K$27,0))</f>
        <v>0</v>
      </c>
      <c r="K146" s="858">
        <f>IF(F146=0,0,ROUND($F146*COEF!$L$27,0))</f>
        <v>0</v>
      </c>
      <c r="L146" s="859">
        <f ca="1">+ROUND(I146*'Compra -HOJA1'!I$395,0)</f>
        <v>0</v>
      </c>
      <c r="M146" s="859">
        <f ca="1">+ROUND(J146*'Compra -HOJA1'!J$395,0)</f>
        <v>0</v>
      </c>
      <c r="N146" s="859">
        <f ca="1">+ROUND(K146*'Compra -HOJA1'!K$395,0)</f>
        <v>0</v>
      </c>
      <c r="O146" s="860">
        <f t="shared" ca="1" si="30"/>
        <v>0</v>
      </c>
      <c r="P146" s="860">
        <f t="shared" ca="1" si="31"/>
        <v>0</v>
      </c>
      <c r="Q146" s="860">
        <f t="shared" ca="1" si="32"/>
        <v>0</v>
      </c>
      <c r="R146" s="1969">
        <f t="shared" ca="1" si="33"/>
        <v>0</v>
      </c>
      <c r="S146" s="675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</row>
    <row r="147" spans="1:44" ht="52.5" customHeight="1" x14ac:dyDescent="0.2">
      <c r="A147" s="4020"/>
      <c r="B147" s="4855"/>
      <c r="C147" s="3686" t="s">
        <v>826</v>
      </c>
      <c r="D147" s="3649" t="s">
        <v>64</v>
      </c>
      <c r="E147" s="4853"/>
      <c r="F147" s="3032">
        <f t="shared" ref="F147:G147" si="63">+F88</f>
        <v>0</v>
      </c>
      <c r="G147" s="3032">
        <f t="shared" si="63"/>
        <v>0</v>
      </c>
      <c r="H147" s="12"/>
      <c r="I147" s="1968">
        <f>IF(F147=0,0,ROUND($F147*COEF!$J$27,0))</f>
        <v>0</v>
      </c>
      <c r="J147" s="858">
        <f>IF(F147=0,0,ROUND($F147*COEF!$K$27,0))</f>
        <v>0</v>
      </c>
      <c r="K147" s="858">
        <f>IF(F147=0,0,ROUND($F147*COEF!$L$27,0))</f>
        <v>0</v>
      </c>
      <c r="L147" s="859">
        <f ca="1">+ROUND(I147*'Compra -HOJA1'!I$395,0)</f>
        <v>0</v>
      </c>
      <c r="M147" s="859">
        <f ca="1">+ROUND(J147*'Compra -HOJA1'!J$395,0)</f>
        <v>0</v>
      </c>
      <c r="N147" s="859">
        <f ca="1">+ROUND(K147*'Compra -HOJA1'!K$395,0)</f>
        <v>0</v>
      </c>
      <c r="O147" s="860">
        <f t="shared" ca="1" si="30"/>
        <v>0</v>
      </c>
      <c r="P147" s="860">
        <f t="shared" ca="1" si="31"/>
        <v>0</v>
      </c>
      <c r="Q147" s="860">
        <f t="shared" ca="1" si="32"/>
        <v>0</v>
      </c>
      <c r="R147" s="1969">
        <f t="shared" ca="1" si="33"/>
        <v>0</v>
      </c>
      <c r="S147" s="675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</row>
    <row r="148" spans="1:44" ht="52.5" customHeight="1" x14ac:dyDescent="0.2">
      <c r="A148" s="4020"/>
      <c r="B148" s="4855"/>
      <c r="C148" s="4096"/>
      <c r="D148" s="3651" t="s">
        <v>65</v>
      </c>
      <c r="E148" s="4854"/>
      <c r="F148" s="3032">
        <f t="shared" ref="F148:G148" si="64">+F89</f>
        <v>0</v>
      </c>
      <c r="G148" s="3032">
        <f t="shared" si="64"/>
        <v>0</v>
      </c>
      <c r="H148" s="12"/>
      <c r="I148" s="1968">
        <f>IF(F148=0,0,ROUND($F148*COEF!$J$27,0))</f>
        <v>0</v>
      </c>
      <c r="J148" s="858">
        <f>IF(F148=0,0,ROUND($F148*COEF!$K$27,0))</f>
        <v>0</v>
      </c>
      <c r="K148" s="858">
        <f>IF(F148=0,0,ROUND($F148*COEF!$L$27,0))</f>
        <v>0</v>
      </c>
      <c r="L148" s="859">
        <f ca="1">+ROUND(I148*'Compra -HOJA1'!I$395,0)</f>
        <v>0</v>
      </c>
      <c r="M148" s="859">
        <f ca="1">+ROUND(J148*'Compra -HOJA1'!J$395,0)</f>
        <v>0</v>
      </c>
      <c r="N148" s="859">
        <f ca="1">+ROUND(K148*'Compra -HOJA1'!K$395,0)</f>
        <v>0</v>
      </c>
      <c r="O148" s="860">
        <f t="shared" ca="1" si="30"/>
        <v>0</v>
      </c>
      <c r="P148" s="860">
        <f t="shared" ca="1" si="31"/>
        <v>0</v>
      </c>
      <c r="Q148" s="860">
        <f t="shared" ca="1" si="32"/>
        <v>0</v>
      </c>
      <c r="R148" s="1969">
        <f t="shared" ca="1" si="33"/>
        <v>0</v>
      </c>
      <c r="S148" s="675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</row>
    <row r="149" spans="1:44" ht="52.5" customHeight="1" x14ac:dyDescent="0.2">
      <c r="A149" s="4020"/>
      <c r="B149" s="4869" t="s">
        <v>326</v>
      </c>
      <c r="C149" s="3686" t="s">
        <v>824</v>
      </c>
      <c r="D149" s="3649" t="s">
        <v>68</v>
      </c>
      <c r="E149" s="4853"/>
      <c r="F149" s="3032">
        <f t="shared" ref="F149:G152" si="65">+F90</f>
        <v>0</v>
      </c>
      <c r="G149" s="3032">
        <f t="shared" si="65"/>
        <v>0</v>
      </c>
      <c r="H149" s="12"/>
      <c r="I149" s="1968">
        <f>IF(F149=0,0,ROUND($F149*COEF!$J$27,0))</f>
        <v>0</v>
      </c>
      <c r="J149" s="858">
        <f>IF(F149=0,0,ROUND($F149*COEF!$K$27,0))</f>
        <v>0</v>
      </c>
      <c r="K149" s="858">
        <f>IF(F149=0,0,ROUND($F149*COEF!$L$27,0))</f>
        <v>0</v>
      </c>
      <c r="L149" s="859">
        <f ca="1">+ROUND(I149*'Compra -HOJA1'!I$395,0)</f>
        <v>0</v>
      </c>
      <c r="M149" s="859">
        <f ca="1">+ROUND(J149*'Compra -HOJA1'!J$395,0)</f>
        <v>0</v>
      </c>
      <c r="N149" s="859">
        <f ca="1">+ROUND(K149*'Compra -HOJA1'!K$395,0)</f>
        <v>0</v>
      </c>
      <c r="O149" s="860">
        <f t="shared" ca="1" si="30"/>
        <v>0</v>
      </c>
      <c r="P149" s="860">
        <f t="shared" ca="1" si="31"/>
        <v>0</v>
      </c>
      <c r="Q149" s="860">
        <f t="shared" ca="1" si="32"/>
        <v>0</v>
      </c>
      <c r="R149" s="1969">
        <f t="shared" ca="1" si="33"/>
        <v>0</v>
      </c>
      <c r="S149" s="675">
        <f t="shared" si="29"/>
        <v>0</v>
      </c>
      <c r="T149" s="10"/>
      <c r="U149" s="10"/>
      <c r="V149" s="10"/>
      <c r="W149" s="10"/>
      <c r="X149" s="10"/>
      <c r="Y149" s="10"/>
      <c r="Z149" s="10"/>
      <c r="AA149" s="10"/>
      <c r="AB149" s="10"/>
      <c r="AC149" s="10"/>
    </row>
    <row r="150" spans="1:44" ht="52.5" customHeight="1" x14ac:dyDescent="0.2">
      <c r="A150" s="4020"/>
      <c r="B150" s="4869"/>
      <c r="C150" s="3687"/>
      <c r="D150" s="4093" t="s">
        <v>68</v>
      </c>
      <c r="E150" s="4865"/>
      <c r="F150" s="3032">
        <f t="shared" si="65"/>
        <v>0</v>
      </c>
      <c r="G150" s="3032">
        <f t="shared" si="65"/>
        <v>0</v>
      </c>
      <c r="H150" s="3560"/>
      <c r="I150" s="1968">
        <f>IF(F150=0,0,ROUND($F150*COEF!$J$27,0))</f>
        <v>0</v>
      </c>
      <c r="J150" s="858">
        <f>IF(F150=0,0,ROUND($F150*COEF!$K$27,0))</f>
        <v>0</v>
      </c>
      <c r="K150" s="858">
        <f>IF(F150=0,0,ROUND($F150*COEF!$L$27,0))</f>
        <v>0</v>
      </c>
      <c r="L150" s="859">
        <f ca="1">+ROUND(I150*'Compra -HOJA1'!I$395,0)</f>
        <v>0</v>
      </c>
      <c r="M150" s="859">
        <f ca="1">+ROUND(J150*'Compra -HOJA1'!J$395,0)</f>
        <v>0</v>
      </c>
      <c r="N150" s="859">
        <f ca="1">+ROUND(K150*'Compra -HOJA1'!K$395,0)</f>
        <v>0</v>
      </c>
      <c r="O150" s="860">
        <f t="shared" ca="1" si="30"/>
        <v>0</v>
      </c>
      <c r="P150" s="860">
        <f t="shared" ca="1" si="31"/>
        <v>0</v>
      </c>
      <c r="Q150" s="860">
        <f t="shared" ca="1" si="32"/>
        <v>0</v>
      </c>
      <c r="R150" s="1969">
        <f t="shared" ca="1" si="33"/>
        <v>0</v>
      </c>
      <c r="S150" s="675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</row>
    <row r="151" spans="1:44" ht="52.5" customHeight="1" x14ac:dyDescent="0.2">
      <c r="A151" s="4020"/>
      <c r="B151" s="4869"/>
      <c r="C151" s="4096"/>
      <c r="D151" s="3651" t="s">
        <v>69</v>
      </c>
      <c r="E151" s="4854"/>
      <c r="F151" s="3032">
        <f t="shared" si="65"/>
        <v>0</v>
      </c>
      <c r="G151" s="3032">
        <f t="shared" si="65"/>
        <v>0</v>
      </c>
      <c r="H151" s="12"/>
      <c r="I151" s="1968">
        <f>IF(F151=0,0,ROUND($F151*COEF!$J$27,0))</f>
        <v>0</v>
      </c>
      <c r="J151" s="858">
        <f>IF(F151=0,0,ROUND($F151*COEF!$K$27,0))</f>
        <v>0</v>
      </c>
      <c r="K151" s="858">
        <f>IF(F151=0,0,ROUND($F151*COEF!$L$27,0))</f>
        <v>0</v>
      </c>
      <c r="L151" s="859">
        <f ca="1">+ROUND(I151*'Compra -HOJA1'!I$395,0)</f>
        <v>0</v>
      </c>
      <c r="M151" s="859">
        <f ca="1">+ROUND(J151*'Compra -HOJA1'!J$395,0)</f>
        <v>0</v>
      </c>
      <c r="N151" s="859">
        <f ca="1">+ROUND(K151*'Compra -HOJA1'!K$395,0)</f>
        <v>0</v>
      </c>
      <c r="O151" s="860">
        <f t="shared" ca="1" si="30"/>
        <v>0</v>
      </c>
      <c r="P151" s="860">
        <f t="shared" ca="1" si="31"/>
        <v>0</v>
      </c>
      <c r="Q151" s="860">
        <f t="shared" ca="1" si="32"/>
        <v>0</v>
      </c>
      <c r="R151" s="1969">
        <f t="shared" ca="1" si="33"/>
        <v>0</v>
      </c>
      <c r="S151" s="675">
        <f t="shared" si="29"/>
        <v>0</v>
      </c>
      <c r="T151" s="10"/>
      <c r="U151" s="10"/>
      <c r="V151" s="10"/>
      <c r="W151" s="10"/>
      <c r="X151" s="10"/>
      <c r="Y151" s="10"/>
      <c r="Z151" s="10"/>
      <c r="AA151" s="10"/>
      <c r="AB151" s="10"/>
      <c r="AC151" s="10"/>
    </row>
    <row r="152" spans="1:44" ht="52.5" customHeight="1" x14ac:dyDescent="0.2">
      <c r="A152" s="3365"/>
      <c r="B152" s="4869"/>
      <c r="C152" s="3498"/>
      <c r="D152" s="4095" t="s">
        <v>69</v>
      </c>
      <c r="E152" s="4866"/>
      <c r="F152" s="3032">
        <f t="shared" si="65"/>
        <v>0</v>
      </c>
      <c r="G152" s="3032">
        <f t="shared" si="65"/>
        <v>0</v>
      </c>
      <c r="H152" s="3560"/>
      <c r="I152" s="1968">
        <f>IF(F152=0,0,ROUND($F152*COEF!$J$27,0))</f>
        <v>0</v>
      </c>
      <c r="J152" s="858">
        <f>IF(F152=0,0,ROUND($F152*COEF!$K$27,0))</f>
        <v>0</v>
      </c>
      <c r="K152" s="858">
        <f>IF(F152=0,0,ROUND($F152*COEF!$L$27,0))</f>
        <v>0</v>
      </c>
      <c r="L152" s="859">
        <f ca="1">+ROUND(I152*'Compra -HOJA1'!I$395,0)</f>
        <v>0</v>
      </c>
      <c r="M152" s="859">
        <f ca="1">+ROUND(J152*'Compra -HOJA1'!J$395,0)</f>
        <v>0</v>
      </c>
      <c r="N152" s="859">
        <f ca="1">+ROUND(K152*'Compra -HOJA1'!K$395,0)</f>
        <v>0</v>
      </c>
      <c r="O152" s="860">
        <f t="shared" ca="1" si="30"/>
        <v>0</v>
      </c>
      <c r="P152" s="860">
        <f t="shared" ca="1" si="31"/>
        <v>0</v>
      </c>
      <c r="Q152" s="860">
        <f t="shared" ca="1" si="32"/>
        <v>0</v>
      </c>
      <c r="R152" s="1969">
        <f t="shared" ca="1" si="33"/>
        <v>0</v>
      </c>
      <c r="S152" s="675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</row>
    <row r="153" spans="1:44" ht="52.5" customHeight="1" x14ac:dyDescent="0.2">
      <c r="A153" s="3365"/>
      <c r="B153" s="4869"/>
      <c r="C153" s="3686" t="s">
        <v>825</v>
      </c>
      <c r="D153" s="3649" t="s">
        <v>68</v>
      </c>
      <c r="E153" s="4853"/>
      <c r="F153" s="3032">
        <f t="shared" ref="F153:G153" si="66">+F94</f>
        <v>0</v>
      </c>
      <c r="G153" s="3032">
        <f t="shared" si="66"/>
        <v>0</v>
      </c>
      <c r="H153" s="12"/>
      <c r="I153" s="1968">
        <f>IF(F153=0,0,ROUND($F153*COEF!$J$27,0))</f>
        <v>0</v>
      </c>
      <c r="J153" s="858">
        <f>IF(F153=0,0,ROUND($F153*COEF!$K$27,0))</f>
        <v>0</v>
      </c>
      <c r="K153" s="858">
        <f>IF(F153=0,0,ROUND($F153*COEF!$L$27,0))</f>
        <v>0</v>
      </c>
      <c r="L153" s="859">
        <f ca="1">+ROUND(I153*'Compra -HOJA1'!I$395,0)</f>
        <v>0</v>
      </c>
      <c r="M153" s="859">
        <f ca="1">+ROUND(J153*'Compra -HOJA1'!J$395,0)</f>
        <v>0</v>
      </c>
      <c r="N153" s="859">
        <f ca="1">+ROUND(K153*'Compra -HOJA1'!K$395,0)</f>
        <v>0</v>
      </c>
      <c r="O153" s="860">
        <f t="shared" ca="1" si="30"/>
        <v>0</v>
      </c>
      <c r="P153" s="860">
        <f t="shared" ca="1" si="31"/>
        <v>0</v>
      </c>
      <c r="Q153" s="860">
        <f t="shared" ca="1" si="32"/>
        <v>0</v>
      </c>
      <c r="R153" s="1969">
        <f t="shared" ca="1" si="33"/>
        <v>0</v>
      </c>
      <c r="S153" s="675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</row>
    <row r="154" spans="1:44" ht="52.5" customHeight="1" x14ac:dyDescent="0.2">
      <c r="A154" s="3365"/>
      <c r="B154" s="4869"/>
      <c r="C154" s="4096"/>
      <c r="D154" s="3651" t="s">
        <v>69</v>
      </c>
      <c r="E154" s="4854"/>
      <c r="F154" s="3032">
        <f t="shared" ref="F154:G154" si="67">+F95</f>
        <v>0</v>
      </c>
      <c r="G154" s="3032">
        <f t="shared" si="67"/>
        <v>0</v>
      </c>
      <c r="H154" s="12"/>
      <c r="I154" s="1968">
        <f>IF(F154=0,0,ROUND($F154*COEF!$J$27,0))</f>
        <v>0</v>
      </c>
      <c r="J154" s="858">
        <f>IF(F154=0,0,ROUND($F154*COEF!$K$27,0))</f>
        <v>0</v>
      </c>
      <c r="K154" s="858">
        <f>IF(F154=0,0,ROUND($F154*COEF!$L$27,0))</f>
        <v>0</v>
      </c>
      <c r="L154" s="859">
        <f ca="1">+ROUND(I154*'Compra -HOJA1'!I$395,0)</f>
        <v>0</v>
      </c>
      <c r="M154" s="859">
        <f ca="1">+ROUND(J154*'Compra -HOJA1'!J$395,0)</f>
        <v>0</v>
      </c>
      <c r="N154" s="859">
        <f ca="1">+ROUND(K154*'Compra -HOJA1'!K$395,0)</f>
        <v>0</v>
      </c>
      <c r="O154" s="860">
        <f t="shared" ca="1" si="30"/>
        <v>0</v>
      </c>
      <c r="P154" s="860">
        <f t="shared" ca="1" si="31"/>
        <v>0</v>
      </c>
      <c r="Q154" s="860">
        <f t="shared" ca="1" si="32"/>
        <v>0</v>
      </c>
      <c r="R154" s="1969">
        <f t="shared" ca="1" si="33"/>
        <v>0</v>
      </c>
      <c r="S154" s="675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</row>
    <row r="155" spans="1:44" ht="52.5" customHeight="1" x14ac:dyDescent="0.2">
      <c r="A155" s="3365"/>
      <c r="B155" s="4869"/>
      <c r="C155" s="3686" t="s">
        <v>826</v>
      </c>
      <c r="D155" s="3649" t="s">
        <v>68</v>
      </c>
      <c r="E155" s="4853"/>
      <c r="F155" s="3032">
        <f t="shared" ref="F155:G155" si="68">+F96</f>
        <v>0</v>
      </c>
      <c r="G155" s="3032">
        <f t="shared" si="68"/>
        <v>0</v>
      </c>
      <c r="H155" s="12"/>
      <c r="I155" s="1968">
        <f>IF(F155=0,0,ROUND($F155*COEF!$J$27,0))</f>
        <v>0</v>
      </c>
      <c r="J155" s="858">
        <f>IF(F155=0,0,ROUND($F155*COEF!$K$27,0))</f>
        <v>0</v>
      </c>
      <c r="K155" s="858">
        <f>IF(F155=0,0,ROUND($F155*COEF!$L$27,0))</f>
        <v>0</v>
      </c>
      <c r="L155" s="859">
        <f ca="1">+ROUND(I155*'Compra -HOJA1'!I$395,0)</f>
        <v>0</v>
      </c>
      <c r="M155" s="859">
        <f ca="1">+ROUND(J155*'Compra -HOJA1'!J$395,0)</f>
        <v>0</v>
      </c>
      <c r="N155" s="859">
        <f ca="1">+ROUND(K155*'Compra -HOJA1'!K$395,0)</f>
        <v>0</v>
      </c>
      <c r="O155" s="860">
        <f t="shared" ca="1" si="30"/>
        <v>0</v>
      </c>
      <c r="P155" s="860">
        <f t="shared" ca="1" si="31"/>
        <v>0</v>
      </c>
      <c r="Q155" s="860">
        <f t="shared" ca="1" si="32"/>
        <v>0</v>
      </c>
      <c r="R155" s="1969">
        <f t="shared" ca="1" si="33"/>
        <v>0</v>
      </c>
      <c r="S155" s="675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</row>
    <row r="156" spans="1:44" ht="52.5" customHeight="1" thickBot="1" x14ac:dyDescent="0.25">
      <c r="A156" s="3365"/>
      <c r="B156" s="4870"/>
      <c r="C156" s="4096"/>
      <c r="D156" s="3651" t="s">
        <v>69</v>
      </c>
      <c r="E156" s="4854"/>
      <c r="F156" s="3032">
        <f t="shared" ref="F156:G156" si="69">+F97</f>
        <v>0</v>
      </c>
      <c r="G156" s="3032">
        <f t="shared" si="69"/>
        <v>0</v>
      </c>
      <c r="H156" s="12"/>
      <c r="I156" s="1968">
        <f>IF(F156=0,0,ROUND($F156*COEF!$J$27,0))</f>
        <v>0</v>
      </c>
      <c r="J156" s="858">
        <f>IF(F156=0,0,ROUND($F156*COEF!$K$27,0))</f>
        <v>0</v>
      </c>
      <c r="K156" s="858">
        <f>IF(F156=0,0,ROUND($F156*COEF!$L$27,0))</f>
        <v>0</v>
      </c>
      <c r="L156" s="859">
        <f ca="1">+ROUND(I156*'Compra -HOJA1'!I$395,0)</f>
        <v>0</v>
      </c>
      <c r="M156" s="859">
        <f ca="1">+ROUND(J156*'Compra -HOJA1'!J$395,0)</f>
        <v>0</v>
      </c>
      <c r="N156" s="859">
        <f ca="1">+ROUND(K156*'Compra -HOJA1'!K$395,0)</f>
        <v>0</v>
      </c>
      <c r="O156" s="860">
        <f t="shared" ca="1" si="30"/>
        <v>0</v>
      </c>
      <c r="P156" s="860">
        <f t="shared" ca="1" si="31"/>
        <v>0</v>
      </c>
      <c r="Q156" s="860">
        <f t="shared" ca="1" si="32"/>
        <v>0</v>
      </c>
      <c r="R156" s="1969">
        <f t="shared" ca="1" si="33"/>
        <v>0</v>
      </c>
      <c r="S156" s="675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</row>
    <row r="157" spans="1:44" ht="41.25" customHeight="1" thickBot="1" x14ac:dyDescent="0.25">
      <c r="A157" s="3810" t="s">
        <v>190</v>
      </c>
      <c r="B157" s="3811"/>
      <c r="C157" s="3811"/>
      <c r="D157" s="3811"/>
      <c r="E157" s="3812"/>
      <c r="F157" s="2167">
        <f>SUM(F107:F156)</f>
        <v>0</v>
      </c>
      <c r="G157" s="2167">
        <f>SUM(G107:G156)</f>
        <v>0</v>
      </c>
      <c r="H157" s="12"/>
      <c r="I157" s="2354">
        <f>SUM(I107:I156)</f>
        <v>0</v>
      </c>
      <c r="J157" s="2354">
        <f t="shared" ref="J157:R157" si="70">SUM(J107:J156)</f>
        <v>0</v>
      </c>
      <c r="K157" s="2354">
        <f t="shared" si="70"/>
        <v>0</v>
      </c>
      <c r="L157" s="2354">
        <f t="shared" ca="1" si="70"/>
        <v>0</v>
      </c>
      <c r="M157" s="2354">
        <f t="shared" ca="1" si="70"/>
        <v>0</v>
      </c>
      <c r="N157" s="2354">
        <f t="shared" ca="1" si="70"/>
        <v>0</v>
      </c>
      <c r="O157" s="2354">
        <f t="shared" ca="1" si="70"/>
        <v>0</v>
      </c>
      <c r="P157" s="2354">
        <f t="shared" ca="1" si="70"/>
        <v>0</v>
      </c>
      <c r="Q157" s="2354">
        <f t="shared" ca="1" si="70"/>
        <v>0</v>
      </c>
      <c r="R157" s="2354">
        <f t="shared" ca="1" si="70"/>
        <v>0</v>
      </c>
      <c r="S157" s="1964">
        <f t="shared" ref="S157:AQ157" si="71">SUM(S107:S151)</f>
        <v>0</v>
      </c>
      <c r="T157" s="1440">
        <f t="shared" si="71"/>
        <v>0</v>
      </c>
      <c r="U157" s="1440">
        <f t="shared" si="71"/>
        <v>0</v>
      </c>
      <c r="V157" s="1440">
        <f t="shared" si="71"/>
        <v>0</v>
      </c>
      <c r="W157" s="1440">
        <f t="shared" si="71"/>
        <v>0</v>
      </c>
      <c r="X157" s="1440">
        <f t="shared" si="71"/>
        <v>0</v>
      </c>
      <c r="Y157" s="851">
        <f t="shared" si="71"/>
        <v>0</v>
      </c>
      <c r="Z157" s="851">
        <f t="shared" si="71"/>
        <v>0</v>
      </c>
      <c r="AA157" s="851">
        <f t="shared" si="71"/>
        <v>0</v>
      </c>
      <c r="AB157" s="851">
        <f t="shared" si="71"/>
        <v>0</v>
      </c>
      <c r="AC157" s="851">
        <f t="shared" si="71"/>
        <v>0</v>
      </c>
      <c r="AD157" s="851">
        <f t="shared" si="71"/>
        <v>0</v>
      </c>
      <c r="AE157" s="851">
        <f t="shared" si="71"/>
        <v>0</v>
      </c>
      <c r="AF157" s="851">
        <f t="shared" si="71"/>
        <v>0</v>
      </c>
      <c r="AG157" s="851">
        <f t="shared" si="71"/>
        <v>0</v>
      </c>
      <c r="AH157" s="851">
        <f t="shared" si="71"/>
        <v>0</v>
      </c>
      <c r="AI157" s="851">
        <f t="shared" si="71"/>
        <v>0</v>
      </c>
      <c r="AJ157" s="851">
        <f t="shared" si="71"/>
        <v>0</v>
      </c>
      <c r="AK157" s="851">
        <f t="shared" si="71"/>
        <v>0</v>
      </c>
      <c r="AL157" s="851">
        <f t="shared" si="71"/>
        <v>0</v>
      </c>
      <c r="AM157" s="851">
        <f t="shared" si="71"/>
        <v>0</v>
      </c>
      <c r="AN157" s="851">
        <f t="shared" si="71"/>
        <v>0</v>
      </c>
      <c r="AO157" s="851">
        <f t="shared" si="71"/>
        <v>0</v>
      </c>
      <c r="AP157" s="851">
        <f t="shared" si="71"/>
        <v>0</v>
      </c>
      <c r="AQ157" s="851">
        <f t="shared" si="71"/>
        <v>0</v>
      </c>
      <c r="AR157" s="851"/>
    </row>
    <row r="158" spans="1:44" ht="30.75" customHeight="1" x14ac:dyDescent="0.35">
      <c r="D158" s="852"/>
      <c r="E158" s="853"/>
      <c r="F158" s="3563">
        <f>+F157-F98</f>
        <v>0</v>
      </c>
      <c r="G158" s="3563">
        <f>+G157-G98</f>
        <v>0</v>
      </c>
      <c r="I158" s="1438">
        <f t="shared" ref="I158:S158" si="72">+I157-I293</f>
        <v>0</v>
      </c>
      <c r="J158" s="1438">
        <f t="shared" si="72"/>
        <v>0</v>
      </c>
      <c r="K158" s="1438">
        <f t="shared" si="72"/>
        <v>0</v>
      </c>
      <c r="L158" s="1438">
        <f t="shared" ca="1" si="72"/>
        <v>0</v>
      </c>
      <c r="M158" s="1438">
        <f t="shared" ca="1" si="72"/>
        <v>0</v>
      </c>
      <c r="N158" s="1438">
        <f t="shared" ca="1" si="72"/>
        <v>0</v>
      </c>
      <c r="O158" s="1438">
        <f t="shared" ca="1" si="72"/>
        <v>0</v>
      </c>
      <c r="P158" s="1438">
        <f t="shared" ca="1" si="72"/>
        <v>0</v>
      </c>
      <c r="Q158" s="1438">
        <f t="shared" ca="1" si="72"/>
        <v>0</v>
      </c>
      <c r="R158" s="1438">
        <f t="shared" ca="1" si="72"/>
        <v>0</v>
      </c>
      <c r="S158" s="1438" t="e">
        <f t="shared" si="72"/>
        <v>#REF!</v>
      </c>
      <c r="T158" s="10"/>
      <c r="U158" s="10"/>
      <c r="V158" s="10"/>
      <c r="W158" s="10"/>
      <c r="X158" s="10"/>
      <c r="Y158" s="10"/>
      <c r="Z158" s="10"/>
      <c r="AA158" s="10"/>
      <c r="AB158" s="10"/>
      <c r="AC158" s="10"/>
    </row>
    <row r="159" spans="1:44" ht="30.75" hidden="1" customHeight="1" x14ac:dyDescent="0.35">
      <c r="D159" s="852"/>
      <c r="E159" s="853"/>
      <c r="F159" s="854"/>
      <c r="I159" s="855"/>
      <c r="J159" s="855"/>
      <c r="M159" s="3033"/>
      <c r="N159" s="10"/>
      <c r="O159" s="675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</row>
    <row r="160" spans="1:44" ht="30.75" hidden="1" customHeight="1" x14ac:dyDescent="0.35">
      <c r="D160" s="852"/>
      <c r="E160" s="853"/>
      <c r="F160" s="854"/>
      <c r="I160" s="855"/>
      <c r="J160" s="855"/>
      <c r="M160" s="3033"/>
      <c r="N160" s="10"/>
      <c r="O160" s="675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</row>
    <row r="161" spans="4:29" ht="30.75" hidden="1" customHeight="1" x14ac:dyDescent="0.35">
      <c r="D161" s="852"/>
      <c r="E161" s="853"/>
      <c r="F161" s="854"/>
      <c r="I161" s="855"/>
      <c r="J161" s="855"/>
      <c r="M161" s="3033"/>
      <c r="N161" s="10"/>
      <c r="O161" s="675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</row>
    <row r="162" spans="4:29" ht="30.75" hidden="1" customHeight="1" x14ac:dyDescent="0.35">
      <c r="D162" s="852"/>
      <c r="E162" s="853"/>
      <c r="F162" s="854"/>
      <c r="I162" s="855"/>
      <c r="J162" s="855"/>
      <c r="M162" s="3033"/>
      <c r="N162" s="10"/>
      <c r="O162" s="675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</row>
    <row r="163" spans="4:29" ht="30.75" hidden="1" customHeight="1" x14ac:dyDescent="0.35">
      <c r="D163" s="852"/>
      <c r="E163" s="853"/>
      <c r="F163" s="854"/>
      <c r="I163" s="855"/>
      <c r="J163" s="855"/>
      <c r="M163" s="3033"/>
      <c r="N163" s="10"/>
      <c r="O163" s="675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</row>
    <row r="164" spans="4:29" ht="30.75" hidden="1" customHeight="1" x14ac:dyDescent="0.35">
      <c r="D164" s="852"/>
      <c r="E164" s="853"/>
      <c r="F164" s="854"/>
      <c r="I164" s="855"/>
      <c r="J164" s="855"/>
      <c r="M164" s="3033"/>
      <c r="N164" s="10"/>
      <c r="O164" s="675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</row>
    <row r="165" spans="4:29" ht="30.75" hidden="1" customHeight="1" x14ac:dyDescent="0.35">
      <c r="D165" s="852"/>
      <c r="E165" s="853"/>
      <c r="F165" s="854"/>
      <c r="I165" s="855"/>
      <c r="J165" s="855"/>
      <c r="M165" s="3033"/>
      <c r="N165" s="10"/>
      <c r="O165" s="675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</row>
    <row r="166" spans="4:29" ht="30.75" hidden="1" customHeight="1" x14ac:dyDescent="0.35">
      <c r="D166" s="852"/>
      <c r="E166" s="853"/>
      <c r="F166" s="854"/>
      <c r="I166" s="855"/>
      <c r="J166" s="855"/>
      <c r="M166" s="3033"/>
      <c r="N166" s="10"/>
      <c r="O166" s="675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</row>
    <row r="167" spans="4:29" ht="30.75" hidden="1" customHeight="1" x14ac:dyDescent="0.35">
      <c r="D167" s="852"/>
      <c r="E167" s="853"/>
      <c r="F167" s="854"/>
      <c r="I167" s="855"/>
      <c r="J167" s="855"/>
      <c r="M167" s="3033"/>
      <c r="N167" s="10"/>
      <c r="O167" s="675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</row>
    <row r="168" spans="4:29" ht="30.75" hidden="1" customHeight="1" x14ac:dyDescent="0.35">
      <c r="D168" s="852"/>
      <c r="E168" s="853"/>
      <c r="F168" s="854"/>
      <c r="I168" s="855"/>
      <c r="J168" s="855"/>
      <c r="M168" s="3033"/>
      <c r="N168" s="10"/>
      <c r="O168" s="675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</row>
    <row r="169" spans="4:29" ht="30.75" hidden="1" customHeight="1" x14ac:dyDescent="0.35">
      <c r="D169" s="852"/>
      <c r="E169" s="853"/>
      <c r="F169" s="854"/>
      <c r="I169" s="855"/>
      <c r="J169" s="855"/>
      <c r="M169" s="3033"/>
      <c r="N169" s="10"/>
      <c r="O169" s="675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</row>
    <row r="170" spans="4:29" ht="30.75" hidden="1" customHeight="1" x14ac:dyDescent="0.35">
      <c r="D170" s="852"/>
      <c r="E170" s="853"/>
      <c r="F170" s="854"/>
      <c r="I170" s="855"/>
      <c r="J170" s="855"/>
      <c r="M170" s="3033"/>
      <c r="N170" s="10"/>
      <c r="O170" s="67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</row>
    <row r="171" spans="4:29" ht="30.75" hidden="1" customHeight="1" x14ac:dyDescent="0.35">
      <c r="D171" s="852"/>
      <c r="E171" s="853"/>
      <c r="F171" s="854"/>
      <c r="I171" s="855"/>
      <c r="J171" s="855"/>
      <c r="M171" s="3033"/>
      <c r="N171" s="10"/>
      <c r="O171" s="675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</row>
    <row r="172" spans="4:29" ht="30.75" hidden="1" customHeight="1" x14ac:dyDescent="0.35">
      <c r="D172" s="852"/>
      <c r="E172" s="853"/>
      <c r="F172" s="854"/>
      <c r="I172" s="855"/>
      <c r="J172" s="855"/>
      <c r="M172" s="3033"/>
      <c r="N172" s="10"/>
      <c r="O172" s="675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</row>
    <row r="173" spans="4:29" ht="30.75" hidden="1" customHeight="1" x14ac:dyDescent="0.35">
      <c r="D173" s="852"/>
      <c r="E173" s="853"/>
      <c r="F173" s="854"/>
      <c r="I173" s="855"/>
      <c r="J173" s="855"/>
      <c r="M173" s="3033"/>
      <c r="N173" s="10"/>
      <c r="O173" s="675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</row>
    <row r="174" spans="4:29" ht="30.75" hidden="1" customHeight="1" x14ac:dyDescent="0.35">
      <c r="D174" s="852"/>
      <c r="E174" s="853"/>
      <c r="F174" s="854"/>
      <c r="I174" s="855"/>
      <c r="J174" s="855"/>
      <c r="M174" s="3033"/>
      <c r="N174" s="10"/>
      <c r="O174" s="675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</row>
    <row r="175" spans="4:29" ht="30.75" hidden="1" customHeight="1" x14ac:dyDescent="0.35">
      <c r="D175" s="852"/>
      <c r="E175" s="853"/>
      <c r="F175" s="854"/>
      <c r="I175" s="855"/>
      <c r="J175" s="855"/>
      <c r="M175" s="3033"/>
      <c r="N175" s="10"/>
      <c r="O175" s="675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</row>
    <row r="176" spans="4:29" ht="30.75" hidden="1" customHeight="1" x14ac:dyDescent="0.35">
      <c r="D176" s="852"/>
      <c r="E176" s="853"/>
      <c r="F176" s="854"/>
      <c r="I176" s="855"/>
      <c r="J176" s="855"/>
      <c r="M176" s="3033"/>
      <c r="N176" s="10"/>
      <c r="O176" s="675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</row>
    <row r="177" spans="1:358" ht="30.75" hidden="1" customHeight="1" x14ac:dyDescent="0.35">
      <c r="D177" s="852"/>
      <c r="E177" s="853"/>
      <c r="F177" s="854"/>
      <c r="I177" s="855"/>
      <c r="J177" s="855"/>
      <c r="M177" s="3033"/>
      <c r="N177" s="10"/>
      <c r="O177" s="675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</row>
    <row r="178" spans="1:358" ht="30.75" hidden="1" customHeight="1" x14ac:dyDescent="0.35">
      <c r="D178" s="852"/>
      <c r="E178" s="853"/>
      <c r="F178" s="854"/>
      <c r="I178" s="855"/>
      <c r="J178" s="855"/>
      <c r="M178" s="3033"/>
      <c r="N178" s="10"/>
      <c r="O178" s="675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</row>
    <row r="179" spans="1:358" ht="30.75" hidden="1" customHeight="1" x14ac:dyDescent="0.35">
      <c r="D179" s="852"/>
      <c r="E179" s="853"/>
      <c r="F179" s="854"/>
      <c r="I179" s="855"/>
      <c r="J179" s="855"/>
      <c r="M179" s="3033"/>
      <c r="N179" s="10"/>
      <c r="O179" s="675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</row>
    <row r="180" spans="1:358" ht="30.75" hidden="1" customHeight="1" x14ac:dyDescent="0.35">
      <c r="D180" s="852"/>
      <c r="E180" s="853"/>
      <c r="F180" s="854"/>
      <c r="I180" s="855"/>
      <c r="J180" s="855"/>
      <c r="M180" s="3033"/>
      <c r="N180" s="10"/>
      <c r="O180" s="675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</row>
    <row r="181" spans="1:358" ht="30.75" hidden="1" customHeight="1" x14ac:dyDescent="0.35">
      <c r="D181" s="852"/>
      <c r="E181" s="853"/>
      <c r="F181" s="854"/>
      <c r="I181" s="855"/>
      <c r="J181" s="855"/>
      <c r="M181" s="3033"/>
      <c r="N181" s="10"/>
      <c r="O181" s="675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</row>
    <row r="182" spans="1:358" ht="52.5" customHeight="1" thickBot="1" x14ac:dyDescent="0.6">
      <c r="A182" s="4676" t="s">
        <v>214</v>
      </c>
      <c r="B182" s="4677"/>
      <c r="C182" s="4677"/>
      <c r="D182" s="4677"/>
      <c r="E182" s="4677"/>
      <c r="F182" s="4677"/>
      <c r="G182" s="4677"/>
      <c r="I182" s="855"/>
      <c r="J182" s="855"/>
      <c r="K182" s="10"/>
      <c r="L182" s="10"/>
      <c r="M182" s="10"/>
      <c r="N182" s="10"/>
      <c r="O182" s="10"/>
      <c r="P182" s="10"/>
      <c r="Q182" s="10"/>
      <c r="R182" s="10"/>
      <c r="S182" s="10"/>
      <c r="T182" s="856" t="s">
        <v>152</v>
      </c>
      <c r="U182" s="662"/>
      <c r="V182" s="662"/>
      <c r="W182" s="10"/>
      <c r="X182" s="10"/>
      <c r="Y182" s="10"/>
      <c r="Z182" s="10"/>
      <c r="AA182" s="10"/>
      <c r="AB182" s="10"/>
      <c r="AC182" s="10"/>
    </row>
    <row r="183" spans="1:358" ht="28.5" customHeight="1" x14ac:dyDescent="0.2">
      <c r="A183" s="3813" t="s">
        <v>160</v>
      </c>
      <c r="B183" s="3813"/>
      <c r="C183" s="3813"/>
      <c r="D183" s="3813"/>
      <c r="E183" s="3814"/>
      <c r="F183" s="3939" t="s">
        <v>191</v>
      </c>
      <c r="G183" s="3788" t="s">
        <v>101</v>
      </c>
      <c r="I183" s="4041" t="s">
        <v>192</v>
      </c>
      <c r="J183" s="3934"/>
      <c r="K183" s="3935"/>
      <c r="L183" s="3933" t="s">
        <v>193</v>
      </c>
      <c r="M183" s="3934"/>
      <c r="N183" s="3935"/>
      <c r="O183" s="3763" t="s">
        <v>194</v>
      </c>
      <c r="P183" s="3764"/>
      <c r="Q183" s="3764"/>
      <c r="R183" s="1965"/>
      <c r="S183" s="548"/>
      <c r="T183" s="10"/>
      <c r="U183" s="540" t="s">
        <v>94</v>
      </c>
      <c r="V183" s="540"/>
      <c r="W183" s="540"/>
      <c r="X183" s="10"/>
      <c r="Y183" s="10"/>
      <c r="Z183" s="10"/>
      <c r="AA183" s="10"/>
      <c r="AB183" s="10"/>
      <c r="AC183" s="10"/>
      <c r="AD183" s="10"/>
      <c r="MK183" s="4041" t="s">
        <v>192</v>
      </c>
      <c r="ML183" s="3934"/>
      <c r="MM183" s="3935"/>
      <c r="MN183" s="3933" t="s">
        <v>193</v>
      </c>
      <c r="MO183" s="3934"/>
      <c r="MP183" s="3935"/>
      <c r="MQ183" s="3763" t="s">
        <v>194</v>
      </c>
      <c r="MR183" s="3764"/>
      <c r="MS183" s="3764"/>
      <c r="MT183" s="1965"/>
    </row>
    <row r="184" spans="1:358" ht="24" customHeight="1" thickBot="1" x14ac:dyDescent="0.25">
      <c r="A184" s="3813"/>
      <c r="B184" s="3815"/>
      <c r="C184" s="3815"/>
      <c r="D184" s="3815"/>
      <c r="E184" s="3816"/>
      <c r="F184" s="3940"/>
      <c r="G184" s="3789"/>
      <c r="I184" s="1966" t="s">
        <v>5</v>
      </c>
      <c r="J184" s="585" t="s">
        <v>6</v>
      </c>
      <c r="K184" s="585" t="s">
        <v>7</v>
      </c>
      <c r="L184" s="585" t="s">
        <v>5</v>
      </c>
      <c r="M184" s="585" t="s">
        <v>6</v>
      </c>
      <c r="N184" s="585" t="s">
        <v>7</v>
      </c>
      <c r="O184" s="585" t="s">
        <v>5</v>
      </c>
      <c r="P184" s="585" t="s">
        <v>6</v>
      </c>
      <c r="Q184" s="585" t="s">
        <v>7</v>
      </c>
      <c r="R184" s="1967" t="s">
        <v>4</v>
      </c>
      <c r="S184" s="548"/>
      <c r="T184" s="10"/>
      <c r="U184" s="540" t="s">
        <v>5</v>
      </c>
      <c r="V184" s="540" t="s">
        <v>6</v>
      </c>
      <c r="W184" s="540" t="s">
        <v>7</v>
      </c>
      <c r="X184" s="10"/>
      <c r="Y184" s="10"/>
      <c r="Z184" s="10"/>
      <c r="AA184" s="10"/>
      <c r="AB184" s="10"/>
      <c r="AC184" s="10"/>
      <c r="AD184" s="10"/>
      <c r="MK184" s="1966" t="s">
        <v>5</v>
      </c>
      <c r="ML184" s="585" t="s">
        <v>6</v>
      </c>
      <c r="MM184" s="585" t="s">
        <v>7</v>
      </c>
      <c r="MN184" s="585" t="s">
        <v>5</v>
      </c>
      <c r="MO184" s="585" t="s">
        <v>6</v>
      </c>
      <c r="MP184" s="585" t="s">
        <v>7</v>
      </c>
      <c r="MQ184" s="585" t="s">
        <v>5</v>
      </c>
      <c r="MR184" s="585" t="s">
        <v>6</v>
      </c>
      <c r="MS184" s="585" t="s">
        <v>7</v>
      </c>
      <c r="MT184" s="1967" t="s">
        <v>4</v>
      </c>
    </row>
    <row r="185" spans="1:358" ht="54" customHeight="1" x14ac:dyDescent="0.4">
      <c r="A185" s="4034"/>
      <c r="B185" s="4874" t="s">
        <v>322</v>
      </c>
      <c r="C185" s="4871" t="s">
        <v>827</v>
      </c>
      <c r="D185" s="4860"/>
      <c r="E185" s="3427" t="s">
        <v>46</v>
      </c>
      <c r="F185" s="3434">
        <f t="shared" ref="F185:G188" si="73">+F48</f>
        <v>0</v>
      </c>
      <c r="G185" s="3434">
        <f t="shared" si="73"/>
        <v>0</v>
      </c>
      <c r="H185" s="3564"/>
      <c r="I185" s="1968">
        <f>IF(F185=0,0,ROUND($F185*COEF!$J$27,0))</f>
        <v>0</v>
      </c>
      <c r="J185" s="858">
        <f>IF(F185=0,0,ROUND($F185*COEF!$K$27,0))</f>
        <v>0</v>
      </c>
      <c r="K185" s="858">
        <f>IF(F185=0,0,ROUND($F185*COEF!$L$27,0))</f>
        <v>0</v>
      </c>
      <c r="L185" s="859">
        <f ca="1">+ROUND(I185*'Compra -HOJA1'!$I$395,0)</f>
        <v>0</v>
      </c>
      <c r="M185" s="859">
        <f ca="1">+ROUND(J185*'Compra -HOJA1'!$J$395,0)</f>
        <v>0</v>
      </c>
      <c r="N185" s="859">
        <f ca="1">+ROUND(K185*'Compra -HOJA1'!$K$395,0)</f>
        <v>0</v>
      </c>
      <c r="O185" s="860">
        <f t="shared" ref="O185:Q276" ca="1" si="74">I185+L185</f>
        <v>0</v>
      </c>
      <c r="P185" s="860">
        <f t="shared" ca="1" si="74"/>
        <v>0</v>
      </c>
      <c r="Q185" s="860">
        <f t="shared" ca="1" si="74"/>
        <v>0</v>
      </c>
      <c r="R185" s="1969">
        <f t="shared" ref="R185:R252" ca="1" si="75">SUM(O185:Q185)</f>
        <v>0</v>
      </c>
      <c r="S185" s="866"/>
      <c r="T185" s="856">
        <f t="shared" ref="T185:T269" ca="1" si="76">+SUM(L185:N185)</f>
        <v>0</v>
      </c>
      <c r="U185" s="711">
        <f t="shared" ref="U185:W188" ca="1" si="77">L185</f>
        <v>0</v>
      </c>
      <c r="V185" s="711">
        <f t="shared" ca="1" si="77"/>
        <v>0</v>
      </c>
      <c r="W185" s="711">
        <f t="shared" ca="1" si="77"/>
        <v>0</v>
      </c>
      <c r="X185" s="10">
        <f t="shared" ref="X185:Z188" si="78">IF(I185=0,0,U185/I185)</f>
        <v>0</v>
      </c>
      <c r="Y185" s="10">
        <f t="shared" si="78"/>
        <v>0</v>
      </c>
      <c r="Z185" s="10">
        <f t="shared" si="78"/>
        <v>0</v>
      </c>
      <c r="AA185" s="675">
        <f t="shared" ref="AA185:AA188" ca="1" si="79">R185-F185</f>
        <v>0</v>
      </c>
      <c r="AB185" s="10" t="e">
        <f t="shared" ref="AB185:AB188" ca="1" si="80">AA185/F185</f>
        <v>#DIV/0!</v>
      </c>
      <c r="AC185" s="869"/>
      <c r="AD185" s="870"/>
      <c r="MK185" s="3454">
        <f>+I185</f>
        <v>0</v>
      </c>
      <c r="ML185" s="3453">
        <f>+F185-I185-K185</f>
        <v>0</v>
      </c>
      <c r="MM185" s="3453">
        <f>+K185</f>
        <v>0</v>
      </c>
      <c r="MN185" s="859">
        <f ca="1">+ROUND(MK185*'Compra -HOJA1'!$I$395,0)</f>
        <v>0</v>
      </c>
      <c r="MO185" s="859">
        <f ca="1">+ROUND(ML185*'Compra -HOJA1'!$J$395,0)</f>
        <v>0</v>
      </c>
      <c r="MP185" s="859">
        <f ca="1">+ROUND(MM185*'Compra -HOJA1'!$K$395,0)</f>
        <v>0</v>
      </c>
      <c r="MQ185" s="860">
        <f t="shared" ref="MQ185" ca="1" si="81">MK185+MN185</f>
        <v>0</v>
      </c>
      <c r="MR185" s="860">
        <f t="shared" ref="MR185" ca="1" si="82">ML185+MO185</f>
        <v>0</v>
      </c>
      <c r="MS185" s="860">
        <f t="shared" ref="MS185" ca="1" si="83">MM185+MP185</f>
        <v>0</v>
      </c>
      <c r="MT185" s="1969">
        <f t="shared" ref="MT185" ca="1" si="84">SUM(MQ185:MS185)</f>
        <v>0</v>
      </c>
    </row>
    <row r="186" spans="1:358" ht="54" customHeight="1" x14ac:dyDescent="0.4">
      <c r="A186" s="4034"/>
      <c r="B186" s="4875"/>
      <c r="C186" s="4872"/>
      <c r="D186" s="4862"/>
      <c r="E186" s="3427" t="s">
        <v>47</v>
      </c>
      <c r="F186" s="3434">
        <f t="shared" si="73"/>
        <v>0</v>
      </c>
      <c r="G186" s="3434">
        <f t="shared" si="73"/>
        <v>0</v>
      </c>
      <c r="H186" s="3564"/>
      <c r="I186" s="1968">
        <f>IF(F186=0,0,ROUND($F186*COEF!$J$27,0))</f>
        <v>0</v>
      </c>
      <c r="J186" s="858">
        <f>IF(F186=0,0,ROUND($F186*COEF!$K$27,0))</f>
        <v>0</v>
      </c>
      <c r="K186" s="858">
        <f>IF(F186=0,0,ROUND($F186*COEF!$L$27,0))</f>
        <v>0</v>
      </c>
      <c r="L186" s="859">
        <f ca="1">+ROUND(I186*'Compra -HOJA1'!I$395,0)</f>
        <v>0</v>
      </c>
      <c r="M186" s="859">
        <f ca="1">+ROUND(J186*'Compra -HOJA1'!J$395,0)</f>
        <v>0</v>
      </c>
      <c r="N186" s="859">
        <f ca="1">+ROUND(K186*'Compra -HOJA1'!K$395,0)</f>
        <v>0</v>
      </c>
      <c r="O186" s="860">
        <f t="shared" ca="1" si="74"/>
        <v>0</v>
      </c>
      <c r="P186" s="860">
        <f t="shared" ca="1" si="74"/>
        <v>0</v>
      </c>
      <c r="Q186" s="860">
        <f t="shared" ca="1" si="74"/>
        <v>0</v>
      </c>
      <c r="R186" s="1969">
        <f t="shared" ca="1" si="75"/>
        <v>0</v>
      </c>
      <c r="S186" s="866"/>
      <c r="T186" s="856">
        <f t="shared" ca="1" si="76"/>
        <v>0</v>
      </c>
      <c r="U186" s="711">
        <f t="shared" ca="1" si="77"/>
        <v>0</v>
      </c>
      <c r="V186" s="711">
        <f t="shared" ca="1" si="77"/>
        <v>0</v>
      </c>
      <c r="W186" s="711">
        <f t="shared" ca="1" si="77"/>
        <v>0</v>
      </c>
      <c r="X186" s="10">
        <f t="shared" si="78"/>
        <v>0</v>
      </c>
      <c r="Y186" s="10">
        <f t="shared" si="78"/>
        <v>0</v>
      </c>
      <c r="Z186" s="10">
        <f t="shared" si="78"/>
        <v>0</v>
      </c>
      <c r="AA186" s="675">
        <f t="shared" ca="1" si="79"/>
        <v>0</v>
      </c>
      <c r="AB186" s="10" t="e">
        <f t="shared" ca="1" si="80"/>
        <v>#DIV/0!</v>
      </c>
      <c r="AC186" s="871"/>
      <c r="AD186" s="870"/>
      <c r="MK186" s="3454">
        <f t="shared" ref="MK186:MK249" si="85">+I186</f>
        <v>0</v>
      </c>
      <c r="ML186" s="3453">
        <f t="shared" ref="ML186:ML249" si="86">+F186-I186-K186</f>
        <v>0</v>
      </c>
      <c r="MM186" s="3453">
        <f t="shared" ref="MM186:MM249" si="87">+K186</f>
        <v>0</v>
      </c>
      <c r="MN186" s="859">
        <f ca="1">+ROUND(MK186*'Compra -HOJA1'!$I$395,0)</f>
        <v>0</v>
      </c>
      <c r="MO186" s="859">
        <f ca="1">+ROUND(ML186*'Compra -HOJA1'!$J$395,0)</f>
        <v>0</v>
      </c>
      <c r="MP186" s="859">
        <f ca="1">+ROUND(MM186*'Compra -HOJA1'!$K$395,0)</f>
        <v>0</v>
      </c>
      <c r="MQ186" s="860">
        <f t="shared" ref="MQ186:MQ249" ca="1" si="88">MK186+MN186</f>
        <v>0</v>
      </c>
      <c r="MR186" s="860">
        <f t="shared" ref="MR186:MR249" ca="1" si="89">ML186+MO186</f>
        <v>0</v>
      </c>
      <c r="MS186" s="860">
        <f t="shared" ref="MS186:MS249" ca="1" si="90">MM186+MP186</f>
        <v>0</v>
      </c>
      <c r="MT186" s="1969">
        <f t="shared" ref="MT186:MT249" ca="1" si="91">SUM(MQ186:MS186)</f>
        <v>0</v>
      </c>
    </row>
    <row r="187" spans="1:358" ht="54" customHeight="1" x14ac:dyDescent="0.4">
      <c r="A187" s="4034"/>
      <c r="B187" s="4875"/>
      <c r="C187" s="4872"/>
      <c r="D187" s="4862"/>
      <c r="E187" s="3424" t="s">
        <v>169</v>
      </c>
      <c r="F187" s="3434">
        <f t="shared" si="73"/>
        <v>0</v>
      </c>
      <c r="G187" s="3434">
        <f t="shared" si="73"/>
        <v>0</v>
      </c>
      <c r="H187" s="3564"/>
      <c r="I187" s="1968">
        <f>IF(F187=0,0,ROUND($F187*COEF!$J$27,0))</f>
        <v>0</v>
      </c>
      <c r="J187" s="858">
        <f>IF(F187=0,0,ROUND($F187*COEF!$K$27,0))</f>
        <v>0</v>
      </c>
      <c r="K187" s="858">
        <f>IF(F187=0,0,ROUND($F187*COEF!$L$27,0))</f>
        <v>0</v>
      </c>
      <c r="L187" s="859">
        <f ca="1">+ROUND(I187*'Compra -HOJA1'!I$395,0)</f>
        <v>0</v>
      </c>
      <c r="M187" s="859">
        <f ca="1">+ROUND(J187*'Compra -HOJA1'!J$395,0)</f>
        <v>0</v>
      </c>
      <c r="N187" s="859">
        <f ca="1">+ROUND(K187*'Compra -HOJA1'!K$395,0)</f>
        <v>0</v>
      </c>
      <c r="O187" s="860">
        <f t="shared" ca="1" si="74"/>
        <v>0</v>
      </c>
      <c r="P187" s="860">
        <f t="shared" ca="1" si="74"/>
        <v>0</v>
      </c>
      <c r="Q187" s="860">
        <f t="shared" ca="1" si="74"/>
        <v>0</v>
      </c>
      <c r="R187" s="1969">
        <f t="shared" ca="1" si="75"/>
        <v>0</v>
      </c>
      <c r="S187" s="866"/>
      <c r="T187" s="856">
        <f t="shared" ca="1" si="76"/>
        <v>0</v>
      </c>
      <c r="U187" s="711">
        <f t="shared" ca="1" si="77"/>
        <v>0</v>
      </c>
      <c r="V187" s="711">
        <f t="shared" ca="1" si="77"/>
        <v>0</v>
      </c>
      <c r="W187" s="711">
        <f t="shared" ca="1" si="77"/>
        <v>0</v>
      </c>
      <c r="X187" s="10">
        <f t="shared" si="78"/>
        <v>0</v>
      </c>
      <c r="Y187" s="10">
        <f t="shared" si="78"/>
        <v>0</v>
      </c>
      <c r="Z187" s="10">
        <f t="shared" si="78"/>
        <v>0</v>
      </c>
      <c r="AA187" s="675">
        <f t="shared" ca="1" si="79"/>
        <v>0</v>
      </c>
      <c r="AB187" s="10" t="e">
        <f t="shared" ca="1" si="80"/>
        <v>#DIV/0!</v>
      </c>
      <c r="AC187" s="871"/>
      <c r="AD187" s="870"/>
      <c r="MK187" s="3454">
        <f t="shared" si="85"/>
        <v>0</v>
      </c>
      <c r="ML187" s="3453">
        <f t="shared" si="86"/>
        <v>0</v>
      </c>
      <c r="MM187" s="3453">
        <f t="shared" si="87"/>
        <v>0</v>
      </c>
      <c r="MN187" s="859">
        <f ca="1">+ROUND(MK187*'Compra -HOJA1'!$I$395,0)</f>
        <v>0</v>
      </c>
      <c r="MO187" s="859">
        <f ca="1">+ROUND(ML187*'Compra -HOJA1'!$J$395,0)</f>
        <v>0</v>
      </c>
      <c r="MP187" s="859">
        <f ca="1">+ROUND(MM187*'Compra -HOJA1'!$K$395,0)</f>
        <v>0</v>
      </c>
      <c r="MQ187" s="860">
        <f t="shared" ca="1" si="88"/>
        <v>0</v>
      </c>
      <c r="MR187" s="860">
        <f t="shared" ca="1" si="89"/>
        <v>0</v>
      </c>
      <c r="MS187" s="860">
        <f t="shared" ca="1" si="90"/>
        <v>0</v>
      </c>
      <c r="MT187" s="1969">
        <f t="shared" ca="1" si="91"/>
        <v>0</v>
      </c>
    </row>
    <row r="188" spans="1:358" ht="54" customHeight="1" x14ac:dyDescent="0.4">
      <c r="A188" s="4034"/>
      <c r="B188" s="4875"/>
      <c r="C188" s="4873"/>
      <c r="D188" s="4864"/>
      <c r="E188" s="3424" t="s">
        <v>49</v>
      </c>
      <c r="F188" s="3434">
        <f t="shared" si="73"/>
        <v>0</v>
      </c>
      <c r="G188" s="3434">
        <f t="shared" si="73"/>
        <v>0</v>
      </c>
      <c r="H188" s="3564">
        <f>SUM(F185:F188)</f>
        <v>0</v>
      </c>
      <c r="I188" s="1968">
        <f>IF(F188=0,0,ROUND($F188*COEF!$J$27,0))</f>
        <v>0</v>
      </c>
      <c r="J188" s="858">
        <f>IF(F188=0,0,ROUND($F188*COEF!$K$27,0))</f>
        <v>0</v>
      </c>
      <c r="K188" s="858">
        <f>IF(F188=0,0,ROUND($F188*COEF!$L$27,0))</f>
        <v>0</v>
      </c>
      <c r="L188" s="859">
        <f ca="1">+ROUND(I188*'Compra -HOJA1'!I$395,0)</f>
        <v>0</v>
      </c>
      <c r="M188" s="859">
        <f ca="1">+ROUND(J188*'Compra -HOJA1'!J$395,0)</f>
        <v>0</v>
      </c>
      <c r="N188" s="859">
        <f ca="1">+ROUND(K188*'Compra -HOJA1'!K$395,0)</f>
        <v>0</v>
      </c>
      <c r="O188" s="860">
        <f t="shared" ca="1" si="74"/>
        <v>0</v>
      </c>
      <c r="P188" s="860">
        <f t="shared" ca="1" si="74"/>
        <v>0</v>
      </c>
      <c r="Q188" s="860">
        <f t="shared" ca="1" si="74"/>
        <v>0</v>
      </c>
      <c r="R188" s="1969">
        <f t="shared" ca="1" si="75"/>
        <v>0</v>
      </c>
      <c r="S188" s="866"/>
      <c r="T188" s="856">
        <f t="shared" ca="1" si="76"/>
        <v>0</v>
      </c>
      <c r="U188" s="711">
        <f t="shared" ca="1" si="77"/>
        <v>0</v>
      </c>
      <c r="V188" s="711">
        <f t="shared" ca="1" si="77"/>
        <v>0</v>
      </c>
      <c r="W188" s="711">
        <f t="shared" ca="1" si="77"/>
        <v>0</v>
      </c>
      <c r="X188" s="10">
        <f t="shared" si="78"/>
        <v>0</v>
      </c>
      <c r="Y188" s="10">
        <f t="shared" si="78"/>
        <v>0</v>
      </c>
      <c r="Z188" s="10">
        <f t="shared" si="78"/>
        <v>0</v>
      </c>
      <c r="AA188" s="675">
        <f t="shared" ca="1" si="79"/>
        <v>0</v>
      </c>
      <c r="AB188" s="10" t="e">
        <f t="shared" ca="1" si="80"/>
        <v>#DIV/0!</v>
      </c>
      <c r="AC188" s="871"/>
      <c r="AD188" s="870"/>
      <c r="MK188" s="3454">
        <f t="shared" si="85"/>
        <v>0</v>
      </c>
      <c r="ML188" s="3453">
        <f t="shared" si="86"/>
        <v>0</v>
      </c>
      <c r="MM188" s="3453">
        <f t="shared" si="87"/>
        <v>0</v>
      </c>
      <c r="MN188" s="859">
        <f ca="1">+ROUND(MK188*'Compra -HOJA1'!$I$395,0)</f>
        <v>0</v>
      </c>
      <c r="MO188" s="859">
        <f ca="1">+ROUND(ML188*'Compra -HOJA1'!$J$395,0)</f>
        <v>0</v>
      </c>
      <c r="MP188" s="859">
        <f ca="1">+ROUND(MM188*'Compra -HOJA1'!$K$395,0)</f>
        <v>0</v>
      </c>
      <c r="MQ188" s="860">
        <f t="shared" ca="1" si="88"/>
        <v>0</v>
      </c>
      <c r="MR188" s="860">
        <f t="shared" ca="1" si="89"/>
        <v>0</v>
      </c>
      <c r="MS188" s="860">
        <f t="shared" ca="1" si="90"/>
        <v>0</v>
      </c>
      <c r="MT188" s="1969">
        <f t="shared" ca="1" si="91"/>
        <v>0</v>
      </c>
    </row>
    <row r="189" spans="1:358" ht="54" customHeight="1" x14ac:dyDescent="0.4">
      <c r="A189" s="4034"/>
      <c r="B189" s="4875"/>
      <c r="C189" s="4871" t="s">
        <v>828</v>
      </c>
      <c r="D189" s="4860"/>
      <c r="E189" s="3427" t="s">
        <v>46</v>
      </c>
      <c r="F189" s="3434">
        <f t="shared" ref="F189:G189" si="92">+F52</f>
        <v>0</v>
      </c>
      <c r="G189" s="3434">
        <f t="shared" si="92"/>
        <v>0</v>
      </c>
      <c r="H189" s="3566">
        <f>+H188-K51</f>
        <v>0</v>
      </c>
      <c r="I189" s="1968">
        <f>IF(F189=0,0,ROUND($F189*COEF!$J$27,0))</f>
        <v>0</v>
      </c>
      <c r="J189" s="858">
        <f>IF(F189=0,0,ROUND($F189*COEF!$K$27,0))</f>
        <v>0</v>
      </c>
      <c r="K189" s="858">
        <f>IF(F189=0,0,ROUND($F189*COEF!$L$27,0))</f>
        <v>0</v>
      </c>
      <c r="L189" s="859">
        <f ca="1">+ROUND(I189*'Compra -HOJA1'!I$395,0)</f>
        <v>0</v>
      </c>
      <c r="M189" s="859">
        <f ca="1">+ROUND(J189*'Compra -HOJA1'!J$395,0)</f>
        <v>0</v>
      </c>
      <c r="N189" s="859">
        <f ca="1">+ROUND(K189*'Compra -HOJA1'!K$395,0)</f>
        <v>0</v>
      </c>
      <c r="O189" s="860">
        <f t="shared" ref="O189:O196" ca="1" si="93">I189+L189</f>
        <v>0</v>
      </c>
      <c r="P189" s="860">
        <f t="shared" ref="P189:P196" ca="1" si="94">J189+M189</f>
        <v>0</v>
      </c>
      <c r="Q189" s="860">
        <f t="shared" ref="Q189:Q196" ca="1" si="95">K189+N189</f>
        <v>0</v>
      </c>
      <c r="R189" s="1969">
        <f t="shared" ref="R189:R196" ca="1" si="96">SUM(O189:Q189)</f>
        <v>0</v>
      </c>
      <c r="S189" s="866"/>
      <c r="T189" s="856"/>
      <c r="U189" s="711"/>
      <c r="V189" s="711"/>
      <c r="W189" s="711"/>
      <c r="X189" s="10"/>
      <c r="Y189" s="10"/>
      <c r="Z189" s="10"/>
      <c r="AA189" s="675"/>
      <c r="AB189" s="10"/>
      <c r="AC189" s="871"/>
      <c r="AD189" s="870"/>
      <c r="MK189" s="3454">
        <f t="shared" si="85"/>
        <v>0</v>
      </c>
      <c r="ML189" s="3453">
        <f t="shared" si="86"/>
        <v>0</v>
      </c>
      <c r="MM189" s="3453">
        <f t="shared" si="87"/>
        <v>0</v>
      </c>
      <c r="MN189" s="859">
        <f ca="1">+ROUND(MK189*'Compra -HOJA1'!$I$395,0)</f>
        <v>0</v>
      </c>
      <c r="MO189" s="859">
        <f ca="1">+ROUND(ML189*'Compra -HOJA1'!$J$395,0)</f>
        <v>0</v>
      </c>
      <c r="MP189" s="859">
        <f ca="1">+ROUND(MM189*'Compra -HOJA1'!$K$395,0)</f>
        <v>0</v>
      </c>
      <c r="MQ189" s="860">
        <f t="shared" ca="1" si="88"/>
        <v>0</v>
      </c>
      <c r="MR189" s="860">
        <f t="shared" ca="1" si="89"/>
        <v>0</v>
      </c>
      <c r="MS189" s="860">
        <f t="shared" ca="1" si="90"/>
        <v>0</v>
      </c>
      <c r="MT189" s="1969">
        <f t="shared" ca="1" si="91"/>
        <v>0</v>
      </c>
    </row>
    <row r="190" spans="1:358" ht="54" customHeight="1" x14ac:dyDescent="0.4">
      <c r="A190" s="4034"/>
      <c r="B190" s="4875"/>
      <c r="C190" s="4872"/>
      <c r="D190" s="4862"/>
      <c r="E190" s="3427" t="s">
        <v>47</v>
      </c>
      <c r="F190" s="3434">
        <f t="shared" ref="F190:G190" si="97">+F53</f>
        <v>0</v>
      </c>
      <c r="G190" s="3434">
        <f t="shared" si="97"/>
        <v>0</v>
      </c>
      <c r="H190" s="3420"/>
      <c r="I190" s="1968">
        <f>IF(F190=0,0,ROUND($F190*COEF!$J$27,0))</f>
        <v>0</v>
      </c>
      <c r="J190" s="858">
        <f>IF(F190=0,0,ROUND($F190*COEF!$K$27,0))</f>
        <v>0</v>
      </c>
      <c r="K190" s="858">
        <f>IF(F190=0,0,ROUND($F190*COEF!$L$27,0))</f>
        <v>0</v>
      </c>
      <c r="L190" s="859">
        <f ca="1">+ROUND(I190*'Compra -HOJA1'!I$395,0)</f>
        <v>0</v>
      </c>
      <c r="M190" s="859">
        <f ca="1">+ROUND(J190*'Compra -HOJA1'!J$395,0)</f>
        <v>0</v>
      </c>
      <c r="N190" s="859">
        <f ca="1">+ROUND(K190*'Compra -HOJA1'!K$395,0)</f>
        <v>0</v>
      </c>
      <c r="O190" s="860">
        <f t="shared" ca="1" si="93"/>
        <v>0</v>
      </c>
      <c r="P190" s="860">
        <f t="shared" ca="1" si="94"/>
        <v>0</v>
      </c>
      <c r="Q190" s="860">
        <f t="shared" ca="1" si="95"/>
        <v>0</v>
      </c>
      <c r="R190" s="1969">
        <f t="shared" ca="1" si="96"/>
        <v>0</v>
      </c>
      <c r="S190" s="866"/>
      <c r="T190" s="856"/>
      <c r="U190" s="711"/>
      <c r="V190" s="711"/>
      <c r="W190" s="711"/>
      <c r="X190" s="10"/>
      <c r="Y190" s="10"/>
      <c r="Z190" s="10"/>
      <c r="AA190" s="675"/>
      <c r="AB190" s="10"/>
      <c r="AC190" s="871"/>
      <c r="AD190" s="870"/>
      <c r="MK190" s="3454">
        <f t="shared" si="85"/>
        <v>0</v>
      </c>
      <c r="ML190" s="3453">
        <f t="shared" si="86"/>
        <v>0</v>
      </c>
      <c r="MM190" s="3453">
        <f t="shared" si="87"/>
        <v>0</v>
      </c>
      <c r="MN190" s="859">
        <f ca="1">+ROUND(MK190*'Compra -HOJA1'!$I$395,0)</f>
        <v>0</v>
      </c>
      <c r="MO190" s="859">
        <f ca="1">+ROUND(ML190*'Compra -HOJA1'!$J$395,0)</f>
        <v>0</v>
      </c>
      <c r="MP190" s="859">
        <f ca="1">+ROUND(MM190*'Compra -HOJA1'!$K$395,0)</f>
        <v>0</v>
      </c>
      <c r="MQ190" s="860">
        <f t="shared" ca="1" si="88"/>
        <v>0</v>
      </c>
      <c r="MR190" s="860">
        <f t="shared" ca="1" si="89"/>
        <v>0</v>
      </c>
      <c r="MS190" s="860">
        <f t="shared" ca="1" si="90"/>
        <v>0</v>
      </c>
      <c r="MT190" s="1969">
        <f t="shared" ca="1" si="91"/>
        <v>0</v>
      </c>
    </row>
    <row r="191" spans="1:358" ht="54" customHeight="1" x14ac:dyDescent="0.4">
      <c r="A191" s="4034"/>
      <c r="B191" s="4875"/>
      <c r="C191" s="4872"/>
      <c r="D191" s="4862"/>
      <c r="E191" s="3424" t="s">
        <v>169</v>
      </c>
      <c r="F191" s="3434">
        <f t="shared" ref="F191:G191" si="98">+F54</f>
        <v>0</v>
      </c>
      <c r="G191" s="3434">
        <f t="shared" si="98"/>
        <v>0</v>
      </c>
      <c r="H191" s="3420"/>
      <c r="I191" s="1968">
        <f>IF(F191=0,0,ROUND($F191*COEF!$J$27,0))</f>
        <v>0</v>
      </c>
      <c r="J191" s="858">
        <f>IF(F191=0,0,ROUND($F191*COEF!$K$27,0))</f>
        <v>0</v>
      </c>
      <c r="K191" s="858">
        <f>IF(F191=0,0,ROUND($F191*COEF!$L$27,0))</f>
        <v>0</v>
      </c>
      <c r="L191" s="859">
        <f ca="1">+ROUND(I191*'Compra -HOJA1'!I$395,0)</f>
        <v>0</v>
      </c>
      <c r="M191" s="859">
        <f ca="1">+ROUND(J191*'Compra -HOJA1'!J$395,0)</f>
        <v>0</v>
      </c>
      <c r="N191" s="859">
        <f ca="1">+ROUND(K191*'Compra -HOJA1'!K$395,0)</f>
        <v>0</v>
      </c>
      <c r="O191" s="860">
        <f t="shared" ca="1" si="93"/>
        <v>0</v>
      </c>
      <c r="P191" s="860">
        <f t="shared" ca="1" si="94"/>
        <v>0</v>
      </c>
      <c r="Q191" s="860">
        <f t="shared" ca="1" si="95"/>
        <v>0</v>
      </c>
      <c r="R191" s="1969">
        <f t="shared" ca="1" si="96"/>
        <v>0</v>
      </c>
      <c r="S191" s="866"/>
      <c r="T191" s="856"/>
      <c r="U191" s="711"/>
      <c r="V191" s="711"/>
      <c r="W191" s="711"/>
      <c r="X191" s="10"/>
      <c r="Y191" s="10"/>
      <c r="Z191" s="10"/>
      <c r="AA191" s="675"/>
      <c r="AB191" s="10"/>
      <c r="AC191" s="871"/>
      <c r="AD191" s="870"/>
      <c r="MK191" s="3454">
        <f t="shared" si="85"/>
        <v>0</v>
      </c>
      <c r="ML191" s="3453">
        <f t="shared" si="86"/>
        <v>0</v>
      </c>
      <c r="MM191" s="3453">
        <f t="shared" si="87"/>
        <v>0</v>
      </c>
      <c r="MN191" s="859">
        <f ca="1">+ROUND(MK191*'Compra -HOJA1'!$I$395,0)</f>
        <v>0</v>
      </c>
      <c r="MO191" s="859">
        <f ca="1">+ROUND(ML191*'Compra -HOJA1'!$J$395,0)</f>
        <v>0</v>
      </c>
      <c r="MP191" s="859">
        <f ca="1">+ROUND(MM191*'Compra -HOJA1'!$K$395,0)</f>
        <v>0</v>
      </c>
      <c r="MQ191" s="860">
        <f t="shared" ca="1" si="88"/>
        <v>0</v>
      </c>
      <c r="MR191" s="860">
        <f t="shared" ca="1" si="89"/>
        <v>0</v>
      </c>
      <c r="MS191" s="860">
        <f t="shared" ca="1" si="90"/>
        <v>0</v>
      </c>
      <c r="MT191" s="1969">
        <f t="shared" ca="1" si="91"/>
        <v>0</v>
      </c>
    </row>
    <row r="192" spans="1:358" ht="54" customHeight="1" x14ac:dyDescent="0.4">
      <c r="A192" s="4034"/>
      <c r="B192" s="4875"/>
      <c r="C192" s="4873"/>
      <c r="D192" s="4864"/>
      <c r="E192" s="3424" t="s">
        <v>49</v>
      </c>
      <c r="F192" s="3434">
        <f t="shared" ref="F192:G192" si="99">+F55</f>
        <v>0</v>
      </c>
      <c r="G192" s="3434">
        <f t="shared" si="99"/>
        <v>0</v>
      </c>
      <c r="H192" s="3420"/>
      <c r="I192" s="1968">
        <f>IF(F192=0,0,ROUND($F192*COEF!$J$27,0))</f>
        <v>0</v>
      </c>
      <c r="J192" s="858">
        <f>IF(F192=0,0,ROUND($F192*COEF!$K$27,0))</f>
        <v>0</v>
      </c>
      <c r="K192" s="858">
        <f>IF(F192=0,0,ROUND($F192*COEF!$L$27,0))</f>
        <v>0</v>
      </c>
      <c r="L192" s="859">
        <f ca="1">+ROUND(I192*'Compra -HOJA1'!I$395,0)</f>
        <v>0</v>
      </c>
      <c r="M192" s="859">
        <f ca="1">+ROUND(J192*'Compra -HOJA1'!J$395,0)</f>
        <v>0</v>
      </c>
      <c r="N192" s="859">
        <f ca="1">+ROUND(K192*'Compra -HOJA1'!K$395,0)</f>
        <v>0</v>
      </c>
      <c r="O192" s="860">
        <f t="shared" ca="1" si="93"/>
        <v>0</v>
      </c>
      <c r="P192" s="860">
        <f t="shared" ca="1" si="94"/>
        <v>0</v>
      </c>
      <c r="Q192" s="860">
        <f t="shared" ca="1" si="95"/>
        <v>0</v>
      </c>
      <c r="R192" s="1969">
        <f t="shared" ca="1" si="96"/>
        <v>0</v>
      </c>
      <c r="S192" s="866"/>
      <c r="T192" s="856"/>
      <c r="U192" s="711"/>
      <c r="V192" s="711"/>
      <c r="W192" s="711"/>
      <c r="X192" s="10"/>
      <c r="Y192" s="10"/>
      <c r="Z192" s="10"/>
      <c r="AA192" s="675"/>
      <c r="AB192" s="10"/>
      <c r="AC192" s="871"/>
      <c r="AD192" s="870"/>
      <c r="MK192" s="3454">
        <f t="shared" si="85"/>
        <v>0</v>
      </c>
      <c r="ML192" s="3453">
        <f t="shared" si="86"/>
        <v>0</v>
      </c>
      <c r="MM192" s="3453">
        <f t="shared" si="87"/>
        <v>0</v>
      </c>
      <c r="MN192" s="859">
        <f ca="1">+ROUND(MK192*'Compra -HOJA1'!$I$395,0)</f>
        <v>0</v>
      </c>
      <c r="MO192" s="859">
        <f ca="1">+ROUND(ML192*'Compra -HOJA1'!$J$395,0)</f>
        <v>0</v>
      </c>
      <c r="MP192" s="859">
        <f ca="1">+ROUND(MM192*'Compra -HOJA1'!$K$395,0)</f>
        <v>0</v>
      </c>
      <c r="MQ192" s="860">
        <f t="shared" ca="1" si="88"/>
        <v>0</v>
      </c>
      <c r="MR192" s="860">
        <f t="shared" ca="1" si="89"/>
        <v>0</v>
      </c>
      <c r="MS192" s="860">
        <f t="shared" ca="1" si="90"/>
        <v>0</v>
      </c>
      <c r="MT192" s="1969">
        <f t="shared" ca="1" si="91"/>
        <v>0</v>
      </c>
    </row>
    <row r="193" spans="1:358" ht="54" customHeight="1" x14ac:dyDescent="0.4">
      <c r="A193" s="4034"/>
      <c r="B193" s="4875"/>
      <c r="C193" s="4871" t="s">
        <v>829</v>
      </c>
      <c r="D193" s="4860"/>
      <c r="E193" s="3427" t="s">
        <v>46</v>
      </c>
      <c r="F193" s="3434">
        <f t="shared" ref="F193:G193" si="100">+F56</f>
        <v>0</v>
      </c>
      <c r="G193" s="3434">
        <f t="shared" si="100"/>
        <v>0</v>
      </c>
      <c r="H193" s="3420"/>
      <c r="I193" s="1968">
        <f>IF(F193=0,0,ROUND($F193*COEF!$J$27,0))</f>
        <v>0</v>
      </c>
      <c r="J193" s="858">
        <f>IF(F193=0,0,ROUND($F193*COEF!$K$27,0))</f>
        <v>0</v>
      </c>
      <c r="K193" s="858">
        <f>IF(F193=0,0,ROUND($F193*COEF!$L$27,0))</f>
        <v>0</v>
      </c>
      <c r="L193" s="859">
        <f ca="1">+ROUND(I193*'Compra -HOJA1'!I$395,0)</f>
        <v>0</v>
      </c>
      <c r="M193" s="859">
        <f ca="1">+ROUND(J193*'Compra -HOJA1'!J$395,0)</f>
        <v>0</v>
      </c>
      <c r="N193" s="859">
        <f ca="1">+ROUND(K193*'Compra -HOJA1'!K$395,0)</f>
        <v>0</v>
      </c>
      <c r="O193" s="860">
        <f t="shared" ca="1" si="93"/>
        <v>0</v>
      </c>
      <c r="P193" s="860">
        <f t="shared" ca="1" si="94"/>
        <v>0</v>
      </c>
      <c r="Q193" s="860">
        <f t="shared" ca="1" si="95"/>
        <v>0</v>
      </c>
      <c r="R193" s="1969">
        <f t="shared" ca="1" si="96"/>
        <v>0</v>
      </c>
      <c r="S193" s="866"/>
      <c r="T193" s="856"/>
      <c r="U193" s="711"/>
      <c r="V193" s="711"/>
      <c r="W193" s="711"/>
      <c r="X193" s="10"/>
      <c r="Y193" s="10"/>
      <c r="Z193" s="10"/>
      <c r="AA193" s="675"/>
      <c r="AB193" s="10"/>
      <c r="AC193" s="871"/>
      <c r="AD193" s="870"/>
      <c r="MK193" s="3454">
        <f t="shared" si="85"/>
        <v>0</v>
      </c>
      <c r="ML193" s="3453">
        <f t="shared" si="86"/>
        <v>0</v>
      </c>
      <c r="MM193" s="3453">
        <f t="shared" si="87"/>
        <v>0</v>
      </c>
      <c r="MN193" s="859">
        <f ca="1">+ROUND(MK193*'Compra -HOJA1'!$I$395,0)</f>
        <v>0</v>
      </c>
      <c r="MO193" s="859">
        <f ca="1">+ROUND(ML193*'Compra -HOJA1'!$J$395,0)</f>
        <v>0</v>
      </c>
      <c r="MP193" s="859">
        <f ca="1">+ROUND(MM193*'Compra -HOJA1'!$K$395,0)</f>
        <v>0</v>
      </c>
      <c r="MQ193" s="860">
        <f t="shared" ca="1" si="88"/>
        <v>0</v>
      </c>
      <c r="MR193" s="860">
        <f t="shared" ca="1" si="89"/>
        <v>0</v>
      </c>
      <c r="MS193" s="860">
        <f t="shared" ca="1" si="90"/>
        <v>0</v>
      </c>
      <c r="MT193" s="1969">
        <f t="shared" ca="1" si="91"/>
        <v>0</v>
      </c>
    </row>
    <row r="194" spans="1:358" ht="54" customHeight="1" x14ac:dyDescent="0.4">
      <c r="A194" s="4034"/>
      <c r="B194" s="4875"/>
      <c r="C194" s="4872"/>
      <c r="D194" s="4862"/>
      <c r="E194" s="3427" t="s">
        <v>47</v>
      </c>
      <c r="F194" s="3434">
        <f t="shared" ref="F194:G194" si="101">+F57</f>
        <v>0</v>
      </c>
      <c r="G194" s="3434">
        <f t="shared" si="101"/>
        <v>0</v>
      </c>
      <c r="H194" s="3420"/>
      <c r="I194" s="1968">
        <f>IF(F194=0,0,ROUND($F194*COEF!$J$27,0))</f>
        <v>0</v>
      </c>
      <c r="J194" s="858">
        <f>IF(F194=0,0,ROUND($F194*COEF!$K$27,0))</f>
        <v>0</v>
      </c>
      <c r="K194" s="858">
        <f>IF(F194=0,0,ROUND($F194*COEF!$L$27,0))</f>
        <v>0</v>
      </c>
      <c r="L194" s="859">
        <f ca="1">+ROUND(I194*'Compra -HOJA1'!I$395,0)</f>
        <v>0</v>
      </c>
      <c r="M194" s="859">
        <f ca="1">+ROUND(J194*'Compra -HOJA1'!J$395,0)</f>
        <v>0</v>
      </c>
      <c r="N194" s="859">
        <f ca="1">+ROUND(K194*'Compra -HOJA1'!K$395,0)</f>
        <v>0</v>
      </c>
      <c r="O194" s="860">
        <f t="shared" ca="1" si="93"/>
        <v>0</v>
      </c>
      <c r="P194" s="860">
        <f t="shared" ca="1" si="94"/>
        <v>0</v>
      </c>
      <c r="Q194" s="860">
        <f t="shared" ca="1" si="95"/>
        <v>0</v>
      </c>
      <c r="R194" s="1969">
        <f t="shared" ca="1" si="96"/>
        <v>0</v>
      </c>
      <c r="S194" s="866"/>
      <c r="T194" s="856"/>
      <c r="U194" s="711"/>
      <c r="V194" s="711"/>
      <c r="W194" s="711"/>
      <c r="X194" s="10"/>
      <c r="Y194" s="10"/>
      <c r="Z194" s="10"/>
      <c r="AA194" s="675"/>
      <c r="AB194" s="10"/>
      <c r="AC194" s="871"/>
      <c r="AD194" s="870"/>
      <c r="MK194" s="3454">
        <f t="shared" si="85"/>
        <v>0</v>
      </c>
      <c r="ML194" s="3453">
        <f t="shared" si="86"/>
        <v>0</v>
      </c>
      <c r="MM194" s="3453">
        <f t="shared" si="87"/>
        <v>0</v>
      </c>
      <c r="MN194" s="859">
        <f ca="1">+ROUND(MK194*'Compra -HOJA1'!$I$395,0)</f>
        <v>0</v>
      </c>
      <c r="MO194" s="859">
        <f ca="1">+ROUND(ML194*'Compra -HOJA1'!$J$395,0)</f>
        <v>0</v>
      </c>
      <c r="MP194" s="859">
        <f ca="1">+ROUND(MM194*'Compra -HOJA1'!$K$395,0)</f>
        <v>0</v>
      </c>
      <c r="MQ194" s="860">
        <f t="shared" ca="1" si="88"/>
        <v>0</v>
      </c>
      <c r="MR194" s="860">
        <f t="shared" ca="1" si="89"/>
        <v>0</v>
      </c>
      <c r="MS194" s="860">
        <f t="shared" ca="1" si="90"/>
        <v>0</v>
      </c>
      <c r="MT194" s="1969">
        <f t="shared" ca="1" si="91"/>
        <v>0</v>
      </c>
    </row>
    <row r="195" spans="1:358" ht="54" customHeight="1" x14ac:dyDescent="0.4">
      <c r="A195" s="4034"/>
      <c r="B195" s="4875"/>
      <c r="C195" s="4872"/>
      <c r="D195" s="4862"/>
      <c r="E195" s="3424" t="s">
        <v>169</v>
      </c>
      <c r="F195" s="3434">
        <f t="shared" ref="F195:G195" si="102">+F58</f>
        <v>0</v>
      </c>
      <c r="G195" s="3434">
        <f t="shared" si="102"/>
        <v>0</v>
      </c>
      <c r="H195" s="3420"/>
      <c r="I195" s="1968">
        <f>IF(F195=0,0,ROUND($F195*COEF!$J$27,0))</f>
        <v>0</v>
      </c>
      <c r="J195" s="858">
        <f>IF(F195=0,0,ROUND($F195*COEF!$K$27,0))</f>
        <v>0</v>
      </c>
      <c r="K195" s="858">
        <f>IF(F195=0,0,ROUND($F195*COEF!$L$27,0))</f>
        <v>0</v>
      </c>
      <c r="L195" s="859">
        <f ca="1">+ROUND(I195*'Compra -HOJA1'!I$395,0)</f>
        <v>0</v>
      </c>
      <c r="M195" s="859">
        <f ca="1">+ROUND(J195*'Compra -HOJA1'!J$395,0)</f>
        <v>0</v>
      </c>
      <c r="N195" s="859">
        <f ca="1">+ROUND(K195*'Compra -HOJA1'!K$395,0)</f>
        <v>0</v>
      </c>
      <c r="O195" s="860">
        <f t="shared" ca="1" si="93"/>
        <v>0</v>
      </c>
      <c r="P195" s="860">
        <f t="shared" ca="1" si="94"/>
        <v>0</v>
      </c>
      <c r="Q195" s="860">
        <f t="shared" ca="1" si="95"/>
        <v>0</v>
      </c>
      <c r="R195" s="1969">
        <f t="shared" ca="1" si="96"/>
        <v>0</v>
      </c>
      <c r="S195" s="866"/>
      <c r="T195" s="856"/>
      <c r="U195" s="711"/>
      <c r="V195" s="711"/>
      <c r="W195" s="711"/>
      <c r="X195" s="10"/>
      <c r="Y195" s="10"/>
      <c r="Z195" s="10"/>
      <c r="AA195" s="675"/>
      <c r="AB195" s="10"/>
      <c r="AC195" s="871"/>
      <c r="AD195" s="870"/>
      <c r="MK195" s="3454">
        <f t="shared" si="85"/>
        <v>0</v>
      </c>
      <c r="ML195" s="3453">
        <f t="shared" si="86"/>
        <v>0</v>
      </c>
      <c r="MM195" s="3453">
        <f t="shared" si="87"/>
        <v>0</v>
      </c>
      <c r="MN195" s="859">
        <f ca="1">+ROUND(MK195*'Compra -HOJA1'!$I$395,0)</f>
        <v>0</v>
      </c>
      <c r="MO195" s="859">
        <f ca="1">+ROUND(ML195*'Compra -HOJA1'!$J$395,0)</f>
        <v>0</v>
      </c>
      <c r="MP195" s="859">
        <f ca="1">+ROUND(MM195*'Compra -HOJA1'!$K$395,0)</f>
        <v>0</v>
      </c>
      <c r="MQ195" s="860">
        <f t="shared" ca="1" si="88"/>
        <v>0</v>
      </c>
      <c r="MR195" s="860">
        <f t="shared" ca="1" si="89"/>
        <v>0</v>
      </c>
      <c r="MS195" s="860">
        <f t="shared" ca="1" si="90"/>
        <v>0</v>
      </c>
      <c r="MT195" s="1969">
        <f t="shared" ca="1" si="91"/>
        <v>0</v>
      </c>
    </row>
    <row r="196" spans="1:358" ht="54" customHeight="1" thickBot="1" x14ac:dyDescent="0.45">
      <c r="A196" s="4034"/>
      <c r="B196" s="4876"/>
      <c r="C196" s="4873"/>
      <c r="D196" s="4864"/>
      <c r="E196" s="3424" t="s">
        <v>49</v>
      </c>
      <c r="F196" s="3434">
        <f t="shared" ref="F196:G196" si="103">+F59</f>
        <v>0</v>
      </c>
      <c r="G196" s="3434">
        <f t="shared" si="103"/>
        <v>0</v>
      </c>
      <c r="H196" s="3420"/>
      <c r="I196" s="1968">
        <f>IF(F196=0,0,ROUND($F196*COEF!$J$27,0))</f>
        <v>0</v>
      </c>
      <c r="J196" s="858">
        <f>IF(F196=0,0,ROUND($F196*COEF!$K$27,0))</f>
        <v>0</v>
      </c>
      <c r="K196" s="858">
        <f>IF(F196=0,0,ROUND($F196*COEF!$L$27,0))</f>
        <v>0</v>
      </c>
      <c r="L196" s="859">
        <f ca="1">+ROUND(I196*'Compra -HOJA1'!I$395,0)</f>
        <v>0</v>
      </c>
      <c r="M196" s="859">
        <f ca="1">+ROUND(J196*'Compra -HOJA1'!J$395,0)</f>
        <v>0</v>
      </c>
      <c r="N196" s="859">
        <f ca="1">+ROUND(K196*'Compra -HOJA1'!K$395,0)</f>
        <v>0</v>
      </c>
      <c r="O196" s="860">
        <f t="shared" ca="1" si="93"/>
        <v>0</v>
      </c>
      <c r="P196" s="860">
        <f t="shared" ca="1" si="94"/>
        <v>0</v>
      </c>
      <c r="Q196" s="860">
        <f t="shared" ca="1" si="95"/>
        <v>0</v>
      </c>
      <c r="R196" s="1969">
        <f t="shared" ca="1" si="96"/>
        <v>0</v>
      </c>
      <c r="S196" s="866"/>
      <c r="T196" s="856"/>
      <c r="U196" s="711"/>
      <c r="V196" s="711"/>
      <c r="W196" s="711"/>
      <c r="X196" s="10"/>
      <c r="Y196" s="10"/>
      <c r="Z196" s="10"/>
      <c r="AA196" s="675"/>
      <c r="AB196" s="10"/>
      <c r="AC196" s="871"/>
      <c r="AD196" s="870"/>
      <c r="MK196" s="3454">
        <f t="shared" si="85"/>
        <v>0</v>
      </c>
      <c r="ML196" s="3453">
        <f t="shared" si="86"/>
        <v>0</v>
      </c>
      <c r="MM196" s="3453">
        <f t="shared" si="87"/>
        <v>0</v>
      </c>
      <c r="MN196" s="859">
        <f ca="1">+ROUND(MK196*'Compra -HOJA1'!$I$395,0)</f>
        <v>0</v>
      </c>
      <c r="MO196" s="859">
        <f ca="1">+ROUND(ML196*'Compra -HOJA1'!$J$395,0)</f>
        <v>0</v>
      </c>
      <c r="MP196" s="859">
        <f ca="1">+ROUND(MM196*'Compra -HOJA1'!$K$395,0)</f>
        <v>0</v>
      </c>
      <c r="MQ196" s="860">
        <f t="shared" ca="1" si="88"/>
        <v>0</v>
      </c>
      <c r="MR196" s="860">
        <f t="shared" ca="1" si="89"/>
        <v>0</v>
      </c>
      <c r="MS196" s="860">
        <f t="shared" ca="1" si="90"/>
        <v>0</v>
      </c>
      <c r="MT196" s="1969">
        <f t="shared" ca="1" si="91"/>
        <v>0</v>
      </c>
    </row>
    <row r="197" spans="1:358" ht="54" customHeight="1" x14ac:dyDescent="0.4">
      <c r="A197" s="4034"/>
      <c r="B197" s="4877" t="s">
        <v>323</v>
      </c>
      <c r="C197" s="4871" t="s">
        <v>827</v>
      </c>
      <c r="D197" s="4860"/>
      <c r="E197" s="3427" t="s">
        <v>46</v>
      </c>
      <c r="F197" s="3435">
        <f>+G197*120</f>
        <v>0</v>
      </c>
      <c r="G197" s="3561">
        <f>+G60+G61+G62</f>
        <v>0</v>
      </c>
      <c r="H197" s="3564"/>
      <c r="I197" s="1968">
        <f>IF(F197=0,0,ROUND($F197*COEF!$J$27,0))</f>
        <v>0</v>
      </c>
      <c r="J197" s="858">
        <f>IF(F197=0,0,ROUND($F197*COEF!$K$27,0))</f>
        <v>0</v>
      </c>
      <c r="K197" s="858">
        <f>IF(F197=0,0,ROUND($F197*COEF!$L$27,0))</f>
        <v>0</v>
      </c>
      <c r="L197" s="859">
        <f ca="1">+ROUND(I197*'Compra -HOJA1'!I$395,0)</f>
        <v>0</v>
      </c>
      <c r="M197" s="859">
        <f ca="1">+ROUND(J197*'Compra -HOJA1'!J$395,0)</f>
        <v>0</v>
      </c>
      <c r="N197" s="859">
        <f ca="1">+ROUND(K197*'Compra -HOJA1'!K$395,0)</f>
        <v>0</v>
      </c>
      <c r="O197" s="860">
        <f t="shared" ca="1" si="74"/>
        <v>0</v>
      </c>
      <c r="P197" s="860">
        <f t="shared" ca="1" si="74"/>
        <v>0</v>
      </c>
      <c r="Q197" s="860">
        <f t="shared" ca="1" si="74"/>
        <v>0</v>
      </c>
      <c r="R197" s="1969">
        <f t="shared" ca="1" si="75"/>
        <v>0</v>
      </c>
      <c r="S197" s="866"/>
      <c r="T197" s="856">
        <f t="shared" ca="1" si="76"/>
        <v>0</v>
      </c>
      <c r="U197" s="711">
        <f t="shared" ref="U197:W276" ca="1" si="104">L197</f>
        <v>0</v>
      </c>
      <c r="V197" s="711">
        <f t="shared" ca="1" si="104"/>
        <v>0</v>
      </c>
      <c r="W197" s="711">
        <f t="shared" ca="1" si="104"/>
        <v>0</v>
      </c>
      <c r="X197" s="10"/>
      <c r="Y197" s="10"/>
      <c r="Z197" s="10"/>
      <c r="AA197" s="675"/>
      <c r="AB197" s="10"/>
      <c r="AC197" s="869"/>
      <c r="AD197" s="870"/>
      <c r="MK197" s="3454">
        <f t="shared" si="85"/>
        <v>0</v>
      </c>
      <c r="ML197" s="3453">
        <f t="shared" si="86"/>
        <v>0</v>
      </c>
      <c r="MM197" s="3453">
        <f t="shared" si="87"/>
        <v>0</v>
      </c>
      <c r="MN197" s="859">
        <f ca="1">+ROUND(MK197*'Compra -HOJA1'!$I$395,0)</f>
        <v>0</v>
      </c>
      <c r="MO197" s="859">
        <f ca="1">+ROUND(ML197*'Compra -HOJA1'!$J$395,0)</f>
        <v>0</v>
      </c>
      <c r="MP197" s="859">
        <f ca="1">+ROUND(MM197*'Compra -HOJA1'!$K$395,0)</f>
        <v>0</v>
      </c>
      <c r="MQ197" s="860">
        <f t="shared" ca="1" si="88"/>
        <v>0</v>
      </c>
      <c r="MR197" s="860">
        <f t="shared" ca="1" si="89"/>
        <v>0</v>
      </c>
      <c r="MS197" s="860">
        <f t="shared" ca="1" si="90"/>
        <v>0</v>
      </c>
      <c r="MT197" s="1969">
        <f t="shared" ca="1" si="91"/>
        <v>0</v>
      </c>
    </row>
    <row r="198" spans="1:358" ht="54" customHeight="1" x14ac:dyDescent="0.4">
      <c r="A198" s="4034"/>
      <c r="B198" s="4878"/>
      <c r="C198" s="4872"/>
      <c r="D198" s="4862"/>
      <c r="E198" s="3427" t="s">
        <v>47</v>
      </c>
      <c r="F198" s="3435">
        <f>+G198*30</f>
        <v>0</v>
      </c>
      <c r="G198" s="3435">
        <f>+G197</f>
        <v>0</v>
      </c>
      <c r="H198" s="3564"/>
      <c r="I198" s="1968">
        <f>IF(F198=0,0,ROUND($F198*COEF!$J$27,0))</f>
        <v>0</v>
      </c>
      <c r="J198" s="858">
        <f>IF(F198=0,0,ROUND($F198*COEF!$K$27,0))</f>
        <v>0</v>
      </c>
      <c r="K198" s="858">
        <f>IF(F198=0,0,ROUND($F198*COEF!$L$27,0))</f>
        <v>0</v>
      </c>
      <c r="L198" s="859">
        <f ca="1">+ROUND(I198*'Compra -HOJA1'!I$395,0)</f>
        <v>0</v>
      </c>
      <c r="M198" s="859">
        <f ca="1">+ROUND(J198*'Compra -HOJA1'!J$395,0)</f>
        <v>0</v>
      </c>
      <c r="N198" s="859">
        <f ca="1">+ROUND(K198*'Compra -HOJA1'!K$395,0)</f>
        <v>0</v>
      </c>
      <c r="O198" s="860">
        <f t="shared" ca="1" si="74"/>
        <v>0</v>
      </c>
      <c r="P198" s="860">
        <f t="shared" ca="1" si="74"/>
        <v>0</v>
      </c>
      <c r="Q198" s="860">
        <f t="shared" ca="1" si="74"/>
        <v>0</v>
      </c>
      <c r="R198" s="1969">
        <f t="shared" ca="1" si="75"/>
        <v>0</v>
      </c>
      <c r="S198" s="866"/>
      <c r="T198" s="856">
        <f t="shared" ca="1" si="76"/>
        <v>0</v>
      </c>
      <c r="U198" s="711">
        <f t="shared" ca="1" si="104"/>
        <v>0</v>
      </c>
      <c r="V198" s="711">
        <f t="shared" ca="1" si="104"/>
        <v>0</v>
      </c>
      <c r="W198" s="711">
        <f t="shared" ca="1" si="104"/>
        <v>0</v>
      </c>
      <c r="X198" s="10"/>
      <c r="Y198" s="10"/>
      <c r="Z198" s="10"/>
      <c r="AA198" s="675"/>
      <c r="AB198" s="10"/>
      <c r="AC198" s="871"/>
      <c r="AD198" s="870"/>
      <c r="MK198" s="3454">
        <f t="shared" si="85"/>
        <v>0</v>
      </c>
      <c r="ML198" s="3453">
        <f t="shared" si="86"/>
        <v>0</v>
      </c>
      <c r="MM198" s="3453">
        <f t="shared" si="87"/>
        <v>0</v>
      </c>
      <c r="MN198" s="859">
        <f ca="1">+ROUND(MK198*'Compra -HOJA1'!$I$395,0)</f>
        <v>0</v>
      </c>
      <c r="MO198" s="859">
        <f ca="1">+ROUND(ML198*'Compra -HOJA1'!$J$395,0)</f>
        <v>0</v>
      </c>
      <c r="MP198" s="859">
        <f ca="1">+ROUND(MM198*'Compra -HOJA1'!$K$395,0)</f>
        <v>0</v>
      </c>
      <c r="MQ198" s="860">
        <f t="shared" ca="1" si="88"/>
        <v>0</v>
      </c>
      <c r="MR198" s="860">
        <f t="shared" ca="1" si="89"/>
        <v>0</v>
      </c>
      <c r="MS198" s="860">
        <f t="shared" ca="1" si="90"/>
        <v>0</v>
      </c>
      <c r="MT198" s="1969">
        <f t="shared" ca="1" si="91"/>
        <v>0</v>
      </c>
    </row>
    <row r="199" spans="1:358" ht="54" customHeight="1" x14ac:dyDescent="0.4">
      <c r="A199" s="4034"/>
      <c r="B199" s="4878"/>
      <c r="C199" s="4872"/>
      <c r="D199" s="4862"/>
      <c r="E199" s="3427" t="s">
        <v>635</v>
      </c>
      <c r="F199" s="3561">
        <f>+F60-(G60*150)+150*(G61+G62)</f>
        <v>0</v>
      </c>
      <c r="G199" s="3435">
        <f>+G198</f>
        <v>0</v>
      </c>
      <c r="H199" s="3564"/>
      <c r="I199" s="1968">
        <f>IF(F199=0,0,ROUND($F199*COEF!$J$27,0))</f>
        <v>0</v>
      </c>
      <c r="J199" s="858">
        <f>IF(F199=0,0,ROUND($F199*COEF!$K$27,0))</f>
        <v>0</v>
      </c>
      <c r="K199" s="858">
        <f>IF(F199=0,0,ROUND($F199*COEF!$L$27,0))</f>
        <v>0</v>
      </c>
      <c r="L199" s="859">
        <f ca="1">+ROUND(I199*'Compra -HOJA1'!I$395,0)</f>
        <v>0</v>
      </c>
      <c r="M199" s="859">
        <f ca="1">+ROUND(J199*'Compra -HOJA1'!J$395,0)</f>
        <v>0</v>
      </c>
      <c r="N199" s="859">
        <f ca="1">+ROUND(K199*'Compra -HOJA1'!K$395,0)</f>
        <v>0</v>
      </c>
      <c r="O199" s="860">
        <f t="shared" ca="1" si="74"/>
        <v>0</v>
      </c>
      <c r="P199" s="860">
        <f t="shared" ca="1" si="74"/>
        <v>0</v>
      </c>
      <c r="Q199" s="860">
        <f t="shared" ca="1" si="74"/>
        <v>0</v>
      </c>
      <c r="R199" s="1969">
        <f t="shared" ca="1" si="75"/>
        <v>0</v>
      </c>
      <c r="S199" s="866"/>
      <c r="T199" s="856">
        <f t="shared" ca="1" si="76"/>
        <v>0</v>
      </c>
      <c r="U199" s="711">
        <f t="shared" ca="1" si="104"/>
        <v>0</v>
      </c>
      <c r="V199" s="711">
        <f t="shared" ca="1" si="104"/>
        <v>0</v>
      </c>
      <c r="W199" s="711">
        <f t="shared" ca="1" si="104"/>
        <v>0</v>
      </c>
      <c r="X199" s="10"/>
      <c r="Y199" s="10"/>
      <c r="Z199" s="10"/>
      <c r="AA199" s="675"/>
      <c r="AB199" s="10"/>
      <c r="AC199" s="871"/>
      <c r="AD199" s="874"/>
      <c r="MK199" s="3454">
        <f t="shared" si="85"/>
        <v>0</v>
      </c>
      <c r="ML199" s="3453">
        <f t="shared" si="86"/>
        <v>0</v>
      </c>
      <c r="MM199" s="3453">
        <f t="shared" si="87"/>
        <v>0</v>
      </c>
      <c r="MN199" s="859">
        <f ca="1">+ROUND(MK199*'Compra -HOJA1'!$I$395,0)</f>
        <v>0</v>
      </c>
      <c r="MO199" s="859">
        <f ca="1">+ROUND(ML199*'Compra -HOJA1'!$J$395,0)</f>
        <v>0</v>
      </c>
      <c r="MP199" s="859">
        <f ca="1">+ROUND(MM199*'Compra -HOJA1'!$K$395,0)</f>
        <v>0</v>
      </c>
      <c r="MQ199" s="860">
        <f t="shared" ca="1" si="88"/>
        <v>0</v>
      </c>
      <c r="MR199" s="860">
        <f t="shared" ca="1" si="89"/>
        <v>0</v>
      </c>
      <c r="MS199" s="860">
        <f t="shared" ca="1" si="90"/>
        <v>0</v>
      </c>
      <c r="MT199" s="1969">
        <f t="shared" ca="1" si="91"/>
        <v>0</v>
      </c>
    </row>
    <row r="200" spans="1:358" ht="54" customHeight="1" x14ac:dyDescent="0.4">
      <c r="A200" s="4034"/>
      <c r="B200" s="4878"/>
      <c r="C200" s="4872"/>
      <c r="D200" s="4862"/>
      <c r="E200" s="3427" t="s">
        <v>636</v>
      </c>
      <c r="F200" s="3561">
        <f>+(F61+F62)-(300*(G61+G62))</f>
        <v>0</v>
      </c>
      <c r="G200" s="3561">
        <f>+G61+G62</f>
        <v>0</v>
      </c>
      <c r="H200" s="3564">
        <f>SUM(F197:F200)</f>
        <v>0</v>
      </c>
      <c r="I200" s="1968">
        <f>IF(F200=0,0,ROUND($F200*COEF!$J$27,0))</f>
        <v>0</v>
      </c>
      <c r="J200" s="858">
        <f>IF(F200=0,0,ROUND($F200*COEF!$K$27,0))</f>
        <v>0</v>
      </c>
      <c r="K200" s="858">
        <f>IF(F200=0,0,ROUND($F200*COEF!$L$27,0))</f>
        <v>0</v>
      </c>
      <c r="L200" s="859">
        <f ca="1">+ROUND(I200*'Compra -HOJA1'!I$395,0)</f>
        <v>0</v>
      </c>
      <c r="M200" s="859">
        <f ca="1">+ROUND(J200*'Compra -HOJA1'!J$395,0)</f>
        <v>0</v>
      </c>
      <c r="N200" s="859">
        <f ca="1">+ROUND(K200*'Compra -HOJA1'!K$395,0)</f>
        <v>0</v>
      </c>
      <c r="O200" s="860">
        <f t="shared" ca="1" si="74"/>
        <v>0</v>
      </c>
      <c r="P200" s="860">
        <f t="shared" ca="1" si="74"/>
        <v>0</v>
      </c>
      <c r="Q200" s="860">
        <f t="shared" ca="1" si="74"/>
        <v>0</v>
      </c>
      <c r="R200" s="1969">
        <f t="shared" ca="1" si="75"/>
        <v>0</v>
      </c>
      <c r="S200" s="866"/>
      <c r="T200" s="856">
        <f t="shared" ca="1" si="76"/>
        <v>0</v>
      </c>
      <c r="U200" s="711">
        <f t="shared" ca="1" si="104"/>
        <v>0</v>
      </c>
      <c r="V200" s="711">
        <f t="shared" ca="1" si="104"/>
        <v>0</v>
      </c>
      <c r="W200" s="711">
        <f t="shared" ca="1" si="104"/>
        <v>0</v>
      </c>
      <c r="X200" s="10"/>
      <c r="Y200" s="10"/>
      <c r="Z200" s="10"/>
      <c r="AA200" s="675"/>
      <c r="AB200" s="10"/>
      <c r="AC200" s="871"/>
      <c r="AD200" s="875"/>
      <c r="MK200" s="3454">
        <f t="shared" si="85"/>
        <v>0</v>
      </c>
      <c r="ML200" s="3453">
        <f t="shared" si="86"/>
        <v>0</v>
      </c>
      <c r="MM200" s="3453">
        <f t="shared" si="87"/>
        <v>0</v>
      </c>
      <c r="MN200" s="859">
        <f ca="1">+ROUND(MK200*'Compra -HOJA1'!$I$395,0)</f>
        <v>0</v>
      </c>
      <c r="MO200" s="859">
        <f ca="1">+ROUND(ML200*'Compra -HOJA1'!$J$395,0)</f>
        <v>0</v>
      </c>
      <c r="MP200" s="859">
        <f ca="1">+ROUND(MM200*'Compra -HOJA1'!$K$395,0)</f>
        <v>0</v>
      </c>
      <c r="MQ200" s="860">
        <f t="shared" ca="1" si="88"/>
        <v>0</v>
      </c>
      <c r="MR200" s="860">
        <f t="shared" ca="1" si="89"/>
        <v>0</v>
      </c>
      <c r="MS200" s="860">
        <f t="shared" ca="1" si="90"/>
        <v>0</v>
      </c>
      <c r="MT200" s="1969">
        <f t="shared" ca="1" si="91"/>
        <v>0</v>
      </c>
    </row>
    <row r="201" spans="1:358" ht="54" customHeight="1" x14ac:dyDescent="0.4">
      <c r="A201" s="4034"/>
      <c r="B201" s="4878"/>
      <c r="C201" s="4872"/>
      <c r="D201" s="4862"/>
      <c r="E201" s="3424" t="s">
        <v>169</v>
      </c>
      <c r="F201" s="3435">
        <f>+G201*120</f>
        <v>0</v>
      </c>
      <c r="G201" s="3561">
        <f>+G63+G64+G65</f>
        <v>0</v>
      </c>
      <c r="H201" s="3567">
        <f>+H200-K62</f>
        <v>0</v>
      </c>
      <c r="I201" s="1968">
        <f>IF(F201=0,0,ROUND($F201*COEF!$J$27,0))</f>
        <v>0</v>
      </c>
      <c r="J201" s="858">
        <f>IF(F201=0,0,ROUND($F201*COEF!$K$27,0))</f>
        <v>0</v>
      </c>
      <c r="K201" s="858">
        <f>IF(F201=0,0,ROUND($F201*COEF!$L$27,0))</f>
        <v>0</v>
      </c>
      <c r="L201" s="859">
        <f ca="1">+ROUND(I201*'Compra -HOJA1'!I$395,0)</f>
        <v>0</v>
      </c>
      <c r="M201" s="859">
        <f ca="1">+ROUND(J201*'Compra -HOJA1'!J$395,0)</f>
        <v>0</v>
      </c>
      <c r="N201" s="859">
        <f ca="1">+ROUND(K201*'Compra -HOJA1'!K$395,0)</f>
        <v>0</v>
      </c>
      <c r="O201" s="860">
        <f t="shared" ca="1" si="74"/>
        <v>0</v>
      </c>
      <c r="P201" s="860">
        <f t="shared" ca="1" si="74"/>
        <v>0</v>
      </c>
      <c r="Q201" s="860">
        <f t="shared" ca="1" si="74"/>
        <v>0</v>
      </c>
      <c r="R201" s="1969">
        <f t="shared" ca="1" si="75"/>
        <v>0</v>
      </c>
      <c r="S201" s="866"/>
      <c r="T201" s="856">
        <f t="shared" ca="1" si="76"/>
        <v>0</v>
      </c>
      <c r="U201" s="711">
        <f t="shared" ca="1" si="104"/>
        <v>0</v>
      </c>
      <c r="V201" s="711">
        <f t="shared" ca="1" si="104"/>
        <v>0</v>
      </c>
      <c r="W201" s="711">
        <f t="shared" ca="1" si="104"/>
        <v>0</v>
      </c>
      <c r="X201" s="10"/>
      <c r="Y201" s="10"/>
      <c r="Z201" s="10"/>
      <c r="AA201" s="675"/>
      <c r="AB201" s="10"/>
      <c r="AC201" s="871"/>
      <c r="AD201" s="875"/>
      <c r="MK201" s="3454">
        <f t="shared" si="85"/>
        <v>0</v>
      </c>
      <c r="ML201" s="3453">
        <f t="shared" si="86"/>
        <v>0</v>
      </c>
      <c r="MM201" s="3453">
        <f t="shared" si="87"/>
        <v>0</v>
      </c>
      <c r="MN201" s="859">
        <f ca="1">+ROUND(MK201*'Compra -HOJA1'!$I$395,0)</f>
        <v>0</v>
      </c>
      <c r="MO201" s="859">
        <f ca="1">+ROUND(ML201*'Compra -HOJA1'!$J$395,0)</f>
        <v>0</v>
      </c>
      <c r="MP201" s="859">
        <f ca="1">+ROUND(MM201*'Compra -HOJA1'!$K$395,0)</f>
        <v>0</v>
      </c>
      <c r="MQ201" s="860">
        <f t="shared" ca="1" si="88"/>
        <v>0</v>
      </c>
      <c r="MR201" s="860">
        <f t="shared" ca="1" si="89"/>
        <v>0</v>
      </c>
      <c r="MS201" s="860">
        <f t="shared" ca="1" si="90"/>
        <v>0</v>
      </c>
      <c r="MT201" s="1969">
        <f t="shared" ca="1" si="91"/>
        <v>0</v>
      </c>
    </row>
    <row r="202" spans="1:358" ht="54" customHeight="1" x14ac:dyDescent="0.4">
      <c r="A202" s="4034"/>
      <c r="B202" s="4878"/>
      <c r="C202" s="4872"/>
      <c r="D202" s="4862"/>
      <c r="E202" s="3424" t="s">
        <v>49</v>
      </c>
      <c r="F202" s="3435">
        <f>+G202*30</f>
        <v>0</v>
      </c>
      <c r="G202" s="3435">
        <f>+G201</f>
        <v>0</v>
      </c>
      <c r="H202" s="3564"/>
      <c r="I202" s="1968">
        <f>IF(F202=0,0,ROUND($F202*COEF!$J$27,0))</f>
        <v>0</v>
      </c>
      <c r="J202" s="858">
        <f>IF(F202=0,0,ROUND($F202*COEF!$K$27,0))</f>
        <v>0</v>
      </c>
      <c r="K202" s="858">
        <f>IF(F202=0,0,ROUND($F202*COEF!$L$27,0))</f>
        <v>0</v>
      </c>
      <c r="L202" s="859">
        <f ca="1">+ROUND(I202*'Compra -HOJA1'!I$395,0)</f>
        <v>0</v>
      </c>
      <c r="M202" s="859">
        <f ca="1">+ROUND(J202*'Compra -HOJA1'!J$395,0)</f>
        <v>0</v>
      </c>
      <c r="N202" s="859">
        <f ca="1">+ROUND(K202*'Compra -HOJA1'!K$395,0)</f>
        <v>0</v>
      </c>
      <c r="O202" s="860">
        <f t="shared" ca="1" si="74"/>
        <v>0</v>
      </c>
      <c r="P202" s="860">
        <f t="shared" ca="1" si="74"/>
        <v>0</v>
      </c>
      <c r="Q202" s="860">
        <f t="shared" ca="1" si="74"/>
        <v>0</v>
      </c>
      <c r="R202" s="1969">
        <f t="shared" ca="1" si="75"/>
        <v>0</v>
      </c>
      <c r="S202" s="866"/>
      <c r="T202" s="856">
        <f t="shared" ca="1" si="76"/>
        <v>0</v>
      </c>
      <c r="U202" s="711">
        <f t="shared" ca="1" si="104"/>
        <v>0</v>
      </c>
      <c r="V202" s="711">
        <f t="shared" ca="1" si="104"/>
        <v>0</v>
      </c>
      <c r="W202" s="711">
        <f t="shared" ca="1" si="104"/>
        <v>0</v>
      </c>
      <c r="X202" s="10"/>
      <c r="Y202" s="10"/>
      <c r="Z202" s="10"/>
      <c r="AA202" s="675"/>
      <c r="AB202" s="10"/>
      <c r="AC202" s="871"/>
      <c r="AD202" s="875"/>
      <c r="MK202" s="3454">
        <f t="shared" si="85"/>
        <v>0</v>
      </c>
      <c r="ML202" s="3453">
        <f t="shared" si="86"/>
        <v>0</v>
      </c>
      <c r="MM202" s="3453">
        <f t="shared" si="87"/>
        <v>0</v>
      </c>
      <c r="MN202" s="859">
        <f ca="1">+ROUND(MK202*'Compra -HOJA1'!$I$395,0)</f>
        <v>0</v>
      </c>
      <c r="MO202" s="859">
        <f ca="1">+ROUND(ML202*'Compra -HOJA1'!$J$395,0)</f>
        <v>0</v>
      </c>
      <c r="MP202" s="859">
        <f ca="1">+ROUND(MM202*'Compra -HOJA1'!$K$395,0)</f>
        <v>0</v>
      </c>
      <c r="MQ202" s="860">
        <f t="shared" ca="1" si="88"/>
        <v>0</v>
      </c>
      <c r="MR202" s="860">
        <f t="shared" ca="1" si="89"/>
        <v>0</v>
      </c>
      <c r="MS202" s="860">
        <f t="shared" ca="1" si="90"/>
        <v>0</v>
      </c>
      <c r="MT202" s="1969">
        <f t="shared" ca="1" si="91"/>
        <v>0</v>
      </c>
    </row>
    <row r="203" spans="1:358" ht="54" customHeight="1" x14ac:dyDescent="0.4">
      <c r="A203" s="4034"/>
      <c r="B203" s="4878"/>
      <c r="C203" s="4872"/>
      <c r="D203" s="4862"/>
      <c r="E203" s="3424" t="s">
        <v>638</v>
      </c>
      <c r="F203" s="3561">
        <f>+F63-(G63*150)+150*(G64+G65)</f>
        <v>0</v>
      </c>
      <c r="G203" s="3435">
        <f>+G202</f>
        <v>0</v>
      </c>
      <c r="H203" s="3564"/>
      <c r="I203" s="1968">
        <f>IF(F203=0,0,ROUND($F203*COEF!$J$27,0))</f>
        <v>0</v>
      </c>
      <c r="J203" s="858">
        <f>IF(F203=0,0,ROUND($F203*COEF!$K$27,0))</f>
        <v>0</v>
      </c>
      <c r="K203" s="858">
        <f>IF(F203=0,0,ROUND($F203*COEF!$L$27,0))</f>
        <v>0</v>
      </c>
      <c r="L203" s="859">
        <f ca="1">+ROUND(I203*'Compra -HOJA1'!I$395,0)</f>
        <v>0</v>
      </c>
      <c r="M203" s="859">
        <f ca="1">+ROUND(J203*'Compra -HOJA1'!J$395,0)</f>
        <v>0</v>
      </c>
      <c r="N203" s="859">
        <f ca="1">+ROUND(K203*'Compra -HOJA1'!K$395,0)</f>
        <v>0</v>
      </c>
      <c r="O203" s="860">
        <f t="shared" ca="1" si="74"/>
        <v>0</v>
      </c>
      <c r="P203" s="860">
        <f t="shared" ca="1" si="74"/>
        <v>0</v>
      </c>
      <c r="Q203" s="860">
        <f t="shared" ca="1" si="74"/>
        <v>0</v>
      </c>
      <c r="R203" s="1969">
        <f t="shared" ca="1" si="75"/>
        <v>0</v>
      </c>
      <c r="S203" s="866"/>
      <c r="T203" s="856">
        <f t="shared" ca="1" si="76"/>
        <v>0</v>
      </c>
      <c r="U203" s="711">
        <f t="shared" ca="1" si="104"/>
        <v>0</v>
      </c>
      <c r="V203" s="711">
        <f t="shared" ca="1" si="104"/>
        <v>0</v>
      </c>
      <c r="W203" s="711">
        <f t="shared" ca="1" si="104"/>
        <v>0</v>
      </c>
      <c r="X203" s="10"/>
      <c r="Y203" s="10"/>
      <c r="Z203" s="10"/>
      <c r="AA203" s="675"/>
      <c r="AB203" s="10"/>
      <c r="AC203" s="871"/>
      <c r="AD203" s="875"/>
      <c r="MK203" s="3454">
        <f t="shared" si="85"/>
        <v>0</v>
      </c>
      <c r="ML203" s="3453">
        <f t="shared" si="86"/>
        <v>0</v>
      </c>
      <c r="MM203" s="3453">
        <f t="shared" si="87"/>
        <v>0</v>
      </c>
      <c r="MN203" s="859">
        <f ca="1">+ROUND(MK203*'Compra -HOJA1'!$I$395,0)</f>
        <v>0</v>
      </c>
      <c r="MO203" s="859">
        <f ca="1">+ROUND(ML203*'Compra -HOJA1'!$J$395,0)</f>
        <v>0</v>
      </c>
      <c r="MP203" s="859">
        <f ca="1">+ROUND(MM203*'Compra -HOJA1'!$K$395,0)</f>
        <v>0</v>
      </c>
      <c r="MQ203" s="860">
        <f t="shared" ca="1" si="88"/>
        <v>0</v>
      </c>
      <c r="MR203" s="860">
        <f t="shared" ca="1" si="89"/>
        <v>0</v>
      </c>
      <c r="MS203" s="860">
        <f t="shared" ca="1" si="90"/>
        <v>0</v>
      </c>
      <c r="MT203" s="1969">
        <f t="shared" ca="1" si="91"/>
        <v>0</v>
      </c>
    </row>
    <row r="204" spans="1:358" ht="54" customHeight="1" x14ac:dyDescent="0.4">
      <c r="A204" s="4034"/>
      <c r="B204" s="4878"/>
      <c r="C204" s="4873"/>
      <c r="D204" s="4864"/>
      <c r="E204" s="3424" t="s">
        <v>639</v>
      </c>
      <c r="F204" s="3561">
        <f>+(F64+F65)-(300*(G64+G65))</f>
        <v>0</v>
      </c>
      <c r="G204" s="3561">
        <f>+G64+G65</f>
        <v>0</v>
      </c>
      <c r="H204" s="3564">
        <f>SUM(F197:F204)</f>
        <v>0</v>
      </c>
      <c r="I204" s="1968">
        <f>IF(F204=0,0,ROUND($F204*COEF!$J$27,0))</f>
        <v>0</v>
      </c>
      <c r="J204" s="858">
        <f>IF(F204=0,0,ROUND($F204*COEF!$K$27,0))</f>
        <v>0</v>
      </c>
      <c r="K204" s="858">
        <f>IF(F204=0,0,ROUND($F204*COEF!$L$27,0))</f>
        <v>0</v>
      </c>
      <c r="L204" s="859">
        <f ca="1">+ROUND(I204*'Compra -HOJA1'!I$395,0)</f>
        <v>0</v>
      </c>
      <c r="M204" s="859">
        <f ca="1">+ROUND(J204*'Compra -HOJA1'!J$395,0)</f>
        <v>0</v>
      </c>
      <c r="N204" s="859">
        <f ca="1">+ROUND(K204*'Compra -HOJA1'!K$395,0)</f>
        <v>0</v>
      </c>
      <c r="O204" s="860">
        <f t="shared" ca="1" si="74"/>
        <v>0</v>
      </c>
      <c r="P204" s="860">
        <f t="shared" ca="1" si="74"/>
        <v>0</v>
      </c>
      <c r="Q204" s="860">
        <f t="shared" ca="1" si="74"/>
        <v>0</v>
      </c>
      <c r="R204" s="1969">
        <f t="shared" ca="1" si="75"/>
        <v>0</v>
      </c>
      <c r="S204" s="866"/>
      <c r="T204" s="856">
        <f t="shared" ca="1" si="76"/>
        <v>0</v>
      </c>
      <c r="U204" s="711">
        <f t="shared" ca="1" si="104"/>
        <v>0</v>
      </c>
      <c r="V204" s="711">
        <f t="shared" ca="1" si="104"/>
        <v>0</v>
      </c>
      <c r="W204" s="711">
        <f t="shared" ca="1" si="104"/>
        <v>0</v>
      </c>
      <c r="X204" s="10"/>
      <c r="Y204" s="10"/>
      <c r="Z204" s="10"/>
      <c r="AA204" s="675"/>
      <c r="AB204" s="10"/>
      <c r="AC204" s="871"/>
      <c r="AD204" s="875"/>
      <c r="MK204" s="3454">
        <f t="shared" si="85"/>
        <v>0</v>
      </c>
      <c r="ML204" s="3453">
        <f t="shared" si="86"/>
        <v>0</v>
      </c>
      <c r="MM204" s="3453">
        <f t="shared" si="87"/>
        <v>0</v>
      </c>
      <c r="MN204" s="859">
        <f ca="1">+ROUND(MK204*'Compra -HOJA1'!$I$395,0)</f>
        <v>0</v>
      </c>
      <c r="MO204" s="859">
        <f ca="1">+ROUND(ML204*'Compra -HOJA1'!$J$395,0)</f>
        <v>0</v>
      </c>
      <c r="MP204" s="859">
        <f ca="1">+ROUND(MM204*'Compra -HOJA1'!$K$395,0)</f>
        <v>0</v>
      </c>
      <c r="MQ204" s="860">
        <f t="shared" ca="1" si="88"/>
        <v>0</v>
      </c>
      <c r="MR204" s="860">
        <f t="shared" ca="1" si="89"/>
        <v>0</v>
      </c>
      <c r="MS204" s="860">
        <f t="shared" ca="1" si="90"/>
        <v>0</v>
      </c>
      <c r="MT204" s="1969">
        <f t="shared" ca="1" si="91"/>
        <v>0</v>
      </c>
    </row>
    <row r="205" spans="1:358" ht="54" customHeight="1" x14ac:dyDescent="0.4">
      <c r="A205" s="4034"/>
      <c r="B205" s="4878"/>
      <c r="C205" s="4871" t="s">
        <v>828</v>
      </c>
      <c r="D205" s="4860"/>
      <c r="E205" s="3427" t="s">
        <v>46</v>
      </c>
      <c r="F205" s="3436">
        <f>+G205*120</f>
        <v>0</v>
      </c>
      <c r="G205" s="3436">
        <f>+G66+G67</f>
        <v>0</v>
      </c>
      <c r="H205" s="3566">
        <f>+H204-K65</f>
        <v>0</v>
      </c>
      <c r="I205" s="1968">
        <f>IF(F205=0,0,ROUND($F205*COEF!$J$27,0))</f>
        <v>0</v>
      </c>
      <c r="J205" s="858">
        <f>IF(F205=0,0,ROUND($F205*COEF!$K$27,0))</f>
        <v>0</v>
      </c>
      <c r="K205" s="858">
        <f>IF(F205=0,0,ROUND($F205*COEF!$L$27,0))</f>
        <v>0</v>
      </c>
      <c r="L205" s="859">
        <f ca="1">+ROUND(I205*'Compra -HOJA1'!I$395,0)</f>
        <v>0</v>
      </c>
      <c r="M205" s="859">
        <f ca="1">+ROUND(J205*'Compra -HOJA1'!J$395,0)</f>
        <v>0</v>
      </c>
      <c r="N205" s="859">
        <f ca="1">+ROUND(K205*'Compra -HOJA1'!K$395,0)</f>
        <v>0</v>
      </c>
      <c r="O205" s="860">
        <f t="shared" ref="O205:O220" ca="1" si="105">I205+L205</f>
        <v>0</v>
      </c>
      <c r="P205" s="860">
        <f t="shared" ref="P205:P220" ca="1" si="106">J205+M205</f>
        <v>0</v>
      </c>
      <c r="Q205" s="860">
        <f t="shared" ref="Q205:Q220" ca="1" si="107">K205+N205</f>
        <v>0</v>
      </c>
      <c r="R205" s="1969">
        <f t="shared" ref="R205:R220" ca="1" si="108">SUM(O205:Q205)</f>
        <v>0</v>
      </c>
      <c r="S205" s="866"/>
      <c r="T205" s="856"/>
      <c r="U205" s="711"/>
      <c r="V205" s="711"/>
      <c r="W205" s="711"/>
      <c r="X205" s="10"/>
      <c r="Y205" s="10"/>
      <c r="Z205" s="10"/>
      <c r="AA205" s="675"/>
      <c r="AB205" s="10"/>
      <c r="AC205" s="871"/>
      <c r="AD205" s="875"/>
      <c r="MK205" s="3454">
        <f t="shared" si="85"/>
        <v>0</v>
      </c>
      <c r="ML205" s="3453">
        <f t="shared" si="86"/>
        <v>0</v>
      </c>
      <c r="MM205" s="3453">
        <f t="shared" si="87"/>
        <v>0</v>
      </c>
      <c r="MN205" s="859">
        <f ca="1">+ROUND(MK205*'Compra -HOJA1'!$I$395,0)</f>
        <v>0</v>
      </c>
      <c r="MO205" s="859">
        <f ca="1">+ROUND(ML205*'Compra -HOJA1'!$J$395,0)</f>
        <v>0</v>
      </c>
      <c r="MP205" s="859">
        <f ca="1">+ROUND(MM205*'Compra -HOJA1'!$K$395,0)</f>
        <v>0</v>
      </c>
      <c r="MQ205" s="860">
        <f t="shared" ca="1" si="88"/>
        <v>0</v>
      </c>
      <c r="MR205" s="860">
        <f t="shared" ca="1" si="89"/>
        <v>0</v>
      </c>
      <c r="MS205" s="860">
        <f t="shared" ca="1" si="90"/>
        <v>0</v>
      </c>
      <c r="MT205" s="1969">
        <f t="shared" ca="1" si="91"/>
        <v>0</v>
      </c>
    </row>
    <row r="206" spans="1:358" ht="54" customHeight="1" x14ac:dyDescent="0.4">
      <c r="A206" s="4034"/>
      <c r="B206" s="4878"/>
      <c r="C206" s="4872"/>
      <c r="D206" s="4862"/>
      <c r="E206" s="3427" t="s">
        <v>47</v>
      </c>
      <c r="F206" s="3436">
        <f>+G206*30</f>
        <v>0</v>
      </c>
      <c r="G206" s="3436">
        <f>+G205</f>
        <v>0</v>
      </c>
      <c r="H206" s="3420"/>
      <c r="I206" s="1968">
        <f>IF(F206=0,0,ROUND($F206*COEF!$J$27,0))</f>
        <v>0</v>
      </c>
      <c r="J206" s="858">
        <f>IF(F206=0,0,ROUND($F206*COEF!$K$27,0))</f>
        <v>0</v>
      </c>
      <c r="K206" s="858">
        <f>IF(F206=0,0,ROUND($F206*COEF!$L$27,0))</f>
        <v>0</v>
      </c>
      <c r="L206" s="859">
        <f ca="1">+ROUND(I206*'Compra -HOJA1'!I$395,0)</f>
        <v>0</v>
      </c>
      <c r="M206" s="859">
        <f ca="1">+ROUND(J206*'Compra -HOJA1'!J$395,0)</f>
        <v>0</v>
      </c>
      <c r="N206" s="859">
        <f ca="1">+ROUND(K206*'Compra -HOJA1'!K$395,0)</f>
        <v>0</v>
      </c>
      <c r="O206" s="860">
        <f t="shared" ca="1" si="105"/>
        <v>0</v>
      </c>
      <c r="P206" s="860">
        <f t="shared" ca="1" si="106"/>
        <v>0</v>
      </c>
      <c r="Q206" s="860">
        <f t="shared" ca="1" si="107"/>
        <v>0</v>
      </c>
      <c r="R206" s="1969">
        <f t="shared" ca="1" si="108"/>
        <v>0</v>
      </c>
      <c r="S206" s="866"/>
      <c r="T206" s="856"/>
      <c r="U206" s="711"/>
      <c r="V206" s="711"/>
      <c r="W206" s="711"/>
      <c r="X206" s="10"/>
      <c r="Y206" s="10"/>
      <c r="Z206" s="10"/>
      <c r="AA206" s="675"/>
      <c r="AB206" s="10"/>
      <c r="AC206" s="871"/>
      <c r="AD206" s="875"/>
      <c r="MK206" s="3454">
        <f t="shared" si="85"/>
        <v>0</v>
      </c>
      <c r="ML206" s="3453">
        <f t="shared" si="86"/>
        <v>0</v>
      </c>
      <c r="MM206" s="3453">
        <f t="shared" si="87"/>
        <v>0</v>
      </c>
      <c r="MN206" s="859">
        <f ca="1">+ROUND(MK206*'Compra -HOJA1'!$I$395,0)</f>
        <v>0</v>
      </c>
      <c r="MO206" s="859">
        <f ca="1">+ROUND(ML206*'Compra -HOJA1'!$J$395,0)</f>
        <v>0</v>
      </c>
      <c r="MP206" s="859">
        <f ca="1">+ROUND(MM206*'Compra -HOJA1'!$K$395,0)</f>
        <v>0</v>
      </c>
      <c r="MQ206" s="860">
        <f t="shared" ca="1" si="88"/>
        <v>0</v>
      </c>
      <c r="MR206" s="860">
        <f t="shared" ca="1" si="89"/>
        <v>0</v>
      </c>
      <c r="MS206" s="860">
        <f t="shared" ca="1" si="90"/>
        <v>0</v>
      </c>
      <c r="MT206" s="1969">
        <f t="shared" ca="1" si="91"/>
        <v>0</v>
      </c>
    </row>
    <row r="207" spans="1:358" ht="54" customHeight="1" x14ac:dyDescent="0.4">
      <c r="A207" s="4034"/>
      <c r="B207" s="4878"/>
      <c r="C207" s="4872"/>
      <c r="D207" s="4862"/>
      <c r="E207" s="3427" t="s">
        <v>635</v>
      </c>
      <c r="F207" s="3436">
        <f>+F66-(G66*150)+150*G67</f>
        <v>0</v>
      </c>
      <c r="G207" s="3436">
        <f>+G206</f>
        <v>0</v>
      </c>
      <c r="H207" s="3420"/>
      <c r="I207" s="1968">
        <f>IF(F207=0,0,ROUND($F207*COEF!$J$27,0))</f>
        <v>0</v>
      </c>
      <c r="J207" s="858">
        <f>IF(F207=0,0,ROUND($F207*COEF!$K$27,0))</f>
        <v>0</v>
      </c>
      <c r="K207" s="858">
        <f>IF(F207=0,0,ROUND($F207*COEF!$L$27,0))</f>
        <v>0</v>
      </c>
      <c r="L207" s="859">
        <f ca="1">+ROUND(I207*'Compra -HOJA1'!I$395,0)</f>
        <v>0</v>
      </c>
      <c r="M207" s="859">
        <f ca="1">+ROUND(J207*'Compra -HOJA1'!J$395,0)</f>
        <v>0</v>
      </c>
      <c r="N207" s="859">
        <f ca="1">+ROUND(K207*'Compra -HOJA1'!K$395,0)</f>
        <v>0</v>
      </c>
      <c r="O207" s="860">
        <f t="shared" ca="1" si="105"/>
        <v>0</v>
      </c>
      <c r="P207" s="860">
        <f t="shared" ca="1" si="106"/>
        <v>0</v>
      </c>
      <c r="Q207" s="860">
        <f t="shared" ca="1" si="107"/>
        <v>0</v>
      </c>
      <c r="R207" s="1969">
        <f t="shared" ca="1" si="108"/>
        <v>0</v>
      </c>
      <c r="S207" s="866"/>
      <c r="T207" s="856"/>
      <c r="U207" s="711"/>
      <c r="V207" s="711"/>
      <c r="W207" s="711"/>
      <c r="X207" s="10"/>
      <c r="Y207" s="10"/>
      <c r="Z207" s="10"/>
      <c r="AA207" s="675"/>
      <c r="AB207" s="10"/>
      <c r="AC207" s="871"/>
      <c r="AD207" s="875"/>
      <c r="MK207" s="3454">
        <f t="shared" si="85"/>
        <v>0</v>
      </c>
      <c r="ML207" s="3453">
        <f t="shared" si="86"/>
        <v>0</v>
      </c>
      <c r="MM207" s="3453">
        <f t="shared" si="87"/>
        <v>0</v>
      </c>
      <c r="MN207" s="859">
        <f ca="1">+ROUND(MK207*'Compra -HOJA1'!$I$395,0)</f>
        <v>0</v>
      </c>
      <c r="MO207" s="859">
        <f ca="1">+ROUND(ML207*'Compra -HOJA1'!$J$395,0)</f>
        <v>0</v>
      </c>
      <c r="MP207" s="859">
        <f ca="1">+ROUND(MM207*'Compra -HOJA1'!$K$395,0)</f>
        <v>0</v>
      </c>
      <c r="MQ207" s="860">
        <f t="shared" ca="1" si="88"/>
        <v>0</v>
      </c>
      <c r="MR207" s="860">
        <f t="shared" ca="1" si="89"/>
        <v>0</v>
      </c>
      <c r="MS207" s="860">
        <f t="shared" ca="1" si="90"/>
        <v>0</v>
      </c>
      <c r="MT207" s="1969">
        <f t="shared" ca="1" si="91"/>
        <v>0</v>
      </c>
    </row>
    <row r="208" spans="1:358" ht="54" customHeight="1" x14ac:dyDescent="0.4">
      <c r="A208" s="4034"/>
      <c r="B208" s="4878"/>
      <c r="C208" s="4872"/>
      <c r="D208" s="4862"/>
      <c r="E208" s="3427" t="s">
        <v>636</v>
      </c>
      <c r="F208" s="3436">
        <f>+F67-(300*G67)</f>
        <v>0</v>
      </c>
      <c r="G208" s="3436">
        <f>+G67</f>
        <v>0</v>
      </c>
      <c r="H208" s="3420"/>
      <c r="I208" s="1968">
        <f>IF(F208=0,0,ROUND($F208*COEF!$J$27,0))</f>
        <v>0</v>
      </c>
      <c r="J208" s="858">
        <f>IF(F208=0,0,ROUND($F208*COEF!$K$27,0))</f>
        <v>0</v>
      </c>
      <c r="K208" s="858">
        <f>IF(F208=0,0,ROUND($F208*COEF!$L$27,0))</f>
        <v>0</v>
      </c>
      <c r="L208" s="859">
        <f ca="1">+ROUND(I208*'Compra -HOJA1'!I$395,0)</f>
        <v>0</v>
      </c>
      <c r="M208" s="859">
        <f ca="1">+ROUND(J208*'Compra -HOJA1'!J$395,0)</f>
        <v>0</v>
      </c>
      <c r="N208" s="859">
        <f ca="1">+ROUND(K208*'Compra -HOJA1'!K$395,0)</f>
        <v>0</v>
      </c>
      <c r="O208" s="860">
        <f t="shared" ca="1" si="105"/>
        <v>0</v>
      </c>
      <c r="P208" s="860">
        <f t="shared" ca="1" si="106"/>
        <v>0</v>
      </c>
      <c r="Q208" s="860">
        <f t="shared" ca="1" si="107"/>
        <v>0</v>
      </c>
      <c r="R208" s="1969">
        <f t="shared" ca="1" si="108"/>
        <v>0</v>
      </c>
      <c r="S208" s="866"/>
      <c r="T208" s="856"/>
      <c r="U208" s="711"/>
      <c r="V208" s="711"/>
      <c r="W208" s="711"/>
      <c r="X208" s="10"/>
      <c r="Y208" s="10"/>
      <c r="Z208" s="10"/>
      <c r="AA208" s="675"/>
      <c r="AB208" s="10"/>
      <c r="AC208" s="871"/>
      <c r="AD208" s="875"/>
      <c r="MK208" s="3454">
        <f t="shared" si="85"/>
        <v>0</v>
      </c>
      <c r="ML208" s="3453">
        <f t="shared" si="86"/>
        <v>0</v>
      </c>
      <c r="MM208" s="3453">
        <f t="shared" si="87"/>
        <v>0</v>
      </c>
      <c r="MN208" s="859">
        <f ca="1">+ROUND(MK208*'Compra -HOJA1'!$I$395,0)</f>
        <v>0</v>
      </c>
      <c r="MO208" s="859">
        <f ca="1">+ROUND(ML208*'Compra -HOJA1'!$J$395,0)</f>
        <v>0</v>
      </c>
      <c r="MP208" s="859">
        <f ca="1">+ROUND(MM208*'Compra -HOJA1'!$K$395,0)</f>
        <v>0</v>
      </c>
      <c r="MQ208" s="860">
        <f t="shared" ca="1" si="88"/>
        <v>0</v>
      </c>
      <c r="MR208" s="860">
        <f t="shared" ca="1" si="89"/>
        <v>0</v>
      </c>
      <c r="MS208" s="860">
        <f t="shared" ca="1" si="90"/>
        <v>0</v>
      </c>
      <c r="MT208" s="1969">
        <f t="shared" ca="1" si="91"/>
        <v>0</v>
      </c>
    </row>
    <row r="209" spans="1:358" ht="54" customHeight="1" x14ac:dyDescent="0.4">
      <c r="A209" s="4034"/>
      <c r="B209" s="4878"/>
      <c r="C209" s="4872"/>
      <c r="D209" s="4862"/>
      <c r="E209" s="3424" t="s">
        <v>169</v>
      </c>
      <c r="F209" s="3436">
        <f>+G209*120</f>
        <v>0</v>
      </c>
      <c r="G209" s="3436">
        <f>+G68+G69</f>
        <v>0</v>
      </c>
      <c r="H209" s="3420"/>
      <c r="I209" s="1968">
        <f>IF(F209=0,0,ROUND($F209*COEF!$J$27,0))</f>
        <v>0</v>
      </c>
      <c r="J209" s="858">
        <f>IF(F209=0,0,ROUND($F209*COEF!$K$27,0))</f>
        <v>0</v>
      </c>
      <c r="K209" s="858">
        <f>IF(F209=0,0,ROUND($F209*COEF!$L$27,0))</f>
        <v>0</v>
      </c>
      <c r="L209" s="859">
        <f ca="1">+ROUND(I209*'Compra -HOJA1'!I$395,0)</f>
        <v>0</v>
      </c>
      <c r="M209" s="859">
        <f ca="1">+ROUND(J209*'Compra -HOJA1'!J$395,0)</f>
        <v>0</v>
      </c>
      <c r="N209" s="859">
        <f ca="1">+ROUND(K209*'Compra -HOJA1'!K$395,0)</f>
        <v>0</v>
      </c>
      <c r="O209" s="860">
        <f t="shared" ca="1" si="105"/>
        <v>0</v>
      </c>
      <c r="P209" s="860">
        <f t="shared" ca="1" si="106"/>
        <v>0</v>
      </c>
      <c r="Q209" s="860">
        <f t="shared" ca="1" si="107"/>
        <v>0</v>
      </c>
      <c r="R209" s="1969">
        <f t="shared" ca="1" si="108"/>
        <v>0</v>
      </c>
      <c r="S209" s="866"/>
      <c r="T209" s="856"/>
      <c r="U209" s="711"/>
      <c r="V209" s="711"/>
      <c r="W209" s="711"/>
      <c r="X209" s="10"/>
      <c r="Y209" s="10"/>
      <c r="Z209" s="10"/>
      <c r="AA209" s="675"/>
      <c r="AB209" s="10"/>
      <c r="AC209" s="871"/>
      <c r="AD209" s="875"/>
      <c r="MK209" s="3454">
        <f t="shared" si="85"/>
        <v>0</v>
      </c>
      <c r="ML209" s="3453">
        <f t="shared" si="86"/>
        <v>0</v>
      </c>
      <c r="MM209" s="3453">
        <f t="shared" si="87"/>
        <v>0</v>
      </c>
      <c r="MN209" s="859">
        <f ca="1">+ROUND(MK209*'Compra -HOJA1'!$I$395,0)</f>
        <v>0</v>
      </c>
      <c r="MO209" s="859">
        <f ca="1">+ROUND(ML209*'Compra -HOJA1'!$J$395,0)</f>
        <v>0</v>
      </c>
      <c r="MP209" s="859">
        <f ca="1">+ROUND(MM209*'Compra -HOJA1'!$K$395,0)</f>
        <v>0</v>
      </c>
      <c r="MQ209" s="860">
        <f t="shared" ca="1" si="88"/>
        <v>0</v>
      </c>
      <c r="MR209" s="860">
        <f t="shared" ca="1" si="89"/>
        <v>0</v>
      </c>
      <c r="MS209" s="860">
        <f t="shared" ca="1" si="90"/>
        <v>0</v>
      </c>
      <c r="MT209" s="1969">
        <f t="shared" ca="1" si="91"/>
        <v>0</v>
      </c>
    </row>
    <row r="210" spans="1:358" ht="54" customHeight="1" x14ac:dyDescent="0.4">
      <c r="A210" s="4034"/>
      <c r="B210" s="4878"/>
      <c r="C210" s="4872"/>
      <c r="D210" s="4862"/>
      <c r="E210" s="3424" t="s">
        <v>49</v>
      </c>
      <c r="F210" s="3436">
        <f>+G210*30</f>
        <v>0</v>
      </c>
      <c r="G210" s="3436">
        <f>+G209</f>
        <v>0</v>
      </c>
      <c r="H210" s="3420"/>
      <c r="I210" s="1968">
        <f>IF(F210=0,0,ROUND($F210*COEF!$J$27,0))</f>
        <v>0</v>
      </c>
      <c r="J210" s="858">
        <f>IF(F210=0,0,ROUND($F210*COEF!$K$27,0))</f>
        <v>0</v>
      </c>
      <c r="K210" s="858">
        <f>IF(F210=0,0,ROUND($F210*COEF!$L$27,0))</f>
        <v>0</v>
      </c>
      <c r="L210" s="859">
        <f ca="1">+ROUND(I210*'Compra -HOJA1'!I$395,0)</f>
        <v>0</v>
      </c>
      <c r="M210" s="859">
        <f ca="1">+ROUND(J210*'Compra -HOJA1'!J$395,0)</f>
        <v>0</v>
      </c>
      <c r="N210" s="859">
        <f ca="1">+ROUND(K210*'Compra -HOJA1'!K$395,0)</f>
        <v>0</v>
      </c>
      <c r="O210" s="860">
        <f t="shared" ca="1" si="105"/>
        <v>0</v>
      </c>
      <c r="P210" s="860">
        <f t="shared" ca="1" si="106"/>
        <v>0</v>
      </c>
      <c r="Q210" s="860">
        <f t="shared" ca="1" si="107"/>
        <v>0</v>
      </c>
      <c r="R210" s="1969">
        <f t="shared" ca="1" si="108"/>
        <v>0</v>
      </c>
      <c r="S210" s="866"/>
      <c r="T210" s="856"/>
      <c r="U210" s="711"/>
      <c r="V210" s="711"/>
      <c r="W210" s="711"/>
      <c r="X210" s="10"/>
      <c r="Y210" s="10"/>
      <c r="Z210" s="10"/>
      <c r="AA210" s="675"/>
      <c r="AB210" s="10"/>
      <c r="AC210" s="871"/>
      <c r="AD210" s="875"/>
      <c r="MK210" s="3454">
        <f t="shared" si="85"/>
        <v>0</v>
      </c>
      <c r="ML210" s="3453">
        <f t="shared" si="86"/>
        <v>0</v>
      </c>
      <c r="MM210" s="3453">
        <f t="shared" si="87"/>
        <v>0</v>
      </c>
      <c r="MN210" s="859">
        <f ca="1">+ROUND(MK210*'Compra -HOJA1'!$I$395,0)</f>
        <v>0</v>
      </c>
      <c r="MO210" s="859">
        <f ca="1">+ROUND(ML210*'Compra -HOJA1'!$J$395,0)</f>
        <v>0</v>
      </c>
      <c r="MP210" s="859">
        <f ca="1">+ROUND(MM210*'Compra -HOJA1'!$K$395,0)</f>
        <v>0</v>
      </c>
      <c r="MQ210" s="860">
        <f t="shared" ca="1" si="88"/>
        <v>0</v>
      </c>
      <c r="MR210" s="860">
        <f t="shared" ca="1" si="89"/>
        <v>0</v>
      </c>
      <c r="MS210" s="860">
        <f t="shared" ca="1" si="90"/>
        <v>0</v>
      </c>
      <c r="MT210" s="1969">
        <f t="shared" ca="1" si="91"/>
        <v>0</v>
      </c>
    </row>
    <row r="211" spans="1:358" ht="54" customHeight="1" x14ac:dyDescent="0.4">
      <c r="A211" s="4034"/>
      <c r="B211" s="4878"/>
      <c r="C211" s="4872"/>
      <c r="D211" s="4862"/>
      <c r="E211" s="3424" t="s">
        <v>638</v>
      </c>
      <c r="F211" s="3436">
        <f>+F68-(G68*150)+150*G69</f>
        <v>0</v>
      </c>
      <c r="G211" s="3436">
        <f>+G210</f>
        <v>0</v>
      </c>
      <c r="H211" s="3420"/>
      <c r="I211" s="1968">
        <f>IF(F211=0,0,ROUND($F211*COEF!$J$27,0))</f>
        <v>0</v>
      </c>
      <c r="J211" s="858">
        <f>IF(F211=0,0,ROUND($F211*COEF!$K$27,0))</f>
        <v>0</v>
      </c>
      <c r="K211" s="858">
        <f>IF(F211=0,0,ROUND($F211*COEF!$L$27,0))</f>
        <v>0</v>
      </c>
      <c r="L211" s="859">
        <f ca="1">+ROUND(I211*'Compra -HOJA1'!I$395,0)</f>
        <v>0</v>
      </c>
      <c r="M211" s="859">
        <f ca="1">+ROUND(J211*'Compra -HOJA1'!J$395,0)</f>
        <v>0</v>
      </c>
      <c r="N211" s="859">
        <f ca="1">+ROUND(K211*'Compra -HOJA1'!K$395,0)</f>
        <v>0</v>
      </c>
      <c r="O211" s="860">
        <f t="shared" ca="1" si="105"/>
        <v>0</v>
      </c>
      <c r="P211" s="860">
        <f t="shared" ca="1" si="106"/>
        <v>0</v>
      </c>
      <c r="Q211" s="860">
        <f t="shared" ca="1" si="107"/>
        <v>0</v>
      </c>
      <c r="R211" s="1969">
        <f t="shared" ca="1" si="108"/>
        <v>0</v>
      </c>
      <c r="S211" s="866"/>
      <c r="T211" s="856"/>
      <c r="U211" s="711"/>
      <c r="V211" s="711"/>
      <c r="W211" s="711"/>
      <c r="X211" s="10"/>
      <c r="Y211" s="10"/>
      <c r="Z211" s="10"/>
      <c r="AA211" s="675"/>
      <c r="AB211" s="10"/>
      <c r="AC211" s="871"/>
      <c r="AD211" s="875"/>
      <c r="MK211" s="3454">
        <f t="shared" si="85"/>
        <v>0</v>
      </c>
      <c r="ML211" s="3453">
        <f t="shared" si="86"/>
        <v>0</v>
      </c>
      <c r="MM211" s="3453">
        <f t="shared" si="87"/>
        <v>0</v>
      </c>
      <c r="MN211" s="859">
        <f ca="1">+ROUND(MK211*'Compra -HOJA1'!$I$395,0)</f>
        <v>0</v>
      </c>
      <c r="MO211" s="859">
        <f ca="1">+ROUND(ML211*'Compra -HOJA1'!$J$395,0)</f>
        <v>0</v>
      </c>
      <c r="MP211" s="859">
        <f ca="1">+ROUND(MM211*'Compra -HOJA1'!$K$395,0)</f>
        <v>0</v>
      </c>
      <c r="MQ211" s="860">
        <f t="shared" ca="1" si="88"/>
        <v>0</v>
      </c>
      <c r="MR211" s="860">
        <f t="shared" ca="1" si="89"/>
        <v>0</v>
      </c>
      <c r="MS211" s="860">
        <f t="shared" ca="1" si="90"/>
        <v>0</v>
      </c>
      <c r="MT211" s="1969">
        <f t="shared" ca="1" si="91"/>
        <v>0</v>
      </c>
    </row>
    <row r="212" spans="1:358" ht="54" customHeight="1" x14ac:dyDescent="0.4">
      <c r="A212" s="4034"/>
      <c r="B212" s="4878"/>
      <c r="C212" s="4873"/>
      <c r="D212" s="4864"/>
      <c r="E212" s="3424" t="s">
        <v>639</v>
      </c>
      <c r="F212" s="3436">
        <f>+F69-(300*G69)</f>
        <v>0</v>
      </c>
      <c r="G212" s="3436">
        <f>+G69</f>
        <v>0</v>
      </c>
      <c r="H212" s="3420"/>
      <c r="I212" s="1968">
        <f>IF(F212=0,0,ROUND($F212*COEF!$J$27,0))</f>
        <v>0</v>
      </c>
      <c r="J212" s="858">
        <f>IF(F212=0,0,ROUND($F212*COEF!$K$27,0))</f>
        <v>0</v>
      </c>
      <c r="K212" s="858">
        <f>IF(F212=0,0,ROUND($F212*COEF!$L$27,0))</f>
        <v>0</v>
      </c>
      <c r="L212" s="859">
        <f ca="1">+ROUND(I212*'Compra -HOJA1'!I$395,0)</f>
        <v>0</v>
      </c>
      <c r="M212" s="859">
        <f ca="1">+ROUND(J212*'Compra -HOJA1'!J$395,0)</f>
        <v>0</v>
      </c>
      <c r="N212" s="859">
        <f ca="1">+ROUND(K212*'Compra -HOJA1'!K$395,0)</f>
        <v>0</v>
      </c>
      <c r="O212" s="860">
        <f t="shared" ca="1" si="105"/>
        <v>0</v>
      </c>
      <c r="P212" s="860">
        <f t="shared" ca="1" si="106"/>
        <v>0</v>
      </c>
      <c r="Q212" s="860">
        <f t="shared" ca="1" si="107"/>
        <v>0</v>
      </c>
      <c r="R212" s="1969">
        <f t="shared" ca="1" si="108"/>
        <v>0</v>
      </c>
      <c r="S212" s="866"/>
      <c r="T212" s="856"/>
      <c r="U212" s="711"/>
      <c r="V212" s="711"/>
      <c r="W212" s="711"/>
      <c r="X212" s="10"/>
      <c r="Y212" s="10"/>
      <c r="Z212" s="10"/>
      <c r="AA212" s="675"/>
      <c r="AB212" s="10"/>
      <c r="AC212" s="871"/>
      <c r="AD212" s="875"/>
      <c r="MK212" s="3454">
        <f t="shared" si="85"/>
        <v>0</v>
      </c>
      <c r="ML212" s="3453">
        <f t="shared" si="86"/>
        <v>0</v>
      </c>
      <c r="MM212" s="3453">
        <f t="shared" si="87"/>
        <v>0</v>
      </c>
      <c r="MN212" s="859">
        <f ca="1">+ROUND(MK212*'Compra -HOJA1'!$I$395,0)</f>
        <v>0</v>
      </c>
      <c r="MO212" s="859">
        <f ca="1">+ROUND(ML212*'Compra -HOJA1'!$J$395,0)</f>
        <v>0</v>
      </c>
      <c r="MP212" s="859">
        <f ca="1">+ROUND(MM212*'Compra -HOJA1'!$K$395,0)</f>
        <v>0</v>
      </c>
      <c r="MQ212" s="860">
        <f t="shared" ca="1" si="88"/>
        <v>0</v>
      </c>
      <c r="MR212" s="860">
        <f t="shared" ca="1" si="89"/>
        <v>0</v>
      </c>
      <c r="MS212" s="860">
        <f t="shared" ca="1" si="90"/>
        <v>0</v>
      </c>
      <c r="MT212" s="1969">
        <f t="shared" ca="1" si="91"/>
        <v>0</v>
      </c>
    </row>
    <row r="213" spans="1:358" ht="54" customHeight="1" x14ac:dyDescent="0.4">
      <c r="A213" s="4034"/>
      <c r="B213" s="4878"/>
      <c r="C213" s="4871" t="s">
        <v>829</v>
      </c>
      <c r="D213" s="4860"/>
      <c r="E213" s="3427" t="s">
        <v>46</v>
      </c>
      <c r="F213" s="3437">
        <f>+G213*120</f>
        <v>0</v>
      </c>
      <c r="G213" s="3437">
        <f>+G70+G71</f>
        <v>0</v>
      </c>
      <c r="H213" s="3420"/>
      <c r="I213" s="1968">
        <f>IF(F213=0,0,ROUND($F213*COEF!$J$27,0))</f>
        <v>0</v>
      </c>
      <c r="J213" s="858">
        <f>IF(F213=0,0,ROUND($F213*COEF!$K$27,0))</f>
        <v>0</v>
      </c>
      <c r="K213" s="858">
        <f>IF(F213=0,0,ROUND($F213*COEF!$L$27,0))</f>
        <v>0</v>
      </c>
      <c r="L213" s="859">
        <f ca="1">+ROUND(I213*'Compra -HOJA1'!I$395,0)</f>
        <v>0</v>
      </c>
      <c r="M213" s="859">
        <f ca="1">+ROUND(J213*'Compra -HOJA1'!J$395,0)</f>
        <v>0</v>
      </c>
      <c r="N213" s="859">
        <f ca="1">+ROUND(K213*'Compra -HOJA1'!K$395,0)</f>
        <v>0</v>
      </c>
      <c r="O213" s="860">
        <f t="shared" ca="1" si="105"/>
        <v>0</v>
      </c>
      <c r="P213" s="860">
        <f t="shared" ca="1" si="106"/>
        <v>0</v>
      </c>
      <c r="Q213" s="860">
        <f t="shared" ca="1" si="107"/>
        <v>0</v>
      </c>
      <c r="R213" s="1969">
        <f t="shared" ca="1" si="108"/>
        <v>0</v>
      </c>
      <c r="S213" s="866"/>
      <c r="T213" s="856"/>
      <c r="U213" s="711"/>
      <c r="V213" s="711"/>
      <c r="W213" s="711"/>
      <c r="X213" s="10"/>
      <c r="Y213" s="10"/>
      <c r="Z213" s="10"/>
      <c r="AA213" s="675"/>
      <c r="AB213" s="10"/>
      <c r="AC213" s="871"/>
      <c r="AD213" s="875"/>
      <c r="MK213" s="3454">
        <f t="shared" si="85"/>
        <v>0</v>
      </c>
      <c r="ML213" s="3453">
        <f t="shared" si="86"/>
        <v>0</v>
      </c>
      <c r="MM213" s="3453">
        <f t="shared" si="87"/>
        <v>0</v>
      </c>
      <c r="MN213" s="859">
        <f ca="1">+ROUND(MK213*'Compra -HOJA1'!$I$395,0)</f>
        <v>0</v>
      </c>
      <c r="MO213" s="859">
        <f ca="1">+ROUND(ML213*'Compra -HOJA1'!$J$395,0)</f>
        <v>0</v>
      </c>
      <c r="MP213" s="859">
        <f ca="1">+ROUND(MM213*'Compra -HOJA1'!$K$395,0)</f>
        <v>0</v>
      </c>
      <c r="MQ213" s="860">
        <f t="shared" ca="1" si="88"/>
        <v>0</v>
      </c>
      <c r="MR213" s="860">
        <f t="shared" ca="1" si="89"/>
        <v>0</v>
      </c>
      <c r="MS213" s="860">
        <f t="shared" ca="1" si="90"/>
        <v>0</v>
      </c>
      <c r="MT213" s="1969">
        <f t="shared" ca="1" si="91"/>
        <v>0</v>
      </c>
    </row>
    <row r="214" spans="1:358" ht="54" customHeight="1" x14ac:dyDescent="0.4">
      <c r="A214" s="4034"/>
      <c r="B214" s="4878"/>
      <c r="C214" s="4872"/>
      <c r="D214" s="4862"/>
      <c r="E214" s="3427" t="s">
        <v>47</v>
      </c>
      <c r="F214" s="3437">
        <f>+G214*30</f>
        <v>0</v>
      </c>
      <c r="G214" s="3437">
        <f>+G213</f>
        <v>0</v>
      </c>
      <c r="H214" s="3420"/>
      <c r="I214" s="1968">
        <f>IF(F214=0,0,ROUND($F214*COEF!$J$27,0))</f>
        <v>0</v>
      </c>
      <c r="J214" s="858">
        <f>IF(F214=0,0,ROUND($F214*COEF!$K$27,0))</f>
        <v>0</v>
      </c>
      <c r="K214" s="858">
        <f>IF(F214=0,0,ROUND($F214*COEF!$L$27,0))</f>
        <v>0</v>
      </c>
      <c r="L214" s="859">
        <f ca="1">+ROUND(I214*'Compra -HOJA1'!I$395,0)</f>
        <v>0</v>
      </c>
      <c r="M214" s="859">
        <f ca="1">+ROUND(J214*'Compra -HOJA1'!J$395,0)</f>
        <v>0</v>
      </c>
      <c r="N214" s="859">
        <f ca="1">+ROUND(K214*'Compra -HOJA1'!K$395,0)</f>
        <v>0</v>
      </c>
      <c r="O214" s="860">
        <f t="shared" ca="1" si="105"/>
        <v>0</v>
      </c>
      <c r="P214" s="860">
        <f t="shared" ca="1" si="106"/>
        <v>0</v>
      </c>
      <c r="Q214" s="860">
        <f t="shared" ca="1" si="107"/>
        <v>0</v>
      </c>
      <c r="R214" s="1969">
        <f t="shared" ca="1" si="108"/>
        <v>0</v>
      </c>
      <c r="S214" s="866"/>
      <c r="T214" s="856"/>
      <c r="U214" s="711"/>
      <c r="V214" s="711"/>
      <c r="W214" s="711"/>
      <c r="X214" s="10"/>
      <c r="Y214" s="10"/>
      <c r="Z214" s="10"/>
      <c r="AA214" s="675"/>
      <c r="AB214" s="10"/>
      <c r="AC214" s="871"/>
      <c r="AD214" s="875"/>
      <c r="MK214" s="3454">
        <f t="shared" si="85"/>
        <v>0</v>
      </c>
      <c r="ML214" s="3453">
        <f t="shared" si="86"/>
        <v>0</v>
      </c>
      <c r="MM214" s="3453">
        <f t="shared" si="87"/>
        <v>0</v>
      </c>
      <c r="MN214" s="859">
        <f ca="1">+ROUND(MK214*'Compra -HOJA1'!$I$395,0)</f>
        <v>0</v>
      </c>
      <c r="MO214" s="859">
        <f ca="1">+ROUND(ML214*'Compra -HOJA1'!$J$395,0)</f>
        <v>0</v>
      </c>
      <c r="MP214" s="859">
        <f ca="1">+ROUND(MM214*'Compra -HOJA1'!$K$395,0)</f>
        <v>0</v>
      </c>
      <c r="MQ214" s="860">
        <f t="shared" ca="1" si="88"/>
        <v>0</v>
      </c>
      <c r="MR214" s="860">
        <f t="shared" ca="1" si="89"/>
        <v>0</v>
      </c>
      <c r="MS214" s="860">
        <f t="shared" ca="1" si="90"/>
        <v>0</v>
      </c>
      <c r="MT214" s="1969">
        <f t="shared" ca="1" si="91"/>
        <v>0</v>
      </c>
    </row>
    <row r="215" spans="1:358" ht="54" customHeight="1" x14ac:dyDescent="0.4">
      <c r="A215" s="4034"/>
      <c r="B215" s="4878"/>
      <c r="C215" s="4872"/>
      <c r="D215" s="4862"/>
      <c r="E215" s="3427" t="s">
        <v>635</v>
      </c>
      <c r="F215" s="3437">
        <f>+F70-(G70*150)+150*G71</f>
        <v>0</v>
      </c>
      <c r="G215" s="3437">
        <f>+G214</f>
        <v>0</v>
      </c>
      <c r="H215" s="3420"/>
      <c r="I215" s="1968">
        <f>IF(F215=0,0,ROUND($F215*COEF!$J$27,0))</f>
        <v>0</v>
      </c>
      <c r="J215" s="858">
        <f>IF(F215=0,0,ROUND($F215*COEF!$K$27,0))</f>
        <v>0</v>
      </c>
      <c r="K215" s="858">
        <f>IF(F215=0,0,ROUND($F215*COEF!$L$27,0))</f>
        <v>0</v>
      </c>
      <c r="L215" s="859">
        <f ca="1">+ROUND(I215*'Compra -HOJA1'!I$395,0)</f>
        <v>0</v>
      </c>
      <c r="M215" s="859">
        <f ca="1">+ROUND(J215*'Compra -HOJA1'!J$395,0)</f>
        <v>0</v>
      </c>
      <c r="N215" s="859">
        <f ca="1">+ROUND(K215*'Compra -HOJA1'!K$395,0)</f>
        <v>0</v>
      </c>
      <c r="O215" s="860">
        <f t="shared" ca="1" si="105"/>
        <v>0</v>
      </c>
      <c r="P215" s="860">
        <f t="shared" ca="1" si="106"/>
        <v>0</v>
      </c>
      <c r="Q215" s="860">
        <f t="shared" ca="1" si="107"/>
        <v>0</v>
      </c>
      <c r="R215" s="1969">
        <f t="shared" ca="1" si="108"/>
        <v>0</v>
      </c>
      <c r="S215" s="866"/>
      <c r="T215" s="856"/>
      <c r="U215" s="711"/>
      <c r="V215" s="711"/>
      <c r="W215" s="711"/>
      <c r="X215" s="10"/>
      <c r="Y215" s="10"/>
      <c r="Z215" s="10"/>
      <c r="AA215" s="675"/>
      <c r="AB215" s="10"/>
      <c r="AC215" s="871"/>
      <c r="AD215" s="875"/>
      <c r="MK215" s="3454">
        <f t="shared" si="85"/>
        <v>0</v>
      </c>
      <c r="ML215" s="3453">
        <f t="shared" si="86"/>
        <v>0</v>
      </c>
      <c r="MM215" s="3453">
        <f t="shared" si="87"/>
        <v>0</v>
      </c>
      <c r="MN215" s="859">
        <f ca="1">+ROUND(MK215*'Compra -HOJA1'!$I$395,0)</f>
        <v>0</v>
      </c>
      <c r="MO215" s="859">
        <f ca="1">+ROUND(ML215*'Compra -HOJA1'!$J$395,0)</f>
        <v>0</v>
      </c>
      <c r="MP215" s="859">
        <f ca="1">+ROUND(MM215*'Compra -HOJA1'!$K$395,0)</f>
        <v>0</v>
      </c>
      <c r="MQ215" s="860">
        <f t="shared" ca="1" si="88"/>
        <v>0</v>
      </c>
      <c r="MR215" s="860">
        <f t="shared" ca="1" si="89"/>
        <v>0</v>
      </c>
      <c r="MS215" s="860">
        <f t="shared" ca="1" si="90"/>
        <v>0</v>
      </c>
      <c r="MT215" s="1969">
        <f t="shared" ca="1" si="91"/>
        <v>0</v>
      </c>
    </row>
    <row r="216" spans="1:358" ht="54" customHeight="1" x14ac:dyDescent="0.4">
      <c r="A216" s="4034"/>
      <c r="B216" s="4878"/>
      <c r="C216" s="4872"/>
      <c r="D216" s="4862"/>
      <c r="E216" s="3427" t="s">
        <v>636</v>
      </c>
      <c r="F216" s="3437">
        <f>+F71-(300*G71)</f>
        <v>0</v>
      </c>
      <c r="G216" s="3437">
        <f>+G71</f>
        <v>0</v>
      </c>
      <c r="H216" s="3420"/>
      <c r="I216" s="1968">
        <f>IF(F216=0,0,ROUND($F216*COEF!$J$27,0))</f>
        <v>0</v>
      </c>
      <c r="J216" s="858">
        <f>IF(F216=0,0,ROUND($F216*COEF!$K$27,0))</f>
        <v>0</v>
      </c>
      <c r="K216" s="858">
        <f>IF(F216=0,0,ROUND($F216*COEF!$L$27,0))</f>
        <v>0</v>
      </c>
      <c r="L216" s="859">
        <f ca="1">+ROUND(I216*'Compra -HOJA1'!I$395,0)</f>
        <v>0</v>
      </c>
      <c r="M216" s="859">
        <f ca="1">+ROUND(J216*'Compra -HOJA1'!J$395,0)</f>
        <v>0</v>
      </c>
      <c r="N216" s="859">
        <f ca="1">+ROUND(K216*'Compra -HOJA1'!K$395,0)</f>
        <v>0</v>
      </c>
      <c r="O216" s="860">
        <f t="shared" ca="1" si="105"/>
        <v>0</v>
      </c>
      <c r="P216" s="860">
        <f t="shared" ca="1" si="106"/>
        <v>0</v>
      </c>
      <c r="Q216" s="860">
        <f t="shared" ca="1" si="107"/>
        <v>0</v>
      </c>
      <c r="R216" s="1969">
        <f t="shared" ca="1" si="108"/>
        <v>0</v>
      </c>
      <c r="S216" s="866"/>
      <c r="T216" s="856"/>
      <c r="U216" s="711"/>
      <c r="V216" s="711"/>
      <c r="W216" s="711"/>
      <c r="X216" s="10"/>
      <c r="Y216" s="10"/>
      <c r="Z216" s="10"/>
      <c r="AA216" s="675"/>
      <c r="AB216" s="10"/>
      <c r="AC216" s="871"/>
      <c r="AD216" s="875"/>
      <c r="MK216" s="3454">
        <f t="shared" si="85"/>
        <v>0</v>
      </c>
      <c r="ML216" s="3453">
        <f t="shared" si="86"/>
        <v>0</v>
      </c>
      <c r="MM216" s="3453">
        <f t="shared" si="87"/>
        <v>0</v>
      </c>
      <c r="MN216" s="859">
        <f ca="1">+ROUND(MK216*'Compra -HOJA1'!$I$395,0)</f>
        <v>0</v>
      </c>
      <c r="MO216" s="859">
        <f ca="1">+ROUND(ML216*'Compra -HOJA1'!$J$395,0)</f>
        <v>0</v>
      </c>
      <c r="MP216" s="859">
        <f ca="1">+ROUND(MM216*'Compra -HOJA1'!$K$395,0)</f>
        <v>0</v>
      </c>
      <c r="MQ216" s="860">
        <f t="shared" ca="1" si="88"/>
        <v>0</v>
      </c>
      <c r="MR216" s="860">
        <f t="shared" ca="1" si="89"/>
        <v>0</v>
      </c>
      <c r="MS216" s="860">
        <f t="shared" ca="1" si="90"/>
        <v>0</v>
      </c>
      <c r="MT216" s="1969">
        <f t="shared" ca="1" si="91"/>
        <v>0</v>
      </c>
    </row>
    <row r="217" spans="1:358" ht="54" customHeight="1" x14ac:dyDescent="0.4">
      <c r="A217" s="4034"/>
      <c r="B217" s="4878"/>
      <c r="C217" s="4872"/>
      <c r="D217" s="4862"/>
      <c r="E217" s="3424" t="s">
        <v>169</v>
      </c>
      <c r="F217" s="3437">
        <f>+G217*120</f>
        <v>0</v>
      </c>
      <c r="G217" s="3437">
        <f>+G72+G73</f>
        <v>0</v>
      </c>
      <c r="H217" s="3420"/>
      <c r="I217" s="1968">
        <f>IF(F217=0,0,ROUND($F217*COEF!$J$27,0))</f>
        <v>0</v>
      </c>
      <c r="J217" s="858">
        <f>IF(F217=0,0,ROUND($F217*COEF!$K$27,0))</f>
        <v>0</v>
      </c>
      <c r="K217" s="858">
        <f>IF(F217=0,0,ROUND($F217*COEF!$L$27,0))</f>
        <v>0</v>
      </c>
      <c r="L217" s="859">
        <f ca="1">+ROUND(I217*'Compra -HOJA1'!I$395,0)</f>
        <v>0</v>
      </c>
      <c r="M217" s="859">
        <f ca="1">+ROUND(J217*'Compra -HOJA1'!J$395,0)</f>
        <v>0</v>
      </c>
      <c r="N217" s="859">
        <f ca="1">+ROUND(K217*'Compra -HOJA1'!K$395,0)</f>
        <v>0</v>
      </c>
      <c r="O217" s="860">
        <f t="shared" ca="1" si="105"/>
        <v>0</v>
      </c>
      <c r="P217" s="860">
        <f t="shared" ca="1" si="106"/>
        <v>0</v>
      </c>
      <c r="Q217" s="860">
        <f t="shared" ca="1" si="107"/>
        <v>0</v>
      </c>
      <c r="R217" s="1969">
        <f t="shared" ca="1" si="108"/>
        <v>0</v>
      </c>
      <c r="S217" s="866"/>
      <c r="T217" s="856"/>
      <c r="U217" s="711"/>
      <c r="V217" s="711"/>
      <c r="W217" s="711"/>
      <c r="X217" s="10"/>
      <c r="Y217" s="10"/>
      <c r="Z217" s="10"/>
      <c r="AA217" s="675"/>
      <c r="AB217" s="10"/>
      <c r="AC217" s="871"/>
      <c r="AD217" s="875"/>
      <c r="MK217" s="3454">
        <f t="shared" si="85"/>
        <v>0</v>
      </c>
      <c r="ML217" s="3453">
        <f t="shared" si="86"/>
        <v>0</v>
      </c>
      <c r="MM217" s="3453">
        <f t="shared" si="87"/>
        <v>0</v>
      </c>
      <c r="MN217" s="859">
        <f ca="1">+ROUND(MK217*'Compra -HOJA1'!$I$395,0)</f>
        <v>0</v>
      </c>
      <c r="MO217" s="859">
        <f ca="1">+ROUND(ML217*'Compra -HOJA1'!$J$395,0)</f>
        <v>0</v>
      </c>
      <c r="MP217" s="859">
        <f ca="1">+ROUND(MM217*'Compra -HOJA1'!$K$395,0)</f>
        <v>0</v>
      </c>
      <c r="MQ217" s="860">
        <f t="shared" ca="1" si="88"/>
        <v>0</v>
      </c>
      <c r="MR217" s="860">
        <f t="shared" ca="1" si="89"/>
        <v>0</v>
      </c>
      <c r="MS217" s="860">
        <f t="shared" ca="1" si="90"/>
        <v>0</v>
      </c>
      <c r="MT217" s="1969">
        <f t="shared" ca="1" si="91"/>
        <v>0</v>
      </c>
    </row>
    <row r="218" spans="1:358" ht="54" customHeight="1" x14ac:dyDescent="0.4">
      <c r="A218" s="4034"/>
      <c r="B218" s="4878"/>
      <c r="C218" s="4872"/>
      <c r="D218" s="4862"/>
      <c r="E218" s="3424" t="s">
        <v>49</v>
      </c>
      <c r="F218" s="3437">
        <f>+G218*30</f>
        <v>0</v>
      </c>
      <c r="G218" s="3437">
        <f>+G217</f>
        <v>0</v>
      </c>
      <c r="H218" s="3420"/>
      <c r="I218" s="1968">
        <f>IF(F218=0,0,ROUND($F218*COEF!$J$27,0))</f>
        <v>0</v>
      </c>
      <c r="J218" s="858">
        <f>IF(F218=0,0,ROUND($F218*COEF!$K$27,0))</f>
        <v>0</v>
      </c>
      <c r="K218" s="858">
        <f>IF(F218=0,0,ROUND($F218*COEF!$L$27,0))</f>
        <v>0</v>
      </c>
      <c r="L218" s="859">
        <f ca="1">+ROUND(I218*'Compra -HOJA1'!I$395,0)</f>
        <v>0</v>
      </c>
      <c r="M218" s="859">
        <f ca="1">+ROUND(J218*'Compra -HOJA1'!J$395,0)</f>
        <v>0</v>
      </c>
      <c r="N218" s="859">
        <f ca="1">+ROUND(K218*'Compra -HOJA1'!K$395,0)</f>
        <v>0</v>
      </c>
      <c r="O218" s="860">
        <f t="shared" ca="1" si="105"/>
        <v>0</v>
      </c>
      <c r="P218" s="860">
        <f t="shared" ca="1" si="106"/>
        <v>0</v>
      </c>
      <c r="Q218" s="860">
        <f t="shared" ca="1" si="107"/>
        <v>0</v>
      </c>
      <c r="R218" s="1969">
        <f t="shared" ca="1" si="108"/>
        <v>0</v>
      </c>
      <c r="S218" s="866"/>
      <c r="T218" s="856"/>
      <c r="U218" s="711"/>
      <c r="V218" s="711"/>
      <c r="W218" s="711"/>
      <c r="X218" s="10"/>
      <c r="Y218" s="10"/>
      <c r="Z218" s="10"/>
      <c r="AA218" s="675"/>
      <c r="AB218" s="10"/>
      <c r="AC218" s="871"/>
      <c r="AD218" s="875"/>
      <c r="MK218" s="3454">
        <f t="shared" si="85"/>
        <v>0</v>
      </c>
      <c r="ML218" s="3453">
        <f t="shared" si="86"/>
        <v>0</v>
      </c>
      <c r="MM218" s="3453">
        <f t="shared" si="87"/>
        <v>0</v>
      </c>
      <c r="MN218" s="859">
        <f ca="1">+ROUND(MK218*'Compra -HOJA1'!$I$395,0)</f>
        <v>0</v>
      </c>
      <c r="MO218" s="859">
        <f ca="1">+ROUND(ML218*'Compra -HOJA1'!$J$395,0)</f>
        <v>0</v>
      </c>
      <c r="MP218" s="859">
        <f ca="1">+ROUND(MM218*'Compra -HOJA1'!$K$395,0)</f>
        <v>0</v>
      </c>
      <c r="MQ218" s="860">
        <f t="shared" ca="1" si="88"/>
        <v>0</v>
      </c>
      <c r="MR218" s="860">
        <f t="shared" ca="1" si="89"/>
        <v>0</v>
      </c>
      <c r="MS218" s="860">
        <f t="shared" ca="1" si="90"/>
        <v>0</v>
      </c>
      <c r="MT218" s="1969">
        <f t="shared" ca="1" si="91"/>
        <v>0</v>
      </c>
    </row>
    <row r="219" spans="1:358" ht="54" customHeight="1" x14ac:dyDescent="0.4">
      <c r="A219" s="4034"/>
      <c r="B219" s="4878"/>
      <c r="C219" s="4872"/>
      <c r="D219" s="4862"/>
      <c r="E219" s="3424" t="s">
        <v>638</v>
      </c>
      <c r="F219" s="3437">
        <f>+F72-(G72*150)+150*G73</f>
        <v>0</v>
      </c>
      <c r="G219" s="3437">
        <f>+G218</f>
        <v>0</v>
      </c>
      <c r="H219" s="3420"/>
      <c r="I219" s="1968">
        <f>IF(F219=0,0,ROUND($F219*COEF!$J$27,0))</f>
        <v>0</v>
      </c>
      <c r="J219" s="858">
        <f>IF(F219=0,0,ROUND($F219*COEF!$K$27,0))</f>
        <v>0</v>
      </c>
      <c r="K219" s="858">
        <f>IF(F219=0,0,ROUND($F219*COEF!$L$27,0))</f>
        <v>0</v>
      </c>
      <c r="L219" s="859">
        <f ca="1">+ROUND(I219*'Compra -HOJA1'!I$395,0)</f>
        <v>0</v>
      </c>
      <c r="M219" s="859">
        <f ca="1">+ROUND(J219*'Compra -HOJA1'!J$395,0)</f>
        <v>0</v>
      </c>
      <c r="N219" s="859">
        <f ca="1">+ROUND(K219*'Compra -HOJA1'!K$395,0)</f>
        <v>0</v>
      </c>
      <c r="O219" s="860">
        <f t="shared" ca="1" si="105"/>
        <v>0</v>
      </c>
      <c r="P219" s="860">
        <f t="shared" ca="1" si="106"/>
        <v>0</v>
      </c>
      <c r="Q219" s="860">
        <f t="shared" ca="1" si="107"/>
        <v>0</v>
      </c>
      <c r="R219" s="1969">
        <f t="shared" ca="1" si="108"/>
        <v>0</v>
      </c>
      <c r="S219" s="866"/>
      <c r="T219" s="856"/>
      <c r="U219" s="711"/>
      <c r="V219" s="711"/>
      <c r="W219" s="711"/>
      <c r="X219" s="10"/>
      <c r="Y219" s="10"/>
      <c r="Z219" s="10"/>
      <c r="AA219" s="675"/>
      <c r="AB219" s="10"/>
      <c r="AC219" s="871"/>
      <c r="AD219" s="875"/>
      <c r="MK219" s="3454">
        <f t="shared" si="85"/>
        <v>0</v>
      </c>
      <c r="ML219" s="3453">
        <f t="shared" si="86"/>
        <v>0</v>
      </c>
      <c r="MM219" s="3453">
        <f t="shared" si="87"/>
        <v>0</v>
      </c>
      <c r="MN219" s="859">
        <f ca="1">+ROUND(MK219*'Compra -HOJA1'!$I$395,0)</f>
        <v>0</v>
      </c>
      <c r="MO219" s="859">
        <f ca="1">+ROUND(ML219*'Compra -HOJA1'!$J$395,0)</f>
        <v>0</v>
      </c>
      <c r="MP219" s="859">
        <f ca="1">+ROUND(MM219*'Compra -HOJA1'!$K$395,0)</f>
        <v>0</v>
      </c>
      <c r="MQ219" s="860">
        <f t="shared" ca="1" si="88"/>
        <v>0</v>
      </c>
      <c r="MR219" s="860">
        <f t="shared" ca="1" si="89"/>
        <v>0</v>
      </c>
      <c r="MS219" s="860">
        <f t="shared" ca="1" si="90"/>
        <v>0</v>
      </c>
      <c r="MT219" s="1969">
        <f t="shared" ca="1" si="91"/>
        <v>0</v>
      </c>
    </row>
    <row r="220" spans="1:358" ht="54" customHeight="1" thickBot="1" x14ac:dyDescent="0.45">
      <c r="A220" s="4034"/>
      <c r="B220" s="4879"/>
      <c r="C220" s="4873"/>
      <c r="D220" s="4864"/>
      <c r="E220" s="3424" t="s">
        <v>639</v>
      </c>
      <c r="F220" s="3437">
        <f>+F73-(300*G73)</f>
        <v>0</v>
      </c>
      <c r="G220" s="3437">
        <f>+G73</f>
        <v>0</v>
      </c>
      <c r="H220" s="3420"/>
      <c r="I220" s="1968">
        <f>IF(F220=0,0,ROUND($F220*COEF!$J$27,0))</f>
        <v>0</v>
      </c>
      <c r="J220" s="858">
        <f>IF(F220=0,0,ROUND($F220*COEF!$K$27,0))</f>
        <v>0</v>
      </c>
      <c r="K220" s="858">
        <f>IF(F220=0,0,ROUND($F220*COEF!$L$27,0))</f>
        <v>0</v>
      </c>
      <c r="L220" s="859">
        <f ca="1">+ROUND(I220*'Compra -HOJA1'!I$395,0)</f>
        <v>0</v>
      </c>
      <c r="M220" s="859">
        <f ca="1">+ROUND(J220*'Compra -HOJA1'!J$395,0)</f>
        <v>0</v>
      </c>
      <c r="N220" s="859">
        <f ca="1">+ROUND(K220*'Compra -HOJA1'!K$395,0)</f>
        <v>0</v>
      </c>
      <c r="O220" s="860">
        <f t="shared" ca="1" si="105"/>
        <v>0</v>
      </c>
      <c r="P220" s="860">
        <f t="shared" ca="1" si="106"/>
        <v>0</v>
      </c>
      <c r="Q220" s="860">
        <f t="shared" ca="1" si="107"/>
        <v>0</v>
      </c>
      <c r="R220" s="1969">
        <f t="shared" ca="1" si="108"/>
        <v>0</v>
      </c>
      <c r="S220" s="866"/>
      <c r="T220" s="856"/>
      <c r="U220" s="711"/>
      <c r="V220" s="711"/>
      <c r="W220" s="711"/>
      <c r="X220" s="10"/>
      <c r="Y220" s="10"/>
      <c r="Z220" s="10"/>
      <c r="AA220" s="675"/>
      <c r="AB220" s="10"/>
      <c r="AC220" s="871"/>
      <c r="AD220" s="875"/>
      <c r="MK220" s="3454">
        <f t="shared" si="85"/>
        <v>0</v>
      </c>
      <c r="ML220" s="3453">
        <f t="shared" si="86"/>
        <v>0</v>
      </c>
      <c r="MM220" s="3453">
        <f t="shared" si="87"/>
        <v>0</v>
      </c>
      <c r="MN220" s="859">
        <f ca="1">+ROUND(MK220*'Compra -HOJA1'!$I$395,0)</f>
        <v>0</v>
      </c>
      <c r="MO220" s="859">
        <f ca="1">+ROUND(ML220*'Compra -HOJA1'!$J$395,0)</f>
        <v>0</v>
      </c>
      <c r="MP220" s="859">
        <f ca="1">+ROUND(MM220*'Compra -HOJA1'!$K$395,0)</f>
        <v>0</v>
      </c>
      <c r="MQ220" s="860">
        <f t="shared" ca="1" si="88"/>
        <v>0</v>
      </c>
      <c r="MR220" s="860">
        <f t="shared" ca="1" si="89"/>
        <v>0</v>
      </c>
      <c r="MS220" s="860">
        <f t="shared" ca="1" si="90"/>
        <v>0</v>
      </c>
      <c r="MT220" s="1969">
        <f t="shared" ca="1" si="91"/>
        <v>0</v>
      </c>
    </row>
    <row r="221" spans="1:358" ht="54" customHeight="1" x14ac:dyDescent="0.4">
      <c r="A221" s="4034"/>
      <c r="B221" s="4882" t="s">
        <v>324</v>
      </c>
      <c r="C221" s="4871" t="s">
        <v>827</v>
      </c>
      <c r="D221" s="4871"/>
      <c r="E221" s="3427" t="s">
        <v>46</v>
      </c>
      <c r="F221" s="3438">
        <f>120*G221</f>
        <v>0</v>
      </c>
      <c r="G221" s="3562">
        <f>+G74+G75</f>
        <v>0</v>
      </c>
      <c r="H221" s="3564"/>
      <c r="I221" s="1968">
        <f>IF(F221=0,0,ROUND($F221*COEF!$J$27,0))</f>
        <v>0</v>
      </c>
      <c r="J221" s="858">
        <f>IF(F221=0,0,ROUND($F221*COEF!$K$27,0))</f>
        <v>0</v>
      </c>
      <c r="K221" s="858">
        <f>IF(F221=0,0,ROUND($F221*COEF!$L$27,0))</f>
        <v>0</v>
      </c>
      <c r="L221" s="859">
        <f ca="1">+ROUND(I221*'Compra -HOJA1'!I$395,0)</f>
        <v>0</v>
      </c>
      <c r="M221" s="859">
        <f ca="1">+ROUND(J221*'Compra -HOJA1'!J$395,0)</f>
        <v>0</v>
      </c>
      <c r="N221" s="859">
        <f ca="1">+ROUND(K221*'Compra -HOJA1'!K$395,0)</f>
        <v>0</v>
      </c>
      <c r="O221" s="860">
        <f t="shared" ca="1" si="74"/>
        <v>0</v>
      </c>
      <c r="P221" s="860">
        <f t="shared" ca="1" si="74"/>
        <v>0</v>
      </c>
      <c r="Q221" s="860">
        <f t="shared" ca="1" si="74"/>
        <v>0</v>
      </c>
      <c r="R221" s="1969">
        <f t="shared" ca="1" si="75"/>
        <v>0</v>
      </c>
      <c r="S221" s="866"/>
      <c r="T221" s="856">
        <f t="shared" ca="1" si="76"/>
        <v>0</v>
      </c>
      <c r="U221" s="711">
        <f t="shared" ca="1" si="104"/>
        <v>0</v>
      </c>
      <c r="V221" s="711">
        <f t="shared" ca="1" si="104"/>
        <v>0</v>
      </c>
      <c r="W221" s="711">
        <f t="shared" ca="1" si="104"/>
        <v>0</v>
      </c>
      <c r="X221" s="10"/>
      <c r="Y221" s="10"/>
      <c r="Z221" s="10"/>
      <c r="AA221" s="675"/>
      <c r="AB221" s="10"/>
      <c r="AC221" s="869"/>
      <c r="AD221" s="870"/>
      <c r="MK221" s="3454">
        <f t="shared" si="85"/>
        <v>0</v>
      </c>
      <c r="ML221" s="3453">
        <f t="shared" si="86"/>
        <v>0</v>
      </c>
      <c r="MM221" s="3453">
        <f t="shared" si="87"/>
        <v>0</v>
      </c>
      <c r="MN221" s="859">
        <f ca="1">+ROUND(MK221*'Compra -HOJA1'!$I$395,0)</f>
        <v>0</v>
      </c>
      <c r="MO221" s="859">
        <f ca="1">+ROUND(ML221*'Compra -HOJA1'!$J$395,0)</f>
        <v>0</v>
      </c>
      <c r="MP221" s="859">
        <f ca="1">+ROUND(MM221*'Compra -HOJA1'!$K$395,0)</f>
        <v>0</v>
      </c>
      <c r="MQ221" s="860">
        <f t="shared" ca="1" si="88"/>
        <v>0</v>
      </c>
      <c r="MR221" s="860">
        <f t="shared" ca="1" si="89"/>
        <v>0</v>
      </c>
      <c r="MS221" s="860">
        <f t="shared" ca="1" si="90"/>
        <v>0</v>
      </c>
      <c r="MT221" s="1969">
        <f t="shared" ca="1" si="91"/>
        <v>0</v>
      </c>
    </row>
    <row r="222" spans="1:358" ht="54" customHeight="1" x14ac:dyDescent="0.4">
      <c r="A222" s="4034"/>
      <c r="B222" s="4883"/>
      <c r="C222" s="4872"/>
      <c r="D222" s="4872"/>
      <c r="E222" s="3427" t="s">
        <v>47</v>
      </c>
      <c r="F222" s="3438">
        <f>+G222*30</f>
        <v>0</v>
      </c>
      <c r="G222" s="3438">
        <f>+G221</f>
        <v>0</v>
      </c>
      <c r="H222" s="3564"/>
      <c r="I222" s="1968">
        <f>IF(F222=0,0,ROUND($F222*COEF!$J$27,0))</f>
        <v>0</v>
      </c>
      <c r="J222" s="858">
        <f>IF(F222=0,0,ROUND($F222*COEF!$K$27,0))</f>
        <v>0</v>
      </c>
      <c r="K222" s="858">
        <f>IF(F222=0,0,ROUND($F222*COEF!$L$27,0))</f>
        <v>0</v>
      </c>
      <c r="L222" s="859">
        <f ca="1">+ROUND(I222*'Compra -HOJA1'!I$395,0)</f>
        <v>0</v>
      </c>
      <c r="M222" s="859">
        <f ca="1">+ROUND(J222*'Compra -HOJA1'!J$395,0)</f>
        <v>0</v>
      </c>
      <c r="N222" s="859">
        <f ca="1">+ROUND(K222*'Compra -HOJA1'!K$395,0)</f>
        <v>0</v>
      </c>
      <c r="O222" s="860">
        <f t="shared" ca="1" si="74"/>
        <v>0</v>
      </c>
      <c r="P222" s="860">
        <f t="shared" ca="1" si="74"/>
        <v>0</v>
      </c>
      <c r="Q222" s="860">
        <f t="shared" ca="1" si="74"/>
        <v>0</v>
      </c>
      <c r="R222" s="1969">
        <f t="shared" ca="1" si="75"/>
        <v>0</v>
      </c>
      <c r="S222" s="866"/>
      <c r="T222" s="856">
        <f t="shared" ca="1" si="76"/>
        <v>0</v>
      </c>
      <c r="U222" s="711">
        <f t="shared" ca="1" si="104"/>
        <v>0</v>
      </c>
      <c r="V222" s="711">
        <f t="shared" ca="1" si="104"/>
        <v>0</v>
      </c>
      <c r="W222" s="711">
        <f t="shared" ca="1" si="104"/>
        <v>0</v>
      </c>
      <c r="X222" s="10"/>
      <c r="Y222" s="10"/>
      <c r="Z222" s="10"/>
      <c r="AA222" s="675"/>
      <c r="AB222" s="10"/>
      <c r="AC222" s="871"/>
      <c r="AD222" s="870"/>
      <c r="MK222" s="3454">
        <f t="shared" si="85"/>
        <v>0</v>
      </c>
      <c r="ML222" s="3453">
        <f t="shared" si="86"/>
        <v>0</v>
      </c>
      <c r="MM222" s="3453">
        <f t="shared" si="87"/>
        <v>0</v>
      </c>
      <c r="MN222" s="859">
        <f ca="1">+ROUND(MK222*'Compra -HOJA1'!$I$395,0)</f>
        <v>0</v>
      </c>
      <c r="MO222" s="859">
        <f ca="1">+ROUND(ML222*'Compra -HOJA1'!$J$395,0)</f>
        <v>0</v>
      </c>
      <c r="MP222" s="859">
        <f ca="1">+ROUND(MM222*'Compra -HOJA1'!$K$395,0)</f>
        <v>0</v>
      </c>
      <c r="MQ222" s="860">
        <f t="shared" ca="1" si="88"/>
        <v>0</v>
      </c>
      <c r="MR222" s="860">
        <f t="shared" ca="1" si="89"/>
        <v>0</v>
      </c>
      <c r="MS222" s="860">
        <f t="shared" ca="1" si="90"/>
        <v>0</v>
      </c>
      <c r="MT222" s="1969">
        <f t="shared" ca="1" si="91"/>
        <v>0</v>
      </c>
    </row>
    <row r="223" spans="1:358" ht="54" customHeight="1" x14ac:dyDescent="0.4">
      <c r="A223" s="4034"/>
      <c r="B223" s="4883"/>
      <c r="C223" s="4872"/>
      <c r="D223" s="4872"/>
      <c r="E223" s="3428" t="s">
        <v>635</v>
      </c>
      <c r="F223" s="3438">
        <f>+G223*150</f>
        <v>0</v>
      </c>
      <c r="G223" s="3438">
        <f>+G221</f>
        <v>0</v>
      </c>
      <c r="H223" s="3564"/>
      <c r="I223" s="1968">
        <f>IF(F223=0,0,ROUND($F223*COEF!$J$27,0))</f>
        <v>0</v>
      </c>
      <c r="J223" s="858">
        <f>IF(F223=0,0,ROUND($F223*COEF!$K$27,0))</f>
        <v>0</v>
      </c>
      <c r="K223" s="858">
        <f>IF(F223=0,0,ROUND($F223*COEF!$L$27,0))</f>
        <v>0</v>
      </c>
      <c r="L223" s="859">
        <f ca="1">+ROUND(I223*'Compra -HOJA1'!I$395,0)</f>
        <v>0</v>
      </c>
      <c r="M223" s="859">
        <f ca="1">+ROUND(J223*'Compra -HOJA1'!J$395,0)</f>
        <v>0</v>
      </c>
      <c r="N223" s="859">
        <f ca="1">+ROUND(K223*'Compra -HOJA1'!K$395,0)</f>
        <v>0</v>
      </c>
      <c r="O223" s="860">
        <f t="shared" ca="1" si="74"/>
        <v>0</v>
      </c>
      <c r="P223" s="860">
        <f t="shared" ca="1" si="74"/>
        <v>0</v>
      </c>
      <c r="Q223" s="860">
        <f t="shared" ca="1" si="74"/>
        <v>0</v>
      </c>
      <c r="R223" s="1969">
        <f t="shared" ca="1" si="75"/>
        <v>0</v>
      </c>
      <c r="S223" s="866"/>
      <c r="T223" s="856">
        <f t="shared" ca="1" si="76"/>
        <v>0</v>
      </c>
      <c r="U223" s="711">
        <f t="shared" ca="1" si="104"/>
        <v>0</v>
      </c>
      <c r="V223" s="711">
        <f t="shared" ca="1" si="104"/>
        <v>0</v>
      </c>
      <c r="W223" s="711">
        <f t="shared" ca="1" si="104"/>
        <v>0</v>
      </c>
      <c r="X223" s="10"/>
      <c r="Y223" s="10"/>
      <c r="Z223" s="10"/>
      <c r="AA223" s="675"/>
      <c r="AB223" s="10"/>
      <c r="AC223" s="871"/>
      <c r="AD223" s="874"/>
      <c r="MK223" s="3454">
        <f t="shared" si="85"/>
        <v>0</v>
      </c>
      <c r="ML223" s="3453">
        <f t="shared" si="86"/>
        <v>0</v>
      </c>
      <c r="MM223" s="3453">
        <f t="shared" si="87"/>
        <v>0</v>
      </c>
      <c r="MN223" s="859">
        <f ca="1">+ROUND(MK223*'Compra -HOJA1'!$I$395,0)</f>
        <v>0</v>
      </c>
      <c r="MO223" s="859">
        <f ca="1">+ROUND(ML223*'Compra -HOJA1'!$J$395,0)</f>
        <v>0</v>
      </c>
      <c r="MP223" s="859">
        <f ca="1">+ROUND(MM223*'Compra -HOJA1'!$K$395,0)</f>
        <v>0</v>
      </c>
      <c r="MQ223" s="860">
        <f t="shared" ca="1" si="88"/>
        <v>0</v>
      </c>
      <c r="MR223" s="860">
        <f t="shared" ca="1" si="89"/>
        <v>0</v>
      </c>
      <c r="MS223" s="860">
        <f t="shared" ca="1" si="90"/>
        <v>0</v>
      </c>
      <c r="MT223" s="1969">
        <f t="shared" ca="1" si="91"/>
        <v>0</v>
      </c>
    </row>
    <row r="224" spans="1:358" ht="54" customHeight="1" thickBot="1" x14ac:dyDescent="0.45">
      <c r="A224" s="4034"/>
      <c r="B224" s="4883"/>
      <c r="C224" s="4872"/>
      <c r="D224" s="4872"/>
      <c r="E224" s="3428" t="s">
        <v>636</v>
      </c>
      <c r="F224" s="3562">
        <f>+(F74+F75)-(300*(G74+G75))</f>
        <v>0</v>
      </c>
      <c r="G224" s="3438">
        <f>+G221</f>
        <v>0</v>
      </c>
      <c r="H224" s="3564"/>
      <c r="I224" s="1968">
        <f>IF(F224=0,0,ROUND($F224*COEF!$J$27,0))</f>
        <v>0</v>
      </c>
      <c r="J224" s="858">
        <f>IF(F224=0,0,ROUND($F224*COEF!$K$27,0))</f>
        <v>0</v>
      </c>
      <c r="K224" s="858">
        <f>IF(F224=0,0,ROUND($F224*COEF!$L$27,0))</f>
        <v>0</v>
      </c>
      <c r="L224" s="859">
        <f ca="1">+ROUND(I224*'Compra -HOJA1'!I$395,0)</f>
        <v>0</v>
      </c>
      <c r="M224" s="859">
        <f ca="1">+ROUND(J224*'Compra -HOJA1'!J$395,0)</f>
        <v>0</v>
      </c>
      <c r="N224" s="859">
        <f ca="1">+ROUND(K224*'Compra -HOJA1'!K$395,0)</f>
        <v>0</v>
      </c>
      <c r="O224" s="860">
        <f t="shared" ca="1" si="74"/>
        <v>0</v>
      </c>
      <c r="P224" s="860">
        <f t="shared" ca="1" si="74"/>
        <v>0</v>
      </c>
      <c r="Q224" s="860">
        <f t="shared" ca="1" si="74"/>
        <v>0</v>
      </c>
      <c r="R224" s="1969">
        <f t="shared" ca="1" si="75"/>
        <v>0</v>
      </c>
      <c r="S224" s="866"/>
      <c r="T224" s="856">
        <f t="shared" ca="1" si="76"/>
        <v>0</v>
      </c>
      <c r="U224" s="711">
        <f t="shared" ca="1" si="104"/>
        <v>0</v>
      </c>
      <c r="V224" s="711">
        <f t="shared" ca="1" si="104"/>
        <v>0</v>
      </c>
      <c r="W224" s="711">
        <f t="shared" ca="1" si="104"/>
        <v>0</v>
      </c>
      <c r="X224" s="10"/>
      <c r="Y224" s="10"/>
      <c r="Z224" s="10"/>
      <c r="AA224" s="675"/>
      <c r="AB224" s="10"/>
      <c r="AC224" s="878"/>
      <c r="AD224" s="879"/>
      <c r="MK224" s="3454">
        <f t="shared" si="85"/>
        <v>0</v>
      </c>
      <c r="ML224" s="3453">
        <f t="shared" si="86"/>
        <v>0</v>
      </c>
      <c r="MM224" s="3453">
        <f t="shared" si="87"/>
        <v>0</v>
      </c>
      <c r="MN224" s="859">
        <f ca="1">+ROUND(MK224*'Compra -HOJA1'!$I$395,0)</f>
        <v>0</v>
      </c>
      <c r="MO224" s="859">
        <f ca="1">+ROUND(ML224*'Compra -HOJA1'!$J$395,0)</f>
        <v>0</v>
      </c>
      <c r="MP224" s="859">
        <f ca="1">+ROUND(MM224*'Compra -HOJA1'!$K$395,0)</f>
        <v>0</v>
      </c>
      <c r="MQ224" s="860">
        <f t="shared" ca="1" si="88"/>
        <v>0</v>
      </c>
      <c r="MR224" s="860">
        <f t="shared" ca="1" si="89"/>
        <v>0</v>
      </c>
      <c r="MS224" s="860">
        <f t="shared" ca="1" si="90"/>
        <v>0</v>
      </c>
      <c r="MT224" s="1969">
        <f t="shared" ca="1" si="91"/>
        <v>0</v>
      </c>
    </row>
    <row r="225" spans="1:358" ht="54" customHeight="1" x14ac:dyDescent="0.4">
      <c r="A225" s="4034"/>
      <c r="B225" s="4883"/>
      <c r="C225" s="4872"/>
      <c r="D225" s="4872"/>
      <c r="E225" s="3424" t="s">
        <v>169</v>
      </c>
      <c r="F225" s="3438">
        <f>120*G225</f>
        <v>0</v>
      </c>
      <c r="G225" s="3562">
        <f>+G76+G77</f>
        <v>0</v>
      </c>
      <c r="H225" s="3564"/>
      <c r="I225" s="1968">
        <f>IF(F225=0,0,ROUND($F225*COEF!$J$27,0))</f>
        <v>0</v>
      </c>
      <c r="J225" s="858">
        <f>IF(F225=0,0,ROUND($F225*COEF!$K$27,0))</f>
        <v>0</v>
      </c>
      <c r="K225" s="858">
        <f>IF(F225=0,0,ROUND($F225*COEF!$L$27,0))</f>
        <v>0</v>
      </c>
      <c r="L225" s="859">
        <f ca="1">+ROUND(I225*'Compra -HOJA1'!I$395,0)</f>
        <v>0</v>
      </c>
      <c r="M225" s="859">
        <f ca="1">+ROUND(J225*'Compra -HOJA1'!J$395,0)</f>
        <v>0</v>
      </c>
      <c r="N225" s="859">
        <f ca="1">+ROUND(K225*'Compra -HOJA1'!K$395,0)</f>
        <v>0</v>
      </c>
      <c r="O225" s="860">
        <f t="shared" ca="1" si="74"/>
        <v>0</v>
      </c>
      <c r="P225" s="860">
        <f t="shared" ca="1" si="74"/>
        <v>0</v>
      </c>
      <c r="Q225" s="860">
        <f t="shared" ca="1" si="74"/>
        <v>0</v>
      </c>
      <c r="R225" s="1969">
        <f t="shared" ca="1" si="75"/>
        <v>0</v>
      </c>
      <c r="S225" s="866"/>
      <c r="T225" s="856">
        <f t="shared" ca="1" si="76"/>
        <v>0</v>
      </c>
      <c r="U225" s="711">
        <f t="shared" ca="1" si="104"/>
        <v>0</v>
      </c>
      <c r="V225" s="711">
        <f t="shared" ca="1" si="104"/>
        <v>0</v>
      </c>
      <c r="W225" s="711">
        <f t="shared" ca="1" si="104"/>
        <v>0</v>
      </c>
      <c r="X225" s="10"/>
      <c r="Y225" s="10"/>
      <c r="Z225" s="10"/>
      <c r="AA225" s="675"/>
      <c r="AB225" s="10"/>
      <c r="AC225" s="880"/>
      <c r="AD225" s="881"/>
      <c r="MK225" s="3454">
        <f t="shared" si="85"/>
        <v>0</v>
      </c>
      <c r="ML225" s="3453">
        <f t="shared" si="86"/>
        <v>0</v>
      </c>
      <c r="MM225" s="3453">
        <f t="shared" si="87"/>
        <v>0</v>
      </c>
      <c r="MN225" s="859">
        <f ca="1">+ROUND(MK225*'Compra -HOJA1'!$I$395,0)</f>
        <v>0</v>
      </c>
      <c r="MO225" s="859">
        <f ca="1">+ROUND(ML225*'Compra -HOJA1'!$J$395,0)</f>
        <v>0</v>
      </c>
      <c r="MP225" s="859">
        <f ca="1">+ROUND(MM225*'Compra -HOJA1'!$K$395,0)</f>
        <v>0</v>
      </c>
      <c r="MQ225" s="860">
        <f t="shared" ca="1" si="88"/>
        <v>0</v>
      </c>
      <c r="MR225" s="860">
        <f t="shared" ca="1" si="89"/>
        <v>0</v>
      </c>
      <c r="MS225" s="860">
        <f t="shared" ca="1" si="90"/>
        <v>0</v>
      </c>
      <c r="MT225" s="1969">
        <f t="shared" ca="1" si="91"/>
        <v>0</v>
      </c>
    </row>
    <row r="226" spans="1:358" ht="54" customHeight="1" x14ac:dyDescent="0.4">
      <c r="A226" s="4034"/>
      <c r="B226" s="4883"/>
      <c r="C226" s="4872"/>
      <c r="D226" s="4872"/>
      <c r="E226" s="3424" t="s">
        <v>49</v>
      </c>
      <c r="F226" s="3438">
        <f>+G226*30</f>
        <v>0</v>
      </c>
      <c r="G226" s="3438">
        <f>+G225</f>
        <v>0</v>
      </c>
      <c r="H226" s="3564"/>
      <c r="I226" s="1968">
        <f>IF(F226=0,0,ROUND($F226*COEF!$J$27,0))</f>
        <v>0</v>
      </c>
      <c r="J226" s="858">
        <f>IF(F226=0,0,ROUND($F226*COEF!$K$27,0))</f>
        <v>0</v>
      </c>
      <c r="K226" s="858">
        <f>IF(F226=0,0,ROUND($F226*COEF!$L$27,0))</f>
        <v>0</v>
      </c>
      <c r="L226" s="859">
        <f ca="1">+ROUND(I226*'Compra -HOJA1'!I$395,0)</f>
        <v>0</v>
      </c>
      <c r="M226" s="859">
        <f ca="1">+ROUND(J226*'Compra -HOJA1'!J$395,0)</f>
        <v>0</v>
      </c>
      <c r="N226" s="859">
        <f ca="1">+ROUND(K226*'Compra -HOJA1'!K$395,0)</f>
        <v>0</v>
      </c>
      <c r="O226" s="860">
        <f t="shared" ca="1" si="74"/>
        <v>0</v>
      </c>
      <c r="P226" s="860">
        <f t="shared" ca="1" si="74"/>
        <v>0</v>
      </c>
      <c r="Q226" s="860">
        <f t="shared" ca="1" si="74"/>
        <v>0</v>
      </c>
      <c r="R226" s="1969">
        <f t="shared" ca="1" si="75"/>
        <v>0</v>
      </c>
      <c r="S226" s="866"/>
      <c r="T226" s="856">
        <f t="shared" ca="1" si="76"/>
        <v>0</v>
      </c>
      <c r="U226" s="711">
        <f t="shared" ca="1" si="104"/>
        <v>0</v>
      </c>
      <c r="V226" s="711">
        <f t="shared" ca="1" si="104"/>
        <v>0</v>
      </c>
      <c r="W226" s="711">
        <f t="shared" ca="1" si="104"/>
        <v>0</v>
      </c>
      <c r="X226" s="10"/>
      <c r="Y226" s="10"/>
      <c r="Z226" s="10"/>
      <c r="AA226" s="675"/>
      <c r="AB226" s="10"/>
      <c r="AC226" s="880"/>
      <c r="AD226" s="881"/>
      <c r="MK226" s="3454">
        <f t="shared" si="85"/>
        <v>0</v>
      </c>
      <c r="ML226" s="3453">
        <f t="shared" si="86"/>
        <v>0</v>
      </c>
      <c r="MM226" s="3453">
        <f t="shared" si="87"/>
        <v>0</v>
      </c>
      <c r="MN226" s="859">
        <f ca="1">+ROUND(MK226*'Compra -HOJA1'!$I$395,0)</f>
        <v>0</v>
      </c>
      <c r="MO226" s="859">
        <f ca="1">+ROUND(ML226*'Compra -HOJA1'!$J$395,0)</f>
        <v>0</v>
      </c>
      <c r="MP226" s="859">
        <f ca="1">+ROUND(MM226*'Compra -HOJA1'!$K$395,0)</f>
        <v>0</v>
      </c>
      <c r="MQ226" s="860">
        <f t="shared" ca="1" si="88"/>
        <v>0</v>
      </c>
      <c r="MR226" s="860">
        <f t="shared" ca="1" si="89"/>
        <v>0</v>
      </c>
      <c r="MS226" s="860">
        <f t="shared" ca="1" si="90"/>
        <v>0</v>
      </c>
      <c r="MT226" s="1969">
        <f t="shared" ca="1" si="91"/>
        <v>0</v>
      </c>
    </row>
    <row r="227" spans="1:358" ht="54" customHeight="1" x14ac:dyDescent="0.4">
      <c r="A227" s="4034"/>
      <c r="B227" s="4883"/>
      <c r="C227" s="4872"/>
      <c r="D227" s="4872"/>
      <c r="E227" s="3429" t="s">
        <v>638</v>
      </c>
      <c r="F227" s="3438">
        <f>+G227*150</f>
        <v>0</v>
      </c>
      <c r="G227" s="3438">
        <f>+G225</f>
        <v>0</v>
      </c>
      <c r="H227" s="3564"/>
      <c r="I227" s="1968">
        <f>IF(F227=0,0,ROUND($F227*COEF!$J$27,0))</f>
        <v>0</v>
      </c>
      <c r="J227" s="858">
        <f>IF(F227=0,0,ROUND($F227*COEF!$K$27,0))</f>
        <v>0</v>
      </c>
      <c r="K227" s="858">
        <f>IF(F227=0,0,ROUND($F227*COEF!$L$27,0))</f>
        <v>0</v>
      </c>
      <c r="L227" s="859">
        <f ca="1">+ROUND(I227*'Compra -HOJA1'!I$395,0)</f>
        <v>0</v>
      </c>
      <c r="M227" s="859">
        <f ca="1">+ROUND(J227*'Compra -HOJA1'!J$395,0)</f>
        <v>0</v>
      </c>
      <c r="N227" s="859">
        <f ca="1">+ROUND(K227*'Compra -HOJA1'!K$395,0)</f>
        <v>0</v>
      </c>
      <c r="O227" s="860">
        <f t="shared" ca="1" si="74"/>
        <v>0</v>
      </c>
      <c r="P227" s="860">
        <f t="shared" ca="1" si="74"/>
        <v>0</v>
      </c>
      <c r="Q227" s="860">
        <f t="shared" ca="1" si="74"/>
        <v>0</v>
      </c>
      <c r="R227" s="1969">
        <f t="shared" ca="1" si="75"/>
        <v>0</v>
      </c>
      <c r="S227" s="866"/>
      <c r="T227" s="856">
        <f t="shared" ca="1" si="76"/>
        <v>0</v>
      </c>
      <c r="U227" s="711">
        <f t="shared" ca="1" si="104"/>
        <v>0</v>
      </c>
      <c r="V227" s="711">
        <f t="shared" ca="1" si="104"/>
        <v>0</v>
      </c>
      <c r="W227" s="711">
        <f t="shared" ca="1" si="104"/>
        <v>0</v>
      </c>
      <c r="X227" s="10"/>
      <c r="Y227" s="10"/>
      <c r="Z227" s="10"/>
      <c r="AA227" s="675"/>
      <c r="AB227" s="10"/>
      <c r="AC227" s="880"/>
      <c r="AD227" s="881"/>
      <c r="MK227" s="3454">
        <f t="shared" si="85"/>
        <v>0</v>
      </c>
      <c r="ML227" s="3453">
        <f t="shared" si="86"/>
        <v>0</v>
      </c>
      <c r="MM227" s="3453">
        <f t="shared" si="87"/>
        <v>0</v>
      </c>
      <c r="MN227" s="859">
        <f ca="1">+ROUND(MK227*'Compra -HOJA1'!$I$395,0)</f>
        <v>0</v>
      </c>
      <c r="MO227" s="859">
        <f ca="1">+ROUND(ML227*'Compra -HOJA1'!$J$395,0)</f>
        <v>0</v>
      </c>
      <c r="MP227" s="859">
        <f ca="1">+ROUND(MM227*'Compra -HOJA1'!$K$395,0)</f>
        <v>0</v>
      </c>
      <c r="MQ227" s="860">
        <f t="shared" ca="1" si="88"/>
        <v>0</v>
      </c>
      <c r="MR227" s="860">
        <f t="shared" ca="1" si="89"/>
        <v>0</v>
      </c>
      <c r="MS227" s="860">
        <f t="shared" ca="1" si="90"/>
        <v>0</v>
      </c>
      <c r="MT227" s="1969">
        <f t="shared" ca="1" si="91"/>
        <v>0</v>
      </c>
    </row>
    <row r="228" spans="1:358" ht="54" customHeight="1" thickBot="1" x14ac:dyDescent="0.45">
      <c r="A228" s="4034"/>
      <c r="B228" s="4883"/>
      <c r="C228" s="4872"/>
      <c r="D228" s="4872"/>
      <c r="E228" s="3430" t="s">
        <v>639</v>
      </c>
      <c r="F228" s="3562">
        <f>+(+F77+F76)-(300*(G76+G77))</f>
        <v>0</v>
      </c>
      <c r="G228" s="3438">
        <f>+G225</f>
        <v>0</v>
      </c>
      <c r="H228" s="3564">
        <f>SUM(F221:F228)</f>
        <v>0</v>
      </c>
      <c r="I228" s="1968">
        <f>IF(F228=0,0,ROUND($F228*COEF!$J$27,0))</f>
        <v>0</v>
      </c>
      <c r="J228" s="858">
        <f>IF(F228=0,0,ROUND($F228*COEF!$K$27,0))</f>
        <v>0</v>
      </c>
      <c r="K228" s="858">
        <f>IF(F228=0,0,ROUND($F228*COEF!$L$27,0))</f>
        <v>0</v>
      </c>
      <c r="L228" s="859">
        <f ca="1">+ROUND(I228*'Compra -HOJA1'!I$395,0)</f>
        <v>0</v>
      </c>
      <c r="M228" s="859">
        <f ca="1">+ROUND(J228*'Compra -HOJA1'!J$395,0)</f>
        <v>0</v>
      </c>
      <c r="N228" s="859">
        <f ca="1">+ROUND(K228*'Compra -HOJA1'!K$395,0)</f>
        <v>0</v>
      </c>
      <c r="O228" s="860">
        <f t="shared" ca="1" si="74"/>
        <v>0</v>
      </c>
      <c r="P228" s="860">
        <f t="shared" ca="1" si="74"/>
        <v>0</v>
      </c>
      <c r="Q228" s="860">
        <f t="shared" ca="1" si="74"/>
        <v>0</v>
      </c>
      <c r="R228" s="1969">
        <f t="shared" ca="1" si="75"/>
        <v>0</v>
      </c>
      <c r="S228" s="866"/>
      <c r="T228" s="856">
        <f t="shared" ca="1" si="76"/>
        <v>0</v>
      </c>
      <c r="U228" s="711">
        <f t="shared" ca="1" si="104"/>
        <v>0</v>
      </c>
      <c r="V228" s="711">
        <f t="shared" ca="1" si="104"/>
        <v>0</v>
      </c>
      <c r="W228" s="711">
        <f t="shared" ca="1" si="104"/>
        <v>0</v>
      </c>
      <c r="X228" s="10"/>
      <c r="Y228" s="10"/>
      <c r="Z228" s="10"/>
      <c r="AA228" s="675"/>
      <c r="AB228" s="10"/>
      <c r="AC228" s="880"/>
      <c r="AD228" s="881"/>
      <c r="MK228" s="3454">
        <f t="shared" si="85"/>
        <v>0</v>
      </c>
      <c r="ML228" s="3453">
        <f t="shared" si="86"/>
        <v>0</v>
      </c>
      <c r="MM228" s="3453">
        <f t="shared" si="87"/>
        <v>0</v>
      </c>
      <c r="MN228" s="859">
        <f ca="1">+ROUND(MK228*'Compra -HOJA1'!$I$395,0)</f>
        <v>0</v>
      </c>
      <c r="MO228" s="859">
        <f ca="1">+ROUND(ML228*'Compra -HOJA1'!$J$395,0)</f>
        <v>0</v>
      </c>
      <c r="MP228" s="859">
        <f ca="1">+ROUND(MM228*'Compra -HOJA1'!$K$395,0)</f>
        <v>0</v>
      </c>
      <c r="MQ228" s="860">
        <f t="shared" ca="1" si="88"/>
        <v>0</v>
      </c>
      <c r="MR228" s="860">
        <f t="shared" ca="1" si="89"/>
        <v>0</v>
      </c>
      <c r="MS228" s="860">
        <f t="shared" ca="1" si="90"/>
        <v>0</v>
      </c>
      <c r="MT228" s="1969">
        <f t="shared" ca="1" si="91"/>
        <v>0</v>
      </c>
    </row>
    <row r="229" spans="1:358" ht="54" customHeight="1" x14ac:dyDescent="0.4">
      <c r="A229" s="4034"/>
      <c r="B229" s="4883"/>
      <c r="C229" s="4880" t="s">
        <v>828</v>
      </c>
      <c r="D229" s="4880"/>
      <c r="E229" s="3431" t="s">
        <v>46</v>
      </c>
      <c r="F229" s="3439">
        <f>120*G229</f>
        <v>0</v>
      </c>
      <c r="G229" s="3439">
        <f>+G78</f>
        <v>0</v>
      </c>
      <c r="H229" s="3566">
        <f>+H228-K77</f>
        <v>0</v>
      </c>
      <c r="I229" s="1968">
        <f>IF(F229=0,0,ROUND($F229*COEF!$J$27,0))</f>
        <v>0</v>
      </c>
      <c r="J229" s="858">
        <f>IF(F229=0,0,ROUND($F229*COEF!$K$27,0))</f>
        <v>0</v>
      </c>
      <c r="K229" s="858">
        <f>IF(F229=0,0,ROUND($F229*COEF!$L$27,0))</f>
        <v>0</v>
      </c>
      <c r="L229" s="859">
        <f ca="1">+ROUND(I229*'Compra -HOJA1'!I$395,0)</f>
        <v>0</v>
      </c>
      <c r="M229" s="859">
        <f ca="1">+ROUND(J229*'Compra -HOJA1'!J$395,0)</f>
        <v>0</v>
      </c>
      <c r="N229" s="859">
        <f ca="1">+ROUND(K229*'Compra -HOJA1'!K$395,0)</f>
        <v>0</v>
      </c>
      <c r="O229" s="860">
        <f t="shared" ref="O229:O244" ca="1" si="109">I229+L229</f>
        <v>0</v>
      </c>
      <c r="P229" s="860">
        <f t="shared" ref="P229:P244" ca="1" si="110">J229+M229</f>
        <v>0</v>
      </c>
      <c r="Q229" s="860">
        <f t="shared" ref="Q229:Q244" ca="1" si="111">K229+N229</f>
        <v>0</v>
      </c>
      <c r="R229" s="1969">
        <f t="shared" ref="R229:R244" ca="1" si="112">SUM(O229:Q229)</f>
        <v>0</v>
      </c>
      <c r="S229" s="866"/>
      <c r="T229" s="856"/>
      <c r="U229" s="711"/>
      <c r="V229" s="711"/>
      <c r="W229" s="711"/>
      <c r="X229" s="10"/>
      <c r="Y229" s="10"/>
      <c r="Z229" s="10"/>
      <c r="AA229" s="675"/>
      <c r="AB229" s="10"/>
      <c r="AC229" s="880"/>
      <c r="AD229" s="881"/>
      <c r="MK229" s="3454">
        <f t="shared" si="85"/>
        <v>0</v>
      </c>
      <c r="ML229" s="3453">
        <f t="shared" si="86"/>
        <v>0</v>
      </c>
      <c r="MM229" s="3453">
        <f t="shared" si="87"/>
        <v>0</v>
      </c>
      <c r="MN229" s="859">
        <f ca="1">+ROUND(MK229*'Compra -HOJA1'!$I$395,0)</f>
        <v>0</v>
      </c>
      <c r="MO229" s="859">
        <f ca="1">+ROUND(ML229*'Compra -HOJA1'!$J$395,0)</f>
        <v>0</v>
      </c>
      <c r="MP229" s="859">
        <f ca="1">+ROUND(MM229*'Compra -HOJA1'!$K$395,0)</f>
        <v>0</v>
      </c>
      <c r="MQ229" s="860">
        <f t="shared" ca="1" si="88"/>
        <v>0</v>
      </c>
      <c r="MR229" s="860">
        <f t="shared" ca="1" si="89"/>
        <v>0</v>
      </c>
      <c r="MS229" s="860">
        <f t="shared" ca="1" si="90"/>
        <v>0</v>
      </c>
      <c r="MT229" s="1969">
        <f t="shared" ca="1" si="91"/>
        <v>0</v>
      </c>
    </row>
    <row r="230" spans="1:358" ht="54" customHeight="1" x14ac:dyDescent="0.4">
      <c r="A230" s="4034"/>
      <c r="B230" s="4883"/>
      <c r="C230" s="4872"/>
      <c r="D230" s="4872"/>
      <c r="E230" s="3427" t="s">
        <v>47</v>
      </c>
      <c r="F230" s="3439">
        <f>+G230*30</f>
        <v>0</v>
      </c>
      <c r="G230" s="3439">
        <f>+G229</f>
        <v>0</v>
      </c>
      <c r="H230" s="3420"/>
      <c r="I230" s="1968">
        <f>IF(F230=0,0,ROUND($F230*COEF!$J$27,0))</f>
        <v>0</v>
      </c>
      <c r="J230" s="858">
        <f>IF(F230=0,0,ROUND($F230*COEF!$K$27,0))</f>
        <v>0</v>
      </c>
      <c r="K230" s="858">
        <f>IF(F230=0,0,ROUND($F230*COEF!$L$27,0))</f>
        <v>0</v>
      </c>
      <c r="L230" s="859">
        <f ca="1">+ROUND(I230*'Compra -HOJA1'!I$395,0)</f>
        <v>0</v>
      </c>
      <c r="M230" s="859">
        <f ca="1">+ROUND(J230*'Compra -HOJA1'!J$395,0)</f>
        <v>0</v>
      </c>
      <c r="N230" s="859">
        <f ca="1">+ROUND(K230*'Compra -HOJA1'!K$395,0)</f>
        <v>0</v>
      </c>
      <c r="O230" s="860">
        <f t="shared" ca="1" si="109"/>
        <v>0</v>
      </c>
      <c r="P230" s="860">
        <f t="shared" ca="1" si="110"/>
        <v>0</v>
      </c>
      <c r="Q230" s="860">
        <f t="shared" ca="1" si="111"/>
        <v>0</v>
      </c>
      <c r="R230" s="1969">
        <f t="shared" ca="1" si="112"/>
        <v>0</v>
      </c>
      <c r="S230" s="866"/>
      <c r="T230" s="856"/>
      <c r="U230" s="711"/>
      <c r="V230" s="711"/>
      <c r="W230" s="711"/>
      <c r="X230" s="10"/>
      <c r="Y230" s="10"/>
      <c r="Z230" s="10"/>
      <c r="AA230" s="675"/>
      <c r="AB230" s="10"/>
      <c r="AC230" s="880"/>
      <c r="AD230" s="881"/>
      <c r="MK230" s="3454">
        <f t="shared" si="85"/>
        <v>0</v>
      </c>
      <c r="ML230" s="3453">
        <f t="shared" si="86"/>
        <v>0</v>
      </c>
      <c r="MM230" s="3453">
        <f t="shared" si="87"/>
        <v>0</v>
      </c>
      <c r="MN230" s="859">
        <f ca="1">+ROUND(MK230*'Compra -HOJA1'!$I$395,0)</f>
        <v>0</v>
      </c>
      <c r="MO230" s="859">
        <f ca="1">+ROUND(ML230*'Compra -HOJA1'!$J$395,0)</f>
        <v>0</v>
      </c>
      <c r="MP230" s="859">
        <f ca="1">+ROUND(MM230*'Compra -HOJA1'!$K$395,0)</f>
        <v>0</v>
      </c>
      <c r="MQ230" s="860">
        <f t="shared" ca="1" si="88"/>
        <v>0</v>
      </c>
      <c r="MR230" s="860">
        <f t="shared" ca="1" si="89"/>
        <v>0</v>
      </c>
      <c r="MS230" s="860">
        <f t="shared" ca="1" si="90"/>
        <v>0</v>
      </c>
      <c r="MT230" s="1969">
        <f t="shared" ca="1" si="91"/>
        <v>0</v>
      </c>
    </row>
    <row r="231" spans="1:358" ht="54" customHeight="1" x14ac:dyDescent="0.4">
      <c r="A231" s="4034"/>
      <c r="B231" s="4883"/>
      <c r="C231" s="4872"/>
      <c r="D231" s="4872"/>
      <c r="E231" s="3428" t="s">
        <v>635</v>
      </c>
      <c r="F231" s="3439">
        <f>+G231*150</f>
        <v>0</v>
      </c>
      <c r="G231" s="3439">
        <f>+G229</f>
        <v>0</v>
      </c>
      <c r="H231" s="3420"/>
      <c r="I231" s="1968">
        <f>IF(F231=0,0,ROUND($F231*COEF!$J$27,0))</f>
        <v>0</v>
      </c>
      <c r="J231" s="858">
        <f>IF(F231=0,0,ROUND($F231*COEF!$K$27,0))</f>
        <v>0</v>
      </c>
      <c r="K231" s="858">
        <f>IF(F231=0,0,ROUND($F231*COEF!$L$27,0))</f>
        <v>0</v>
      </c>
      <c r="L231" s="859">
        <f ca="1">+ROUND(I231*'Compra -HOJA1'!I$395,0)</f>
        <v>0</v>
      </c>
      <c r="M231" s="859">
        <f ca="1">+ROUND(J231*'Compra -HOJA1'!J$395,0)</f>
        <v>0</v>
      </c>
      <c r="N231" s="859">
        <f ca="1">+ROUND(K231*'Compra -HOJA1'!K$395,0)</f>
        <v>0</v>
      </c>
      <c r="O231" s="860">
        <f t="shared" ca="1" si="109"/>
        <v>0</v>
      </c>
      <c r="P231" s="860">
        <f t="shared" ca="1" si="110"/>
        <v>0</v>
      </c>
      <c r="Q231" s="860">
        <f t="shared" ca="1" si="111"/>
        <v>0</v>
      </c>
      <c r="R231" s="1969">
        <f t="shared" ca="1" si="112"/>
        <v>0</v>
      </c>
      <c r="S231" s="866"/>
      <c r="T231" s="856"/>
      <c r="U231" s="711"/>
      <c r="V231" s="711"/>
      <c r="W231" s="711"/>
      <c r="X231" s="10"/>
      <c r="Y231" s="10"/>
      <c r="Z231" s="10"/>
      <c r="AA231" s="675"/>
      <c r="AB231" s="10"/>
      <c r="AC231" s="880"/>
      <c r="AD231" s="881"/>
      <c r="MK231" s="3454">
        <f t="shared" si="85"/>
        <v>0</v>
      </c>
      <c r="ML231" s="3453">
        <f t="shared" si="86"/>
        <v>0</v>
      </c>
      <c r="MM231" s="3453">
        <f t="shared" si="87"/>
        <v>0</v>
      </c>
      <c r="MN231" s="859">
        <f ca="1">+ROUND(MK231*'Compra -HOJA1'!$I$395,0)</f>
        <v>0</v>
      </c>
      <c r="MO231" s="859">
        <f ca="1">+ROUND(ML231*'Compra -HOJA1'!$J$395,0)</f>
        <v>0</v>
      </c>
      <c r="MP231" s="859">
        <f ca="1">+ROUND(MM231*'Compra -HOJA1'!$K$395,0)</f>
        <v>0</v>
      </c>
      <c r="MQ231" s="860">
        <f t="shared" ca="1" si="88"/>
        <v>0</v>
      </c>
      <c r="MR231" s="860">
        <f t="shared" ca="1" si="89"/>
        <v>0</v>
      </c>
      <c r="MS231" s="860">
        <f t="shared" ca="1" si="90"/>
        <v>0</v>
      </c>
      <c r="MT231" s="1969">
        <f t="shared" ca="1" si="91"/>
        <v>0</v>
      </c>
    </row>
    <row r="232" spans="1:358" ht="54" customHeight="1" x14ac:dyDescent="0.4">
      <c r="A232" s="4034"/>
      <c r="B232" s="4883"/>
      <c r="C232" s="4872"/>
      <c r="D232" s="4872"/>
      <c r="E232" s="3428" t="s">
        <v>636</v>
      </c>
      <c r="F232" s="3439">
        <f>+F78-(300*G78)</f>
        <v>0</v>
      </c>
      <c r="G232" s="3439">
        <f>+G229</f>
        <v>0</v>
      </c>
      <c r="H232" s="3420"/>
      <c r="I232" s="1968">
        <f>IF(F232=0,0,ROUND($F232*COEF!$J$27,0))</f>
        <v>0</v>
      </c>
      <c r="J232" s="858">
        <f>IF(F232=0,0,ROUND($F232*COEF!$K$27,0))</f>
        <v>0</v>
      </c>
      <c r="K232" s="858">
        <f>IF(F232=0,0,ROUND($F232*COEF!$L$27,0))</f>
        <v>0</v>
      </c>
      <c r="L232" s="859">
        <f ca="1">+ROUND(I232*'Compra -HOJA1'!I$395,0)</f>
        <v>0</v>
      </c>
      <c r="M232" s="859">
        <f ca="1">+ROUND(J232*'Compra -HOJA1'!J$395,0)</f>
        <v>0</v>
      </c>
      <c r="N232" s="859">
        <f ca="1">+ROUND(K232*'Compra -HOJA1'!K$395,0)</f>
        <v>0</v>
      </c>
      <c r="O232" s="860">
        <f t="shared" ca="1" si="109"/>
        <v>0</v>
      </c>
      <c r="P232" s="860">
        <f t="shared" ca="1" si="110"/>
        <v>0</v>
      </c>
      <c r="Q232" s="860">
        <f t="shared" ca="1" si="111"/>
        <v>0</v>
      </c>
      <c r="R232" s="1969">
        <f t="shared" ca="1" si="112"/>
        <v>0</v>
      </c>
      <c r="S232" s="866"/>
      <c r="T232" s="856"/>
      <c r="U232" s="711"/>
      <c r="V232" s="711"/>
      <c r="W232" s="711"/>
      <c r="X232" s="10"/>
      <c r="Y232" s="10"/>
      <c r="Z232" s="10"/>
      <c r="AA232" s="675"/>
      <c r="AB232" s="10"/>
      <c r="AC232" s="880"/>
      <c r="AD232" s="881"/>
      <c r="MK232" s="3454">
        <f t="shared" si="85"/>
        <v>0</v>
      </c>
      <c r="ML232" s="3453">
        <f t="shared" si="86"/>
        <v>0</v>
      </c>
      <c r="MM232" s="3453">
        <f t="shared" si="87"/>
        <v>0</v>
      </c>
      <c r="MN232" s="859">
        <f ca="1">+ROUND(MK232*'Compra -HOJA1'!$I$395,0)</f>
        <v>0</v>
      </c>
      <c r="MO232" s="859">
        <f ca="1">+ROUND(ML232*'Compra -HOJA1'!$J$395,0)</f>
        <v>0</v>
      </c>
      <c r="MP232" s="859">
        <f ca="1">+ROUND(MM232*'Compra -HOJA1'!$K$395,0)</f>
        <v>0</v>
      </c>
      <c r="MQ232" s="860">
        <f t="shared" ca="1" si="88"/>
        <v>0</v>
      </c>
      <c r="MR232" s="860">
        <f t="shared" ca="1" si="89"/>
        <v>0</v>
      </c>
      <c r="MS232" s="860">
        <f t="shared" ca="1" si="90"/>
        <v>0</v>
      </c>
      <c r="MT232" s="1969">
        <f t="shared" ca="1" si="91"/>
        <v>0</v>
      </c>
    </row>
    <row r="233" spans="1:358" ht="54" customHeight="1" x14ac:dyDescent="0.4">
      <c r="A233" s="4034"/>
      <c r="B233" s="4883"/>
      <c r="C233" s="4872"/>
      <c r="D233" s="4872"/>
      <c r="E233" s="3424" t="s">
        <v>169</v>
      </c>
      <c r="F233" s="3440">
        <f>120*G233</f>
        <v>0</v>
      </c>
      <c r="G233" s="3440">
        <f>+G79</f>
        <v>0</v>
      </c>
      <c r="H233" s="3420"/>
      <c r="I233" s="1968">
        <f>IF(F233=0,0,ROUND($F233*COEF!$J$27,0))</f>
        <v>0</v>
      </c>
      <c r="J233" s="858">
        <f>IF(F233=0,0,ROUND($F233*COEF!$K$27,0))</f>
        <v>0</v>
      </c>
      <c r="K233" s="858">
        <f>IF(F233=0,0,ROUND($F233*COEF!$L$27,0))</f>
        <v>0</v>
      </c>
      <c r="L233" s="859">
        <f ca="1">+ROUND(I233*'Compra -HOJA1'!I$395,0)</f>
        <v>0</v>
      </c>
      <c r="M233" s="859">
        <f ca="1">+ROUND(J233*'Compra -HOJA1'!J$395,0)</f>
        <v>0</v>
      </c>
      <c r="N233" s="859">
        <f ca="1">+ROUND(K233*'Compra -HOJA1'!K$395,0)</f>
        <v>0</v>
      </c>
      <c r="O233" s="860">
        <f t="shared" ca="1" si="109"/>
        <v>0</v>
      </c>
      <c r="P233" s="860">
        <f t="shared" ca="1" si="110"/>
        <v>0</v>
      </c>
      <c r="Q233" s="860">
        <f t="shared" ca="1" si="111"/>
        <v>0</v>
      </c>
      <c r="R233" s="1969">
        <f t="shared" ca="1" si="112"/>
        <v>0</v>
      </c>
      <c r="S233" s="866"/>
      <c r="T233" s="856"/>
      <c r="U233" s="711"/>
      <c r="V233" s="711"/>
      <c r="W233" s="711"/>
      <c r="X233" s="10"/>
      <c r="Y233" s="10"/>
      <c r="Z233" s="10"/>
      <c r="AA233" s="675"/>
      <c r="AB233" s="10"/>
      <c r="AC233" s="880"/>
      <c r="AD233" s="881"/>
      <c r="MK233" s="3454">
        <f t="shared" si="85"/>
        <v>0</v>
      </c>
      <c r="ML233" s="3453">
        <f t="shared" si="86"/>
        <v>0</v>
      </c>
      <c r="MM233" s="3453">
        <f t="shared" si="87"/>
        <v>0</v>
      </c>
      <c r="MN233" s="859">
        <f ca="1">+ROUND(MK233*'Compra -HOJA1'!$I$395,0)</f>
        <v>0</v>
      </c>
      <c r="MO233" s="859">
        <f ca="1">+ROUND(ML233*'Compra -HOJA1'!$J$395,0)</f>
        <v>0</v>
      </c>
      <c r="MP233" s="859">
        <f ca="1">+ROUND(MM233*'Compra -HOJA1'!$K$395,0)</f>
        <v>0</v>
      </c>
      <c r="MQ233" s="860">
        <f t="shared" ca="1" si="88"/>
        <v>0</v>
      </c>
      <c r="MR233" s="860">
        <f t="shared" ca="1" si="89"/>
        <v>0</v>
      </c>
      <c r="MS233" s="860">
        <f t="shared" ca="1" si="90"/>
        <v>0</v>
      </c>
      <c r="MT233" s="1969">
        <f t="shared" ca="1" si="91"/>
        <v>0</v>
      </c>
    </row>
    <row r="234" spans="1:358" ht="54" customHeight="1" x14ac:dyDescent="0.4">
      <c r="A234" s="4034"/>
      <c r="B234" s="4883"/>
      <c r="C234" s="4872"/>
      <c r="D234" s="4872"/>
      <c r="E234" s="3424" t="s">
        <v>49</v>
      </c>
      <c r="F234" s="3440">
        <f>+G234*30</f>
        <v>0</v>
      </c>
      <c r="G234" s="3440">
        <f>+G233</f>
        <v>0</v>
      </c>
      <c r="H234" s="3420"/>
      <c r="I234" s="1968">
        <f>IF(F234=0,0,ROUND($F234*COEF!$J$27,0))</f>
        <v>0</v>
      </c>
      <c r="J234" s="858">
        <f>IF(F234=0,0,ROUND($F234*COEF!$K$27,0))</f>
        <v>0</v>
      </c>
      <c r="K234" s="858">
        <f>IF(F234=0,0,ROUND($F234*COEF!$L$27,0))</f>
        <v>0</v>
      </c>
      <c r="L234" s="859">
        <f ca="1">+ROUND(I234*'Compra -HOJA1'!I$395,0)</f>
        <v>0</v>
      </c>
      <c r="M234" s="859">
        <f ca="1">+ROUND(J234*'Compra -HOJA1'!J$395,0)</f>
        <v>0</v>
      </c>
      <c r="N234" s="859">
        <f ca="1">+ROUND(K234*'Compra -HOJA1'!K$395,0)</f>
        <v>0</v>
      </c>
      <c r="O234" s="860">
        <f t="shared" ca="1" si="109"/>
        <v>0</v>
      </c>
      <c r="P234" s="860">
        <f t="shared" ca="1" si="110"/>
        <v>0</v>
      </c>
      <c r="Q234" s="860">
        <f t="shared" ca="1" si="111"/>
        <v>0</v>
      </c>
      <c r="R234" s="1969">
        <f t="shared" ca="1" si="112"/>
        <v>0</v>
      </c>
      <c r="S234" s="866"/>
      <c r="T234" s="856"/>
      <c r="U234" s="711"/>
      <c r="V234" s="711"/>
      <c r="W234" s="711"/>
      <c r="X234" s="10"/>
      <c r="Y234" s="10"/>
      <c r="Z234" s="10"/>
      <c r="AA234" s="675"/>
      <c r="AB234" s="10"/>
      <c r="AC234" s="880"/>
      <c r="AD234" s="881"/>
      <c r="MK234" s="3454">
        <f t="shared" si="85"/>
        <v>0</v>
      </c>
      <c r="ML234" s="3453">
        <f t="shared" si="86"/>
        <v>0</v>
      </c>
      <c r="MM234" s="3453">
        <f t="shared" si="87"/>
        <v>0</v>
      </c>
      <c r="MN234" s="859">
        <f ca="1">+ROUND(MK234*'Compra -HOJA1'!$I$395,0)</f>
        <v>0</v>
      </c>
      <c r="MO234" s="859">
        <f ca="1">+ROUND(ML234*'Compra -HOJA1'!$J$395,0)</f>
        <v>0</v>
      </c>
      <c r="MP234" s="859">
        <f ca="1">+ROUND(MM234*'Compra -HOJA1'!$K$395,0)</f>
        <v>0</v>
      </c>
      <c r="MQ234" s="860">
        <f t="shared" ca="1" si="88"/>
        <v>0</v>
      </c>
      <c r="MR234" s="860">
        <f t="shared" ca="1" si="89"/>
        <v>0</v>
      </c>
      <c r="MS234" s="860">
        <f t="shared" ca="1" si="90"/>
        <v>0</v>
      </c>
      <c r="MT234" s="1969">
        <f t="shared" ca="1" si="91"/>
        <v>0</v>
      </c>
    </row>
    <row r="235" spans="1:358" ht="54" customHeight="1" x14ac:dyDescent="0.4">
      <c r="A235" s="4034"/>
      <c r="B235" s="4883"/>
      <c r="C235" s="4872"/>
      <c r="D235" s="4872"/>
      <c r="E235" s="3429" t="s">
        <v>638</v>
      </c>
      <c r="F235" s="3440">
        <f>+G235*150</f>
        <v>0</v>
      </c>
      <c r="G235" s="3440">
        <f>+G233</f>
        <v>0</v>
      </c>
      <c r="H235" s="3420"/>
      <c r="I235" s="1968">
        <f>IF(F235=0,0,ROUND($F235*COEF!$J$27,0))</f>
        <v>0</v>
      </c>
      <c r="J235" s="858">
        <f>IF(F235=0,0,ROUND($F235*COEF!$K$27,0))</f>
        <v>0</v>
      </c>
      <c r="K235" s="858">
        <f>IF(F235=0,0,ROUND($F235*COEF!$L$27,0))</f>
        <v>0</v>
      </c>
      <c r="L235" s="859">
        <f ca="1">+ROUND(I235*'Compra -HOJA1'!I$395,0)</f>
        <v>0</v>
      </c>
      <c r="M235" s="859">
        <f ca="1">+ROUND(J235*'Compra -HOJA1'!J$395,0)</f>
        <v>0</v>
      </c>
      <c r="N235" s="859">
        <f ca="1">+ROUND(K235*'Compra -HOJA1'!K$395,0)</f>
        <v>0</v>
      </c>
      <c r="O235" s="860">
        <f t="shared" ca="1" si="109"/>
        <v>0</v>
      </c>
      <c r="P235" s="860">
        <f t="shared" ca="1" si="110"/>
        <v>0</v>
      </c>
      <c r="Q235" s="860">
        <f t="shared" ca="1" si="111"/>
        <v>0</v>
      </c>
      <c r="R235" s="1969">
        <f t="shared" ca="1" si="112"/>
        <v>0</v>
      </c>
      <c r="S235" s="866"/>
      <c r="T235" s="856"/>
      <c r="U235" s="711"/>
      <c r="V235" s="711"/>
      <c r="W235" s="711"/>
      <c r="X235" s="10"/>
      <c r="Y235" s="10"/>
      <c r="Z235" s="10"/>
      <c r="AA235" s="675"/>
      <c r="AB235" s="10"/>
      <c r="AC235" s="880"/>
      <c r="AD235" s="881"/>
      <c r="MK235" s="3454">
        <f t="shared" si="85"/>
        <v>0</v>
      </c>
      <c r="ML235" s="3453">
        <f t="shared" si="86"/>
        <v>0</v>
      </c>
      <c r="MM235" s="3453">
        <f t="shared" si="87"/>
        <v>0</v>
      </c>
      <c r="MN235" s="859">
        <f ca="1">+ROUND(MK235*'Compra -HOJA1'!$I$395,0)</f>
        <v>0</v>
      </c>
      <c r="MO235" s="859">
        <f ca="1">+ROUND(ML235*'Compra -HOJA1'!$J$395,0)</f>
        <v>0</v>
      </c>
      <c r="MP235" s="859">
        <f ca="1">+ROUND(MM235*'Compra -HOJA1'!$K$395,0)</f>
        <v>0</v>
      </c>
      <c r="MQ235" s="860">
        <f t="shared" ca="1" si="88"/>
        <v>0</v>
      </c>
      <c r="MR235" s="860">
        <f t="shared" ca="1" si="89"/>
        <v>0</v>
      </c>
      <c r="MS235" s="860">
        <f t="shared" ca="1" si="90"/>
        <v>0</v>
      </c>
      <c r="MT235" s="1969">
        <f t="shared" ca="1" si="91"/>
        <v>0</v>
      </c>
    </row>
    <row r="236" spans="1:358" ht="54" customHeight="1" thickBot="1" x14ac:dyDescent="0.45">
      <c r="A236" s="4034"/>
      <c r="B236" s="4883"/>
      <c r="C236" s="4881"/>
      <c r="D236" s="4881"/>
      <c r="E236" s="3432" t="s">
        <v>639</v>
      </c>
      <c r="F236" s="3440">
        <f>+F79-(G79*300)</f>
        <v>0</v>
      </c>
      <c r="G236" s="3440">
        <f>+G233</f>
        <v>0</v>
      </c>
      <c r="H236" s="3420"/>
      <c r="I236" s="1968">
        <f>IF(F236=0,0,ROUND($F236*COEF!$J$27,0))</f>
        <v>0</v>
      </c>
      <c r="J236" s="858">
        <f>IF(F236=0,0,ROUND($F236*COEF!$K$27,0))</f>
        <v>0</v>
      </c>
      <c r="K236" s="858">
        <f>IF(F236=0,0,ROUND($F236*COEF!$L$27,0))</f>
        <v>0</v>
      </c>
      <c r="L236" s="859">
        <f ca="1">+ROUND(I236*'Compra -HOJA1'!I$395,0)</f>
        <v>0</v>
      </c>
      <c r="M236" s="859">
        <f ca="1">+ROUND(J236*'Compra -HOJA1'!J$395,0)</f>
        <v>0</v>
      </c>
      <c r="N236" s="859">
        <f ca="1">+ROUND(K236*'Compra -HOJA1'!K$395,0)</f>
        <v>0</v>
      </c>
      <c r="O236" s="860">
        <f t="shared" ca="1" si="109"/>
        <v>0</v>
      </c>
      <c r="P236" s="860">
        <f t="shared" ca="1" si="110"/>
        <v>0</v>
      </c>
      <c r="Q236" s="860">
        <f t="shared" ca="1" si="111"/>
        <v>0</v>
      </c>
      <c r="R236" s="1969">
        <f t="shared" ca="1" si="112"/>
        <v>0</v>
      </c>
      <c r="S236" s="866"/>
      <c r="T236" s="856"/>
      <c r="U236" s="711"/>
      <c r="V236" s="711"/>
      <c r="W236" s="711"/>
      <c r="X236" s="10"/>
      <c r="Y236" s="10"/>
      <c r="Z236" s="10"/>
      <c r="AA236" s="675"/>
      <c r="AB236" s="10"/>
      <c r="AC236" s="880"/>
      <c r="AD236" s="881"/>
      <c r="MK236" s="3454">
        <f t="shared" si="85"/>
        <v>0</v>
      </c>
      <c r="ML236" s="3453">
        <f t="shared" si="86"/>
        <v>0</v>
      </c>
      <c r="MM236" s="3453">
        <f t="shared" si="87"/>
        <v>0</v>
      </c>
      <c r="MN236" s="859">
        <f ca="1">+ROUND(MK236*'Compra -HOJA1'!$I$395,0)</f>
        <v>0</v>
      </c>
      <c r="MO236" s="859">
        <f ca="1">+ROUND(ML236*'Compra -HOJA1'!$J$395,0)</f>
        <v>0</v>
      </c>
      <c r="MP236" s="859">
        <f ca="1">+ROUND(MM236*'Compra -HOJA1'!$K$395,0)</f>
        <v>0</v>
      </c>
      <c r="MQ236" s="860">
        <f t="shared" ca="1" si="88"/>
        <v>0</v>
      </c>
      <c r="MR236" s="860">
        <f t="shared" ca="1" si="89"/>
        <v>0</v>
      </c>
      <c r="MS236" s="860">
        <f t="shared" ca="1" si="90"/>
        <v>0</v>
      </c>
      <c r="MT236" s="1969">
        <f t="shared" ca="1" si="91"/>
        <v>0</v>
      </c>
    </row>
    <row r="237" spans="1:358" ht="54" customHeight="1" x14ac:dyDescent="0.4">
      <c r="A237" s="4034"/>
      <c r="B237" s="4883"/>
      <c r="C237" s="4880" t="s">
        <v>829</v>
      </c>
      <c r="D237" s="4880"/>
      <c r="E237" s="3431" t="s">
        <v>46</v>
      </c>
      <c r="F237" s="3425">
        <f>120*G237</f>
        <v>0</v>
      </c>
      <c r="G237" s="3425">
        <f>+G80</f>
        <v>0</v>
      </c>
      <c r="H237" s="3420"/>
      <c r="I237" s="1968">
        <f>IF(F237=0,0,ROUND($F237*COEF!$J$27,0))</f>
        <v>0</v>
      </c>
      <c r="J237" s="858">
        <f>IF(F237=0,0,ROUND($F237*COEF!$K$27,0))</f>
        <v>0</v>
      </c>
      <c r="K237" s="858">
        <f>IF(F237=0,0,ROUND($F237*COEF!$L$27,0))</f>
        <v>0</v>
      </c>
      <c r="L237" s="859">
        <f ca="1">+ROUND(I237*'Compra -HOJA1'!I$395,0)</f>
        <v>0</v>
      </c>
      <c r="M237" s="859">
        <f ca="1">+ROUND(J237*'Compra -HOJA1'!J$395,0)</f>
        <v>0</v>
      </c>
      <c r="N237" s="859">
        <f ca="1">+ROUND(K237*'Compra -HOJA1'!K$395,0)</f>
        <v>0</v>
      </c>
      <c r="O237" s="860">
        <f t="shared" ca="1" si="109"/>
        <v>0</v>
      </c>
      <c r="P237" s="860">
        <f t="shared" ca="1" si="110"/>
        <v>0</v>
      </c>
      <c r="Q237" s="860">
        <f t="shared" ca="1" si="111"/>
        <v>0</v>
      </c>
      <c r="R237" s="1969">
        <f t="shared" ca="1" si="112"/>
        <v>0</v>
      </c>
      <c r="S237" s="866"/>
      <c r="T237" s="856"/>
      <c r="U237" s="711"/>
      <c r="V237" s="711"/>
      <c r="W237" s="711"/>
      <c r="X237" s="10"/>
      <c r="Y237" s="10"/>
      <c r="Z237" s="10"/>
      <c r="AA237" s="675"/>
      <c r="AB237" s="10"/>
      <c r="AC237" s="880"/>
      <c r="AD237" s="881"/>
      <c r="MK237" s="3454">
        <f t="shared" si="85"/>
        <v>0</v>
      </c>
      <c r="ML237" s="3453">
        <f t="shared" si="86"/>
        <v>0</v>
      </c>
      <c r="MM237" s="3453">
        <f t="shared" si="87"/>
        <v>0</v>
      </c>
      <c r="MN237" s="859">
        <f ca="1">+ROUND(MK237*'Compra -HOJA1'!$I$395,0)</f>
        <v>0</v>
      </c>
      <c r="MO237" s="859">
        <f ca="1">+ROUND(ML237*'Compra -HOJA1'!$J$395,0)</f>
        <v>0</v>
      </c>
      <c r="MP237" s="859">
        <f ca="1">+ROUND(MM237*'Compra -HOJA1'!$K$395,0)</f>
        <v>0</v>
      </c>
      <c r="MQ237" s="860">
        <f t="shared" ca="1" si="88"/>
        <v>0</v>
      </c>
      <c r="MR237" s="860">
        <f t="shared" ca="1" si="89"/>
        <v>0</v>
      </c>
      <c r="MS237" s="860">
        <f t="shared" ca="1" si="90"/>
        <v>0</v>
      </c>
      <c r="MT237" s="1969">
        <f t="shared" ca="1" si="91"/>
        <v>0</v>
      </c>
    </row>
    <row r="238" spans="1:358" ht="54" customHeight="1" x14ac:dyDescent="0.4">
      <c r="A238" s="4034"/>
      <c r="B238" s="4883"/>
      <c r="C238" s="4872"/>
      <c r="D238" s="4872"/>
      <c r="E238" s="3427" t="s">
        <v>47</v>
      </c>
      <c r="F238" s="3425">
        <f>+G238*30</f>
        <v>0</v>
      </c>
      <c r="G238" s="3425">
        <f>+G237</f>
        <v>0</v>
      </c>
      <c r="H238" s="3420"/>
      <c r="I238" s="1968">
        <f>IF(F238=0,0,ROUND($F238*COEF!$J$27,0))</f>
        <v>0</v>
      </c>
      <c r="J238" s="858">
        <f>IF(F238=0,0,ROUND($F238*COEF!$K$27,0))</f>
        <v>0</v>
      </c>
      <c r="K238" s="858">
        <f>IF(F238=0,0,ROUND($F238*COEF!$L$27,0))</f>
        <v>0</v>
      </c>
      <c r="L238" s="859">
        <f ca="1">+ROUND(I238*'Compra -HOJA1'!I$395,0)</f>
        <v>0</v>
      </c>
      <c r="M238" s="859">
        <f ca="1">+ROUND(J238*'Compra -HOJA1'!J$395,0)</f>
        <v>0</v>
      </c>
      <c r="N238" s="859">
        <f ca="1">+ROUND(K238*'Compra -HOJA1'!K$395,0)</f>
        <v>0</v>
      </c>
      <c r="O238" s="860">
        <f t="shared" ca="1" si="109"/>
        <v>0</v>
      </c>
      <c r="P238" s="860">
        <f t="shared" ca="1" si="110"/>
        <v>0</v>
      </c>
      <c r="Q238" s="860">
        <f t="shared" ca="1" si="111"/>
        <v>0</v>
      </c>
      <c r="R238" s="1969">
        <f t="shared" ca="1" si="112"/>
        <v>0</v>
      </c>
      <c r="S238" s="866"/>
      <c r="T238" s="856"/>
      <c r="U238" s="711"/>
      <c r="V238" s="711"/>
      <c r="W238" s="711"/>
      <c r="X238" s="10"/>
      <c r="Y238" s="10"/>
      <c r="Z238" s="10"/>
      <c r="AA238" s="675"/>
      <c r="AB238" s="10"/>
      <c r="AC238" s="880"/>
      <c r="AD238" s="881"/>
      <c r="MK238" s="3454">
        <f t="shared" si="85"/>
        <v>0</v>
      </c>
      <c r="ML238" s="3453">
        <f t="shared" si="86"/>
        <v>0</v>
      </c>
      <c r="MM238" s="3453">
        <f t="shared" si="87"/>
        <v>0</v>
      </c>
      <c r="MN238" s="859">
        <f ca="1">+ROUND(MK238*'Compra -HOJA1'!$I$395,0)</f>
        <v>0</v>
      </c>
      <c r="MO238" s="859">
        <f ca="1">+ROUND(ML238*'Compra -HOJA1'!$J$395,0)</f>
        <v>0</v>
      </c>
      <c r="MP238" s="859">
        <f ca="1">+ROUND(MM238*'Compra -HOJA1'!$K$395,0)</f>
        <v>0</v>
      </c>
      <c r="MQ238" s="860">
        <f t="shared" ca="1" si="88"/>
        <v>0</v>
      </c>
      <c r="MR238" s="860">
        <f t="shared" ca="1" si="89"/>
        <v>0</v>
      </c>
      <c r="MS238" s="860">
        <f t="shared" ca="1" si="90"/>
        <v>0</v>
      </c>
      <c r="MT238" s="1969">
        <f t="shared" ca="1" si="91"/>
        <v>0</v>
      </c>
    </row>
    <row r="239" spans="1:358" ht="54" customHeight="1" x14ac:dyDescent="0.4">
      <c r="A239" s="4034"/>
      <c r="B239" s="4883"/>
      <c r="C239" s="4872"/>
      <c r="D239" s="4872"/>
      <c r="E239" s="3428" t="s">
        <v>635</v>
      </c>
      <c r="F239" s="3425">
        <f>+G239*150</f>
        <v>0</v>
      </c>
      <c r="G239" s="3425">
        <f>+G237</f>
        <v>0</v>
      </c>
      <c r="H239" s="3420"/>
      <c r="I239" s="1968">
        <f>IF(F239=0,0,ROUND($F239*COEF!$J$27,0))</f>
        <v>0</v>
      </c>
      <c r="J239" s="858">
        <f>IF(F239=0,0,ROUND($F239*COEF!$K$27,0))</f>
        <v>0</v>
      </c>
      <c r="K239" s="858">
        <f>IF(F239=0,0,ROUND($F239*COEF!$L$27,0))</f>
        <v>0</v>
      </c>
      <c r="L239" s="859">
        <f ca="1">+ROUND(I239*'Compra -HOJA1'!I$395,0)</f>
        <v>0</v>
      </c>
      <c r="M239" s="859">
        <f ca="1">+ROUND(J239*'Compra -HOJA1'!J$395,0)</f>
        <v>0</v>
      </c>
      <c r="N239" s="859">
        <f ca="1">+ROUND(K239*'Compra -HOJA1'!K$395,0)</f>
        <v>0</v>
      </c>
      <c r="O239" s="860">
        <f t="shared" ca="1" si="109"/>
        <v>0</v>
      </c>
      <c r="P239" s="860">
        <f t="shared" ca="1" si="110"/>
        <v>0</v>
      </c>
      <c r="Q239" s="860">
        <f t="shared" ca="1" si="111"/>
        <v>0</v>
      </c>
      <c r="R239" s="1969">
        <f t="shared" ca="1" si="112"/>
        <v>0</v>
      </c>
      <c r="S239" s="866"/>
      <c r="T239" s="856"/>
      <c r="U239" s="711"/>
      <c r="V239" s="711"/>
      <c r="W239" s="711"/>
      <c r="X239" s="10"/>
      <c r="Y239" s="10"/>
      <c r="Z239" s="10"/>
      <c r="AA239" s="675"/>
      <c r="AB239" s="10"/>
      <c r="AC239" s="880"/>
      <c r="AD239" s="881"/>
      <c r="MK239" s="3454">
        <f t="shared" si="85"/>
        <v>0</v>
      </c>
      <c r="ML239" s="3453">
        <f t="shared" si="86"/>
        <v>0</v>
      </c>
      <c r="MM239" s="3453">
        <f t="shared" si="87"/>
        <v>0</v>
      </c>
      <c r="MN239" s="859">
        <f ca="1">+ROUND(MK239*'Compra -HOJA1'!$I$395,0)</f>
        <v>0</v>
      </c>
      <c r="MO239" s="859">
        <f ca="1">+ROUND(ML239*'Compra -HOJA1'!$J$395,0)</f>
        <v>0</v>
      </c>
      <c r="MP239" s="859">
        <f ca="1">+ROUND(MM239*'Compra -HOJA1'!$K$395,0)</f>
        <v>0</v>
      </c>
      <c r="MQ239" s="860">
        <f t="shared" ca="1" si="88"/>
        <v>0</v>
      </c>
      <c r="MR239" s="860">
        <f t="shared" ca="1" si="89"/>
        <v>0</v>
      </c>
      <c r="MS239" s="860">
        <f t="shared" ca="1" si="90"/>
        <v>0</v>
      </c>
      <c r="MT239" s="1969">
        <f t="shared" ca="1" si="91"/>
        <v>0</v>
      </c>
    </row>
    <row r="240" spans="1:358" ht="54" customHeight="1" x14ac:dyDescent="0.4">
      <c r="A240" s="4034"/>
      <c r="B240" s="4883"/>
      <c r="C240" s="4872"/>
      <c r="D240" s="4872"/>
      <c r="E240" s="3428" t="s">
        <v>636</v>
      </c>
      <c r="F240" s="3425">
        <f>+F80-(300*G80)</f>
        <v>0</v>
      </c>
      <c r="G240" s="3425">
        <f>+G237</f>
        <v>0</v>
      </c>
      <c r="H240" s="3420"/>
      <c r="I240" s="1968">
        <f>IF(F240=0,0,ROUND($F240*COEF!$J$27,0))</f>
        <v>0</v>
      </c>
      <c r="J240" s="858">
        <f>IF(F240=0,0,ROUND($F240*COEF!$K$27,0))</f>
        <v>0</v>
      </c>
      <c r="K240" s="858">
        <f>IF(F240=0,0,ROUND($F240*COEF!$L$27,0))</f>
        <v>0</v>
      </c>
      <c r="L240" s="859">
        <f ca="1">+ROUND(I240*'Compra -HOJA1'!I$395,0)</f>
        <v>0</v>
      </c>
      <c r="M240" s="859">
        <f ca="1">+ROUND(J240*'Compra -HOJA1'!J$395,0)</f>
        <v>0</v>
      </c>
      <c r="N240" s="859">
        <f ca="1">+ROUND(K240*'Compra -HOJA1'!K$395,0)</f>
        <v>0</v>
      </c>
      <c r="O240" s="860">
        <f t="shared" ca="1" si="109"/>
        <v>0</v>
      </c>
      <c r="P240" s="860">
        <f t="shared" ca="1" si="110"/>
        <v>0</v>
      </c>
      <c r="Q240" s="860">
        <f t="shared" ca="1" si="111"/>
        <v>0</v>
      </c>
      <c r="R240" s="1969">
        <f t="shared" ca="1" si="112"/>
        <v>0</v>
      </c>
      <c r="S240" s="866"/>
      <c r="T240" s="856"/>
      <c r="U240" s="711"/>
      <c r="V240" s="711"/>
      <c r="W240" s="711"/>
      <c r="X240" s="10"/>
      <c r="Y240" s="10"/>
      <c r="Z240" s="10"/>
      <c r="AA240" s="675"/>
      <c r="AB240" s="10"/>
      <c r="AC240" s="880"/>
      <c r="AD240" s="881"/>
      <c r="MK240" s="3454">
        <f t="shared" si="85"/>
        <v>0</v>
      </c>
      <c r="ML240" s="3453">
        <f t="shared" si="86"/>
        <v>0</v>
      </c>
      <c r="MM240" s="3453">
        <f t="shared" si="87"/>
        <v>0</v>
      </c>
      <c r="MN240" s="859">
        <f ca="1">+ROUND(MK240*'Compra -HOJA1'!$I$395,0)</f>
        <v>0</v>
      </c>
      <c r="MO240" s="859">
        <f ca="1">+ROUND(ML240*'Compra -HOJA1'!$J$395,0)</f>
        <v>0</v>
      </c>
      <c r="MP240" s="859">
        <f ca="1">+ROUND(MM240*'Compra -HOJA1'!$K$395,0)</f>
        <v>0</v>
      </c>
      <c r="MQ240" s="860">
        <f t="shared" ca="1" si="88"/>
        <v>0</v>
      </c>
      <c r="MR240" s="860">
        <f t="shared" ca="1" si="89"/>
        <v>0</v>
      </c>
      <c r="MS240" s="860">
        <f t="shared" ca="1" si="90"/>
        <v>0</v>
      </c>
      <c r="MT240" s="1969">
        <f t="shared" ca="1" si="91"/>
        <v>0</v>
      </c>
    </row>
    <row r="241" spans="1:358" ht="54" customHeight="1" x14ac:dyDescent="0.4">
      <c r="A241" s="4034"/>
      <c r="B241" s="4883"/>
      <c r="C241" s="4872"/>
      <c r="D241" s="4872"/>
      <c r="E241" s="3424" t="s">
        <v>169</v>
      </c>
      <c r="F241" s="3425">
        <f>120*G241</f>
        <v>0</v>
      </c>
      <c r="G241" s="3425">
        <f>+G81</f>
        <v>0</v>
      </c>
      <c r="H241" s="3420"/>
      <c r="I241" s="1968">
        <f>IF(F241=0,0,ROUND($F241*COEF!$J$27,0))</f>
        <v>0</v>
      </c>
      <c r="J241" s="858">
        <f>IF(F241=0,0,ROUND($F241*COEF!$K$27,0))</f>
        <v>0</v>
      </c>
      <c r="K241" s="858">
        <f>IF(F241=0,0,ROUND($F241*COEF!$L$27,0))</f>
        <v>0</v>
      </c>
      <c r="L241" s="859">
        <f ca="1">+ROUND(I241*'Compra -HOJA1'!I$395,0)</f>
        <v>0</v>
      </c>
      <c r="M241" s="859">
        <f ca="1">+ROUND(J241*'Compra -HOJA1'!J$395,0)</f>
        <v>0</v>
      </c>
      <c r="N241" s="859">
        <f ca="1">+ROUND(K241*'Compra -HOJA1'!K$395,0)</f>
        <v>0</v>
      </c>
      <c r="O241" s="860">
        <f t="shared" ca="1" si="109"/>
        <v>0</v>
      </c>
      <c r="P241" s="860">
        <f t="shared" ca="1" si="110"/>
        <v>0</v>
      </c>
      <c r="Q241" s="860">
        <f t="shared" ca="1" si="111"/>
        <v>0</v>
      </c>
      <c r="R241" s="1969">
        <f t="shared" ca="1" si="112"/>
        <v>0</v>
      </c>
      <c r="S241" s="866"/>
      <c r="T241" s="856"/>
      <c r="U241" s="711"/>
      <c r="V241" s="711"/>
      <c r="W241" s="711"/>
      <c r="X241" s="10"/>
      <c r="Y241" s="10"/>
      <c r="Z241" s="10"/>
      <c r="AA241" s="675"/>
      <c r="AB241" s="10"/>
      <c r="AC241" s="880"/>
      <c r="AD241" s="881"/>
      <c r="MK241" s="3454">
        <f t="shared" si="85"/>
        <v>0</v>
      </c>
      <c r="ML241" s="3453">
        <f t="shared" si="86"/>
        <v>0</v>
      </c>
      <c r="MM241" s="3453">
        <f t="shared" si="87"/>
        <v>0</v>
      </c>
      <c r="MN241" s="859">
        <f ca="1">+ROUND(MK241*'Compra -HOJA1'!$I$395,0)</f>
        <v>0</v>
      </c>
      <c r="MO241" s="859">
        <f ca="1">+ROUND(ML241*'Compra -HOJA1'!$J$395,0)</f>
        <v>0</v>
      </c>
      <c r="MP241" s="859">
        <f ca="1">+ROUND(MM241*'Compra -HOJA1'!$K$395,0)</f>
        <v>0</v>
      </c>
      <c r="MQ241" s="860">
        <f t="shared" ca="1" si="88"/>
        <v>0</v>
      </c>
      <c r="MR241" s="860">
        <f t="shared" ca="1" si="89"/>
        <v>0</v>
      </c>
      <c r="MS241" s="860">
        <f t="shared" ca="1" si="90"/>
        <v>0</v>
      </c>
      <c r="MT241" s="1969">
        <f t="shared" ca="1" si="91"/>
        <v>0</v>
      </c>
    </row>
    <row r="242" spans="1:358" ht="54" customHeight="1" x14ac:dyDescent="0.4">
      <c r="A242" s="4034"/>
      <c r="B242" s="4883"/>
      <c r="C242" s="4872"/>
      <c r="D242" s="4872"/>
      <c r="E242" s="3424" t="s">
        <v>49</v>
      </c>
      <c r="F242" s="3425">
        <f>+G242*30</f>
        <v>0</v>
      </c>
      <c r="G242" s="3425">
        <f>+G241</f>
        <v>0</v>
      </c>
      <c r="H242" s="3420"/>
      <c r="I242" s="1968">
        <f>IF(F242=0,0,ROUND($F242*COEF!$J$27,0))</f>
        <v>0</v>
      </c>
      <c r="J242" s="858">
        <f>IF(F242=0,0,ROUND($F242*COEF!$K$27,0))</f>
        <v>0</v>
      </c>
      <c r="K242" s="858">
        <f>IF(F242=0,0,ROUND($F242*COEF!$L$27,0))</f>
        <v>0</v>
      </c>
      <c r="L242" s="859">
        <f ca="1">+ROUND(I242*'Compra -HOJA1'!I$395,0)</f>
        <v>0</v>
      </c>
      <c r="M242" s="859">
        <f ca="1">+ROUND(J242*'Compra -HOJA1'!J$395,0)</f>
        <v>0</v>
      </c>
      <c r="N242" s="859">
        <f ca="1">+ROUND(K242*'Compra -HOJA1'!K$395,0)</f>
        <v>0</v>
      </c>
      <c r="O242" s="860">
        <f t="shared" ca="1" si="109"/>
        <v>0</v>
      </c>
      <c r="P242" s="860">
        <f t="shared" ca="1" si="110"/>
        <v>0</v>
      </c>
      <c r="Q242" s="860">
        <f t="shared" ca="1" si="111"/>
        <v>0</v>
      </c>
      <c r="R242" s="1969">
        <f t="shared" ca="1" si="112"/>
        <v>0</v>
      </c>
      <c r="S242" s="866"/>
      <c r="T242" s="856"/>
      <c r="U242" s="711"/>
      <c r="V242" s="711"/>
      <c r="W242" s="711"/>
      <c r="X242" s="10"/>
      <c r="Y242" s="10"/>
      <c r="Z242" s="10"/>
      <c r="AA242" s="675"/>
      <c r="AB242" s="10"/>
      <c r="AC242" s="880"/>
      <c r="AD242" s="881"/>
      <c r="MK242" s="3454">
        <f t="shared" si="85"/>
        <v>0</v>
      </c>
      <c r="ML242" s="3453">
        <f t="shared" si="86"/>
        <v>0</v>
      </c>
      <c r="MM242" s="3453">
        <f t="shared" si="87"/>
        <v>0</v>
      </c>
      <c r="MN242" s="859">
        <f ca="1">+ROUND(MK242*'Compra -HOJA1'!$I$395,0)</f>
        <v>0</v>
      </c>
      <c r="MO242" s="859">
        <f ca="1">+ROUND(ML242*'Compra -HOJA1'!$J$395,0)</f>
        <v>0</v>
      </c>
      <c r="MP242" s="859">
        <f ca="1">+ROUND(MM242*'Compra -HOJA1'!$K$395,0)</f>
        <v>0</v>
      </c>
      <c r="MQ242" s="860">
        <f t="shared" ca="1" si="88"/>
        <v>0</v>
      </c>
      <c r="MR242" s="860">
        <f t="shared" ca="1" si="89"/>
        <v>0</v>
      </c>
      <c r="MS242" s="860">
        <f t="shared" ca="1" si="90"/>
        <v>0</v>
      </c>
      <c r="MT242" s="1969">
        <f t="shared" ca="1" si="91"/>
        <v>0</v>
      </c>
    </row>
    <row r="243" spans="1:358" ht="54" customHeight="1" x14ac:dyDescent="0.4">
      <c r="A243" s="4034"/>
      <c r="B243" s="4883"/>
      <c r="C243" s="4872"/>
      <c r="D243" s="4872"/>
      <c r="E243" s="3429" t="s">
        <v>638</v>
      </c>
      <c r="F243" s="3425">
        <f>+G243*150</f>
        <v>0</v>
      </c>
      <c r="G243" s="3425">
        <f>+G241</f>
        <v>0</v>
      </c>
      <c r="H243" s="3420"/>
      <c r="I243" s="1968">
        <f>IF(F243=0,0,ROUND($F243*COEF!$J$27,0))</f>
        <v>0</v>
      </c>
      <c r="J243" s="858">
        <f>IF(F243=0,0,ROUND($F243*COEF!$K$27,0))</f>
        <v>0</v>
      </c>
      <c r="K243" s="858">
        <f>IF(F243=0,0,ROUND($F243*COEF!$L$27,0))</f>
        <v>0</v>
      </c>
      <c r="L243" s="859">
        <f ca="1">+ROUND(I243*'Compra -HOJA1'!I$395,0)</f>
        <v>0</v>
      </c>
      <c r="M243" s="859">
        <f ca="1">+ROUND(J243*'Compra -HOJA1'!J$395,0)</f>
        <v>0</v>
      </c>
      <c r="N243" s="859">
        <f ca="1">+ROUND(K243*'Compra -HOJA1'!K$395,0)</f>
        <v>0</v>
      </c>
      <c r="O243" s="860">
        <f t="shared" ca="1" si="109"/>
        <v>0</v>
      </c>
      <c r="P243" s="860">
        <f t="shared" ca="1" si="110"/>
        <v>0</v>
      </c>
      <c r="Q243" s="860">
        <f t="shared" ca="1" si="111"/>
        <v>0</v>
      </c>
      <c r="R243" s="1969">
        <f t="shared" ca="1" si="112"/>
        <v>0</v>
      </c>
      <c r="S243" s="866"/>
      <c r="T243" s="856"/>
      <c r="U243" s="711"/>
      <c r="V243" s="711"/>
      <c r="W243" s="711"/>
      <c r="X243" s="10"/>
      <c r="Y243" s="10"/>
      <c r="Z243" s="10"/>
      <c r="AA243" s="675"/>
      <c r="AB243" s="10"/>
      <c r="AC243" s="880"/>
      <c r="AD243" s="881"/>
      <c r="MK243" s="3454">
        <f t="shared" si="85"/>
        <v>0</v>
      </c>
      <c r="ML243" s="3453">
        <f t="shared" si="86"/>
        <v>0</v>
      </c>
      <c r="MM243" s="3453">
        <f t="shared" si="87"/>
        <v>0</v>
      </c>
      <c r="MN243" s="859">
        <f ca="1">+ROUND(MK243*'Compra -HOJA1'!$I$395,0)</f>
        <v>0</v>
      </c>
      <c r="MO243" s="859">
        <f ca="1">+ROUND(ML243*'Compra -HOJA1'!$J$395,0)</f>
        <v>0</v>
      </c>
      <c r="MP243" s="859">
        <f ca="1">+ROUND(MM243*'Compra -HOJA1'!$K$395,0)</f>
        <v>0</v>
      </c>
      <c r="MQ243" s="860">
        <f t="shared" ca="1" si="88"/>
        <v>0</v>
      </c>
      <c r="MR243" s="860">
        <f t="shared" ca="1" si="89"/>
        <v>0</v>
      </c>
      <c r="MS243" s="860">
        <f t="shared" ca="1" si="90"/>
        <v>0</v>
      </c>
      <c r="MT243" s="1969">
        <f t="shared" ca="1" si="91"/>
        <v>0</v>
      </c>
    </row>
    <row r="244" spans="1:358" ht="54" customHeight="1" thickBot="1" x14ac:dyDescent="0.45">
      <c r="A244" s="4034"/>
      <c r="B244" s="4884"/>
      <c r="C244" s="4881"/>
      <c r="D244" s="4881"/>
      <c r="E244" s="3432" t="s">
        <v>639</v>
      </c>
      <c r="F244" s="3425">
        <f>+F81-(G81*300)</f>
        <v>0</v>
      </c>
      <c r="G244" s="3425">
        <f>+G241</f>
        <v>0</v>
      </c>
      <c r="H244" s="3420"/>
      <c r="I244" s="1968">
        <f>IF(F244=0,0,ROUND($F244*COEF!$J$27,0))</f>
        <v>0</v>
      </c>
      <c r="J244" s="858">
        <f>IF(F244=0,0,ROUND($F244*COEF!$K$27,0))</f>
        <v>0</v>
      </c>
      <c r="K244" s="858">
        <f>IF(F244=0,0,ROUND($F244*COEF!$L$27,0))</f>
        <v>0</v>
      </c>
      <c r="L244" s="859">
        <f ca="1">+ROUND(I244*'Compra -HOJA1'!I$395,0)</f>
        <v>0</v>
      </c>
      <c r="M244" s="859">
        <f ca="1">+ROUND(J244*'Compra -HOJA1'!J$395,0)</f>
        <v>0</v>
      </c>
      <c r="N244" s="859">
        <f ca="1">+ROUND(K244*'Compra -HOJA1'!K$395,0)</f>
        <v>0</v>
      </c>
      <c r="O244" s="860">
        <f t="shared" ca="1" si="109"/>
        <v>0</v>
      </c>
      <c r="P244" s="860">
        <f t="shared" ca="1" si="110"/>
        <v>0</v>
      </c>
      <c r="Q244" s="860">
        <f t="shared" ca="1" si="111"/>
        <v>0</v>
      </c>
      <c r="R244" s="1969">
        <f t="shared" ca="1" si="112"/>
        <v>0</v>
      </c>
      <c r="S244" s="866"/>
      <c r="T244" s="856"/>
      <c r="U244" s="711"/>
      <c r="V244" s="711"/>
      <c r="W244" s="711"/>
      <c r="X244" s="10"/>
      <c r="Y244" s="10"/>
      <c r="Z244" s="10"/>
      <c r="AA244" s="675"/>
      <c r="AB244" s="10"/>
      <c r="AC244" s="880"/>
      <c r="AD244" s="881"/>
      <c r="MK244" s="3454">
        <f t="shared" si="85"/>
        <v>0</v>
      </c>
      <c r="ML244" s="3453">
        <f t="shared" si="86"/>
        <v>0</v>
      </c>
      <c r="MM244" s="3453">
        <f t="shared" si="87"/>
        <v>0</v>
      </c>
      <c r="MN244" s="859">
        <f ca="1">+ROUND(MK244*'Compra -HOJA1'!$I$395,0)</f>
        <v>0</v>
      </c>
      <c r="MO244" s="859">
        <f ca="1">+ROUND(ML244*'Compra -HOJA1'!$J$395,0)</f>
        <v>0</v>
      </c>
      <c r="MP244" s="859">
        <f ca="1">+ROUND(MM244*'Compra -HOJA1'!$K$395,0)</f>
        <v>0</v>
      </c>
      <c r="MQ244" s="860">
        <f t="shared" ca="1" si="88"/>
        <v>0</v>
      </c>
      <c r="MR244" s="860">
        <f t="shared" ca="1" si="89"/>
        <v>0</v>
      </c>
      <c r="MS244" s="860">
        <f t="shared" ca="1" si="90"/>
        <v>0</v>
      </c>
      <c r="MT244" s="1969">
        <f t="shared" ca="1" si="91"/>
        <v>0</v>
      </c>
    </row>
    <row r="245" spans="1:358" ht="54" customHeight="1" x14ac:dyDescent="0.4">
      <c r="A245" s="4034"/>
      <c r="B245" s="4856" t="s">
        <v>325</v>
      </c>
      <c r="C245" s="4885" t="s">
        <v>827</v>
      </c>
      <c r="D245" s="4886"/>
      <c r="E245" s="3427" t="s">
        <v>46</v>
      </c>
      <c r="F245" s="3438">
        <f>120*G245</f>
        <v>0</v>
      </c>
      <c r="G245" s="3562">
        <f>+G82+G83</f>
        <v>0</v>
      </c>
      <c r="H245" s="3564"/>
      <c r="I245" s="1968">
        <f>IF(F245=0,0,ROUND($F245*COEF!$J$27,0))</f>
        <v>0</v>
      </c>
      <c r="J245" s="858">
        <f>IF(F245=0,0,ROUND($F245*COEF!$K$27,0))</f>
        <v>0</v>
      </c>
      <c r="K245" s="858">
        <f>IF(F245=0,0,ROUND($F245*COEF!$L$27,0))</f>
        <v>0</v>
      </c>
      <c r="L245" s="859">
        <f ca="1">+ROUND(I245*'Compra -HOJA1'!I$395,0)</f>
        <v>0</v>
      </c>
      <c r="M245" s="859">
        <f ca="1">+ROUND(J245*'Compra -HOJA1'!J$395,0)</f>
        <v>0</v>
      </c>
      <c r="N245" s="859">
        <f ca="1">+ROUND(K245*'Compra -HOJA1'!K$395,0)</f>
        <v>0</v>
      </c>
      <c r="O245" s="860">
        <f t="shared" ca="1" si="74"/>
        <v>0</v>
      </c>
      <c r="P245" s="860">
        <f t="shared" ca="1" si="74"/>
        <v>0</v>
      </c>
      <c r="Q245" s="860">
        <f t="shared" ca="1" si="74"/>
        <v>0</v>
      </c>
      <c r="R245" s="1969">
        <f t="shared" ca="1" si="75"/>
        <v>0</v>
      </c>
      <c r="S245" s="866"/>
      <c r="T245" s="856">
        <f t="shared" ca="1" si="76"/>
        <v>0</v>
      </c>
      <c r="U245" s="711">
        <f t="shared" ca="1" si="104"/>
        <v>0</v>
      </c>
      <c r="V245" s="711">
        <f t="shared" ca="1" si="104"/>
        <v>0</v>
      </c>
      <c r="W245" s="711">
        <f t="shared" ca="1" si="104"/>
        <v>0</v>
      </c>
      <c r="X245" s="10"/>
      <c r="Y245" s="10"/>
      <c r="Z245" s="10"/>
      <c r="AA245" s="675"/>
      <c r="AB245" s="10"/>
      <c r="AC245" s="869"/>
      <c r="AD245" s="870"/>
      <c r="MK245" s="3454">
        <f t="shared" si="85"/>
        <v>0</v>
      </c>
      <c r="ML245" s="3453">
        <f t="shared" si="86"/>
        <v>0</v>
      </c>
      <c r="MM245" s="3453">
        <f t="shared" si="87"/>
        <v>0</v>
      </c>
      <c r="MN245" s="859">
        <f ca="1">+ROUND(MK245*'Compra -HOJA1'!$I$395,0)</f>
        <v>0</v>
      </c>
      <c r="MO245" s="859">
        <f ca="1">+ROUND(ML245*'Compra -HOJA1'!$J$395,0)</f>
        <v>0</v>
      </c>
      <c r="MP245" s="859">
        <f ca="1">+ROUND(MM245*'Compra -HOJA1'!$K$395,0)</f>
        <v>0</v>
      </c>
      <c r="MQ245" s="860">
        <f t="shared" ca="1" si="88"/>
        <v>0</v>
      </c>
      <c r="MR245" s="860">
        <f t="shared" ca="1" si="89"/>
        <v>0</v>
      </c>
      <c r="MS245" s="860">
        <f t="shared" ca="1" si="90"/>
        <v>0</v>
      </c>
      <c r="MT245" s="1969">
        <f t="shared" ca="1" si="91"/>
        <v>0</v>
      </c>
    </row>
    <row r="246" spans="1:358" ht="54" customHeight="1" x14ac:dyDescent="0.4">
      <c r="A246" s="4034"/>
      <c r="B246" s="4857"/>
      <c r="C246" s="4887"/>
      <c r="D246" s="4888"/>
      <c r="E246" s="3427" t="s">
        <v>47</v>
      </c>
      <c r="F246" s="3438">
        <f>+G246*30</f>
        <v>0</v>
      </c>
      <c r="G246" s="3438">
        <f>+G245</f>
        <v>0</v>
      </c>
      <c r="H246" s="3564"/>
      <c r="I246" s="1968">
        <f>IF(F246=0,0,ROUND($F246*COEF!$J$27,0))</f>
        <v>0</v>
      </c>
      <c r="J246" s="858">
        <f>IF(F246=0,0,ROUND($F246*COEF!$K$27,0))</f>
        <v>0</v>
      </c>
      <c r="K246" s="858">
        <f>IF(F246=0,0,ROUND($F246*COEF!$L$27,0))</f>
        <v>0</v>
      </c>
      <c r="L246" s="859">
        <f ca="1">+ROUND(I246*'Compra -HOJA1'!I$395,0)</f>
        <v>0</v>
      </c>
      <c r="M246" s="859">
        <f ca="1">+ROUND(J246*'Compra -HOJA1'!J$395,0)</f>
        <v>0</v>
      </c>
      <c r="N246" s="859">
        <f ca="1">+ROUND(K246*'Compra -HOJA1'!K$395,0)</f>
        <v>0</v>
      </c>
      <c r="O246" s="860">
        <f t="shared" ca="1" si="74"/>
        <v>0</v>
      </c>
      <c r="P246" s="860">
        <f t="shared" ca="1" si="74"/>
        <v>0</v>
      </c>
      <c r="Q246" s="860">
        <f t="shared" ca="1" si="74"/>
        <v>0</v>
      </c>
      <c r="R246" s="1969">
        <f t="shared" ca="1" si="75"/>
        <v>0</v>
      </c>
      <c r="S246" s="866"/>
      <c r="T246" s="856">
        <f t="shared" ca="1" si="76"/>
        <v>0</v>
      </c>
      <c r="U246" s="711">
        <f t="shared" ca="1" si="104"/>
        <v>0</v>
      </c>
      <c r="V246" s="711">
        <f t="shared" ca="1" si="104"/>
        <v>0</v>
      </c>
      <c r="W246" s="711">
        <f t="shared" ca="1" si="104"/>
        <v>0</v>
      </c>
      <c r="X246" s="10"/>
      <c r="Y246" s="10"/>
      <c r="Z246" s="10"/>
      <c r="AA246" s="675"/>
      <c r="AB246" s="10"/>
      <c r="AC246" s="871"/>
      <c r="AD246" s="870"/>
      <c r="MK246" s="3454">
        <f t="shared" si="85"/>
        <v>0</v>
      </c>
      <c r="ML246" s="3453">
        <f t="shared" si="86"/>
        <v>0</v>
      </c>
      <c r="MM246" s="3453">
        <f t="shared" si="87"/>
        <v>0</v>
      </c>
      <c r="MN246" s="859">
        <f ca="1">+ROUND(MK246*'Compra -HOJA1'!$I$395,0)</f>
        <v>0</v>
      </c>
      <c r="MO246" s="859">
        <f ca="1">+ROUND(ML246*'Compra -HOJA1'!$J$395,0)</f>
        <v>0</v>
      </c>
      <c r="MP246" s="859">
        <f ca="1">+ROUND(MM246*'Compra -HOJA1'!$K$395,0)</f>
        <v>0</v>
      </c>
      <c r="MQ246" s="860">
        <f t="shared" ca="1" si="88"/>
        <v>0</v>
      </c>
      <c r="MR246" s="860">
        <f t="shared" ca="1" si="89"/>
        <v>0</v>
      </c>
      <c r="MS246" s="860">
        <f t="shared" ca="1" si="90"/>
        <v>0</v>
      </c>
      <c r="MT246" s="1969">
        <f t="shared" ca="1" si="91"/>
        <v>0</v>
      </c>
    </row>
    <row r="247" spans="1:358" ht="54" customHeight="1" x14ac:dyDescent="0.4">
      <c r="A247" s="4034"/>
      <c r="B247" s="4857"/>
      <c r="C247" s="4887"/>
      <c r="D247" s="4888"/>
      <c r="E247" s="3427" t="s">
        <v>635</v>
      </c>
      <c r="F247" s="3438">
        <f>+G247*150</f>
        <v>0</v>
      </c>
      <c r="G247" s="3438">
        <f>+G245</f>
        <v>0</v>
      </c>
      <c r="H247" s="3564"/>
      <c r="I247" s="1968">
        <f>IF(F247=0,0,ROUND($F247*COEF!$J$27,0))</f>
        <v>0</v>
      </c>
      <c r="J247" s="858">
        <f>IF(F247=0,0,ROUND($F247*COEF!$K$27,0))</f>
        <v>0</v>
      </c>
      <c r="K247" s="858">
        <f>IF(F247=0,0,ROUND($F247*COEF!$L$27,0))</f>
        <v>0</v>
      </c>
      <c r="L247" s="859">
        <f ca="1">+ROUND(I247*'Compra -HOJA1'!I$395,0)</f>
        <v>0</v>
      </c>
      <c r="M247" s="859">
        <f ca="1">+ROUND(J247*'Compra -HOJA1'!J$395,0)</f>
        <v>0</v>
      </c>
      <c r="N247" s="859">
        <f ca="1">+ROUND(K247*'Compra -HOJA1'!K$395,0)</f>
        <v>0</v>
      </c>
      <c r="O247" s="860">
        <f t="shared" ca="1" si="74"/>
        <v>0</v>
      </c>
      <c r="P247" s="860">
        <f t="shared" ca="1" si="74"/>
        <v>0</v>
      </c>
      <c r="Q247" s="860">
        <f t="shared" ca="1" si="74"/>
        <v>0</v>
      </c>
      <c r="R247" s="1969">
        <f t="shared" ca="1" si="75"/>
        <v>0</v>
      </c>
      <c r="S247" s="866"/>
      <c r="T247" s="856">
        <f t="shared" ca="1" si="76"/>
        <v>0</v>
      </c>
      <c r="U247" s="711">
        <f t="shared" ca="1" si="104"/>
        <v>0</v>
      </c>
      <c r="V247" s="711">
        <f t="shared" ca="1" si="104"/>
        <v>0</v>
      </c>
      <c r="W247" s="711">
        <f t="shared" ca="1" si="104"/>
        <v>0</v>
      </c>
      <c r="X247" s="10"/>
      <c r="Y247" s="10"/>
      <c r="Z247" s="10"/>
      <c r="AA247" s="675"/>
      <c r="AB247" s="10"/>
      <c r="AC247" s="871"/>
      <c r="AD247" s="874"/>
      <c r="MK247" s="3454">
        <f t="shared" si="85"/>
        <v>0</v>
      </c>
      <c r="ML247" s="3453">
        <f t="shared" si="86"/>
        <v>0</v>
      </c>
      <c r="MM247" s="3453">
        <f t="shared" si="87"/>
        <v>0</v>
      </c>
      <c r="MN247" s="859">
        <f ca="1">+ROUND(MK247*'Compra -HOJA1'!$I$395,0)</f>
        <v>0</v>
      </c>
      <c r="MO247" s="859">
        <f ca="1">+ROUND(ML247*'Compra -HOJA1'!$J$395,0)</f>
        <v>0</v>
      </c>
      <c r="MP247" s="859">
        <f ca="1">+ROUND(MM247*'Compra -HOJA1'!$K$395,0)</f>
        <v>0</v>
      </c>
      <c r="MQ247" s="860">
        <f t="shared" ca="1" si="88"/>
        <v>0</v>
      </c>
      <c r="MR247" s="860">
        <f t="shared" ca="1" si="89"/>
        <v>0</v>
      </c>
      <c r="MS247" s="860">
        <f t="shared" ca="1" si="90"/>
        <v>0</v>
      </c>
      <c r="MT247" s="1969">
        <f t="shared" ca="1" si="91"/>
        <v>0</v>
      </c>
    </row>
    <row r="248" spans="1:358" ht="54" customHeight="1" thickBot="1" x14ac:dyDescent="0.45">
      <c r="A248" s="4034"/>
      <c r="B248" s="4857"/>
      <c r="C248" s="4887"/>
      <c r="D248" s="4888"/>
      <c r="E248" s="3427" t="s">
        <v>636</v>
      </c>
      <c r="F248" s="3562">
        <f>+(F82+F83)-(300*(G82+G83))</f>
        <v>0</v>
      </c>
      <c r="G248" s="3438">
        <f>+G245</f>
        <v>0</v>
      </c>
      <c r="H248" s="3564"/>
      <c r="I248" s="1968">
        <f>IF(F248=0,0,ROUND($F248*COEF!$J$27,0))</f>
        <v>0</v>
      </c>
      <c r="J248" s="858">
        <f>IF(F248=0,0,ROUND($F248*COEF!$K$27,0))</f>
        <v>0</v>
      </c>
      <c r="K248" s="858">
        <f>IF(F248=0,0,ROUND($F248*COEF!$L$27,0))</f>
        <v>0</v>
      </c>
      <c r="L248" s="859">
        <f ca="1">+ROUND(I248*'Compra -HOJA1'!I$395,0)</f>
        <v>0</v>
      </c>
      <c r="M248" s="859">
        <f ca="1">+ROUND(J248*'Compra -HOJA1'!J$395,0)</f>
        <v>0</v>
      </c>
      <c r="N248" s="859">
        <f ca="1">+ROUND(K248*'Compra -HOJA1'!K$395,0)</f>
        <v>0</v>
      </c>
      <c r="O248" s="860">
        <f t="shared" ca="1" si="74"/>
        <v>0</v>
      </c>
      <c r="P248" s="860">
        <f t="shared" ca="1" si="74"/>
        <v>0</v>
      </c>
      <c r="Q248" s="860">
        <f t="shared" ca="1" si="74"/>
        <v>0</v>
      </c>
      <c r="R248" s="1969">
        <f t="shared" ca="1" si="75"/>
        <v>0</v>
      </c>
      <c r="S248" s="866"/>
      <c r="T248" s="856">
        <f t="shared" ca="1" si="76"/>
        <v>0</v>
      </c>
      <c r="U248" s="711">
        <f t="shared" ca="1" si="104"/>
        <v>0</v>
      </c>
      <c r="V248" s="711">
        <f t="shared" ca="1" si="104"/>
        <v>0</v>
      </c>
      <c r="W248" s="711">
        <f t="shared" ca="1" si="104"/>
        <v>0</v>
      </c>
      <c r="X248" s="10"/>
      <c r="Y248" s="10"/>
      <c r="Z248" s="10"/>
      <c r="AA248" s="675"/>
      <c r="AB248" s="10"/>
      <c r="AC248" s="878"/>
      <c r="AD248" s="879"/>
      <c r="MK248" s="3454">
        <f t="shared" si="85"/>
        <v>0</v>
      </c>
      <c r="ML248" s="3453">
        <f t="shared" si="86"/>
        <v>0</v>
      </c>
      <c r="MM248" s="3453">
        <f t="shared" si="87"/>
        <v>0</v>
      </c>
      <c r="MN248" s="859">
        <f ca="1">+ROUND(MK248*'Compra -HOJA1'!$I$395,0)</f>
        <v>0</v>
      </c>
      <c r="MO248" s="859">
        <f ca="1">+ROUND(ML248*'Compra -HOJA1'!$J$395,0)</f>
        <v>0</v>
      </c>
      <c r="MP248" s="859">
        <f ca="1">+ROUND(MM248*'Compra -HOJA1'!$K$395,0)</f>
        <v>0</v>
      </c>
      <c r="MQ248" s="860">
        <f t="shared" ca="1" si="88"/>
        <v>0</v>
      </c>
      <c r="MR248" s="860">
        <f t="shared" ca="1" si="89"/>
        <v>0</v>
      </c>
      <c r="MS248" s="860">
        <f t="shared" ca="1" si="90"/>
        <v>0</v>
      </c>
      <c r="MT248" s="1969">
        <f t="shared" ca="1" si="91"/>
        <v>0</v>
      </c>
    </row>
    <row r="249" spans="1:358" ht="54" customHeight="1" x14ac:dyDescent="0.4">
      <c r="A249" s="4034"/>
      <c r="B249" s="4857"/>
      <c r="C249" s="4887"/>
      <c r="D249" s="4888"/>
      <c r="E249" s="3424" t="s">
        <v>169</v>
      </c>
      <c r="F249" s="3438">
        <f>120*G249</f>
        <v>0</v>
      </c>
      <c r="G249" s="3562">
        <f>+G84+G85</f>
        <v>0</v>
      </c>
      <c r="H249" s="3564"/>
      <c r="I249" s="1968">
        <f>IF(F249=0,0,ROUND($F249*COEF!$J$27,0))</f>
        <v>0</v>
      </c>
      <c r="J249" s="858">
        <f>IF(F249=0,0,ROUND($F249*COEF!$K$27,0))</f>
        <v>0</v>
      </c>
      <c r="K249" s="858">
        <f>IF(F249=0,0,ROUND($F249*COEF!$L$27,0))</f>
        <v>0</v>
      </c>
      <c r="L249" s="859">
        <f ca="1">+ROUND(I249*'Compra -HOJA1'!I$395,0)</f>
        <v>0</v>
      </c>
      <c r="M249" s="859">
        <f ca="1">+ROUND(J249*'Compra -HOJA1'!J$395,0)</f>
        <v>0</v>
      </c>
      <c r="N249" s="859">
        <f ca="1">+ROUND(K249*'Compra -HOJA1'!K$395,0)</f>
        <v>0</v>
      </c>
      <c r="O249" s="860">
        <f t="shared" ca="1" si="74"/>
        <v>0</v>
      </c>
      <c r="P249" s="860">
        <f t="shared" ca="1" si="74"/>
        <v>0</v>
      </c>
      <c r="Q249" s="860">
        <f t="shared" ca="1" si="74"/>
        <v>0</v>
      </c>
      <c r="R249" s="1969">
        <f t="shared" ca="1" si="75"/>
        <v>0</v>
      </c>
      <c r="S249" s="866"/>
      <c r="T249" s="856">
        <f t="shared" ca="1" si="76"/>
        <v>0</v>
      </c>
      <c r="U249" s="711">
        <f t="shared" ca="1" si="104"/>
        <v>0</v>
      </c>
      <c r="V249" s="711">
        <f t="shared" ca="1" si="104"/>
        <v>0</v>
      </c>
      <c r="W249" s="711">
        <f t="shared" ca="1" si="104"/>
        <v>0</v>
      </c>
      <c r="X249" s="10"/>
      <c r="Y249" s="10"/>
      <c r="Z249" s="10"/>
      <c r="AA249" s="675"/>
      <c r="AB249" s="10"/>
      <c r="AC249" s="880"/>
      <c r="AD249" s="885"/>
      <c r="MK249" s="3454">
        <f t="shared" si="85"/>
        <v>0</v>
      </c>
      <c r="ML249" s="3453">
        <f t="shared" si="86"/>
        <v>0</v>
      </c>
      <c r="MM249" s="3453">
        <f t="shared" si="87"/>
        <v>0</v>
      </c>
      <c r="MN249" s="859">
        <f ca="1">+ROUND(MK249*'Compra -HOJA1'!$I$395,0)</f>
        <v>0</v>
      </c>
      <c r="MO249" s="859">
        <f ca="1">+ROUND(ML249*'Compra -HOJA1'!$J$395,0)</f>
        <v>0</v>
      </c>
      <c r="MP249" s="859">
        <f ca="1">+ROUND(MM249*'Compra -HOJA1'!$K$395,0)</f>
        <v>0</v>
      </c>
      <c r="MQ249" s="860">
        <f t="shared" ca="1" si="88"/>
        <v>0</v>
      </c>
      <c r="MR249" s="860">
        <f t="shared" ca="1" si="89"/>
        <v>0</v>
      </c>
      <c r="MS249" s="860">
        <f t="shared" ca="1" si="90"/>
        <v>0</v>
      </c>
      <c r="MT249" s="1969">
        <f t="shared" ca="1" si="91"/>
        <v>0</v>
      </c>
    </row>
    <row r="250" spans="1:358" ht="54" customHeight="1" x14ac:dyDescent="0.4">
      <c r="A250" s="4034"/>
      <c r="B250" s="4857"/>
      <c r="C250" s="4887"/>
      <c r="D250" s="4888"/>
      <c r="E250" s="3424" t="s">
        <v>49</v>
      </c>
      <c r="F250" s="3438">
        <f>+G250*30</f>
        <v>0</v>
      </c>
      <c r="G250" s="3438">
        <f>+G249</f>
        <v>0</v>
      </c>
      <c r="H250" s="3564"/>
      <c r="I250" s="1968">
        <f>IF(F250=0,0,ROUND($F250*COEF!$J$27,0))</f>
        <v>0</v>
      </c>
      <c r="J250" s="858">
        <f>IF(F250=0,0,ROUND($F250*COEF!$K$27,0))</f>
        <v>0</v>
      </c>
      <c r="K250" s="858">
        <f>IF(F250=0,0,ROUND($F250*COEF!$L$27,0))</f>
        <v>0</v>
      </c>
      <c r="L250" s="859">
        <f ca="1">+ROUND(I250*'Compra -HOJA1'!I$395,0)</f>
        <v>0</v>
      </c>
      <c r="M250" s="859">
        <f ca="1">+ROUND(J250*'Compra -HOJA1'!J$395,0)</f>
        <v>0</v>
      </c>
      <c r="N250" s="859">
        <f ca="1">+ROUND(K250*'Compra -HOJA1'!K$395,0)</f>
        <v>0</v>
      </c>
      <c r="O250" s="860">
        <f t="shared" ca="1" si="74"/>
        <v>0</v>
      </c>
      <c r="P250" s="860">
        <f t="shared" ca="1" si="74"/>
        <v>0</v>
      </c>
      <c r="Q250" s="860">
        <f t="shared" ca="1" si="74"/>
        <v>0</v>
      </c>
      <c r="R250" s="1969">
        <f t="shared" ca="1" si="75"/>
        <v>0</v>
      </c>
      <c r="S250" s="866"/>
      <c r="T250" s="856">
        <f t="shared" ca="1" si="76"/>
        <v>0</v>
      </c>
      <c r="U250" s="711">
        <f t="shared" ca="1" si="104"/>
        <v>0</v>
      </c>
      <c r="V250" s="711">
        <f t="shared" ca="1" si="104"/>
        <v>0</v>
      </c>
      <c r="W250" s="711">
        <f t="shared" ca="1" si="104"/>
        <v>0</v>
      </c>
      <c r="X250" s="10"/>
      <c r="Y250" s="10"/>
      <c r="Z250" s="10"/>
      <c r="AA250" s="675"/>
      <c r="AB250" s="10"/>
      <c r="AC250" s="880"/>
      <c r="AD250" s="885"/>
      <c r="MK250" s="3454">
        <f t="shared" ref="MK250:MK292" si="113">+I250</f>
        <v>0</v>
      </c>
      <c r="ML250" s="3453">
        <f t="shared" ref="ML250:ML292" si="114">+F250-I250-K250</f>
        <v>0</v>
      </c>
      <c r="MM250" s="3453">
        <f t="shared" ref="MM250:MM292" si="115">+K250</f>
        <v>0</v>
      </c>
      <c r="MN250" s="859">
        <f ca="1">+ROUND(MK250*'Compra -HOJA1'!$I$395,0)</f>
        <v>0</v>
      </c>
      <c r="MO250" s="859">
        <f ca="1">+ROUND(ML250*'Compra -HOJA1'!$J$395,0)</f>
        <v>0</v>
      </c>
      <c r="MP250" s="859">
        <f ca="1">+ROUND(MM250*'Compra -HOJA1'!$K$395,0)</f>
        <v>0</v>
      </c>
      <c r="MQ250" s="860">
        <f t="shared" ref="MQ250:MQ292" ca="1" si="116">MK250+MN250</f>
        <v>0</v>
      </c>
      <c r="MR250" s="860">
        <f t="shared" ref="MR250:MR292" ca="1" si="117">ML250+MO250</f>
        <v>0</v>
      </c>
      <c r="MS250" s="860">
        <f t="shared" ref="MS250:MS292" ca="1" si="118">MM250+MP250</f>
        <v>0</v>
      </c>
      <c r="MT250" s="1969">
        <f t="shared" ref="MT250:MT292" ca="1" si="119">SUM(MQ250:MS250)</f>
        <v>0</v>
      </c>
    </row>
    <row r="251" spans="1:358" ht="54" customHeight="1" x14ac:dyDescent="0.4">
      <c r="A251" s="4034"/>
      <c r="B251" s="4857"/>
      <c r="C251" s="4887"/>
      <c r="D251" s="4888"/>
      <c r="E251" s="3424" t="s">
        <v>638</v>
      </c>
      <c r="F251" s="3438">
        <f>+G251*150</f>
        <v>0</v>
      </c>
      <c r="G251" s="3438">
        <f>+G249</f>
        <v>0</v>
      </c>
      <c r="H251" s="3564"/>
      <c r="I251" s="1968">
        <f>IF(F251=0,0,ROUND($F251*COEF!$J$27,0))</f>
        <v>0</v>
      </c>
      <c r="J251" s="858">
        <f>IF(F251=0,0,ROUND($F251*COEF!$K$27,0))</f>
        <v>0</v>
      </c>
      <c r="K251" s="858">
        <f>IF(F251=0,0,ROUND($F251*COEF!$L$27,0))</f>
        <v>0</v>
      </c>
      <c r="L251" s="859">
        <f ca="1">+ROUND(I251*'Compra -HOJA1'!I$395,0)</f>
        <v>0</v>
      </c>
      <c r="M251" s="859">
        <f ca="1">+ROUND(J251*'Compra -HOJA1'!J$395,0)</f>
        <v>0</v>
      </c>
      <c r="N251" s="859">
        <f ca="1">+ROUND(K251*'Compra -HOJA1'!K$395,0)</f>
        <v>0</v>
      </c>
      <c r="O251" s="860">
        <f t="shared" ca="1" si="74"/>
        <v>0</v>
      </c>
      <c r="P251" s="860">
        <f t="shared" ca="1" si="74"/>
        <v>0</v>
      </c>
      <c r="Q251" s="860">
        <f t="shared" ca="1" si="74"/>
        <v>0</v>
      </c>
      <c r="R251" s="1969">
        <f t="shared" ca="1" si="75"/>
        <v>0</v>
      </c>
      <c r="S251" s="866"/>
      <c r="T251" s="856">
        <f t="shared" ca="1" si="76"/>
        <v>0</v>
      </c>
      <c r="U251" s="711">
        <f t="shared" ca="1" si="104"/>
        <v>0</v>
      </c>
      <c r="V251" s="711">
        <f t="shared" ca="1" si="104"/>
        <v>0</v>
      </c>
      <c r="W251" s="711">
        <f t="shared" ca="1" si="104"/>
        <v>0</v>
      </c>
      <c r="X251" s="10"/>
      <c r="Y251" s="10"/>
      <c r="Z251" s="10"/>
      <c r="AA251" s="675"/>
      <c r="AB251" s="10"/>
      <c r="AC251" s="880"/>
      <c r="AD251" s="885"/>
      <c r="MK251" s="3454">
        <f t="shared" si="113"/>
        <v>0</v>
      </c>
      <c r="ML251" s="3453">
        <f t="shared" si="114"/>
        <v>0</v>
      </c>
      <c r="MM251" s="3453">
        <f t="shared" si="115"/>
        <v>0</v>
      </c>
      <c r="MN251" s="859">
        <f ca="1">+ROUND(MK251*'Compra -HOJA1'!$I$395,0)</f>
        <v>0</v>
      </c>
      <c r="MO251" s="859">
        <f ca="1">+ROUND(ML251*'Compra -HOJA1'!$J$395,0)</f>
        <v>0</v>
      </c>
      <c r="MP251" s="859">
        <f ca="1">+ROUND(MM251*'Compra -HOJA1'!$K$395,0)</f>
        <v>0</v>
      </c>
      <c r="MQ251" s="860">
        <f t="shared" ca="1" si="116"/>
        <v>0</v>
      </c>
      <c r="MR251" s="860">
        <f t="shared" ca="1" si="117"/>
        <v>0</v>
      </c>
      <c r="MS251" s="860">
        <f t="shared" ca="1" si="118"/>
        <v>0</v>
      </c>
      <c r="MT251" s="1969">
        <f t="shared" ca="1" si="119"/>
        <v>0</v>
      </c>
    </row>
    <row r="252" spans="1:358" ht="60" customHeight="1" x14ac:dyDescent="0.4">
      <c r="A252" s="4034"/>
      <c r="B252" s="4857"/>
      <c r="C252" s="4889"/>
      <c r="D252" s="4890"/>
      <c r="E252" s="3424" t="s">
        <v>639</v>
      </c>
      <c r="F252" s="3562">
        <f>+(F84+F85)-(300*(G84+G85))</f>
        <v>0</v>
      </c>
      <c r="G252" s="3438">
        <f>+G249</f>
        <v>0</v>
      </c>
      <c r="H252" s="3564">
        <f>SUM(F245:F252)</f>
        <v>0</v>
      </c>
      <c r="I252" s="1968">
        <f>IF(F252=0,0,ROUND($F252*COEF!$J$27,0))</f>
        <v>0</v>
      </c>
      <c r="J252" s="858">
        <f>IF(F252=0,0,ROUND($F252*COEF!$K$27,0))</f>
        <v>0</v>
      </c>
      <c r="K252" s="858">
        <f>IF(F252=0,0,ROUND($F252*COEF!$L$27,0))</f>
        <v>0</v>
      </c>
      <c r="L252" s="859">
        <f ca="1">+ROUND(I252*'Compra -HOJA1'!I$395,0)</f>
        <v>0</v>
      </c>
      <c r="M252" s="859">
        <f ca="1">+ROUND(J252*'Compra -HOJA1'!J$395,0)</f>
        <v>0</v>
      </c>
      <c r="N252" s="859">
        <f ca="1">+ROUND(K252*'Compra -HOJA1'!K$395,0)</f>
        <v>0</v>
      </c>
      <c r="O252" s="860">
        <f t="shared" ca="1" si="74"/>
        <v>0</v>
      </c>
      <c r="P252" s="860">
        <f t="shared" ca="1" si="74"/>
        <v>0</v>
      </c>
      <c r="Q252" s="860">
        <f t="shared" ca="1" si="74"/>
        <v>0</v>
      </c>
      <c r="R252" s="1969">
        <f t="shared" ca="1" si="75"/>
        <v>0</v>
      </c>
      <c r="S252" s="866"/>
      <c r="T252" s="856">
        <f t="shared" ca="1" si="76"/>
        <v>0</v>
      </c>
      <c r="U252" s="711">
        <f t="shared" ca="1" si="104"/>
        <v>0</v>
      </c>
      <c r="V252" s="711">
        <f t="shared" ca="1" si="104"/>
        <v>0</v>
      </c>
      <c r="W252" s="711">
        <f t="shared" ca="1" si="104"/>
        <v>0</v>
      </c>
      <c r="X252" s="10"/>
      <c r="Y252" s="10"/>
      <c r="Z252" s="10"/>
      <c r="AA252" s="675"/>
      <c r="AB252" s="10"/>
      <c r="AC252" s="880"/>
      <c r="AD252" s="885"/>
      <c r="MK252" s="3454">
        <f t="shared" si="113"/>
        <v>0</v>
      </c>
      <c r="ML252" s="3453">
        <f t="shared" si="114"/>
        <v>0</v>
      </c>
      <c r="MM252" s="3453">
        <f t="shared" si="115"/>
        <v>0</v>
      </c>
      <c r="MN252" s="859">
        <f ca="1">+ROUND(MK252*'Compra -HOJA1'!$I$395,0)</f>
        <v>0</v>
      </c>
      <c r="MO252" s="859">
        <f ca="1">+ROUND(ML252*'Compra -HOJA1'!$J$395,0)</f>
        <v>0</v>
      </c>
      <c r="MP252" s="859">
        <f ca="1">+ROUND(MM252*'Compra -HOJA1'!$K$395,0)</f>
        <v>0</v>
      </c>
      <c r="MQ252" s="860">
        <f t="shared" ca="1" si="116"/>
        <v>0</v>
      </c>
      <c r="MR252" s="860">
        <f t="shared" ca="1" si="117"/>
        <v>0</v>
      </c>
      <c r="MS252" s="860">
        <f t="shared" ca="1" si="118"/>
        <v>0</v>
      </c>
      <c r="MT252" s="1969">
        <f t="shared" ca="1" si="119"/>
        <v>0</v>
      </c>
    </row>
    <row r="253" spans="1:358" ht="60" customHeight="1" x14ac:dyDescent="0.4">
      <c r="A253" s="4034"/>
      <c r="B253" s="4857"/>
      <c r="C253" s="4885" t="s">
        <v>828</v>
      </c>
      <c r="D253" s="4886"/>
      <c r="E253" s="3427" t="s">
        <v>46</v>
      </c>
      <c r="F253" s="3441">
        <f>120*G253</f>
        <v>0</v>
      </c>
      <c r="G253" s="3441">
        <f>+G86</f>
        <v>0</v>
      </c>
      <c r="H253" s="3566">
        <f>+H252-K85</f>
        <v>0</v>
      </c>
      <c r="I253" s="1968">
        <f>IF(F253=0,0,ROUND($F253*COEF!$J$27,0))</f>
        <v>0</v>
      </c>
      <c r="J253" s="858">
        <f>IF(F253=0,0,ROUND($F253*COEF!$K$27,0))</f>
        <v>0</v>
      </c>
      <c r="K253" s="858">
        <f>IF(F253=0,0,ROUND($F253*COEF!$L$27,0))</f>
        <v>0</v>
      </c>
      <c r="L253" s="859">
        <f ca="1">+ROUND(I253*'Compra -HOJA1'!I$395,0)</f>
        <v>0</v>
      </c>
      <c r="M253" s="859">
        <f ca="1">+ROUND(J253*'Compra -HOJA1'!J$395,0)</f>
        <v>0</v>
      </c>
      <c r="N253" s="859">
        <f ca="1">+ROUND(K253*'Compra -HOJA1'!K$395,0)</f>
        <v>0</v>
      </c>
      <c r="O253" s="860">
        <f t="shared" ref="O253:O268" ca="1" si="120">I253+L253</f>
        <v>0</v>
      </c>
      <c r="P253" s="860">
        <f t="shared" ref="P253:P268" ca="1" si="121">J253+M253</f>
        <v>0</v>
      </c>
      <c r="Q253" s="860">
        <f t="shared" ref="Q253:Q268" ca="1" si="122">K253+N253</f>
        <v>0</v>
      </c>
      <c r="R253" s="1969">
        <f t="shared" ref="R253:R268" ca="1" si="123">SUM(O253:Q253)</f>
        <v>0</v>
      </c>
      <c r="S253" s="866"/>
      <c r="T253" s="856"/>
      <c r="U253" s="711"/>
      <c r="V253" s="711"/>
      <c r="W253" s="711"/>
      <c r="X253" s="10"/>
      <c r="Y253" s="10"/>
      <c r="Z253" s="10"/>
      <c r="AA253" s="675"/>
      <c r="AB253" s="10"/>
      <c r="AC253" s="880"/>
      <c r="AD253" s="885"/>
      <c r="MK253" s="3454">
        <f t="shared" si="113"/>
        <v>0</v>
      </c>
      <c r="ML253" s="3453">
        <f t="shared" si="114"/>
        <v>0</v>
      </c>
      <c r="MM253" s="3453">
        <f t="shared" si="115"/>
        <v>0</v>
      </c>
      <c r="MN253" s="859">
        <f ca="1">+ROUND(MK253*'Compra -HOJA1'!$I$395,0)</f>
        <v>0</v>
      </c>
      <c r="MO253" s="859">
        <f ca="1">+ROUND(ML253*'Compra -HOJA1'!$J$395,0)</f>
        <v>0</v>
      </c>
      <c r="MP253" s="859">
        <f ca="1">+ROUND(MM253*'Compra -HOJA1'!$K$395,0)</f>
        <v>0</v>
      </c>
      <c r="MQ253" s="860">
        <f t="shared" ca="1" si="116"/>
        <v>0</v>
      </c>
      <c r="MR253" s="860">
        <f t="shared" ca="1" si="117"/>
        <v>0</v>
      </c>
      <c r="MS253" s="860">
        <f t="shared" ca="1" si="118"/>
        <v>0</v>
      </c>
      <c r="MT253" s="1969">
        <f t="shared" ca="1" si="119"/>
        <v>0</v>
      </c>
    </row>
    <row r="254" spans="1:358" ht="60" customHeight="1" x14ac:dyDescent="0.4">
      <c r="A254" s="4034"/>
      <c r="B254" s="4857"/>
      <c r="C254" s="4887"/>
      <c r="D254" s="4888"/>
      <c r="E254" s="3427" t="s">
        <v>47</v>
      </c>
      <c r="F254" s="3441">
        <f>+G254*30</f>
        <v>0</v>
      </c>
      <c r="G254" s="3441">
        <f>+G253</f>
        <v>0</v>
      </c>
      <c r="H254" s="3420"/>
      <c r="I254" s="1968">
        <f>IF(F254=0,0,ROUND($F254*COEF!$J$27,0))</f>
        <v>0</v>
      </c>
      <c r="J254" s="858">
        <f>IF(F254=0,0,ROUND($F254*COEF!$K$27,0))</f>
        <v>0</v>
      </c>
      <c r="K254" s="858">
        <f>IF(F254=0,0,ROUND($F254*COEF!$L$27,0))</f>
        <v>0</v>
      </c>
      <c r="L254" s="859">
        <f ca="1">+ROUND(I254*'Compra -HOJA1'!I$395,0)</f>
        <v>0</v>
      </c>
      <c r="M254" s="859">
        <f ca="1">+ROUND(J254*'Compra -HOJA1'!J$395,0)</f>
        <v>0</v>
      </c>
      <c r="N254" s="859">
        <f ca="1">+ROUND(K254*'Compra -HOJA1'!K$395,0)</f>
        <v>0</v>
      </c>
      <c r="O254" s="860">
        <f t="shared" ca="1" si="120"/>
        <v>0</v>
      </c>
      <c r="P254" s="860">
        <f t="shared" ca="1" si="121"/>
        <v>0</v>
      </c>
      <c r="Q254" s="860">
        <f t="shared" ca="1" si="122"/>
        <v>0</v>
      </c>
      <c r="R254" s="1969">
        <f t="shared" ca="1" si="123"/>
        <v>0</v>
      </c>
      <c r="S254" s="866"/>
      <c r="T254" s="856"/>
      <c r="U254" s="711"/>
      <c r="V254" s="711"/>
      <c r="W254" s="711"/>
      <c r="X254" s="10"/>
      <c r="Y254" s="10"/>
      <c r="Z254" s="10"/>
      <c r="AA254" s="675"/>
      <c r="AB254" s="10"/>
      <c r="AC254" s="880"/>
      <c r="AD254" s="885"/>
      <c r="MK254" s="3454">
        <f t="shared" si="113"/>
        <v>0</v>
      </c>
      <c r="ML254" s="3453">
        <f t="shared" si="114"/>
        <v>0</v>
      </c>
      <c r="MM254" s="3453">
        <f t="shared" si="115"/>
        <v>0</v>
      </c>
      <c r="MN254" s="859">
        <f ca="1">+ROUND(MK254*'Compra -HOJA1'!$I$395,0)</f>
        <v>0</v>
      </c>
      <c r="MO254" s="859">
        <f ca="1">+ROUND(ML254*'Compra -HOJA1'!$J$395,0)</f>
        <v>0</v>
      </c>
      <c r="MP254" s="859">
        <f ca="1">+ROUND(MM254*'Compra -HOJA1'!$K$395,0)</f>
        <v>0</v>
      </c>
      <c r="MQ254" s="860">
        <f t="shared" ca="1" si="116"/>
        <v>0</v>
      </c>
      <c r="MR254" s="860">
        <f t="shared" ca="1" si="117"/>
        <v>0</v>
      </c>
      <c r="MS254" s="860">
        <f t="shared" ca="1" si="118"/>
        <v>0</v>
      </c>
      <c r="MT254" s="1969">
        <f t="shared" ca="1" si="119"/>
        <v>0</v>
      </c>
    </row>
    <row r="255" spans="1:358" ht="60" customHeight="1" x14ac:dyDescent="0.4">
      <c r="A255" s="4034"/>
      <c r="B255" s="4857"/>
      <c r="C255" s="4887"/>
      <c r="D255" s="4888"/>
      <c r="E255" s="3427" t="s">
        <v>635</v>
      </c>
      <c r="F255" s="3441">
        <f>+G255*150</f>
        <v>0</v>
      </c>
      <c r="G255" s="3441">
        <f>+G253</f>
        <v>0</v>
      </c>
      <c r="H255" s="3420"/>
      <c r="I255" s="1968">
        <f>IF(F255=0,0,ROUND($F255*COEF!$J$27,0))</f>
        <v>0</v>
      </c>
      <c r="J255" s="858">
        <f>IF(F255=0,0,ROUND($F255*COEF!$K$27,0))</f>
        <v>0</v>
      </c>
      <c r="K255" s="858">
        <f>IF(F255=0,0,ROUND($F255*COEF!$L$27,0))</f>
        <v>0</v>
      </c>
      <c r="L255" s="859">
        <f ca="1">+ROUND(I255*'Compra -HOJA1'!I$395,0)</f>
        <v>0</v>
      </c>
      <c r="M255" s="859">
        <f ca="1">+ROUND(J255*'Compra -HOJA1'!J$395,0)</f>
        <v>0</v>
      </c>
      <c r="N255" s="859">
        <f ca="1">+ROUND(K255*'Compra -HOJA1'!K$395,0)</f>
        <v>0</v>
      </c>
      <c r="O255" s="860">
        <f t="shared" ca="1" si="120"/>
        <v>0</v>
      </c>
      <c r="P255" s="860">
        <f t="shared" ca="1" si="121"/>
        <v>0</v>
      </c>
      <c r="Q255" s="860">
        <f t="shared" ca="1" si="122"/>
        <v>0</v>
      </c>
      <c r="R255" s="1969">
        <f t="shared" ca="1" si="123"/>
        <v>0</v>
      </c>
      <c r="S255" s="866"/>
      <c r="T255" s="856"/>
      <c r="U255" s="711"/>
      <c r="V255" s="711"/>
      <c r="W255" s="711"/>
      <c r="X255" s="10"/>
      <c r="Y255" s="10"/>
      <c r="Z255" s="10"/>
      <c r="AA255" s="675"/>
      <c r="AB255" s="10"/>
      <c r="AC255" s="880"/>
      <c r="AD255" s="885"/>
      <c r="MK255" s="3454">
        <f t="shared" si="113"/>
        <v>0</v>
      </c>
      <c r="ML255" s="3453">
        <f t="shared" si="114"/>
        <v>0</v>
      </c>
      <c r="MM255" s="3453">
        <f t="shared" si="115"/>
        <v>0</v>
      </c>
      <c r="MN255" s="859">
        <f ca="1">+ROUND(MK255*'Compra -HOJA1'!$I$395,0)</f>
        <v>0</v>
      </c>
      <c r="MO255" s="859">
        <f ca="1">+ROUND(ML255*'Compra -HOJA1'!$J$395,0)</f>
        <v>0</v>
      </c>
      <c r="MP255" s="859">
        <f ca="1">+ROUND(MM255*'Compra -HOJA1'!$K$395,0)</f>
        <v>0</v>
      </c>
      <c r="MQ255" s="860">
        <f t="shared" ca="1" si="116"/>
        <v>0</v>
      </c>
      <c r="MR255" s="860">
        <f t="shared" ca="1" si="117"/>
        <v>0</v>
      </c>
      <c r="MS255" s="860">
        <f t="shared" ca="1" si="118"/>
        <v>0</v>
      </c>
      <c r="MT255" s="1969">
        <f t="shared" ca="1" si="119"/>
        <v>0</v>
      </c>
    </row>
    <row r="256" spans="1:358" ht="60" customHeight="1" x14ac:dyDescent="0.4">
      <c r="A256" s="4034"/>
      <c r="B256" s="4857"/>
      <c r="C256" s="4887"/>
      <c r="D256" s="4888"/>
      <c r="E256" s="3427" t="s">
        <v>636</v>
      </c>
      <c r="F256" s="3441">
        <f>+F86-(300*G86)</f>
        <v>0</v>
      </c>
      <c r="G256" s="3441">
        <f>+G253</f>
        <v>0</v>
      </c>
      <c r="H256" s="3420"/>
      <c r="I256" s="1968">
        <f>IF(F256=0,0,ROUND($F256*COEF!$J$27,0))</f>
        <v>0</v>
      </c>
      <c r="J256" s="858">
        <f>IF(F256=0,0,ROUND($F256*COEF!$K$27,0))</f>
        <v>0</v>
      </c>
      <c r="K256" s="858">
        <f>IF(F256=0,0,ROUND($F256*COEF!$L$27,0))</f>
        <v>0</v>
      </c>
      <c r="L256" s="859">
        <f ca="1">+ROUND(I256*'Compra -HOJA1'!I$395,0)</f>
        <v>0</v>
      </c>
      <c r="M256" s="859">
        <f ca="1">+ROUND(J256*'Compra -HOJA1'!J$395,0)</f>
        <v>0</v>
      </c>
      <c r="N256" s="859">
        <f ca="1">+ROUND(K256*'Compra -HOJA1'!K$395,0)</f>
        <v>0</v>
      </c>
      <c r="O256" s="860">
        <f t="shared" ca="1" si="120"/>
        <v>0</v>
      </c>
      <c r="P256" s="860">
        <f t="shared" ca="1" si="121"/>
        <v>0</v>
      </c>
      <c r="Q256" s="860">
        <f t="shared" ca="1" si="122"/>
        <v>0</v>
      </c>
      <c r="R256" s="1969">
        <f t="shared" ca="1" si="123"/>
        <v>0</v>
      </c>
      <c r="S256" s="866"/>
      <c r="T256" s="856"/>
      <c r="U256" s="711"/>
      <c r="V256" s="711"/>
      <c r="W256" s="711"/>
      <c r="X256" s="10"/>
      <c r="Y256" s="10"/>
      <c r="Z256" s="10"/>
      <c r="AA256" s="675"/>
      <c r="AB256" s="10"/>
      <c r="AC256" s="880"/>
      <c r="AD256" s="885"/>
      <c r="MK256" s="3454">
        <f t="shared" si="113"/>
        <v>0</v>
      </c>
      <c r="ML256" s="3453">
        <f t="shared" si="114"/>
        <v>0</v>
      </c>
      <c r="MM256" s="3453">
        <f t="shared" si="115"/>
        <v>0</v>
      </c>
      <c r="MN256" s="859">
        <f ca="1">+ROUND(MK256*'Compra -HOJA1'!$I$395,0)</f>
        <v>0</v>
      </c>
      <c r="MO256" s="859">
        <f ca="1">+ROUND(ML256*'Compra -HOJA1'!$J$395,0)</f>
        <v>0</v>
      </c>
      <c r="MP256" s="859">
        <f ca="1">+ROUND(MM256*'Compra -HOJA1'!$K$395,0)</f>
        <v>0</v>
      </c>
      <c r="MQ256" s="860">
        <f t="shared" ca="1" si="116"/>
        <v>0</v>
      </c>
      <c r="MR256" s="860">
        <f t="shared" ca="1" si="117"/>
        <v>0</v>
      </c>
      <c r="MS256" s="860">
        <f t="shared" ca="1" si="118"/>
        <v>0</v>
      </c>
      <c r="MT256" s="1969">
        <f t="shared" ca="1" si="119"/>
        <v>0</v>
      </c>
    </row>
    <row r="257" spans="1:358" ht="60" customHeight="1" x14ac:dyDescent="0.4">
      <c r="A257" s="4034"/>
      <c r="B257" s="4857"/>
      <c r="C257" s="4887"/>
      <c r="D257" s="4888"/>
      <c r="E257" s="3424" t="s">
        <v>169</v>
      </c>
      <c r="F257" s="3441">
        <f>120*G257</f>
        <v>0</v>
      </c>
      <c r="G257" s="3441">
        <f>+G87</f>
        <v>0</v>
      </c>
      <c r="H257" s="3420"/>
      <c r="I257" s="1968">
        <f>IF(F257=0,0,ROUND($F257*COEF!$J$27,0))</f>
        <v>0</v>
      </c>
      <c r="J257" s="858">
        <f>IF(F257=0,0,ROUND($F257*COEF!$K$27,0))</f>
        <v>0</v>
      </c>
      <c r="K257" s="858">
        <f>IF(F257=0,0,ROUND($F257*COEF!$L$27,0))</f>
        <v>0</v>
      </c>
      <c r="L257" s="859">
        <f ca="1">+ROUND(I257*'Compra -HOJA1'!I$395,0)</f>
        <v>0</v>
      </c>
      <c r="M257" s="859">
        <f ca="1">+ROUND(J257*'Compra -HOJA1'!J$395,0)</f>
        <v>0</v>
      </c>
      <c r="N257" s="859">
        <f ca="1">+ROUND(K257*'Compra -HOJA1'!K$395,0)</f>
        <v>0</v>
      </c>
      <c r="O257" s="860">
        <f t="shared" ca="1" si="120"/>
        <v>0</v>
      </c>
      <c r="P257" s="860">
        <f t="shared" ca="1" si="121"/>
        <v>0</v>
      </c>
      <c r="Q257" s="860">
        <f t="shared" ca="1" si="122"/>
        <v>0</v>
      </c>
      <c r="R257" s="1969">
        <f t="shared" ca="1" si="123"/>
        <v>0</v>
      </c>
      <c r="S257" s="866"/>
      <c r="T257" s="856"/>
      <c r="U257" s="711"/>
      <c r="V257" s="711"/>
      <c r="W257" s="711"/>
      <c r="X257" s="10"/>
      <c r="Y257" s="10"/>
      <c r="Z257" s="10"/>
      <c r="AA257" s="675"/>
      <c r="AB257" s="10"/>
      <c r="AC257" s="880"/>
      <c r="AD257" s="885"/>
      <c r="MK257" s="3454">
        <f t="shared" si="113"/>
        <v>0</v>
      </c>
      <c r="ML257" s="3453">
        <f t="shared" si="114"/>
        <v>0</v>
      </c>
      <c r="MM257" s="3453">
        <f t="shared" si="115"/>
        <v>0</v>
      </c>
      <c r="MN257" s="859">
        <f ca="1">+ROUND(MK257*'Compra -HOJA1'!$I$395,0)</f>
        <v>0</v>
      </c>
      <c r="MO257" s="859">
        <f ca="1">+ROUND(ML257*'Compra -HOJA1'!$J$395,0)</f>
        <v>0</v>
      </c>
      <c r="MP257" s="859">
        <f ca="1">+ROUND(MM257*'Compra -HOJA1'!$K$395,0)</f>
        <v>0</v>
      </c>
      <c r="MQ257" s="860">
        <f t="shared" ca="1" si="116"/>
        <v>0</v>
      </c>
      <c r="MR257" s="860">
        <f t="shared" ca="1" si="117"/>
        <v>0</v>
      </c>
      <c r="MS257" s="860">
        <f t="shared" ca="1" si="118"/>
        <v>0</v>
      </c>
      <c r="MT257" s="1969">
        <f t="shared" ca="1" si="119"/>
        <v>0</v>
      </c>
    </row>
    <row r="258" spans="1:358" ht="60" customHeight="1" x14ac:dyDescent="0.4">
      <c r="A258" s="4034"/>
      <c r="B258" s="4857"/>
      <c r="C258" s="4887"/>
      <c r="D258" s="4888"/>
      <c r="E258" s="3424" t="s">
        <v>49</v>
      </c>
      <c r="F258" s="3441">
        <f>+G258*30</f>
        <v>0</v>
      </c>
      <c r="G258" s="3441">
        <f>+G257</f>
        <v>0</v>
      </c>
      <c r="H258" s="3420"/>
      <c r="I258" s="1968">
        <f>IF(F258=0,0,ROUND($F258*COEF!$J$27,0))</f>
        <v>0</v>
      </c>
      <c r="J258" s="858">
        <f>IF(F258=0,0,ROUND($F258*COEF!$K$27,0))</f>
        <v>0</v>
      </c>
      <c r="K258" s="858">
        <f>IF(F258=0,0,ROUND($F258*COEF!$L$27,0))</f>
        <v>0</v>
      </c>
      <c r="L258" s="859">
        <f ca="1">+ROUND(I258*'Compra -HOJA1'!I$395,0)</f>
        <v>0</v>
      </c>
      <c r="M258" s="859">
        <f ca="1">+ROUND(J258*'Compra -HOJA1'!J$395,0)</f>
        <v>0</v>
      </c>
      <c r="N258" s="859">
        <f ca="1">+ROUND(K258*'Compra -HOJA1'!K$395,0)</f>
        <v>0</v>
      </c>
      <c r="O258" s="860">
        <f t="shared" ca="1" si="120"/>
        <v>0</v>
      </c>
      <c r="P258" s="860">
        <f t="shared" ca="1" si="121"/>
        <v>0</v>
      </c>
      <c r="Q258" s="860">
        <f t="shared" ca="1" si="122"/>
        <v>0</v>
      </c>
      <c r="R258" s="1969">
        <f t="shared" ca="1" si="123"/>
        <v>0</v>
      </c>
      <c r="S258" s="866"/>
      <c r="T258" s="856"/>
      <c r="U258" s="711"/>
      <c r="V258" s="711"/>
      <c r="W258" s="711"/>
      <c r="X258" s="10"/>
      <c r="Y258" s="10"/>
      <c r="Z258" s="10"/>
      <c r="AA258" s="675"/>
      <c r="AB258" s="10"/>
      <c r="AC258" s="880"/>
      <c r="AD258" s="885"/>
      <c r="MK258" s="3454">
        <f t="shared" si="113"/>
        <v>0</v>
      </c>
      <c r="ML258" s="3453">
        <f t="shared" si="114"/>
        <v>0</v>
      </c>
      <c r="MM258" s="3453">
        <f t="shared" si="115"/>
        <v>0</v>
      </c>
      <c r="MN258" s="859">
        <f ca="1">+ROUND(MK258*'Compra -HOJA1'!$I$395,0)</f>
        <v>0</v>
      </c>
      <c r="MO258" s="859">
        <f ca="1">+ROUND(ML258*'Compra -HOJA1'!$J$395,0)</f>
        <v>0</v>
      </c>
      <c r="MP258" s="859">
        <f ca="1">+ROUND(MM258*'Compra -HOJA1'!$K$395,0)</f>
        <v>0</v>
      </c>
      <c r="MQ258" s="860">
        <f t="shared" ca="1" si="116"/>
        <v>0</v>
      </c>
      <c r="MR258" s="860">
        <f t="shared" ca="1" si="117"/>
        <v>0</v>
      </c>
      <c r="MS258" s="860">
        <f t="shared" ca="1" si="118"/>
        <v>0</v>
      </c>
      <c r="MT258" s="1969">
        <f t="shared" ca="1" si="119"/>
        <v>0</v>
      </c>
    </row>
    <row r="259" spans="1:358" ht="60" customHeight="1" x14ac:dyDescent="0.4">
      <c r="A259" s="4034"/>
      <c r="B259" s="4857"/>
      <c r="C259" s="4887"/>
      <c r="D259" s="4888"/>
      <c r="E259" s="3424" t="s">
        <v>638</v>
      </c>
      <c r="F259" s="3441">
        <f>+G259*150</f>
        <v>0</v>
      </c>
      <c r="G259" s="3441">
        <f>+G257</f>
        <v>0</v>
      </c>
      <c r="H259" s="3420"/>
      <c r="I259" s="1968">
        <f>IF(F259=0,0,ROUND($F259*COEF!$J$27,0))</f>
        <v>0</v>
      </c>
      <c r="J259" s="858">
        <f>IF(F259=0,0,ROUND($F259*COEF!$K$27,0))</f>
        <v>0</v>
      </c>
      <c r="K259" s="858">
        <f>IF(F259=0,0,ROUND($F259*COEF!$L$27,0))</f>
        <v>0</v>
      </c>
      <c r="L259" s="859">
        <f ca="1">+ROUND(I259*'Compra -HOJA1'!I$395,0)</f>
        <v>0</v>
      </c>
      <c r="M259" s="859">
        <f ca="1">+ROUND(J259*'Compra -HOJA1'!J$395,0)</f>
        <v>0</v>
      </c>
      <c r="N259" s="859">
        <f ca="1">+ROUND(K259*'Compra -HOJA1'!K$395,0)</f>
        <v>0</v>
      </c>
      <c r="O259" s="860">
        <f t="shared" ca="1" si="120"/>
        <v>0</v>
      </c>
      <c r="P259" s="860">
        <f t="shared" ca="1" si="121"/>
        <v>0</v>
      </c>
      <c r="Q259" s="860">
        <f t="shared" ca="1" si="122"/>
        <v>0</v>
      </c>
      <c r="R259" s="1969">
        <f t="shared" ca="1" si="123"/>
        <v>0</v>
      </c>
      <c r="S259" s="866"/>
      <c r="T259" s="856"/>
      <c r="U259" s="711"/>
      <c r="V259" s="711"/>
      <c r="W259" s="711"/>
      <c r="X259" s="10"/>
      <c r="Y259" s="10"/>
      <c r="Z259" s="10"/>
      <c r="AA259" s="675"/>
      <c r="AB259" s="10"/>
      <c r="AC259" s="880"/>
      <c r="AD259" s="885"/>
      <c r="MK259" s="3454">
        <f t="shared" si="113"/>
        <v>0</v>
      </c>
      <c r="ML259" s="3453">
        <f t="shared" si="114"/>
        <v>0</v>
      </c>
      <c r="MM259" s="3453">
        <f t="shared" si="115"/>
        <v>0</v>
      </c>
      <c r="MN259" s="859">
        <f ca="1">+ROUND(MK259*'Compra -HOJA1'!$I$395,0)</f>
        <v>0</v>
      </c>
      <c r="MO259" s="859">
        <f ca="1">+ROUND(ML259*'Compra -HOJA1'!$J$395,0)</f>
        <v>0</v>
      </c>
      <c r="MP259" s="859">
        <f ca="1">+ROUND(MM259*'Compra -HOJA1'!$K$395,0)</f>
        <v>0</v>
      </c>
      <c r="MQ259" s="860">
        <f t="shared" ca="1" si="116"/>
        <v>0</v>
      </c>
      <c r="MR259" s="860">
        <f t="shared" ca="1" si="117"/>
        <v>0</v>
      </c>
      <c r="MS259" s="860">
        <f t="shared" ca="1" si="118"/>
        <v>0</v>
      </c>
      <c r="MT259" s="1969">
        <f t="shared" ca="1" si="119"/>
        <v>0</v>
      </c>
    </row>
    <row r="260" spans="1:358" ht="60" customHeight="1" x14ac:dyDescent="0.4">
      <c r="A260" s="4034"/>
      <c r="B260" s="4857"/>
      <c r="C260" s="4889"/>
      <c r="D260" s="4890"/>
      <c r="E260" s="3424" t="s">
        <v>639</v>
      </c>
      <c r="F260" s="3441">
        <f>+F87-(300*G87)</f>
        <v>0</v>
      </c>
      <c r="G260" s="3441">
        <f>+G257</f>
        <v>0</v>
      </c>
      <c r="H260" s="3420"/>
      <c r="I260" s="1968">
        <f>IF(F260=0,0,ROUND($F260*COEF!$J$27,0))</f>
        <v>0</v>
      </c>
      <c r="J260" s="858">
        <f>IF(F260=0,0,ROUND($F260*COEF!$K$27,0))</f>
        <v>0</v>
      </c>
      <c r="K260" s="858">
        <f>IF(F260=0,0,ROUND($F260*COEF!$L$27,0))</f>
        <v>0</v>
      </c>
      <c r="L260" s="859">
        <f ca="1">+ROUND(I260*'Compra -HOJA1'!I$395,0)</f>
        <v>0</v>
      </c>
      <c r="M260" s="859">
        <f ca="1">+ROUND(J260*'Compra -HOJA1'!J$395,0)</f>
        <v>0</v>
      </c>
      <c r="N260" s="859">
        <f ca="1">+ROUND(K260*'Compra -HOJA1'!K$395,0)</f>
        <v>0</v>
      </c>
      <c r="O260" s="860">
        <f t="shared" ca="1" si="120"/>
        <v>0</v>
      </c>
      <c r="P260" s="860">
        <f t="shared" ca="1" si="121"/>
        <v>0</v>
      </c>
      <c r="Q260" s="860">
        <f t="shared" ca="1" si="122"/>
        <v>0</v>
      </c>
      <c r="R260" s="1969">
        <f t="shared" ca="1" si="123"/>
        <v>0</v>
      </c>
      <c r="S260" s="866"/>
      <c r="T260" s="856"/>
      <c r="U260" s="711"/>
      <c r="V260" s="711"/>
      <c r="W260" s="711"/>
      <c r="X260" s="10"/>
      <c r="Y260" s="10"/>
      <c r="Z260" s="10"/>
      <c r="AA260" s="675"/>
      <c r="AB260" s="10"/>
      <c r="AC260" s="880"/>
      <c r="AD260" s="885"/>
      <c r="MK260" s="3454">
        <f t="shared" si="113"/>
        <v>0</v>
      </c>
      <c r="ML260" s="3453">
        <f t="shared" si="114"/>
        <v>0</v>
      </c>
      <c r="MM260" s="3453">
        <f t="shared" si="115"/>
        <v>0</v>
      </c>
      <c r="MN260" s="859">
        <f ca="1">+ROUND(MK260*'Compra -HOJA1'!$I$395,0)</f>
        <v>0</v>
      </c>
      <c r="MO260" s="859">
        <f ca="1">+ROUND(ML260*'Compra -HOJA1'!$J$395,0)</f>
        <v>0</v>
      </c>
      <c r="MP260" s="859">
        <f ca="1">+ROUND(MM260*'Compra -HOJA1'!$K$395,0)</f>
        <v>0</v>
      </c>
      <c r="MQ260" s="860">
        <f t="shared" ca="1" si="116"/>
        <v>0</v>
      </c>
      <c r="MR260" s="860">
        <f t="shared" ca="1" si="117"/>
        <v>0</v>
      </c>
      <c r="MS260" s="860">
        <f t="shared" ca="1" si="118"/>
        <v>0</v>
      </c>
      <c r="MT260" s="1969">
        <f t="shared" ca="1" si="119"/>
        <v>0</v>
      </c>
    </row>
    <row r="261" spans="1:358" ht="60" customHeight="1" x14ac:dyDescent="0.4">
      <c r="A261" s="4034"/>
      <c r="B261" s="4857"/>
      <c r="C261" s="4885" t="s">
        <v>829</v>
      </c>
      <c r="D261" s="4886"/>
      <c r="E261" s="3427" t="s">
        <v>46</v>
      </c>
      <c r="F261" s="3442">
        <f>120*G261</f>
        <v>0</v>
      </c>
      <c r="G261" s="3442">
        <f>+G88</f>
        <v>0</v>
      </c>
      <c r="H261" s="3420"/>
      <c r="I261" s="1968">
        <f>IF(F261=0,0,ROUND($F261*COEF!$J$27,0))</f>
        <v>0</v>
      </c>
      <c r="J261" s="858">
        <f>IF(F261=0,0,ROUND($F261*COEF!$K$27,0))</f>
        <v>0</v>
      </c>
      <c r="K261" s="858">
        <f>IF(F261=0,0,ROUND($F261*COEF!$L$27,0))</f>
        <v>0</v>
      </c>
      <c r="L261" s="859">
        <f ca="1">+ROUND(I261*'Compra -HOJA1'!I$395,0)</f>
        <v>0</v>
      </c>
      <c r="M261" s="859">
        <f ca="1">+ROUND(J261*'Compra -HOJA1'!J$395,0)</f>
        <v>0</v>
      </c>
      <c r="N261" s="859">
        <f ca="1">+ROUND(K261*'Compra -HOJA1'!K$395,0)</f>
        <v>0</v>
      </c>
      <c r="O261" s="860">
        <f t="shared" ca="1" si="120"/>
        <v>0</v>
      </c>
      <c r="P261" s="860">
        <f t="shared" ca="1" si="121"/>
        <v>0</v>
      </c>
      <c r="Q261" s="860">
        <f t="shared" ca="1" si="122"/>
        <v>0</v>
      </c>
      <c r="R261" s="1969">
        <f t="shared" ca="1" si="123"/>
        <v>0</v>
      </c>
      <c r="S261" s="866"/>
      <c r="T261" s="856"/>
      <c r="U261" s="711"/>
      <c r="V261" s="711"/>
      <c r="W261" s="711"/>
      <c r="X261" s="10"/>
      <c r="Y261" s="10"/>
      <c r="Z261" s="10"/>
      <c r="AA261" s="675"/>
      <c r="AB261" s="10"/>
      <c r="AC261" s="880"/>
      <c r="AD261" s="885"/>
      <c r="MK261" s="3454">
        <f t="shared" si="113"/>
        <v>0</v>
      </c>
      <c r="ML261" s="3453">
        <f t="shared" si="114"/>
        <v>0</v>
      </c>
      <c r="MM261" s="3453">
        <f t="shared" si="115"/>
        <v>0</v>
      </c>
      <c r="MN261" s="859">
        <f ca="1">+ROUND(MK261*'Compra -HOJA1'!$I$395,0)</f>
        <v>0</v>
      </c>
      <c r="MO261" s="859">
        <f ca="1">+ROUND(ML261*'Compra -HOJA1'!$J$395,0)</f>
        <v>0</v>
      </c>
      <c r="MP261" s="859">
        <f ca="1">+ROUND(MM261*'Compra -HOJA1'!$K$395,0)</f>
        <v>0</v>
      </c>
      <c r="MQ261" s="860">
        <f t="shared" ca="1" si="116"/>
        <v>0</v>
      </c>
      <c r="MR261" s="860">
        <f t="shared" ca="1" si="117"/>
        <v>0</v>
      </c>
      <c r="MS261" s="860">
        <f t="shared" ca="1" si="118"/>
        <v>0</v>
      </c>
      <c r="MT261" s="1969">
        <f t="shared" ca="1" si="119"/>
        <v>0</v>
      </c>
    </row>
    <row r="262" spans="1:358" ht="60" customHeight="1" x14ac:dyDescent="0.4">
      <c r="A262" s="4034"/>
      <c r="B262" s="4857"/>
      <c r="C262" s="4887"/>
      <c r="D262" s="4888"/>
      <c r="E262" s="3427" t="s">
        <v>47</v>
      </c>
      <c r="F262" s="3442">
        <f>+G262*30</f>
        <v>0</v>
      </c>
      <c r="G262" s="3442">
        <f>+G261</f>
        <v>0</v>
      </c>
      <c r="H262" s="3420"/>
      <c r="I262" s="1968">
        <f>IF(F262=0,0,ROUND($F262*COEF!$J$27,0))</f>
        <v>0</v>
      </c>
      <c r="J262" s="858">
        <f>IF(F262=0,0,ROUND($F262*COEF!$K$27,0))</f>
        <v>0</v>
      </c>
      <c r="K262" s="858">
        <f>IF(F262=0,0,ROUND($F262*COEF!$L$27,0))</f>
        <v>0</v>
      </c>
      <c r="L262" s="859">
        <f ca="1">+ROUND(I262*'Compra -HOJA1'!I$395,0)</f>
        <v>0</v>
      </c>
      <c r="M262" s="859">
        <f ca="1">+ROUND(J262*'Compra -HOJA1'!J$395,0)</f>
        <v>0</v>
      </c>
      <c r="N262" s="859">
        <f ca="1">+ROUND(K262*'Compra -HOJA1'!K$395,0)</f>
        <v>0</v>
      </c>
      <c r="O262" s="860">
        <f t="shared" ca="1" si="120"/>
        <v>0</v>
      </c>
      <c r="P262" s="860">
        <f t="shared" ca="1" si="121"/>
        <v>0</v>
      </c>
      <c r="Q262" s="860">
        <f t="shared" ca="1" si="122"/>
        <v>0</v>
      </c>
      <c r="R262" s="1969">
        <f t="shared" ca="1" si="123"/>
        <v>0</v>
      </c>
      <c r="S262" s="866"/>
      <c r="T262" s="856"/>
      <c r="U262" s="711"/>
      <c r="V262" s="711"/>
      <c r="W262" s="711"/>
      <c r="X262" s="10"/>
      <c r="Y262" s="10"/>
      <c r="Z262" s="10"/>
      <c r="AA262" s="675"/>
      <c r="AB262" s="10"/>
      <c r="AC262" s="880"/>
      <c r="AD262" s="885"/>
      <c r="MK262" s="3454">
        <f t="shared" si="113"/>
        <v>0</v>
      </c>
      <c r="ML262" s="3453">
        <f t="shared" si="114"/>
        <v>0</v>
      </c>
      <c r="MM262" s="3453">
        <f t="shared" si="115"/>
        <v>0</v>
      </c>
      <c r="MN262" s="859">
        <f ca="1">+ROUND(MK262*'Compra -HOJA1'!$I$395,0)</f>
        <v>0</v>
      </c>
      <c r="MO262" s="859">
        <f ca="1">+ROUND(ML262*'Compra -HOJA1'!$J$395,0)</f>
        <v>0</v>
      </c>
      <c r="MP262" s="859">
        <f ca="1">+ROUND(MM262*'Compra -HOJA1'!$K$395,0)</f>
        <v>0</v>
      </c>
      <c r="MQ262" s="860">
        <f t="shared" ca="1" si="116"/>
        <v>0</v>
      </c>
      <c r="MR262" s="860">
        <f t="shared" ca="1" si="117"/>
        <v>0</v>
      </c>
      <c r="MS262" s="860">
        <f t="shared" ca="1" si="118"/>
        <v>0</v>
      </c>
      <c r="MT262" s="1969">
        <f t="shared" ca="1" si="119"/>
        <v>0</v>
      </c>
    </row>
    <row r="263" spans="1:358" ht="60" customHeight="1" x14ac:dyDescent="0.4">
      <c r="A263" s="4034"/>
      <c r="B263" s="4857"/>
      <c r="C263" s="4887"/>
      <c r="D263" s="4888"/>
      <c r="E263" s="3427" t="s">
        <v>635</v>
      </c>
      <c r="F263" s="3442">
        <f>+G263*150</f>
        <v>0</v>
      </c>
      <c r="G263" s="3442">
        <f>+G261</f>
        <v>0</v>
      </c>
      <c r="H263" s="3420"/>
      <c r="I263" s="1968">
        <f>IF(F263=0,0,ROUND($F263*COEF!$J$27,0))</f>
        <v>0</v>
      </c>
      <c r="J263" s="858">
        <f>IF(F263=0,0,ROUND($F263*COEF!$K$27,0))</f>
        <v>0</v>
      </c>
      <c r="K263" s="858">
        <f>IF(F263=0,0,ROUND($F263*COEF!$L$27,0))</f>
        <v>0</v>
      </c>
      <c r="L263" s="859">
        <f ca="1">+ROUND(I263*'Compra -HOJA1'!I$395,0)</f>
        <v>0</v>
      </c>
      <c r="M263" s="859">
        <f ca="1">+ROUND(J263*'Compra -HOJA1'!J$395,0)</f>
        <v>0</v>
      </c>
      <c r="N263" s="859">
        <f ca="1">+ROUND(K263*'Compra -HOJA1'!K$395,0)</f>
        <v>0</v>
      </c>
      <c r="O263" s="860">
        <f t="shared" ca="1" si="120"/>
        <v>0</v>
      </c>
      <c r="P263" s="860">
        <f t="shared" ca="1" si="121"/>
        <v>0</v>
      </c>
      <c r="Q263" s="860">
        <f t="shared" ca="1" si="122"/>
        <v>0</v>
      </c>
      <c r="R263" s="1969">
        <f t="shared" ca="1" si="123"/>
        <v>0</v>
      </c>
      <c r="S263" s="866"/>
      <c r="T263" s="856"/>
      <c r="U263" s="711"/>
      <c r="V263" s="711"/>
      <c r="W263" s="711"/>
      <c r="X263" s="10"/>
      <c r="Y263" s="10"/>
      <c r="Z263" s="10"/>
      <c r="AA263" s="675"/>
      <c r="AB263" s="10"/>
      <c r="AC263" s="880"/>
      <c r="AD263" s="885"/>
      <c r="MK263" s="3454">
        <f t="shared" si="113"/>
        <v>0</v>
      </c>
      <c r="ML263" s="3453">
        <f t="shared" si="114"/>
        <v>0</v>
      </c>
      <c r="MM263" s="3453">
        <f t="shared" si="115"/>
        <v>0</v>
      </c>
      <c r="MN263" s="859">
        <f ca="1">+ROUND(MK263*'Compra -HOJA1'!$I$395,0)</f>
        <v>0</v>
      </c>
      <c r="MO263" s="859">
        <f ca="1">+ROUND(ML263*'Compra -HOJA1'!$J$395,0)</f>
        <v>0</v>
      </c>
      <c r="MP263" s="859">
        <f ca="1">+ROUND(MM263*'Compra -HOJA1'!$K$395,0)</f>
        <v>0</v>
      </c>
      <c r="MQ263" s="860">
        <f t="shared" ca="1" si="116"/>
        <v>0</v>
      </c>
      <c r="MR263" s="860">
        <f t="shared" ca="1" si="117"/>
        <v>0</v>
      </c>
      <c r="MS263" s="860">
        <f t="shared" ca="1" si="118"/>
        <v>0</v>
      </c>
      <c r="MT263" s="1969">
        <f t="shared" ca="1" si="119"/>
        <v>0</v>
      </c>
    </row>
    <row r="264" spans="1:358" ht="60" customHeight="1" x14ac:dyDescent="0.4">
      <c r="A264" s="4034"/>
      <c r="B264" s="4857"/>
      <c r="C264" s="4887"/>
      <c r="D264" s="4888"/>
      <c r="E264" s="3427" t="s">
        <v>636</v>
      </c>
      <c r="F264" s="3442">
        <f>+F88-(300*G88)</f>
        <v>0</v>
      </c>
      <c r="G264" s="3442">
        <f>+G261</f>
        <v>0</v>
      </c>
      <c r="H264" s="3420"/>
      <c r="I264" s="1968">
        <f>IF(F264=0,0,ROUND($F264*COEF!$J$27,0))</f>
        <v>0</v>
      </c>
      <c r="J264" s="858">
        <f>IF(F264=0,0,ROUND($F264*COEF!$K$27,0))</f>
        <v>0</v>
      </c>
      <c r="K264" s="858">
        <f>IF(F264=0,0,ROUND($F264*COEF!$L$27,0))</f>
        <v>0</v>
      </c>
      <c r="L264" s="859">
        <f ca="1">+ROUND(I264*'Compra -HOJA1'!I$395,0)</f>
        <v>0</v>
      </c>
      <c r="M264" s="859">
        <f ca="1">+ROUND(J264*'Compra -HOJA1'!J$395,0)</f>
        <v>0</v>
      </c>
      <c r="N264" s="859">
        <f ca="1">+ROUND(K264*'Compra -HOJA1'!K$395,0)</f>
        <v>0</v>
      </c>
      <c r="O264" s="860">
        <f t="shared" ca="1" si="120"/>
        <v>0</v>
      </c>
      <c r="P264" s="860">
        <f t="shared" ca="1" si="121"/>
        <v>0</v>
      </c>
      <c r="Q264" s="860">
        <f t="shared" ca="1" si="122"/>
        <v>0</v>
      </c>
      <c r="R264" s="1969">
        <f t="shared" ca="1" si="123"/>
        <v>0</v>
      </c>
      <c r="S264" s="866"/>
      <c r="T264" s="856"/>
      <c r="U264" s="711"/>
      <c r="V264" s="711"/>
      <c r="W264" s="711"/>
      <c r="X264" s="10"/>
      <c r="Y264" s="10"/>
      <c r="Z264" s="10"/>
      <c r="AA264" s="675"/>
      <c r="AB264" s="10"/>
      <c r="AC264" s="880"/>
      <c r="AD264" s="885"/>
      <c r="MK264" s="3454">
        <f t="shared" si="113"/>
        <v>0</v>
      </c>
      <c r="ML264" s="3453">
        <f t="shared" si="114"/>
        <v>0</v>
      </c>
      <c r="MM264" s="3453">
        <f t="shared" si="115"/>
        <v>0</v>
      </c>
      <c r="MN264" s="859">
        <f ca="1">+ROUND(MK264*'Compra -HOJA1'!$I$395,0)</f>
        <v>0</v>
      </c>
      <c r="MO264" s="859">
        <f ca="1">+ROUND(ML264*'Compra -HOJA1'!$J$395,0)</f>
        <v>0</v>
      </c>
      <c r="MP264" s="859">
        <f ca="1">+ROUND(MM264*'Compra -HOJA1'!$K$395,0)</f>
        <v>0</v>
      </c>
      <c r="MQ264" s="860">
        <f t="shared" ca="1" si="116"/>
        <v>0</v>
      </c>
      <c r="MR264" s="860">
        <f t="shared" ca="1" si="117"/>
        <v>0</v>
      </c>
      <c r="MS264" s="860">
        <f t="shared" ca="1" si="118"/>
        <v>0</v>
      </c>
      <c r="MT264" s="1969">
        <f t="shared" ca="1" si="119"/>
        <v>0</v>
      </c>
    </row>
    <row r="265" spans="1:358" ht="60" customHeight="1" x14ac:dyDescent="0.4">
      <c r="A265" s="4034"/>
      <c r="B265" s="4857"/>
      <c r="C265" s="4887"/>
      <c r="D265" s="4888"/>
      <c r="E265" s="3424" t="s">
        <v>169</v>
      </c>
      <c r="F265" s="3442">
        <f>120*G265</f>
        <v>0</v>
      </c>
      <c r="G265" s="3442">
        <f>+G89</f>
        <v>0</v>
      </c>
      <c r="H265" s="3420"/>
      <c r="I265" s="1968">
        <f>IF(F265=0,0,ROUND($F265*COEF!$J$27,0))</f>
        <v>0</v>
      </c>
      <c r="J265" s="858">
        <f>IF(F265=0,0,ROUND($F265*COEF!$K$27,0))</f>
        <v>0</v>
      </c>
      <c r="K265" s="858">
        <f>IF(F265=0,0,ROUND($F265*COEF!$L$27,0))</f>
        <v>0</v>
      </c>
      <c r="L265" s="859">
        <f ca="1">+ROUND(I265*'Compra -HOJA1'!I$395,0)</f>
        <v>0</v>
      </c>
      <c r="M265" s="859">
        <f ca="1">+ROUND(J265*'Compra -HOJA1'!J$395,0)</f>
        <v>0</v>
      </c>
      <c r="N265" s="859">
        <f ca="1">+ROUND(K265*'Compra -HOJA1'!K$395,0)</f>
        <v>0</v>
      </c>
      <c r="O265" s="860">
        <f t="shared" ca="1" si="120"/>
        <v>0</v>
      </c>
      <c r="P265" s="860">
        <f t="shared" ca="1" si="121"/>
        <v>0</v>
      </c>
      <c r="Q265" s="860">
        <f t="shared" ca="1" si="122"/>
        <v>0</v>
      </c>
      <c r="R265" s="1969">
        <f t="shared" ca="1" si="123"/>
        <v>0</v>
      </c>
      <c r="S265" s="866"/>
      <c r="T265" s="856"/>
      <c r="U265" s="711"/>
      <c r="V265" s="711"/>
      <c r="W265" s="711"/>
      <c r="X265" s="10"/>
      <c r="Y265" s="10"/>
      <c r="Z265" s="10"/>
      <c r="AA265" s="675"/>
      <c r="AB265" s="10"/>
      <c r="AC265" s="880"/>
      <c r="AD265" s="885"/>
      <c r="MK265" s="3454">
        <f t="shared" si="113"/>
        <v>0</v>
      </c>
      <c r="ML265" s="3453">
        <f t="shared" si="114"/>
        <v>0</v>
      </c>
      <c r="MM265" s="3453">
        <f t="shared" si="115"/>
        <v>0</v>
      </c>
      <c r="MN265" s="859">
        <f ca="1">+ROUND(MK265*'Compra -HOJA1'!$I$395,0)</f>
        <v>0</v>
      </c>
      <c r="MO265" s="859">
        <f ca="1">+ROUND(ML265*'Compra -HOJA1'!$J$395,0)</f>
        <v>0</v>
      </c>
      <c r="MP265" s="859">
        <f ca="1">+ROUND(MM265*'Compra -HOJA1'!$K$395,0)</f>
        <v>0</v>
      </c>
      <c r="MQ265" s="860">
        <f t="shared" ca="1" si="116"/>
        <v>0</v>
      </c>
      <c r="MR265" s="860">
        <f t="shared" ca="1" si="117"/>
        <v>0</v>
      </c>
      <c r="MS265" s="860">
        <f t="shared" ca="1" si="118"/>
        <v>0</v>
      </c>
      <c r="MT265" s="1969">
        <f t="shared" ca="1" si="119"/>
        <v>0</v>
      </c>
    </row>
    <row r="266" spans="1:358" ht="60" customHeight="1" x14ac:dyDescent="0.4">
      <c r="A266" s="4034"/>
      <c r="B266" s="4857"/>
      <c r="C266" s="4887"/>
      <c r="D266" s="4888"/>
      <c r="E266" s="3424" t="s">
        <v>49</v>
      </c>
      <c r="F266" s="3442">
        <f>+G266*30</f>
        <v>0</v>
      </c>
      <c r="G266" s="3442">
        <f>+G265</f>
        <v>0</v>
      </c>
      <c r="H266" s="3420"/>
      <c r="I266" s="1968">
        <f>IF(F266=0,0,ROUND($F266*COEF!$J$27,0))</f>
        <v>0</v>
      </c>
      <c r="J266" s="858">
        <f>IF(F266=0,0,ROUND($F266*COEF!$K$27,0))</f>
        <v>0</v>
      </c>
      <c r="K266" s="858">
        <f>IF(F266=0,0,ROUND($F266*COEF!$L$27,0))</f>
        <v>0</v>
      </c>
      <c r="L266" s="859">
        <f ca="1">+ROUND(I266*'Compra -HOJA1'!I$395,0)</f>
        <v>0</v>
      </c>
      <c r="M266" s="859">
        <f ca="1">+ROUND(J266*'Compra -HOJA1'!J$395,0)</f>
        <v>0</v>
      </c>
      <c r="N266" s="859">
        <f ca="1">+ROUND(K266*'Compra -HOJA1'!K$395,0)</f>
        <v>0</v>
      </c>
      <c r="O266" s="860">
        <f t="shared" ca="1" si="120"/>
        <v>0</v>
      </c>
      <c r="P266" s="860">
        <f t="shared" ca="1" si="121"/>
        <v>0</v>
      </c>
      <c r="Q266" s="860">
        <f t="shared" ca="1" si="122"/>
        <v>0</v>
      </c>
      <c r="R266" s="1969">
        <f t="shared" ca="1" si="123"/>
        <v>0</v>
      </c>
      <c r="S266" s="866"/>
      <c r="T266" s="856"/>
      <c r="U266" s="711"/>
      <c r="V266" s="711"/>
      <c r="W266" s="711"/>
      <c r="X266" s="10"/>
      <c r="Y266" s="10"/>
      <c r="Z266" s="10"/>
      <c r="AA266" s="675"/>
      <c r="AB266" s="10"/>
      <c r="AC266" s="880"/>
      <c r="AD266" s="885"/>
      <c r="MK266" s="3454">
        <f t="shared" si="113"/>
        <v>0</v>
      </c>
      <c r="ML266" s="3453">
        <f t="shared" si="114"/>
        <v>0</v>
      </c>
      <c r="MM266" s="3453">
        <f t="shared" si="115"/>
        <v>0</v>
      </c>
      <c r="MN266" s="859">
        <f ca="1">+ROUND(MK266*'Compra -HOJA1'!$I$395,0)</f>
        <v>0</v>
      </c>
      <c r="MO266" s="859">
        <f ca="1">+ROUND(ML266*'Compra -HOJA1'!$J$395,0)</f>
        <v>0</v>
      </c>
      <c r="MP266" s="859">
        <f ca="1">+ROUND(MM266*'Compra -HOJA1'!$K$395,0)</f>
        <v>0</v>
      </c>
      <c r="MQ266" s="860">
        <f t="shared" ca="1" si="116"/>
        <v>0</v>
      </c>
      <c r="MR266" s="860">
        <f t="shared" ca="1" si="117"/>
        <v>0</v>
      </c>
      <c r="MS266" s="860">
        <f t="shared" ca="1" si="118"/>
        <v>0</v>
      </c>
      <c r="MT266" s="1969">
        <f t="shared" ca="1" si="119"/>
        <v>0</v>
      </c>
    </row>
    <row r="267" spans="1:358" ht="60" customHeight="1" x14ac:dyDescent="0.4">
      <c r="A267" s="4034"/>
      <c r="B267" s="4857"/>
      <c r="C267" s="4887"/>
      <c r="D267" s="4888"/>
      <c r="E267" s="3424" t="s">
        <v>638</v>
      </c>
      <c r="F267" s="3442">
        <f>+G267*150</f>
        <v>0</v>
      </c>
      <c r="G267" s="3442">
        <f>+G265</f>
        <v>0</v>
      </c>
      <c r="H267" s="3420"/>
      <c r="I267" s="1968">
        <f>IF(F267=0,0,ROUND($F267*COEF!$J$27,0))</f>
        <v>0</v>
      </c>
      <c r="J267" s="858">
        <f>IF(F267=0,0,ROUND($F267*COEF!$K$27,0))</f>
        <v>0</v>
      </c>
      <c r="K267" s="858">
        <f>IF(F267=0,0,ROUND($F267*COEF!$L$27,0))</f>
        <v>0</v>
      </c>
      <c r="L267" s="859">
        <f ca="1">+ROUND(I267*'Compra -HOJA1'!I$395,0)</f>
        <v>0</v>
      </c>
      <c r="M267" s="859">
        <f ca="1">+ROUND(J267*'Compra -HOJA1'!J$395,0)</f>
        <v>0</v>
      </c>
      <c r="N267" s="859">
        <f ca="1">+ROUND(K267*'Compra -HOJA1'!K$395,0)</f>
        <v>0</v>
      </c>
      <c r="O267" s="860">
        <f t="shared" ca="1" si="120"/>
        <v>0</v>
      </c>
      <c r="P267" s="860">
        <f t="shared" ca="1" si="121"/>
        <v>0</v>
      </c>
      <c r="Q267" s="860">
        <f t="shared" ca="1" si="122"/>
        <v>0</v>
      </c>
      <c r="R267" s="1969">
        <f t="shared" ca="1" si="123"/>
        <v>0</v>
      </c>
      <c r="S267" s="866"/>
      <c r="T267" s="856"/>
      <c r="U267" s="711"/>
      <c r="V267" s="711"/>
      <c r="W267" s="711"/>
      <c r="X267" s="10"/>
      <c r="Y267" s="10"/>
      <c r="Z267" s="10"/>
      <c r="AA267" s="675"/>
      <c r="AB267" s="10"/>
      <c r="AC267" s="880"/>
      <c r="AD267" s="885"/>
      <c r="MK267" s="3454">
        <f t="shared" si="113"/>
        <v>0</v>
      </c>
      <c r="ML267" s="3453">
        <f t="shared" si="114"/>
        <v>0</v>
      </c>
      <c r="MM267" s="3453">
        <f t="shared" si="115"/>
        <v>0</v>
      </c>
      <c r="MN267" s="859">
        <f ca="1">+ROUND(MK267*'Compra -HOJA1'!$I$395,0)</f>
        <v>0</v>
      </c>
      <c r="MO267" s="859">
        <f ca="1">+ROUND(ML267*'Compra -HOJA1'!$J$395,0)</f>
        <v>0</v>
      </c>
      <c r="MP267" s="859">
        <f ca="1">+ROUND(MM267*'Compra -HOJA1'!$K$395,0)</f>
        <v>0</v>
      </c>
      <c r="MQ267" s="860">
        <f t="shared" ca="1" si="116"/>
        <v>0</v>
      </c>
      <c r="MR267" s="860">
        <f t="shared" ca="1" si="117"/>
        <v>0</v>
      </c>
      <c r="MS267" s="860">
        <f t="shared" ca="1" si="118"/>
        <v>0</v>
      </c>
      <c r="MT267" s="1969">
        <f t="shared" ca="1" si="119"/>
        <v>0</v>
      </c>
    </row>
    <row r="268" spans="1:358" ht="60" customHeight="1" thickBot="1" x14ac:dyDescent="0.45">
      <c r="A268" s="4034"/>
      <c r="B268" s="4858"/>
      <c r="C268" s="4889"/>
      <c r="D268" s="4890"/>
      <c r="E268" s="3424" t="s">
        <v>639</v>
      </c>
      <c r="F268" s="3442">
        <f>+F89-(300*G89)</f>
        <v>0</v>
      </c>
      <c r="G268" s="3442">
        <f>+G265</f>
        <v>0</v>
      </c>
      <c r="H268" s="3420"/>
      <c r="I268" s="1968">
        <f>IF(F268=0,0,ROUND($F268*COEF!$J$27,0))</f>
        <v>0</v>
      </c>
      <c r="J268" s="858">
        <f>IF(F268=0,0,ROUND($F268*COEF!$K$27,0))</f>
        <v>0</v>
      </c>
      <c r="K268" s="858">
        <f>IF(F268=0,0,ROUND($F268*COEF!$L$27,0))</f>
        <v>0</v>
      </c>
      <c r="L268" s="859">
        <f ca="1">+ROUND(I268*'Compra -HOJA1'!I$395,0)</f>
        <v>0</v>
      </c>
      <c r="M268" s="859">
        <f ca="1">+ROUND(J268*'Compra -HOJA1'!J$395,0)</f>
        <v>0</v>
      </c>
      <c r="N268" s="859">
        <f ca="1">+ROUND(K268*'Compra -HOJA1'!K$395,0)</f>
        <v>0</v>
      </c>
      <c r="O268" s="860">
        <f t="shared" ca="1" si="120"/>
        <v>0</v>
      </c>
      <c r="P268" s="860">
        <f t="shared" ca="1" si="121"/>
        <v>0</v>
      </c>
      <c r="Q268" s="860">
        <f t="shared" ca="1" si="122"/>
        <v>0</v>
      </c>
      <c r="R268" s="1969">
        <f t="shared" ca="1" si="123"/>
        <v>0</v>
      </c>
      <c r="S268" s="866"/>
      <c r="T268" s="856"/>
      <c r="U268" s="711"/>
      <c r="V268" s="711"/>
      <c r="W268" s="711"/>
      <c r="X268" s="10"/>
      <c r="Y268" s="10"/>
      <c r="Z268" s="10"/>
      <c r="AA268" s="675"/>
      <c r="AB268" s="10"/>
      <c r="AC268" s="880"/>
      <c r="AD268" s="885"/>
      <c r="MK268" s="3454">
        <f t="shared" si="113"/>
        <v>0</v>
      </c>
      <c r="ML268" s="3453">
        <f t="shared" si="114"/>
        <v>0</v>
      </c>
      <c r="MM268" s="3453">
        <f t="shared" si="115"/>
        <v>0</v>
      </c>
      <c r="MN268" s="859">
        <f ca="1">+ROUND(MK268*'Compra -HOJA1'!$I$395,0)</f>
        <v>0</v>
      </c>
      <c r="MO268" s="859">
        <f ca="1">+ROUND(ML268*'Compra -HOJA1'!$J$395,0)</f>
        <v>0</v>
      </c>
      <c r="MP268" s="859">
        <f ca="1">+ROUND(MM268*'Compra -HOJA1'!$K$395,0)</f>
        <v>0</v>
      </c>
      <c r="MQ268" s="860">
        <f t="shared" ca="1" si="116"/>
        <v>0</v>
      </c>
      <c r="MR268" s="860">
        <f t="shared" ca="1" si="117"/>
        <v>0</v>
      </c>
      <c r="MS268" s="860">
        <f t="shared" ca="1" si="118"/>
        <v>0</v>
      </c>
      <c r="MT268" s="1969">
        <f t="shared" ca="1" si="119"/>
        <v>0</v>
      </c>
    </row>
    <row r="269" spans="1:358" ht="54" customHeight="1" x14ac:dyDescent="0.4">
      <c r="A269" s="4034"/>
      <c r="B269" s="4867" t="s">
        <v>326</v>
      </c>
      <c r="C269" s="4859" t="s">
        <v>830</v>
      </c>
      <c r="D269" s="4860"/>
      <c r="E269" s="3427" t="s">
        <v>46</v>
      </c>
      <c r="F269" s="3438">
        <f>120*G269</f>
        <v>0</v>
      </c>
      <c r="G269" s="3562">
        <f>+G90+G91</f>
        <v>0</v>
      </c>
      <c r="H269" s="3564"/>
      <c r="I269" s="1968">
        <f>IF(F269=0,0,ROUND($F269*COEF!$J$27,0))</f>
        <v>0</v>
      </c>
      <c r="J269" s="858">
        <f>IF(F269=0,0,ROUND($F269*COEF!$K$27,0))</f>
        <v>0</v>
      </c>
      <c r="K269" s="858">
        <f>IF(F269=0,0,ROUND($F269*COEF!$L$27,0))</f>
        <v>0</v>
      </c>
      <c r="L269" s="859">
        <f ca="1">+ROUND(I269*'Compra -HOJA1'!I$395,0)</f>
        <v>0</v>
      </c>
      <c r="M269" s="859">
        <f ca="1">+ROUND(J269*'Compra -HOJA1'!J$395,0)</f>
        <v>0</v>
      </c>
      <c r="N269" s="859">
        <f ca="1">+ROUND(K269*'Compra -HOJA1'!K$395,0)</f>
        <v>0</v>
      </c>
      <c r="O269" s="860">
        <f t="shared" ca="1" si="74"/>
        <v>0</v>
      </c>
      <c r="P269" s="860">
        <f t="shared" ca="1" si="74"/>
        <v>0</v>
      </c>
      <c r="Q269" s="860">
        <f t="shared" ca="1" si="74"/>
        <v>0</v>
      </c>
      <c r="R269" s="1969">
        <f t="shared" ref="R269:R276" ca="1" si="124">SUM(O269:Q269)</f>
        <v>0</v>
      </c>
      <c r="S269" s="866"/>
      <c r="T269" s="856">
        <f t="shared" ca="1" si="76"/>
        <v>0</v>
      </c>
      <c r="U269" s="711">
        <f t="shared" ca="1" si="104"/>
        <v>0</v>
      </c>
      <c r="V269" s="711">
        <f t="shared" ca="1" si="104"/>
        <v>0</v>
      </c>
      <c r="W269" s="711">
        <f t="shared" ca="1" si="104"/>
        <v>0</v>
      </c>
      <c r="X269" s="10"/>
      <c r="Y269" s="10"/>
      <c r="Z269" s="10"/>
      <c r="AA269" s="675"/>
      <c r="AB269" s="10"/>
      <c r="AC269" s="869"/>
      <c r="AD269" s="891"/>
      <c r="MK269" s="3454">
        <f t="shared" si="113"/>
        <v>0</v>
      </c>
      <c r="ML269" s="3453">
        <f t="shared" si="114"/>
        <v>0</v>
      </c>
      <c r="MM269" s="3453">
        <f t="shared" si="115"/>
        <v>0</v>
      </c>
      <c r="MN269" s="859">
        <f ca="1">+ROUND(MK269*'Compra -HOJA1'!$I$395,0)</f>
        <v>0</v>
      </c>
      <c r="MO269" s="859">
        <f ca="1">+ROUND(ML269*'Compra -HOJA1'!$J$395,0)</f>
        <v>0</v>
      </c>
      <c r="MP269" s="859">
        <f ca="1">+ROUND(MM269*'Compra -HOJA1'!$K$395,0)</f>
        <v>0</v>
      </c>
      <c r="MQ269" s="860">
        <f t="shared" ca="1" si="116"/>
        <v>0</v>
      </c>
      <c r="MR269" s="860">
        <f t="shared" ca="1" si="117"/>
        <v>0</v>
      </c>
      <c r="MS269" s="860">
        <f t="shared" ca="1" si="118"/>
        <v>0</v>
      </c>
      <c r="MT269" s="1969">
        <f t="shared" ca="1" si="119"/>
        <v>0</v>
      </c>
    </row>
    <row r="270" spans="1:358" ht="54" customHeight="1" x14ac:dyDescent="0.4">
      <c r="A270" s="4034"/>
      <c r="B270" s="4867"/>
      <c r="C270" s="4861"/>
      <c r="D270" s="4862"/>
      <c r="E270" s="3427" t="s">
        <v>47</v>
      </c>
      <c r="F270" s="3438">
        <f>+G270*30</f>
        <v>0</v>
      </c>
      <c r="G270" s="3438">
        <f>+G269</f>
        <v>0</v>
      </c>
      <c r="H270" s="3564"/>
      <c r="I270" s="1968">
        <f>IF(F270=0,0,ROUND($F270*COEF!$J$27,0))</f>
        <v>0</v>
      </c>
      <c r="J270" s="858">
        <f>IF(F270=0,0,ROUND($F270*COEF!$K$27,0))</f>
        <v>0</v>
      </c>
      <c r="K270" s="858">
        <f>IF(F270=0,0,ROUND($F270*COEF!$L$27,0))</f>
        <v>0</v>
      </c>
      <c r="L270" s="859">
        <f ca="1">+ROUND(I270*'Compra -HOJA1'!I$395,0)</f>
        <v>0</v>
      </c>
      <c r="M270" s="859">
        <f ca="1">+ROUND(J270*'Compra -HOJA1'!J$395,0)</f>
        <v>0</v>
      </c>
      <c r="N270" s="859">
        <f ca="1">+ROUND(K270*'Compra -HOJA1'!K$395,0)</f>
        <v>0</v>
      </c>
      <c r="O270" s="860">
        <f t="shared" ca="1" si="74"/>
        <v>0</v>
      </c>
      <c r="P270" s="860">
        <f t="shared" ca="1" si="74"/>
        <v>0</v>
      </c>
      <c r="Q270" s="860">
        <f t="shared" ca="1" si="74"/>
        <v>0</v>
      </c>
      <c r="R270" s="1969">
        <f t="shared" ca="1" si="124"/>
        <v>0</v>
      </c>
      <c r="S270" s="866"/>
      <c r="T270" s="856">
        <f t="shared" ref="T270:T276" ca="1" si="125">+SUM(L270:N270)</f>
        <v>0</v>
      </c>
      <c r="U270" s="711">
        <f t="shared" ca="1" si="104"/>
        <v>0</v>
      </c>
      <c r="V270" s="711">
        <f t="shared" ca="1" si="104"/>
        <v>0</v>
      </c>
      <c r="W270" s="711">
        <f t="shared" ca="1" si="104"/>
        <v>0</v>
      </c>
      <c r="X270" s="10"/>
      <c r="Y270" s="10"/>
      <c r="Z270" s="10"/>
      <c r="AA270" s="675"/>
      <c r="AB270" s="10"/>
      <c r="AC270" s="871"/>
      <c r="AD270" s="891"/>
      <c r="MK270" s="3454">
        <f t="shared" si="113"/>
        <v>0</v>
      </c>
      <c r="ML270" s="3453">
        <f t="shared" si="114"/>
        <v>0</v>
      </c>
      <c r="MM270" s="3453">
        <f t="shared" si="115"/>
        <v>0</v>
      </c>
      <c r="MN270" s="859">
        <f ca="1">+ROUND(MK270*'Compra -HOJA1'!$I$395,0)</f>
        <v>0</v>
      </c>
      <c r="MO270" s="859">
        <f ca="1">+ROUND(ML270*'Compra -HOJA1'!$J$395,0)</f>
        <v>0</v>
      </c>
      <c r="MP270" s="859">
        <f ca="1">+ROUND(MM270*'Compra -HOJA1'!$K$395,0)</f>
        <v>0</v>
      </c>
      <c r="MQ270" s="860">
        <f t="shared" ca="1" si="116"/>
        <v>0</v>
      </c>
      <c r="MR270" s="860">
        <f t="shared" ca="1" si="117"/>
        <v>0</v>
      </c>
      <c r="MS270" s="860">
        <f t="shared" ca="1" si="118"/>
        <v>0</v>
      </c>
      <c r="MT270" s="1969">
        <f t="shared" ca="1" si="119"/>
        <v>0</v>
      </c>
    </row>
    <row r="271" spans="1:358" ht="54" customHeight="1" x14ac:dyDescent="0.4">
      <c r="A271" s="4034"/>
      <c r="B271" s="4867"/>
      <c r="C271" s="4861"/>
      <c r="D271" s="4862"/>
      <c r="E271" s="3427" t="s">
        <v>635</v>
      </c>
      <c r="F271" s="3438">
        <f>+G271*150</f>
        <v>0</v>
      </c>
      <c r="G271" s="3438">
        <f>+G269</f>
        <v>0</v>
      </c>
      <c r="H271" s="3564"/>
      <c r="I271" s="1968">
        <f>IF(F271=0,0,ROUND($F271*COEF!$J$27,0))</f>
        <v>0</v>
      </c>
      <c r="J271" s="858">
        <f>IF(F271=0,0,ROUND($F271*COEF!$K$27,0))</f>
        <v>0</v>
      </c>
      <c r="K271" s="858">
        <f>IF(F271=0,0,ROUND($F271*COEF!$L$27,0))</f>
        <v>0</v>
      </c>
      <c r="L271" s="859">
        <f ca="1">+ROUND(I271*'Compra -HOJA1'!I$395,0)</f>
        <v>0</v>
      </c>
      <c r="M271" s="859">
        <f ca="1">+ROUND(J271*'Compra -HOJA1'!J$395,0)</f>
        <v>0</v>
      </c>
      <c r="N271" s="859">
        <f ca="1">+ROUND(K271*'Compra -HOJA1'!K$395,0)</f>
        <v>0</v>
      </c>
      <c r="O271" s="860">
        <f t="shared" ca="1" si="74"/>
        <v>0</v>
      </c>
      <c r="P271" s="860">
        <f t="shared" ca="1" si="74"/>
        <v>0</v>
      </c>
      <c r="Q271" s="860">
        <f t="shared" ca="1" si="74"/>
        <v>0</v>
      </c>
      <c r="R271" s="1969">
        <f t="shared" ca="1" si="124"/>
        <v>0</v>
      </c>
      <c r="S271" s="866"/>
      <c r="T271" s="856">
        <f t="shared" ca="1" si="125"/>
        <v>0</v>
      </c>
      <c r="U271" s="711">
        <f t="shared" ca="1" si="104"/>
        <v>0</v>
      </c>
      <c r="V271" s="711">
        <f t="shared" ca="1" si="104"/>
        <v>0</v>
      </c>
      <c r="W271" s="711">
        <f t="shared" ca="1" si="104"/>
        <v>0</v>
      </c>
      <c r="X271" s="10"/>
      <c r="Y271" s="10"/>
      <c r="Z271" s="10"/>
      <c r="AA271" s="675"/>
      <c r="AB271" s="10"/>
      <c r="AC271" s="871"/>
      <c r="AD271" s="3034"/>
      <c r="MK271" s="3454">
        <f t="shared" si="113"/>
        <v>0</v>
      </c>
      <c r="ML271" s="3453">
        <f t="shared" si="114"/>
        <v>0</v>
      </c>
      <c r="MM271" s="3453">
        <f t="shared" si="115"/>
        <v>0</v>
      </c>
      <c r="MN271" s="859">
        <f ca="1">+ROUND(MK271*'Compra -HOJA1'!$I$395,0)</f>
        <v>0</v>
      </c>
      <c r="MO271" s="859">
        <f ca="1">+ROUND(ML271*'Compra -HOJA1'!$J$395,0)</f>
        <v>0</v>
      </c>
      <c r="MP271" s="859">
        <f ca="1">+ROUND(MM271*'Compra -HOJA1'!$K$395,0)</f>
        <v>0</v>
      </c>
      <c r="MQ271" s="860">
        <f t="shared" ca="1" si="116"/>
        <v>0</v>
      </c>
      <c r="MR271" s="860">
        <f t="shared" ca="1" si="117"/>
        <v>0</v>
      </c>
      <c r="MS271" s="860">
        <f t="shared" ca="1" si="118"/>
        <v>0</v>
      </c>
      <c r="MT271" s="1969">
        <f t="shared" ca="1" si="119"/>
        <v>0</v>
      </c>
    </row>
    <row r="272" spans="1:358" ht="54" customHeight="1" x14ac:dyDescent="0.4">
      <c r="A272" s="4034"/>
      <c r="B272" s="4867"/>
      <c r="C272" s="4861"/>
      <c r="D272" s="4862"/>
      <c r="E272" s="3427" t="s">
        <v>636</v>
      </c>
      <c r="F272" s="3562">
        <f>+(F90+F91)-(300*(G90+G91))</f>
        <v>0</v>
      </c>
      <c r="G272" s="3438">
        <f>+G269</f>
        <v>0</v>
      </c>
      <c r="H272" s="3564"/>
      <c r="I272" s="1968">
        <f>IF(F272=0,0,ROUND($F272*COEF!$J$27,0))</f>
        <v>0</v>
      </c>
      <c r="J272" s="858">
        <f>IF(F272=0,0,ROUND($F272*COEF!$K$27,0))</f>
        <v>0</v>
      </c>
      <c r="K272" s="858">
        <f>IF(F272=0,0,ROUND($F272*COEF!$L$27,0))</f>
        <v>0</v>
      </c>
      <c r="L272" s="859">
        <f ca="1">+ROUND(I272*'Compra -HOJA1'!I$395,0)</f>
        <v>0</v>
      </c>
      <c r="M272" s="859">
        <f ca="1">+ROUND(J272*'Compra -HOJA1'!J$395,0)</f>
        <v>0</v>
      </c>
      <c r="N272" s="859">
        <f ca="1">+ROUND(K272*'Compra -HOJA1'!K$395,0)</f>
        <v>0</v>
      </c>
      <c r="O272" s="860">
        <f t="shared" ca="1" si="74"/>
        <v>0</v>
      </c>
      <c r="P272" s="860">
        <f t="shared" ca="1" si="74"/>
        <v>0</v>
      </c>
      <c r="Q272" s="860">
        <f t="shared" ca="1" si="74"/>
        <v>0</v>
      </c>
      <c r="R272" s="1969">
        <f t="shared" ca="1" si="124"/>
        <v>0</v>
      </c>
      <c r="S272" s="866"/>
      <c r="T272" s="856">
        <f t="shared" ca="1" si="125"/>
        <v>0</v>
      </c>
      <c r="U272" s="711">
        <f t="shared" ca="1" si="104"/>
        <v>0</v>
      </c>
      <c r="V272" s="711">
        <f t="shared" ca="1" si="104"/>
        <v>0</v>
      </c>
      <c r="W272" s="711">
        <f t="shared" ca="1" si="104"/>
        <v>0</v>
      </c>
      <c r="X272" s="10"/>
      <c r="Y272" s="10"/>
      <c r="Z272" s="10"/>
      <c r="AA272" s="675"/>
      <c r="AB272" s="10"/>
      <c r="AC272" s="871"/>
      <c r="AD272" s="3035"/>
      <c r="MK272" s="3454">
        <f t="shared" si="113"/>
        <v>0</v>
      </c>
      <c r="ML272" s="3453">
        <f t="shared" si="114"/>
        <v>0</v>
      </c>
      <c r="MM272" s="3453">
        <f t="shared" si="115"/>
        <v>0</v>
      </c>
      <c r="MN272" s="859">
        <f ca="1">+ROUND(MK272*'Compra -HOJA1'!$I$395,0)</f>
        <v>0</v>
      </c>
      <c r="MO272" s="859">
        <f ca="1">+ROUND(ML272*'Compra -HOJA1'!$J$395,0)</f>
        <v>0</v>
      </c>
      <c r="MP272" s="859">
        <f ca="1">+ROUND(MM272*'Compra -HOJA1'!$K$395,0)</f>
        <v>0</v>
      </c>
      <c r="MQ272" s="860">
        <f t="shared" ca="1" si="116"/>
        <v>0</v>
      </c>
      <c r="MR272" s="860">
        <f t="shared" ca="1" si="117"/>
        <v>0</v>
      </c>
      <c r="MS272" s="860">
        <f t="shared" ca="1" si="118"/>
        <v>0</v>
      </c>
      <c r="MT272" s="1969">
        <f t="shared" ca="1" si="119"/>
        <v>0</v>
      </c>
    </row>
    <row r="273" spans="1:358" ht="54" customHeight="1" x14ac:dyDescent="0.4">
      <c r="A273" s="4034"/>
      <c r="B273" s="4867"/>
      <c r="C273" s="4861"/>
      <c r="D273" s="4862"/>
      <c r="E273" s="3424" t="s">
        <v>169</v>
      </c>
      <c r="F273" s="3438">
        <f>120*G273</f>
        <v>0</v>
      </c>
      <c r="G273" s="3562">
        <f>+G92+G93</f>
        <v>0</v>
      </c>
      <c r="H273" s="3564"/>
      <c r="I273" s="1968">
        <f>IF(F273=0,0,ROUND($F273*COEF!$J$27,0))</f>
        <v>0</v>
      </c>
      <c r="J273" s="858">
        <f>IF(F273=0,0,ROUND($F273*COEF!$K$27,0))</f>
        <v>0</v>
      </c>
      <c r="K273" s="858">
        <f>IF(F273=0,0,ROUND($F273*COEF!$L$27,0))</f>
        <v>0</v>
      </c>
      <c r="L273" s="859">
        <f ca="1">+ROUND(I273*'Compra -HOJA1'!I$395,0)</f>
        <v>0</v>
      </c>
      <c r="M273" s="859">
        <f ca="1">+ROUND(J273*'Compra -HOJA1'!J$395,0)</f>
        <v>0</v>
      </c>
      <c r="N273" s="859">
        <f ca="1">+ROUND(K273*'Compra -HOJA1'!K$395,0)</f>
        <v>0</v>
      </c>
      <c r="O273" s="860">
        <f t="shared" ca="1" si="74"/>
        <v>0</v>
      </c>
      <c r="P273" s="860">
        <f t="shared" ca="1" si="74"/>
        <v>0</v>
      </c>
      <c r="Q273" s="860">
        <f t="shared" ca="1" si="74"/>
        <v>0</v>
      </c>
      <c r="R273" s="1969">
        <f t="shared" ca="1" si="124"/>
        <v>0</v>
      </c>
      <c r="S273" s="866"/>
      <c r="T273" s="856">
        <f t="shared" ca="1" si="125"/>
        <v>0</v>
      </c>
      <c r="U273" s="711">
        <f t="shared" ca="1" si="104"/>
        <v>0</v>
      </c>
      <c r="V273" s="711">
        <f t="shared" ca="1" si="104"/>
        <v>0</v>
      </c>
      <c r="W273" s="711">
        <f t="shared" ca="1" si="104"/>
        <v>0</v>
      </c>
      <c r="X273" s="10"/>
      <c r="Y273" s="10"/>
      <c r="Z273" s="10"/>
      <c r="AA273" s="675"/>
      <c r="AB273" s="10"/>
      <c r="AC273" s="880"/>
      <c r="AD273" s="885"/>
      <c r="MK273" s="3454">
        <f t="shared" si="113"/>
        <v>0</v>
      </c>
      <c r="ML273" s="3453">
        <f t="shared" si="114"/>
        <v>0</v>
      </c>
      <c r="MM273" s="3453">
        <f t="shared" si="115"/>
        <v>0</v>
      </c>
      <c r="MN273" s="859">
        <f ca="1">+ROUND(MK273*'Compra -HOJA1'!$I$395,0)</f>
        <v>0</v>
      </c>
      <c r="MO273" s="859">
        <f ca="1">+ROUND(ML273*'Compra -HOJA1'!$J$395,0)</f>
        <v>0</v>
      </c>
      <c r="MP273" s="859">
        <f ca="1">+ROUND(MM273*'Compra -HOJA1'!$K$395,0)</f>
        <v>0</v>
      </c>
      <c r="MQ273" s="860">
        <f t="shared" ca="1" si="116"/>
        <v>0</v>
      </c>
      <c r="MR273" s="860">
        <f t="shared" ca="1" si="117"/>
        <v>0</v>
      </c>
      <c r="MS273" s="860">
        <f t="shared" ca="1" si="118"/>
        <v>0</v>
      </c>
      <c r="MT273" s="1969">
        <f t="shared" ca="1" si="119"/>
        <v>0</v>
      </c>
    </row>
    <row r="274" spans="1:358" ht="54" customHeight="1" x14ac:dyDescent="0.4">
      <c r="A274" s="4034"/>
      <c r="B274" s="4867"/>
      <c r="C274" s="4861"/>
      <c r="D274" s="4862"/>
      <c r="E274" s="3424" t="s">
        <v>49</v>
      </c>
      <c r="F274" s="3438">
        <f>+G274*30</f>
        <v>0</v>
      </c>
      <c r="G274" s="3438">
        <f>+G273</f>
        <v>0</v>
      </c>
      <c r="H274" s="3564"/>
      <c r="I274" s="1968">
        <f>IF(F274=0,0,ROUND($F274*COEF!$J$27,0))</f>
        <v>0</v>
      </c>
      <c r="J274" s="858">
        <f>IF(F274=0,0,ROUND($F274*COEF!$K$27,0))</f>
        <v>0</v>
      </c>
      <c r="K274" s="858">
        <f>IF(F274=0,0,ROUND($F274*COEF!$L$27,0))</f>
        <v>0</v>
      </c>
      <c r="L274" s="859">
        <f ca="1">+ROUND(I274*'Compra -HOJA1'!I$395,0)</f>
        <v>0</v>
      </c>
      <c r="M274" s="859">
        <f ca="1">+ROUND(J274*'Compra -HOJA1'!J$395,0)</f>
        <v>0</v>
      </c>
      <c r="N274" s="859">
        <f ca="1">+ROUND(K274*'Compra -HOJA1'!K$395,0)</f>
        <v>0</v>
      </c>
      <c r="O274" s="860">
        <f t="shared" ca="1" si="74"/>
        <v>0</v>
      </c>
      <c r="P274" s="860">
        <f t="shared" ca="1" si="74"/>
        <v>0</v>
      </c>
      <c r="Q274" s="860">
        <f t="shared" ca="1" si="74"/>
        <v>0</v>
      </c>
      <c r="R274" s="1969">
        <f t="shared" ca="1" si="124"/>
        <v>0</v>
      </c>
      <c r="S274" s="866"/>
      <c r="T274" s="856">
        <f t="shared" ca="1" si="125"/>
        <v>0</v>
      </c>
      <c r="U274" s="711">
        <f t="shared" ca="1" si="104"/>
        <v>0</v>
      </c>
      <c r="V274" s="711">
        <f t="shared" ca="1" si="104"/>
        <v>0</v>
      </c>
      <c r="W274" s="711">
        <f t="shared" ca="1" si="104"/>
        <v>0</v>
      </c>
      <c r="X274" s="10"/>
      <c r="Y274" s="10"/>
      <c r="Z274" s="10"/>
      <c r="AA274" s="675"/>
      <c r="AB274" s="10"/>
      <c r="AC274" s="880"/>
      <c r="AD274" s="885"/>
      <c r="MK274" s="3454">
        <f t="shared" si="113"/>
        <v>0</v>
      </c>
      <c r="ML274" s="3453">
        <f t="shared" si="114"/>
        <v>0</v>
      </c>
      <c r="MM274" s="3453">
        <f t="shared" si="115"/>
        <v>0</v>
      </c>
      <c r="MN274" s="859">
        <f ca="1">+ROUND(MK274*'Compra -HOJA1'!$I$395,0)</f>
        <v>0</v>
      </c>
      <c r="MO274" s="859">
        <f ca="1">+ROUND(ML274*'Compra -HOJA1'!$J$395,0)</f>
        <v>0</v>
      </c>
      <c r="MP274" s="859">
        <f ca="1">+ROUND(MM274*'Compra -HOJA1'!$K$395,0)</f>
        <v>0</v>
      </c>
      <c r="MQ274" s="860">
        <f t="shared" ca="1" si="116"/>
        <v>0</v>
      </c>
      <c r="MR274" s="860">
        <f t="shared" ca="1" si="117"/>
        <v>0</v>
      </c>
      <c r="MS274" s="860">
        <f t="shared" ca="1" si="118"/>
        <v>0</v>
      </c>
      <c r="MT274" s="1969">
        <f t="shared" ca="1" si="119"/>
        <v>0</v>
      </c>
    </row>
    <row r="275" spans="1:358" ht="54" customHeight="1" x14ac:dyDescent="0.4">
      <c r="A275" s="4034"/>
      <c r="B275" s="4867"/>
      <c r="C275" s="4861"/>
      <c r="D275" s="4862"/>
      <c r="E275" s="3424" t="s">
        <v>638</v>
      </c>
      <c r="F275" s="3438">
        <f>+G275*150</f>
        <v>0</v>
      </c>
      <c r="G275" s="3438">
        <f>+G273</f>
        <v>0</v>
      </c>
      <c r="H275" s="3564"/>
      <c r="I275" s="1968">
        <f>IF(F275=0,0,ROUND($F275*COEF!$J$27,0))</f>
        <v>0</v>
      </c>
      <c r="J275" s="858">
        <f>IF(F275=0,0,ROUND($F275*COEF!$K$27,0))</f>
        <v>0</v>
      </c>
      <c r="K275" s="858">
        <f>IF(F275=0,0,ROUND($F275*COEF!$L$27,0))</f>
        <v>0</v>
      </c>
      <c r="L275" s="859">
        <f ca="1">+ROUND(I275*'Compra -HOJA1'!I$395,0)</f>
        <v>0</v>
      </c>
      <c r="M275" s="859">
        <f ca="1">+ROUND(J275*'Compra -HOJA1'!J$395,0)</f>
        <v>0</v>
      </c>
      <c r="N275" s="859">
        <f ca="1">+ROUND(K275*'Compra -HOJA1'!K$395,0)</f>
        <v>0</v>
      </c>
      <c r="O275" s="860">
        <f t="shared" ca="1" si="74"/>
        <v>0</v>
      </c>
      <c r="P275" s="860">
        <f t="shared" ca="1" si="74"/>
        <v>0</v>
      </c>
      <c r="Q275" s="860">
        <f t="shared" ca="1" si="74"/>
        <v>0</v>
      </c>
      <c r="R275" s="1969">
        <f t="shared" ca="1" si="124"/>
        <v>0</v>
      </c>
      <c r="S275" s="866"/>
      <c r="T275" s="856">
        <f t="shared" ca="1" si="125"/>
        <v>0</v>
      </c>
      <c r="U275" s="711">
        <f t="shared" ca="1" si="104"/>
        <v>0</v>
      </c>
      <c r="V275" s="711">
        <f t="shared" ca="1" si="104"/>
        <v>0</v>
      </c>
      <c r="W275" s="711">
        <f t="shared" ca="1" si="104"/>
        <v>0</v>
      </c>
      <c r="X275" s="10"/>
      <c r="Y275" s="10"/>
      <c r="Z275" s="10"/>
      <c r="AA275" s="675"/>
      <c r="AB275" s="10"/>
      <c r="AC275" s="880"/>
      <c r="AD275" s="885"/>
      <c r="MK275" s="3454">
        <f t="shared" si="113"/>
        <v>0</v>
      </c>
      <c r="ML275" s="3453">
        <f t="shared" si="114"/>
        <v>0</v>
      </c>
      <c r="MM275" s="3453">
        <f t="shared" si="115"/>
        <v>0</v>
      </c>
      <c r="MN275" s="859">
        <f ca="1">+ROUND(MK275*'Compra -HOJA1'!$I$395,0)</f>
        <v>0</v>
      </c>
      <c r="MO275" s="859">
        <f ca="1">+ROUND(ML275*'Compra -HOJA1'!$J$395,0)</f>
        <v>0</v>
      </c>
      <c r="MP275" s="859">
        <f ca="1">+ROUND(MM275*'Compra -HOJA1'!$K$395,0)</f>
        <v>0</v>
      </c>
      <c r="MQ275" s="860">
        <f t="shared" ca="1" si="116"/>
        <v>0</v>
      </c>
      <c r="MR275" s="860">
        <f t="shared" ca="1" si="117"/>
        <v>0</v>
      </c>
      <c r="MS275" s="860">
        <f t="shared" ca="1" si="118"/>
        <v>0</v>
      </c>
      <c r="MT275" s="1969">
        <f t="shared" ca="1" si="119"/>
        <v>0</v>
      </c>
    </row>
    <row r="276" spans="1:358" ht="54" customHeight="1" x14ac:dyDescent="0.4">
      <c r="A276" s="4034"/>
      <c r="B276" s="4867"/>
      <c r="C276" s="4863"/>
      <c r="D276" s="4864"/>
      <c r="E276" s="3424" t="s">
        <v>639</v>
      </c>
      <c r="F276" s="3562">
        <f>+(F92+F93)-(300*(G9+G93)*2)</f>
        <v>0</v>
      </c>
      <c r="G276" s="3438">
        <f>+G273</f>
        <v>0</v>
      </c>
      <c r="H276" s="3564">
        <f>SUM(F269:F276)</f>
        <v>0</v>
      </c>
      <c r="I276" s="1968">
        <f>IF(F276=0,0,ROUND($F276*COEF!$J$27,0))</f>
        <v>0</v>
      </c>
      <c r="J276" s="858">
        <f>IF(F276=0,0,ROUND($F276*COEF!$K$27,0))</f>
        <v>0</v>
      </c>
      <c r="K276" s="858">
        <f>IF(F276=0,0,ROUND($F276*COEF!$L$27,0))</f>
        <v>0</v>
      </c>
      <c r="L276" s="859">
        <f ca="1">+ROUND(I276*'Compra -HOJA1'!I$395,0)</f>
        <v>0</v>
      </c>
      <c r="M276" s="859">
        <f ca="1">+ROUND(J276*'Compra -HOJA1'!J$395,0)</f>
        <v>0</v>
      </c>
      <c r="N276" s="859">
        <f ca="1">+ROUND(K276*'Compra -HOJA1'!K$395,0)</f>
        <v>0</v>
      </c>
      <c r="O276" s="860">
        <f t="shared" ca="1" si="74"/>
        <v>0</v>
      </c>
      <c r="P276" s="860">
        <f t="shared" ca="1" si="74"/>
        <v>0</v>
      </c>
      <c r="Q276" s="860">
        <f t="shared" ca="1" si="74"/>
        <v>0</v>
      </c>
      <c r="R276" s="1969">
        <f t="shared" ca="1" si="124"/>
        <v>0</v>
      </c>
      <c r="S276" s="866"/>
      <c r="T276" s="856">
        <f t="shared" ca="1" si="125"/>
        <v>0</v>
      </c>
      <c r="U276" s="711">
        <f t="shared" ca="1" si="104"/>
        <v>0</v>
      </c>
      <c r="V276" s="711">
        <f t="shared" ca="1" si="104"/>
        <v>0</v>
      </c>
      <c r="W276" s="711">
        <f t="shared" ca="1" si="104"/>
        <v>0</v>
      </c>
      <c r="X276" s="10"/>
      <c r="Y276" s="10"/>
      <c r="Z276" s="10"/>
      <c r="AA276" s="675"/>
      <c r="AB276" s="10"/>
      <c r="AC276" s="880"/>
      <c r="AD276" s="885"/>
      <c r="MK276" s="3454">
        <f t="shared" si="113"/>
        <v>0</v>
      </c>
      <c r="ML276" s="3453">
        <f t="shared" si="114"/>
        <v>0</v>
      </c>
      <c r="MM276" s="3453">
        <f t="shared" si="115"/>
        <v>0</v>
      </c>
      <c r="MN276" s="859">
        <f ca="1">+ROUND(MK276*'Compra -HOJA1'!$I$395,0)</f>
        <v>0</v>
      </c>
      <c r="MO276" s="859">
        <f ca="1">+ROUND(ML276*'Compra -HOJA1'!$J$395,0)</f>
        <v>0</v>
      </c>
      <c r="MP276" s="859">
        <f ca="1">+ROUND(MM276*'Compra -HOJA1'!$K$395,0)</f>
        <v>0</v>
      </c>
      <c r="MQ276" s="860">
        <f t="shared" ca="1" si="116"/>
        <v>0</v>
      </c>
      <c r="MR276" s="860">
        <f t="shared" ca="1" si="117"/>
        <v>0</v>
      </c>
      <c r="MS276" s="860">
        <f t="shared" ca="1" si="118"/>
        <v>0</v>
      </c>
      <c r="MT276" s="1969">
        <f t="shared" ca="1" si="119"/>
        <v>0</v>
      </c>
    </row>
    <row r="277" spans="1:358" ht="54" customHeight="1" x14ac:dyDescent="0.4">
      <c r="A277" s="3365"/>
      <c r="B277" s="4867"/>
      <c r="C277" s="4859" t="s">
        <v>831</v>
      </c>
      <c r="D277" s="4860"/>
      <c r="E277" s="3427" t="s">
        <v>46</v>
      </c>
      <c r="F277" s="3423">
        <f>120*G277</f>
        <v>0</v>
      </c>
      <c r="G277" s="3423">
        <f>+G94</f>
        <v>0</v>
      </c>
      <c r="H277" s="3566">
        <f>+H276-K93</f>
        <v>0</v>
      </c>
      <c r="I277" s="1968">
        <f>IF(F277=0,0,ROUND($F277*COEF!$J$27,0))</f>
        <v>0</v>
      </c>
      <c r="J277" s="858">
        <f>IF(F277=0,0,ROUND($F277*COEF!$K$27,0))</f>
        <v>0</v>
      </c>
      <c r="K277" s="858">
        <f>IF(F277=0,0,ROUND($F277*COEF!$L$27,0))</f>
        <v>0</v>
      </c>
      <c r="L277" s="859">
        <f ca="1">+ROUND(I277*'Compra -HOJA1'!I$395,0)</f>
        <v>0</v>
      </c>
      <c r="M277" s="859">
        <f ca="1">+ROUND(J277*'Compra -HOJA1'!J$395,0)</f>
        <v>0</v>
      </c>
      <c r="N277" s="859">
        <f ca="1">+ROUND(K277*'Compra -HOJA1'!K$395,0)</f>
        <v>0</v>
      </c>
      <c r="O277" s="860">
        <f t="shared" ref="O277:O292" ca="1" si="126">I277+L277</f>
        <v>0</v>
      </c>
      <c r="P277" s="860">
        <f t="shared" ref="P277:P292" ca="1" si="127">J277+M277</f>
        <v>0</v>
      </c>
      <c r="Q277" s="860">
        <f t="shared" ref="Q277:Q292" ca="1" si="128">K277+N277</f>
        <v>0</v>
      </c>
      <c r="R277" s="1969">
        <f t="shared" ref="R277:R292" ca="1" si="129">SUM(O277:Q277)</f>
        <v>0</v>
      </c>
      <c r="S277" s="866"/>
      <c r="T277" s="3421"/>
      <c r="U277" s="3422"/>
      <c r="V277" s="3422"/>
      <c r="W277" s="3422"/>
      <c r="X277" s="10"/>
      <c r="Y277" s="10"/>
      <c r="Z277" s="10"/>
      <c r="AA277" s="675"/>
      <c r="AB277" s="10"/>
      <c r="AC277" s="880"/>
      <c r="AD277" s="885"/>
      <c r="MK277" s="3454">
        <f t="shared" si="113"/>
        <v>0</v>
      </c>
      <c r="ML277" s="3453">
        <f t="shared" si="114"/>
        <v>0</v>
      </c>
      <c r="MM277" s="3453">
        <f t="shared" si="115"/>
        <v>0</v>
      </c>
      <c r="MN277" s="859">
        <f ca="1">+ROUND(MK277*'Compra -HOJA1'!$I$395,0)</f>
        <v>0</v>
      </c>
      <c r="MO277" s="859">
        <f ca="1">+ROUND(ML277*'Compra -HOJA1'!$J$395,0)</f>
        <v>0</v>
      </c>
      <c r="MP277" s="859">
        <f ca="1">+ROUND(MM277*'Compra -HOJA1'!$K$395,0)</f>
        <v>0</v>
      </c>
      <c r="MQ277" s="860">
        <f t="shared" ca="1" si="116"/>
        <v>0</v>
      </c>
      <c r="MR277" s="860">
        <f t="shared" ca="1" si="117"/>
        <v>0</v>
      </c>
      <c r="MS277" s="860">
        <f t="shared" ca="1" si="118"/>
        <v>0</v>
      </c>
      <c r="MT277" s="1969">
        <f t="shared" ca="1" si="119"/>
        <v>0</v>
      </c>
    </row>
    <row r="278" spans="1:358" ht="54" customHeight="1" x14ac:dyDescent="0.4">
      <c r="A278" s="3365"/>
      <c r="B278" s="4867"/>
      <c r="C278" s="4861"/>
      <c r="D278" s="4862"/>
      <c r="E278" s="3427" t="s">
        <v>47</v>
      </c>
      <c r="F278" s="3423">
        <f>+G278*30</f>
        <v>0</v>
      </c>
      <c r="G278" s="3423">
        <f>+G277</f>
        <v>0</v>
      </c>
      <c r="H278" s="3420"/>
      <c r="I278" s="1968">
        <f>IF(F278=0,0,ROUND($F278*COEF!$J$27,0))</f>
        <v>0</v>
      </c>
      <c r="J278" s="858">
        <f>IF(F278=0,0,ROUND($F278*COEF!$K$27,0))</f>
        <v>0</v>
      </c>
      <c r="K278" s="858">
        <f>IF(F278=0,0,ROUND($F278*COEF!$L$27,0))</f>
        <v>0</v>
      </c>
      <c r="L278" s="859">
        <f ca="1">+ROUND(I278*'Compra -HOJA1'!I$395,0)</f>
        <v>0</v>
      </c>
      <c r="M278" s="859">
        <f ca="1">+ROUND(J278*'Compra -HOJA1'!J$395,0)</f>
        <v>0</v>
      </c>
      <c r="N278" s="859">
        <f ca="1">+ROUND(K278*'Compra -HOJA1'!K$395,0)</f>
        <v>0</v>
      </c>
      <c r="O278" s="860">
        <f t="shared" ca="1" si="126"/>
        <v>0</v>
      </c>
      <c r="P278" s="860">
        <f t="shared" ca="1" si="127"/>
        <v>0</v>
      </c>
      <c r="Q278" s="860">
        <f t="shared" ca="1" si="128"/>
        <v>0</v>
      </c>
      <c r="R278" s="1969">
        <f t="shared" ca="1" si="129"/>
        <v>0</v>
      </c>
      <c r="S278" s="866"/>
      <c r="T278" s="3421"/>
      <c r="U278" s="3422"/>
      <c r="V278" s="3422"/>
      <c r="W278" s="3422"/>
      <c r="X278" s="10"/>
      <c r="Y278" s="10"/>
      <c r="Z278" s="10"/>
      <c r="AA278" s="675"/>
      <c r="AB278" s="10"/>
      <c r="AC278" s="880"/>
      <c r="AD278" s="885"/>
      <c r="MK278" s="3454">
        <f t="shared" si="113"/>
        <v>0</v>
      </c>
      <c r="ML278" s="3453">
        <f t="shared" si="114"/>
        <v>0</v>
      </c>
      <c r="MM278" s="3453">
        <f t="shared" si="115"/>
        <v>0</v>
      </c>
      <c r="MN278" s="859">
        <f ca="1">+ROUND(MK278*'Compra -HOJA1'!$I$395,0)</f>
        <v>0</v>
      </c>
      <c r="MO278" s="859">
        <f ca="1">+ROUND(ML278*'Compra -HOJA1'!$J$395,0)</f>
        <v>0</v>
      </c>
      <c r="MP278" s="859">
        <f ca="1">+ROUND(MM278*'Compra -HOJA1'!$K$395,0)</f>
        <v>0</v>
      </c>
      <c r="MQ278" s="860">
        <f t="shared" ca="1" si="116"/>
        <v>0</v>
      </c>
      <c r="MR278" s="860">
        <f t="shared" ca="1" si="117"/>
        <v>0</v>
      </c>
      <c r="MS278" s="860">
        <f t="shared" ca="1" si="118"/>
        <v>0</v>
      </c>
      <c r="MT278" s="1969">
        <f t="shared" ca="1" si="119"/>
        <v>0</v>
      </c>
    </row>
    <row r="279" spans="1:358" ht="54" customHeight="1" x14ac:dyDescent="0.4">
      <c r="A279" s="3365"/>
      <c r="B279" s="4867"/>
      <c r="C279" s="4861"/>
      <c r="D279" s="4862"/>
      <c r="E279" s="3427" t="s">
        <v>635</v>
      </c>
      <c r="F279" s="3423">
        <f>+G279*150</f>
        <v>0</v>
      </c>
      <c r="G279" s="3423">
        <f>+G277</f>
        <v>0</v>
      </c>
      <c r="H279" s="3420"/>
      <c r="I279" s="1968">
        <f>IF(F279=0,0,ROUND($F279*COEF!$J$27,0))</f>
        <v>0</v>
      </c>
      <c r="J279" s="858">
        <f>IF(F279=0,0,ROUND($F279*COEF!$K$27,0))</f>
        <v>0</v>
      </c>
      <c r="K279" s="858">
        <f>IF(F279=0,0,ROUND($F279*COEF!$L$27,0))</f>
        <v>0</v>
      </c>
      <c r="L279" s="859">
        <f ca="1">+ROUND(I279*'Compra -HOJA1'!I$395,0)</f>
        <v>0</v>
      </c>
      <c r="M279" s="859">
        <f ca="1">+ROUND(J279*'Compra -HOJA1'!J$395,0)</f>
        <v>0</v>
      </c>
      <c r="N279" s="859">
        <f ca="1">+ROUND(K279*'Compra -HOJA1'!K$395,0)</f>
        <v>0</v>
      </c>
      <c r="O279" s="860">
        <f t="shared" ca="1" si="126"/>
        <v>0</v>
      </c>
      <c r="P279" s="860">
        <f t="shared" ca="1" si="127"/>
        <v>0</v>
      </c>
      <c r="Q279" s="860">
        <f t="shared" ca="1" si="128"/>
        <v>0</v>
      </c>
      <c r="R279" s="1969">
        <f t="shared" ca="1" si="129"/>
        <v>0</v>
      </c>
      <c r="S279" s="866"/>
      <c r="T279" s="3421"/>
      <c r="U279" s="3422"/>
      <c r="V279" s="3422"/>
      <c r="W279" s="3422"/>
      <c r="X279" s="10"/>
      <c r="Y279" s="10"/>
      <c r="Z279" s="10"/>
      <c r="AA279" s="675"/>
      <c r="AB279" s="10"/>
      <c r="AC279" s="880"/>
      <c r="AD279" s="885"/>
      <c r="MK279" s="3454">
        <f t="shared" si="113"/>
        <v>0</v>
      </c>
      <c r="ML279" s="3453">
        <f t="shared" si="114"/>
        <v>0</v>
      </c>
      <c r="MM279" s="3453">
        <f t="shared" si="115"/>
        <v>0</v>
      </c>
      <c r="MN279" s="859">
        <f ca="1">+ROUND(MK279*'Compra -HOJA1'!$I$395,0)</f>
        <v>0</v>
      </c>
      <c r="MO279" s="859">
        <f ca="1">+ROUND(ML279*'Compra -HOJA1'!$J$395,0)</f>
        <v>0</v>
      </c>
      <c r="MP279" s="859">
        <f ca="1">+ROUND(MM279*'Compra -HOJA1'!$K$395,0)</f>
        <v>0</v>
      </c>
      <c r="MQ279" s="860">
        <f t="shared" ca="1" si="116"/>
        <v>0</v>
      </c>
      <c r="MR279" s="860">
        <f t="shared" ca="1" si="117"/>
        <v>0</v>
      </c>
      <c r="MS279" s="860">
        <f t="shared" ca="1" si="118"/>
        <v>0</v>
      </c>
      <c r="MT279" s="1969">
        <f t="shared" ca="1" si="119"/>
        <v>0</v>
      </c>
    </row>
    <row r="280" spans="1:358" ht="54" customHeight="1" x14ac:dyDescent="0.4">
      <c r="A280" s="3365"/>
      <c r="B280" s="4867"/>
      <c r="C280" s="4861"/>
      <c r="D280" s="4862"/>
      <c r="E280" s="3427" t="s">
        <v>636</v>
      </c>
      <c r="F280" s="3423">
        <f>+F94-(300*G94)</f>
        <v>0</v>
      </c>
      <c r="G280" s="3423">
        <f>+G277</f>
        <v>0</v>
      </c>
      <c r="H280" s="3420"/>
      <c r="I280" s="1968">
        <f>IF(F280=0,0,ROUND($F280*COEF!$J$27,0))</f>
        <v>0</v>
      </c>
      <c r="J280" s="858">
        <f>IF(F280=0,0,ROUND($F280*COEF!$K$27,0))</f>
        <v>0</v>
      </c>
      <c r="K280" s="858">
        <f>IF(F280=0,0,ROUND($F280*COEF!$L$27,0))</f>
        <v>0</v>
      </c>
      <c r="L280" s="859">
        <f ca="1">+ROUND(I280*'Compra -HOJA1'!I$395,0)</f>
        <v>0</v>
      </c>
      <c r="M280" s="859">
        <f ca="1">+ROUND(J280*'Compra -HOJA1'!J$395,0)</f>
        <v>0</v>
      </c>
      <c r="N280" s="859">
        <f ca="1">+ROUND(K280*'Compra -HOJA1'!K$395,0)</f>
        <v>0</v>
      </c>
      <c r="O280" s="860">
        <f t="shared" ca="1" si="126"/>
        <v>0</v>
      </c>
      <c r="P280" s="860">
        <f t="shared" ca="1" si="127"/>
        <v>0</v>
      </c>
      <c r="Q280" s="860">
        <f t="shared" ca="1" si="128"/>
        <v>0</v>
      </c>
      <c r="R280" s="1969">
        <f t="shared" ca="1" si="129"/>
        <v>0</v>
      </c>
      <c r="S280" s="866"/>
      <c r="T280" s="3421"/>
      <c r="U280" s="3422"/>
      <c r="V280" s="3422"/>
      <c r="W280" s="3422"/>
      <c r="X280" s="10"/>
      <c r="Y280" s="10"/>
      <c r="Z280" s="10"/>
      <c r="AA280" s="675"/>
      <c r="AB280" s="10"/>
      <c r="AC280" s="880"/>
      <c r="AD280" s="885"/>
      <c r="MK280" s="3454">
        <f t="shared" si="113"/>
        <v>0</v>
      </c>
      <c r="ML280" s="3453">
        <f t="shared" si="114"/>
        <v>0</v>
      </c>
      <c r="MM280" s="3453">
        <f t="shared" si="115"/>
        <v>0</v>
      </c>
      <c r="MN280" s="859">
        <f ca="1">+ROUND(MK280*'Compra -HOJA1'!$I$395,0)</f>
        <v>0</v>
      </c>
      <c r="MO280" s="859">
        <f ca="1">+ROUND(ML280*'Compra -HOJA1'!$J$395,0)</f>
        <v>0</v>
      </c>
      <c r="MP280" s="859">
        <f ca="1">+ROUND(MM280*'Compra -HOJA1'!$K$395,0)</f>
        <v>0</v>
      </c>
      <c r="MQ280" s="860">
        <f t="shared" ca="1" si="116"/>
        <v>0</v>
      </c>
      <c r="MR280" s="860">
        <f t="shared" ca="1" si="117"/>
        <v>0</v>
      </c>
      <c r="MS280" s="860">
        <f t="shared" ca="1" si="118"/>
        <v>0</v>
      </c>
      <c r="MT280" s="1969">
        <f t="shared" ca="1" si="119"/>
        <v>0</v>
      </c>
    </row>
    <row r="281" spans="1:358" ht="54" customHeight="1" x14ac:dyDescent="0.4">
      <c r="A281" s="3365"/>
      <c r="B281" s="4867"/>
      <c r="C281" s="4861"/>
      <c r="D281" s="4862"/>
      <c r="E281" s="3424" t="s">
        <v>169</v>
      </c>
      <c r="F281" s="3423">
        <f>120*G281</f>
        <v>0</v>
      </c>
      <c r="G281" s="3423">
        <f>+G95</f>
        <v>0</v>
      </c>
      <c r="H281" s="3420"/>
      <c r="I281" s="1968">
        <f>IF(F281=0,0,ROUND($F281*COEF!$J$27,0))</f>
        <v>0</v>
      </c>
      <c r="J281" s="858">
        <f>IF(F281=0,0,ROUND($F281*COEF!$K$27,0))</f>
        <v>0</v>
      </c>
      <c r="K281" s="858">
        <f>IF(F281=0,0,ROUND($F281*COEF!$L$27,0))</f>
        <v>0</v>
      </c>
      <c r="L281" s="859">
        <f ca="1">+ROUND(I281*'Compra -HOJA1'!I$395,0)</f>
        <v>0</v>
      </c>
      <c r="M281" s="859">
        <f ca="1">+ROUND(J281*'Compra -HOJA1'!J$395,0)</f>
        <v>0</v>
      </c>
      <c r="N281" s="859">
        <f ca="1">+ROUND(K281*'Compra -HOJA1'!K$395,0)</f>
        <v>0</v>
      </c>
      <c r="O281" s="860">
        <f t="shared" ca="1" si="126"/>
        <v>0</v>
      </c>
      <c r="P281" s="860">
        <f t="shared" ca="1" si="127"/>
        <v>0</v>
      </c>
      <c r="Q281" s="860">
        <f t="shared" ca="1" si="128"/>
        <v>0</v>
      </c>
      <c r="R281" s="1969">
        <f t="shared" ca="1" si="129"/>
        <v>0</v>
      </c>
      <c r="S281" s="866"/>
      <c r="T281" s="3421"/>
      <c r="U281" s="3422"/>
      <c r="V281" s="3422"/>
      <c r="W281" s="3422"/>
      <c r="X281" s="10"/>
      <c r="Y281" s="10"/>
      <c r="Z281" s="10"/>
      <c r="AA281" s="675"/>
      <c r="AB281" s="10"/>
      <c r="AC281" s="880"/>
      <c r="AD281" s="885"/>
      <c r="MK281" s="3454">
        <f t="shared" si="113"/>
        <v>0</v>
      </c>
      <c r="ML281" s="3453">
        <f t="shared" si="114"/>
        <v>0</v>
      </c>
      <c r="MM281" s="3453">
        <f t="shared" si="115"/>
        <v>0</v>
      </c>
      <c r="MN281" s="859">
        <f ca="1">+ROUND(MK281*'Compra -HOJA1'!$I$395,0)</f>
        <v>0</v>
      </c>
      <c r="MO281" s="859">
        <f ca="1">+ROUND(ML281*'Compra -HOJA1'!$J$395,0)</f>
        <v>0</v>
      </c>
      <c r="MP281" s="859">
        <f ca="1">+ROUND(MM281*'Compra -HOJA1'!$K$395,0)</f>
        <v>0</v>
      </c>
      <c r="MQ281" s="860">
        <f t="shared" ca="1" si="116"/>
        <v>0</v>
      </c>
      <c r="MR281" s="860">
        <f t="shared" ca="1" si="117"/>
        <v>0</v>
      </c>
      <c r="MS281" s="860">
        <f t="shared" ca="1" si="118"/>
        <v>0</v>
      </c>
      <c r="MT281" s="1969">
        <f t="shared" ca="1" si="119"/>
        <v>0</v>
      </c>
    </row>
    <row r="282" spans="1:358" ht="54" customHeight="1" x14ac:dyDescent="0.4">
      <c r="A282" s="3365"/>
      <c r="B282" s="4867"/>
      <c r="C282" s="4861"/>
      <c r="D282" s="4862"/>
      <c r="E282" s="3424" t="s">
        <v>49</v>
      </c>
      <c r="F282" s="3423">
        <f>+G282*30</f>
        <v>0</v>
      </c>
      <c r="G282" s="3423">
        <f>+G281</f>
        <v>0</v>
      </c>
      <c r="H282" s="3420"/>
      <c r="I282" s="1968">
        <f>IF(F282=0,0,ROUND($F282*COEF!$J$27,0))</f>
        <v>0</v>
      </c>
      <c r="J282" s="858">
        <f>IF(F282=0,0,ROUND($F282*COEF!$K$27,0))</f>
        <v>0</v>
      </c>
      <c r="K282" s="858">
        <f>IF(F282=0,0,ROUND($F282*COEF!$L$27,0))</f>
        <v>0</v>
      </c>
      <c r="L282" s="859">
        <f ca="1">+ROUND(I282*'Compra -HOJA1'!I$395,0)</f>
        <v>0</v>
      </c>
      <c r="M282" s="859">
        <f ca="1">+ROUND(J282*'Compra -HOJA1'!J$395,0)</f>
        <v>0</v>
      </c>
      <c r="N282" s="859">
        <f ca="1">+ROUND(K282*'Compra -HOJA1'!K$395,0)</f>
        <v>0</v>
      </c>
      <c r="O282" s="860">
        <f t="shared" ca="1" si="126"/>
        <v>0</v>
      </c>
      <c r="P282" s="860">
        <f t="shared" ca="1" si="127"/>
        <v>0</v>
      </c>
      <c r="Q282" s="860">
        <f t="shared" ca="1" si="128"/>
        <v>0</v>
      </c>
      <c r="R282" s="1969">
        <f t="shared" ca="1" si="129"/>
        <v>0</v>
      </c>
      <c r="S282" s="866"/>
      <c r="T282" s="3421"/>
      <c r="U282" s="3422"/>
      <c r="V282" s="3422"/>
      <c r="W282" s="3422"/>
      <c r="X282" s="10"/>
      <c r="Y282" s="10"/>
      <c r="Z282" s="10"/>
      <c r="AA282" s="675"/>
      <c r="AB282" s="10"/>
      <c r="AC282" s="880"/>
      <c r="AD282" s="885"/>
      <c r="MK282" s="3454">
        <f t="shared" si="113"/>
        <v>0</v>
      </c>
      <c r="ML282" s="3453">
        <f t="shared" si="114"/>
        <v>0</v>
      </c>
      <c r="MM282" s="3453">
        <f t="shared" si="115"/>
        <v>0</v>
      </c>
      <c r="MN282" s="859">
        <f ca="1">+ROUND(MK282*'Compra -HOJA1'!$I$395,0)</f>
        <v>0</v>
      </c>
      <c r="MO282" s="859">
        <f ca="1">+ROUND(ML282*'Compra -HOJA1'!$J$395,0)</f>
        <v>0</v>
      </c>
      <c r="MP282" s="859">
        <f ca="1">+ROUND(MM282*'Compra -HOJA1'!$K$395,0)</f>
        <v>0</v>
      </c>
      <c r="MQ282" s="860">
        <f t="shared" ca="1" si="116"/>
        <v>0</v>
      </c>
      <c r="MR282" s="860">
        <f t="shared" ca="1" si="117"/>
        <v>0</v>
      </c>
      <c r="MS282" s="860">
        <f t="shared" ca="1" si="118"/>
        <v>0</v>
      </c>
      <c r="MT282" s="1969">
        <f t="shared" ca="1" si="119"/>
        <v>0</v>
      </c>
    </row>
    <row r="283" spans="1:358" ht="54" customHeight="1" x14ac:dyDescent="0.4">
      <c r="A283" s="3365"/>
      <c r="B283" s="4867"/>
      <c r="C283" s="4861"/>
      <c r="D283" s="4862"/>
      <c r="E283" s="3424" t="s">
        <v>638</v>
      </c>
      <c r="F283" s="3423">
        <f>+G283*150</f>
        <v>0</v>
      </c>
      <c r="G283" s="3423">
        <f>+G281</f>
        <v>0</v>
      </c>
      <c r="H283" s="3420"/>
      <c r="I283" s="1968">
        <f>IF(F283=0,0,ROUND($F283*COEF!$J$27,0))</f>
        <v>0</v>
      </c>
      <c r="J283" s="858">
        <f>IF(F283=0,0,ROUND($F283*COEF!$K$27,0))</f>
        <v>0</v>
      </c>
      <c r="K283" s="858">
        <f>IF(F283=0,0,ROUND($F283*COEF!$L$27,0))</f>
        <v>0</v>
      </c>
      <c r="L283" s="859">
        <f ca="1">+ROUND(I283*'Compra -HOJA1'!I$395,0)</f>
        <v>0</v>
      </c>
      <c r="M283" s="859">
        <f ca="1">+ROUND(J283*'Compra -HOJA1'!J$395,0)</f>
        <v>0</v>
      </c>
      <c r="N283" s="859">
        <f ca="1">+ROUND(K283*'Compra -HOJA1'!K$395,0)</f>
        <v>0</v>
      </c>
      <c r="O283" s="860">
        <f t="shared" ca="1" si="126"/>
        <v>0</v>
      </c>
      <c r="P283" s="860">
        <f t="shared" ca="1" si="127"/>
        <v>0</v>
      </c>
      <c r="Q283" s="860">
        <f t="shared" ca="1" si="128"/>
        <v>0</v>
      </c>
      <c r="R283" s="1969">
        <f t="shared" ca="1" si="129"/>
        <v>0</v>
      </c>
      <c r="S283" s="866"/>
      <c r="T283" s="3421"/>
      <c r="U283" s="3422"/>
      <c r="V283" s="3422"/>
      <c r="W283" s="3422"/>
      <c r="X283" s="10"/>
      <c r="Y283" s="10"/>
      <c r="Z283" s="10"/>
      <c r="AA283" s="675"/>
      <c r="AB283" s="10"/>
      <c r="AC283" s="880"/>
      <c r="AD283" s="885"/>
      <c r="MK283" s="3454">
        <f t="shared" si="113"/>
        <v>0</v>
      </c>
      <c r="ML283" s="3453">
        <f t="shared" si="114"/>
        <v>0</v>
      </c>
      <c r="MM283" s="3453">
        <f t="shared" si="115"/>
        <v>0</v>
      </c>
      <c r="MN283" s="859">
        <f ca="1">+ROUND(MK283*'Compra -HOJA1'!$I$395,0)</f>
        <v>0</v>
      </c>
      <c r="MO283" s="859">
        <f ca="1">+ROUND(ML283*'Compra -HOJA1'!$J$395,0)</f>
        <v>0</v>
      </c>
      <c r="MP283" s="859">
        <f ca="1">+ROUND(MM283*'Compra -HOJA1'!$K$395,0)</f>
        <v>0</v>
      </c>
      <c r="MQ283" s="860">
        <f t="shared" ca="1" si="116"/>
        <v>0</v>
      </c>
      <c r="MR283" s="860">
        <f t="shared" ca="1" si="117"/>
        <v>0</v>
      </c>
      <c r="MS283" s="860">
        <f t="shared" ca="1" si="118"/>
        <v>0</v>
      </c>
      <c r="MT283" s="1969">
        <f t="shared" ca="1" si="119"/>
        <v>0</v>
      </c>
    </row>
    <row r="284" spans="1:358" ht="54" customHeight="1" x14ac:dyDescent="0.4">
      <c r="A284" s="3365"/>
      <c r="B284" s="4867"/>
      <c r="C284" s="4863"/>
      <c r="D284" s="4864"/>
      <c r="E284" s="3424" t="s">
        <v>639</v>
      </c>
      <c r="F284" s="3423">
        <f>+F95-(300*G95)</f>
        <v>0</v>
      </c>
      <c r="G284" s="3423">
        <f>+G281</f>
        <v>0</v>
      </c>
      <c r="H284" s="3420"/>
      <c r="I284" s="1968">
        <f>IF(F284=0,0,ROUND($F284*COEF!$J$27,0))</f>
        <v>0</v>
      </c>
      <c r="J284" s="858">
        <f>IF(F284=0,0,ROUND($F284*COEF!$K$27,0))</f>
        <v>0</v>
      </c>
      <c r="K284" s="858">
        <f>IF(F284=0,0,ROUND($F284*COEF!$L$27,0))</f>
        <v>0</v>
      </c>
      <c r="L284" s="859">
        <f ca="1">+ROUND(I284*'Compra -HOJA1'!I$395,0)</f>
        <v>0</v>
      </c>
      <c r="M284" s="859">
        <f ca="1">+ROUND(J284*'Compra -HOJA1'!J$395,0)</f>
        <v>0</v>
      </c>
      <c r="N284" s="859">
        <f ca="1">+ROUND(K284*'Compra -HOJA1'!K$395,0)</f>
        <v>0</v>
      </c>
      <c r="O284" s="860">
        <f t="shared" ca="1" si="126"/>
        <v>0</v>
      </c>
      <c r="P284" s="860">
        <f t="shared" ca="1" si="127"/>
        <v>0</v>
      </c>
      <c r="Q284" s="860">
        <f t="shared" ca="1" si="128"/>
        <v>0</v>
      </c>
      <c r="R284" s="1969">
        <f t="shared" ca="1" si="129"/>
        <v>0</v>
      </c>
      <c r="S284" s="866"/>
      <c r="T284" s="3421"/>
      <c r="U284" s="3422"/>
      <c r="V284" s="3422"/>
      <c r="W284" s="3422"/>
      <c r="X284" s="10"/>
      <c r="Y284" s="10"/>
      <c r="Z284" s="10"/>
      <c r="AA284" s="675"/>
      <c r="AB284" s="10"/>
      <c r="AC284" s="880"/>
      <c r="AD284" s="885"/>
      <c r="MK284" s="3454">
        <f t="shared" si="113"/>
        <v>0</v>
      </c>
      <c r="ML284" s="3453">
        <f t="shared" si="114"/>
        <v>0</v>
      </c>
      <c r="MM284" s="3453">
        <f t="shared" si="115"/>
        <v>0</v>
      </c>
      <c r="MN284" s="859">
        <f ca="1">+ROUND(MK284*'Compra -HOJA1'!$I$395,0)</f>
        <v>0</v>
      </c>
      <c r="MO284" s="859">
        <f ca="1">+ROUND(ML284*'Compra -HOJA1'!$J$395,0)</f>
        <v>0</v>
      </c>
      <c r="MP284" s="859">
        <f ca="1">+ROUND(MM284*'Compra -HOJA1'!$K$395,0)</f>
        <v>0</v>
      </c>
      <c r="MQ284" s="860">
        <f t="shared" ca="1" si="116"/>
        <v>0</v>
      </c>
      <c r="MR284" s="860">
        <f t="shared" ca="1" si="117"/>
        <v>0</v>
      </c>
      <c r="MS284" s="860">
        <f t="shared" ca="1" si="118"/>
        <v>0</v>
      </c>
      <c r="MT284" s="1969">
        <f t="shared" ca="1" si="119"/>
        <v>0</v>
      </c>
    </row>
    <row r="285" spans="1:358" ht="54" customHeight="1" x14ac:dyDescent="0.4">
      <c r="A285" s="3365"/>
      <c r="B285" s="4867"/>
      <c r="C285" s="4859" t="s">
        <v>832</v>
      </c>
      <c r="D285" s="4860"/>
      <c r="E285" s="3427" t="s">
        <v>46</v>
      </c>
      <c r="F285" s="3425">
        <f>120*G285</f>
        <v>0</v>
      </c>
      <c r="G285" s="3425">
        <f>+G96</f>
        <v>0</v>
      </c>
      <c r="H285" s="3420"/>
      <c r="I285" s="1968">
        <f>IF(F285=0,0,ROUND($F285*COEF!$J$27,0))</f>
        <v>0</v>
      </c>
      <c r="J285" s="858">
        <f>IF(F285=0,0,ROUND($F285*COEF!$K$27,0))</f>
        <v>0</v>
      </c>
      <c r="K285" s="858">
        <f>IF(F285=0,0,ROUND($F285*COEF!$L$27,0))</f>
        <v>0</v>
      </c>
      <c r="L285" s="859">
        <f ca="1">+ROUND(I285*'Compra -HOJA1'!I$395,0)</f>
        <v>0</v>
      </c>
      <c r="M285" s="859">
        <f ca="1">+ROUND(J285*'Compra -HOJA1'!J$395,0)</f>
        <v>0</v>
      </c>
      <c r="N285" s="859">
        <f ca="1">+ROUND(K285*'Compra -HOJA1'!K$395,0)</f>
        <v>0</v>
      </c>
      <c r="O285" s="860">
        <f t="shared" ca="1" si="126"/>
        <v>0</v>
      </c>
      <c r="P285" s="860">
        <f t="shared" ca="1" si="127"/>
        <v>0</v>
      </c>
      <c r="Q285" s="860">
        <f t="shared" ca="1" si="128"/>
        <v>0</v>
      </c>
      <c r="R285" s="1969">
        <f t="shared" ca="1" si="129"/>
        <v>0</v>
      </c>
      <c r="S285" s="866"/>
      <c r="T285" s="3421"/>
      <c r="U285" s="3422"/>
      <c r="V285" s="3422"/>
      <c r="W285" s="3422"/>
      <c r="X285" s="10"/>
      <c r="Y285" s="10"/>
      <c r="Z285" s="10"/>
      <c r="AA285" s="675"/>
      <c r="AB285" s="10"/>
      <c r="AC285" s="880"/>
      <c r="AD285" s="885"/>
      <c r="MK285" s="3454">
        <f t="shared" si="113"/>
        <v>0</v>
      </c>
      <c r="ML285" s="3453">
        <f t="shared" si="114"/>
        <v>0</v>
      </c>
      <c r="MM285" s="3453">
        <f t="shared" si="115"/>
        <v>0</v>
      </c>
      <c r="MN285" s="859">
        <f ca="1">+ROUND(MK285*'Compra -HOJA1'!$I$395,0)</f>
        <v>0</v>
      </c>
      <c r="MO285" s="859">
        <f ca="1">+ROUND(ML285*'Compra -HOJA1'!$J$395,0)</f>
        <v>0</v>
      </c>
      <c r="MP285" s="859">
        <f ca="1">+ROUND(MM285*'Compra -HOJA1'!$K$395,0)</f>
        <v>0</v>
      </c>
      <c r="MQ285" s="860">
        <f t="shared" ca="1" si="116"/>
        <v>0</v>
      </c>
      <c r="MR285" s="860">
        <f t="shared" ca="1" si="117"/>
        <v>0</v>
      </c>
      <c r="MS285" s="860">
        <f t="shared" ca="1" si="118"/>
        <v>0</v>
      </c>
      <c r="MT285" s="1969">
        <f t="shared" ca="1" si="119"/>
        <v>0</v>
      </c>
    </row>
    <row r="286" spans="1:358" ht="54" customHeight="1" x14ac:dyDescent="0.4">
      <c r="A286" s="3365"/>
      <c r="B286" s="4867"/>
      <c r="C286" s="4861"/>
      <c r="D286" s="4862"/>
      <c r="E286" s="3427" t="s">
        <v>47</v>
      </c>
      <c r="F286" s="3425">
        <f>+G286*30</f>
        <v>0</v>
      </c>
      <c r="G286" s="3425">
        <f>+G285</f>
        <v>0</v>
      </c>
      <c r="H286" s="3420"/>
      <c r="I286" s="1968">
        <f>IF(F286=0,0,ROUND($F286*COEF!$J$27,0))</f>
        <v>0</v>
      </c>
      <c r="J286" s="858">
        <f>IF(F286=0,0,ROUND($F286*COEF!$K$27,0))</f>
        <v>0</v>
      </c>
      <c r="K286" s="858">
        <f>IF(F286=0,0,ROUND($F286*COEF!$L$27,0))</f>
        <v>0</v>
      </c>
      <c r="L286" s="859">
        <f ca="1">+ROUND(I286*'Compra -HOJA1'!I$395,0)</f>
        <v>0</v>
      </c>
      <c r="M286" s="859">
        <f ca="1">+ROUND(J286*'Compra -HOJA1'!J$395,0)</f>
        <v>0</v>
      </c>
      <c r="N286" s="859">
        <f ca="1">+ROUND(K286*'Compra -HOJA1'!K$395,0)</f>
        <v>0</v>
      </c>
      <c r="O286" s="860">
        <f t="shared" ca="1" si="126"/>
        <v>0</v>
      </c>
      <c r="P286" s="860">
        <f t="shared" ca="1" si="127"/>
        <v>0</v>
      </c>
      <c r="Q286" s="860">
        <f t="shared" ca="1" si="128"/>
        <v>0</v>
      </c>
      <c r="R286" s="1969">
        <f t="shared" ca="1" si="129"/>
        <v>0</v>
      </c>
      <c r="S286" s="866"/>
      <c r="T286" s="3421"/>
      <c r="U286" s="3422"/>
      <c r="V286" s="3422"/>
      <c r="W286" s="3422"/>
      <c r="X286" s="10"/>
      <c r="Y286" s="10"/>
      <c r="Z286" s="10"/>
      <c r="AA286" s="675"/>
      <c r="AB286" s="10"/>
      <c r="AC286" s="880"/>
      <c r="AD286" s="885"/>
      <c r="MK286" s="3454">
        <f t="shared" si="113"/>
        <v>0</v>
      </c>
      <c r="ML286" s="3453">
        <f t="shared" si="114"/>
        <v>0</v>
      </c>
      <c r="MM286" s="3453">
        <f t="shared" si="115"/>
        <v>0</v>
      </c>
      <c r="MN286" s="859">
        <f ca="1">+ROUND(MK286*'Compra -HOJA1'!$I$395,0)</f>
        <v>0</v>
      </c>
      <c r="MO286" s="859">
        <f ca="1">+ROUND(ML286*'Compra -HOJA1'!$J$395,0)</f>
        <v>0</v>
      </c>
      <c r="MP286" s="859">
        <f ca="1">+ROUND(MM286*'Compra -HOJA1'!$K$395,0)</f>
        <v>0</v>
      </c>
      <c r="MQ286" s="860">
        <f t="shared" ca="1" si="116"/>
        <v>0</v>
      </c>
      <c r="MR286" s="860">
        <f t="shared" ca="1" si="117"/>
        <v>0</v>
      </c>
      <c r="MS286" s="860">
        <f t="shared" ca="1" si="118"/>
        <v>0</v>
      </c>
      <c r="MT286" s="1969">
        <f t="shared" ca="1" si="119"/>
        <v>0</v>
      </c>
    </row>
    <row r="287" spans="1:358" ht="54" customHeight="1" x14ac:dyDescent="0.4">
      <c r="A287" s="3365"/>
      <c r="B287" s="4867"/>
      <c r="C287" s="4861"/>
      <c r="D287" s="4862"/>
      <c r="E287" s="3427" t="s">
        <v>635</v>
      </c>
      <c r="F287" s="3425">
        <f>+G287*150</f>
        <v>0</v>
      </c>
      <c r="G287" s="3425">
        <f>+G285</f>
        <v>0</v>
      </c>
      <c r="H287" s="3420"/>
      <c r="I287" s="1968">
        <f>IF(F287=0,0,ROUND($F287*COEF!$J$27,0))</f>
        <v>0</v>
      </c>
      <c r="J287" s="858">
        <f>IF(F287=0,0,ROUND($F287*COEF!$K$27,0))</f>
        <v>0</v>
      </c>
      <c r="K287" s="858">
        <f>IF(F287=0,0,ROUND($F287*COEF!$L$27,0))</f>
        <v>0</v>
      </c>
      <c r="L287" s="859">
        <f ca="1">+ROUND(I287*'Compra -HOJA1'!I$395,0)</f>
        <v>0</v>
      </c>
      <c r="M287" s="859">
        <f ca="1">+ROUND(J287*'Compra -HOJA1'!J$395,0)</f>
        <v>0</v>
      </c>
      <c r="N287" s="859">
        <f ca="1">+ROUND(K287*'Compra -HOJA1'!K$395,0)</f>
        <v>0</v>
      </c>
      <c r="O287" s="860">
        <f t="shared" ca="1" si="126"/>
        <v>0</v>
      </c>
      <c r="P287" s="860">
        <f t="shared" ca="1" si="127"/>
        <v>0</v>
      </c>
      <c r="Q287" s="860">
        <f t="shared" ca="1" si="128"/>
        <v>0</v>
      </c>
      <c r="R287" s="1969">
        <f t="shared" ca="1" si="129"/>
        <v>0</v>
      </c>
      <c r="S287" s="866"/>
      <c r="T287" s="3421"/>
      <c r="U287" s="3422"/>
      <c r="V287" s="3422"/>
      <c r="W287" s="3422"/>
      <c r="X287" s="10"/>
      <c r="Y287" s="10"/>
      <c r="Z287" s="10"/>
      <c r="AA287" s="675"/>
      <c r="AB287" s="10"/>
      <c r="AC287" s="880"/>
      <c r="AD287" s="885"/>
      <c r="MK287" s="3454">
        <f t="shared" si="113"/>
        <v>0</v>
      </c>
      <c r="ML287" s="3453">
        <f t="shared" si="114"/>
        <v>0</v>
      </c>
      <c r="MM287" s="3453">
        <f t="shared" si="115"/>
        <v>0</v>
      </c>
      <c r="MN287" s="859">
        <f ca="1">+ROUND(MK287*'Compra -HOJA1'!$I$395,0)</f>
        <v>0</v>
      </c>
      <c r="MO287" s="859">
        <f ca="1">+ROUND(ML287*'Compra -HOJA1'!$J$395,0)</f>
        <v>0</v>
      </c>
      <c r="MP287" s="859">
        <f ca="1">+ROUND(MM287*'Compra -HOJA1'!$K$395,0)</f>
        <v>0</v>
      </c>
      <c r="MQ287" s="860">
        <f t="shared" ca="1" si="116"/>
        <v>0</v>
      </c>
      <c r="MR287" s="860">
        <f t="shared" ca="1" si="117"/>
        <v>0</v>
      </c>
      <c r="MS287" s="860">
        <f t="shared" ca="1" si="118"/>
        <v>0</v>
      </c>
      <c r="MT287" s="1969">
        <f t="shared" ca="1" si="119"/>
        <v>0</v>
      </c>
    </row>
    <row r="288" spans="1:358" ht="54" customHeight="1" x14ac:dyDescent="0.4">
      <c r="A288" s="3365"/>
      <c r="B288" s="4867"/>
      <c r="C288" s="4861"/>
      <c r="D288" s="4862"/>
      <c r="E288" s="3427" t="s">
        <v>636</v>
      </c>
      <c r="F288" s="3425">
        <f>+F96-(300*G96)</f>
        <v>0</v>
      </c>
      <c r="G288" s="3425">
        <f>+G285</f>
        <v>0</v>
      </c>
      <c r="H288" s="3420"/>
      <c r="I288" s="1968">
        <f>IF(F288=0,0,ROUND($F288*COEF!$J$27,0))</f>
        <v>0</v>
      </c>
      <c r="J288" s="858">
        <f>IF(F288=0,0,ROUND($F288*COEF!$K$27,0))</f>
        <v>0</v>
      </c>
      <c r="K288" s="858">
        <f>IF(F288=0,0,ROUND($F288*COEF!$L$27,0))</f>
        <v>0</v>
      </c>
      <c r="L288" s="859">
        <f ca="1">+ROUND(I288*'Compra -HOJA1'!I$395,0)</f>
        <v>0</v>
      </c>
      <c r="M288" s="859">
        <f ca="1">+ROUND(J288*'Compra -HOJA1'!J$395,0)</f>
        <v>0</v>
      </c>
      <c r="N288" s="859">
        <f ca="1">+ROUND(K288*'Compra -HOJA1'!K$395,0)</f>
        <v>0</v>
      </c>
      <c r="O288" s="860">
        <f t="shared" ca="1" si="126"/>
        <v>0</v>
      </c>
      <c r="P288" s="860">
        <f t="shared" ca="1" si="127"/>
        <v>0</v>
      </c>
      <c r="Q288" s="860">
        <f t="shared" ca="1" si="128"/>
        <v>0</v>
      </c>
      <c r="R288" s="1969">
        <f t="shared" ca="1" si="129"/>
        <v>0</v>
      </c>
      <c r="S288" s="866"/>
      <c r="T288" s="3421"/>
      <c r="U288" s="3422"/>
      <c r="V288" s="3422"/>
      <c r="W288" s="3422"/>
      <c r="X288" s="10"/>
      <c r="Y288" s="10"/>
      <c r="Z288" s="10"/>
      <c r="AA288" s="675"/>
      <c r="AB288" s="10"/>
      <c r="AC288" s="880"/>
      <c r="AD288" s="885"/>
      <c r="MK288" s="3454">
        <f t="shared" si="113"/>
        <v>0</v>
      </c>
      <c r="ML288" s="3453">
        <f t="shared" si="114"/>
        <v>0</v>
      </c>
      <c r="MM288" s="3453">
        <f t="shared" si="115"/>
        <v>0</v>
      </c>
      <c r="MN288" s="859">
        <f ca="1">+ROUND(MK288*'Compra -HOJA1'!$I$395,0)</f>
        <v>0</v>
      </c>
      <c r="MO288" s="859">
        <f ca="1">+ROUND(ML288*'Compra -HOJA1'!$J$395,0)</f>
        <v>0</v>
      </c>
      <c r="MP288" s="859">
        <f ca="1">+ROUND(MM288*'Compra -HOJA1'!$K$395,0)</f>
        <v>0</v>
      </c>
      <c r="MQ288" s="860">
        <f t="shared" ca="1" si="116"/>
        <v>0</v>
      </c>
      <c r="MR288" s="860">
        <f t="shared" ca="1" si="117"/>
        <v>0</v>
      </c>
      <c r="MS288" s="860">
        <f t="shared" ca="1" si="118"/>
        <v>0</v>
      </c>
      <c r="MT288" s="1969">
        <f t="shared" ca="1" si="119"/>
        <v>0</v>
      </c>
    </row>
    <row r="289" spans="1:358" ht="54" customHeight="1" x14ac:dyDescent="0.4">
      <c r="A289" s="3365"/>
      <c r="B289" s="4867"/>
      <c r="C289" s="4861"/>
      <c r="D289" s="4862"/>
      <c r="E289" s="3424" t="s">
        <v>169</v>
      </c>
      <c r="F289" s="3423">
        <f>120*G289</f>
        <v>0</v>
      </c>
      <c r="G289" s="3425">
        <f>+G97</f>
        <v>0</v>
      </c>
      <c r="H289" s="3420"/>
      <c r="I289" s="1968">
        <f>IF(F289=0,0,ROUND($F289*COEF!$J$27,0))</f>
        <v>0</v>
      </c>
      <c r="J289" s="858">
        <f>IF(F289=0,0,ROUND($F289*COEF!$K$27,0))</f>
        <v>0</v>
      </c>
      <c r="K289" s="858">
        <f>IF(F289=0,0,ROUND($F289*COEF!$L$27,0))</f>
        <v>0</v>
      </c>
      <c r="L289" s="859">
        <f ca="1">+ROUND(I289*'Compra -HOJA1'!I$395,0)</f>
        <v>0</v>
      </c>
      <c r="M289" s="859">
        <f ca="1">+ROUND(J289*'Compra -HOJA1'!J$395,0)</f>
        <v>0</v>
      </c>
      <c r="N289" s="859">
        <f ca="1">+ROUND(K289*'Compra -HOJA1'!K$395,0)</f>
        <v>0</v>
      </c>
      <c r="O289" s="860">
        <f t="shared" ca="1" si="126"/>
        <v>0</v>
      </c>
      <c r="P289" s="860">
        <f t="shared" ca="1" si="127"/>
        <v>0</v>
      </c>
      <c r="Q289" s="860">
        <f t="shared" ca="1" si="128"/>
        <v>0</v>
      </c>
      <c r="R289" s="1969">
        <f t="shared" ca="1" si="129"/>
        <v>0</v>
      </c>
      <c r="S289" s="866"/>
      <c r="T289" s="3421"/>
      <c r="U289" s="3422"/>
      <c r="V289" s="3422"/>
      <c r="W289" s="3422"/>
      <c r="X289" s="10"/>
      <c r="Y289" s="10"/>
      <c r="Z289" s="10"/>
      <c r="AA289" s="675"/>
      <c r="AB289" s="10"/>
      <c r="AC289" s="880"/>
      <c r="AD289" s="885"/>
      <c r="MK289" s="3454">
        <f t="shared" si="113"/>
        <v>0</v>
      </c>
      <c r="ML289" s="3453">
        <f t="shared" si="114"/>
        <v>0</v>
      </c>
      <c r="MM289" s="3453">
        <f t="shared" si="115"/>
        <v>0</v>
      </c>
      <c r="MN289" s="859">
        <f ca="1">+ROUND(MK289*'Compra -HOJA1'!$I$395,0)</f>
        <v>0</v>
      </c>
      <c r="MO289" s="859">
        <f ca="1">+ROUND(ML289*'Compra -HOJA1'!$J$395,0)</f>
        <v>0</v>
      </c>
      <c r="MP289" s="859">
        <f ca="1">+ROUND(MM289*'Compra -HOJA1'!$K$395,0)</f>
        <v>0</v>
      </c>
      <c r="MQ289" s="860">
        <f t="shared" ca="1" si="116"/>
        <v>0</v>
      </c>
      <c r="MR289" s="860">
        <f t="shared" ca="1" si="117"/>
        <v>0</v>
      </c>
      <c r="MS289" s="860">
        <f t="shared" ca="1" si="118"/>
        <v>0</v>
      </c>
      <c r="MT289" s="1969">
        <f t="shared" ca="1" si="119"/>
        <v>0</v>
      </c>
    </row>
    <row r="290" spans="1:358" ht="54" customHeight="1" x14ac:dyDescent="0.4">
      <c r="A290" s="3365"/>
      <c r="B290" s="4867"/>
      <c r="C290" s="4861"/>
      <c r="D290" s="4862"/>
      <c r="E290" s="3424" t="s">
        <v>49</v>
      </c>
      <c r="F290" s="3423">
        <f>+G290*30</f>
        <v>0</v>
      </c>
      <c r="G290" s="3425">
        <f>+G289</f>
        <v>0</v>
      </c>
      <c r="H290" s="3420"/>
      <c r="I290" s="1968">
        <f>IF(F290=0,0,ROUND($F290*COEF!$J$27,0))</f>
        <v>0</v>
      </c>
      <c r="J290" s="858">
        <f>IF(F290=0,0,ROUND($F290*COEF!$K$27,0))</f>
        <v>0</v>
      </c>
      <c r="K290" s="858">
        <f>IF(F290=0,0,ROUND($F290*COEF!$L$27,0))</f>
        <v>0</v>
      </c>
      <c r="L290" s="859">
        <f ca="1">+ROUND(I290*'Compra -HOJA1'!I$395,0)</f>
        <v>0</v>
      </c>
      <c r="M290" s="859">
        <f ca="1">+ROUND(J290*'Compra -HOJA1'!J$395,0)</f>
        <v>0</v>
      </c>
      <c r="N290" s="859">
        <f ca="1">+ROUND(K290*'Compra -HOJA1'!K$395,0)</f>
        <v>0</v>
      </c>
      <c r="O290" s="860">
        <f t="shared" ca="1" si="126"/>
        <v>0</v>
      </c>
      <c r="P290" s="860">
        <f t="shared" ca="1" si="127"/>
        <v>0</v>
      </c>
      <c r="Q290" s="860">
        <f t="shared" ca="1" si="128"/>
        <v>0</v>
      </c>
      <c r="R290" s="1969">
        <f t="shared" ca="1" si="129"/>
        <v>0</v>
      </c>
      <c r="S290" s="866"/>
      <c r="T290" s="3421"/>
      <c r="U290" s="3422"/>
      <c r="V290" s="3422"/>
      <c r="W290" s="3422"/>
      <c r="X290" s="10"/>
      <c r="Y290" s="10"/>
      <c r="Z290" s="10"/>
      <c r="AA290" s="675"/>
      <c r="AB290" s="10"/>
      <c r="AC290" s="880"/>
      <c r="AD290" s="885"/>
      <c r="MK290" s="3454">
        <f t="shared" si="113"/>
        <v>0</v>
      </c>
      <c r="ML290" s="3453">
        <f t="shared" si="114"/>
        <v>0</v>
      </c>
      <c r="MM290" s="3453">
        <f t="shared" si="115"/>
        <v>0</v>
      </c>
      <c r="MN290" s="859">
        <f ca="1">+ROUND(MK290*'Compra -HOJA1'!$I$395,0)</f>
        <v>0</v>
      </c>
      <c r="MO290" s="859">
        <f ca="1">+ROUND(ML290*'Compra -HOJA1'!$J$395,0)</f>
        <v>0</v>
      </c>
      <c r="MP290" s="859">
        <f ca="1">+ROUND(MM290*'Compra -HOJA1'!$K$395,0)</f>
        <v>0</v>
      </c>
      <c r="MQ290" s="860">
        <f t="shared" ca="1" si="116"/>
        <v>0</v>
      </c>
      <c r="MR290" s="860">
        <f t="shared" ca="1" si="117"/>
        <v>0</v>
      </c>
      <c r="MS290" s="860">
        <f t="shared" ca="1" si="118"/>
        <v>0</v>
      </c>
      <c r="MT290" s="1969">
        <f t="shared" ca="1" si="119"/>
        <v>0</v>
      </c>
    </row>
    <row r="291" spans="1:358" ht="54" customHeight="1" x14ac:dyDescent="0.4">
      <c r="A291" s="3365"/>
      <c r="B291" s="4867"/>
      <c r="C291" s="4861"/>
      <c r="D291" s="4862"/>
      <c r="E291" s="3424" t="s">
        <v>638</v>
      </c>
      <c r="F291" s="3423">
        <f>+G291*150</f>
        <v>0</v>
      </c>
      <c r="G291" s="3425">
        <f>+G289</f>
        <v>0</v>
      </c>
      <c r="H291" s="3420"/>
      <c r="I291" s="1968">
        <f>IF(F291=0,0,ROUND($F291*COEF!$J$27,0))</f>
        <v>0</v>
      </c>
      <c r="J291" s="858">
        <f>IF(F291=0,0,ROUND($F291*COEF!$K$27,0))</f>
        <v>0</v>
      </c>
      <c r="K291" s="858">
        <f>IF(F291=0,0,ROUND($F291*COEF!$L$27,0))</f>
        <v>0</v>
      </c>
      <c r="L291" s="859">
        <f ca="1">+ROUND(I291*'Compra -HOJA1'!I$395,0)</f>
        <v>0</v>
      </c>
      <c r="M291" s="859">
        <f ca="1">+ROUND(J291*'Compra -HOJA1'!J$395,0)</f>
        <v>0</v>
      </c>
      <c r="N291" s="859">
        <f ca="1">+ROUND(K291*'Compra -HOJA1'!K$395,0)</f>
        <v>0</v>
      </c>
      <c r="O291" s="860">
        <f t="shared" ca="1" si="126"/>
        <v>0</v>
      </c>
      <c r="P291" s="860">
        <f t="shared" ca="1" si="127"/>
        <v>0</v>
      </c>
      <c r="Q291" s="860">
        <f t="shared" ca="1" si="128"/>
        <v>0</v>
      </c>
      <c r="R291" s="1969">
        <f t="shared" ca="1" si="129"/>
        <v>0</v>
      </c>
      <c r="S291" s="866"/>
      <c r="T291" s="3421"/>
      <c r="U291" s="3422"/>
      <c r="V291" s="3422"/>
      <c r="W291" s="3422"/>
      <c r="X291" s="10"/>
      <c r="Y291" s="10"/>
      <c r="Z291" s="10"/>
      <c r="AA291" s="675"/>
      <c r="AB291" s="10"/>
      <c r="AC291" s="880"/>
      <c r="AD291" s="885"/>
      <c r="MK291" s="3454">
        <f t="shared" si="113"/>
        <v>0</v>
      </c>
      <c r="ML291" s="3453">
        <f t="shared" si="114"/>
        <v>0</v>
      </c>
      <c r="MM291" s="3453">
        <f t="shared" si="115"/>
        <v>0</v>
      </c>
      <c r="MN291" s="859">
        <f ca="1">+ROUND(MK291*'Compra -HOJA1'!$I$395,0)</f>
        <v>0</v>
      </c>
      <c r="MO291" s="859">
        <f ca="1">+ROUND(ML291*'Compra -HOJA1'!$J$395,0)</f>
        <v>0</v>
      </c>
      <c r="MP291" s="859">
        <f ca="1">+ROUND(MM291*'Compra -HOJA1'!$K$395,0)</f>
        <v>0</v>
      </c>
      <c r="MQ291" s="860">
        <f t="shared" ca="1" si="116"/>
        <v>0</v>
      </c>
      <c r="MR291" s="860">
        <f t="shared" ca="1" si="117"/>
        <v>0</v>
      </c>
      <c r="MS291" s="860">
        <f t="shared" ca="1" si="118"/>
        <v>0</v>
      </c>
      <c r="MT291" s="1969">
        <f t="shared" ca="1" si="119"/>
        <v>0</v>
      </c>
    </row>
    <row r="292" spans="1:358" ht="54" customHeight="1" thickBot="1" x14ac:dyDescent="0.45">
      <c r="A292" s="3365"/>
      <c r="B292" s="4868"/>
      <c r="C292" s="4863"/>
      <c r="D292" s="4864"/>
      <c r="E292" s="3424" t="s">
        <v>639</v>
      </c>
      <c r="F292" s="3423">
        <f>+F97-(300*G97)</f>
        <v>0</v>
      </c>
      <c r="G292" s="3425">
        <f>+G289</f>
        <v>0</v>
      </c>
      <c r="H292" s="3420"/>
      <c r="I292" s="1968">
        <f>IF(F292=0,0,ROUND($F292*COEF!$J$27,0))</f>
        <v>0</v>
      </c>
      <c r="J292" s="858">
        <f>IF(F292=0,0,ROUND($F292*COEF!$K$27,0))</f>
        <v>0</v>
      </c>
      <c r="K292" s="858">
        <f>IF(F292=0,0,ROUND($F292*COEF!$L$27,0))</f>
        <v>0</v>
      </c>
      <c r="L292" s="859">
        <f ca="1">+ROUND(I292*'Compra -HOJA1'!I$395,0)</f>
        <v>0</v>
      </c>
      <c r="M292" s="859">
        <f ca="1">+ROUND(J292*'Compra -HOJA1'!J$395,0)</f>
        <v>0</v>
      </c>
      <c r="N292" s="859">
        <f ca="1">+ROUND(K292*'Compra -HOJA1'!K$395,0)</f>
        <v>0</v>
      </c>
      <c r="O292" s="860">
        <f t="shared" ca="1" si="126"/>
        <v>0</v>
      </c>
      <c r="P292" s="860">
        <f t="shared" ca="1" si="127"/>
        <v>0</v>
      </c>
      <c r="Q292" s="860">
        <f t="shared" ca="1" si="128"/>
        <v>0</v>
      </c>
      <c r="R292" s="1969">
        <f t="shared" ca="1" si="129"/>
        <v>0</v>
      </c>
      <c r="S292" s="866"/>
      <c r="T292" s="3421"/>
      <c r="U292" s="3422"/>
      <c r="V292" s="3422"/>
      <c r="W292" s="3422"/>
      <c r="X292" s="10"/>
      <c r="Y292" s="10"/>
      <c r="Z292" s="10"/>
      <c r="AA292" s="675"/>
      <c r="AB292" s="10"/>
      <c r="AC292" s="880"/>
      <c r="AD292" s="885"/>
      <c r="MK292" s="3454">
        <f t="shared" si="113"/>
        <v>0</v>
      </c>
      <c r="ML292" s="3453">
        <f t="shared" si="114"/>
        <v>0</v>
      </c>
      <c r="MM292" s="3453">
        <f t="shared" si="115"/>
        <v>0</v>
      </c>
      <c r="MN292" s="859">
        <f ca="1">+ROUND(MK292*'Compra -HOJA1'!$I$395,0)</f>
        <v>0</v>
      </c>
      <c r="MO292" s="859">
        <f ca="1">+ROUND(ML292*'Compra -HOJA1'!$J$395,0)</f>
        <v>0</v>
      </c>
      <c r="MP292" s="859">
        <f ca="1">+ROUND(MM292*'Compra -HOJA1'!$K$395,0)</f>
        <v>0</v>
      </c>
      <c r="MQ292" s="860">
        <f t="shared" ca="1" si="116"/>
        <v>0</v>
      </c>
      <c r="MR292" s="860">
        <f t="shared" ca="1" si="117"/>
        <v>0</v>
      </c>
      <c r="MS292" s="860">
        <f t="shared" ca="1" si="118"/>
        <v>0</v>
      </c>
      <c r="MT292" s="1969">
        <f t="shared" ca="1" si="119"/>
        <v>0</v>
      </c>
    </row>
    <row r="293" spans="1:358" ht="65.25" customHeight="1" thickBot="1" x14ac:dyDescent="0.25">
      <c r="A293" s="3810" t="s">
        <v>190</v>
      </c>
      <c r="B293" s="3811"/>
      <c r="C293" s="3811"/>
      <c r="D293" s="3811"/>
      <c r="E293" s="3812"/>
      <c r="F293" s="3433">
        <f>SUM(F185:F292)</f>
        <v>0</v>
      </c>
      <c r="G293" s="3433">
        <f>SUM(G185:G292)</f>
        <v>0</v>
      </c>
      <c r="H293" s="3036">
        <f>+H277+H253+H229+H205+H189</f>
        <v>0</v>
      </c>
      <c r="I293" s="3426">
        <f>SUM(I185:I292)</f>
        <v>0</v>
      </c>
      <c r="J293" s="3426">
        <f t="shared" ref="J293:R293" si="130">SUM(J185:J292)</f>
        <v>0</v>
      </c>
      <c r="K293" s="3426">
        <f t="shared" si="130"/>
        <v>0</v>
      </c>
      <c r="L293" s="3426">
        <f t="shared" ca="1" si="130"/>
        <v>0</v>
      </c>
      <c r="M293" s="3426">
        <f t="shared" ca="1" si="130"/>
        <v>0</v>
      </c>
      <c r="N293" s="3426">
        <f t="shared" ca="1" si="130"/>
        <v>0</v>
      </c>
      <c r="O293" s="3426">
        <f t="shared" ca="1" si="130"/>
        <v>0</v>
      </c>
      <c r="P293" s="3426">
        <f t="shared" ca="1" si="130"/>
        <v>0</v>
      </c>
      <c r="Q293" s="3426">
        <f t="shared" ca="1" si="130"/>
        <v>0</v>
      </c>
      <c r="R293" s="3426">
        <f t="shared" ca="1" si="130"/>
        <v>0</v>
      </c>
      <c r="S293" s="866" t="e">
        <f>+F293+#REF!</f>
        <v>#REF!</v>
      </c>
      <c r="T293" s="893">
        <f ca="1">SUM(T185:T276)</f>
        <v>0</v>
      </c>
      <c r="U293" s="893">
        <f ca="1">SUM(U185:U276)</f>
        <v>0</v>
      </c>
      <c r="V293" s="893">
        <f ca="1">SUM(V185:V276)</f>
        <v>0</v>
      </c>
      <c r="W293" s="893">
        <f ca="1">SUM(W185:W276)</f>
        <v>0</v>
      </c>
      <c r="X293" s="10"/>
      <c r="Y293" s="10"/>
      <c r="Z293" s="10"/>
      <c r="AA293" s="675"/>
      <c r="AB293" s="10"/>
      <c r="AC293" s="10"/>
      <c r="AD293" s="10"/>
      <c r="MK293" s="3426">
        <f>SUM(MK185:MK292)</f>
        <v>0</v>
      </c>
      <c r="ML293" s="3426">
        <f t="shared" ref="ML293:MM293" si="131">SUM(ML185:ML292)</f>
        <v>0</v>
      </c>
      <c r="MM293" s="3426">
        <f t="shared" si="131"/>
        <v>0</v>
      </c>
      <c r="MN293" s="3426">
        <f t="shared" ref="MN293" ca="1" si="132">SUM(MN185:MN292)</f>
        <v>0</v>
      </c>
      <c r="MO293" s="3426">
        <f t="shared" ref="MO293" ca="1" si="133">SUM(MO185:MO292)</f>
        <v>0</v>
      </c>
      <c r="MP293" s="3426">
        <f t="shared" ref="MP293" ca="1" si="134">SUM(MP185:MP292)</f>
        <v>0</v>
      </c>
      <c r="MQ293" s="3426">
        <f t="shared" ref="MQ293" ca="1" si="135">SUM(MQ185:MQ292)</f>
        <v>0</v>
      </c>
      <c r="MR293" s="3426">
        <f t="shared" ref="MR293" ca="1" si="136">SUM(MR185:MR292)</f>
        <v>0</v>
      </c>
      <c r="MS293" s="3426">
        <f t="shared" ref="MS293" ca="1" si="137">SUM(MS185:MS292)</f>
        <v>0</v>
      </c>
      <c r="MT293" s="3426">
        <f t="shared" ref="MT293" ca="1" si="138">SUM(MT185:MT292)</f>
        <v>0</v>
      </c>
    </row>
    <row r="294" spans="1:358" ht="50.25" customHeight="1" thickBot="1" x14ac:dyDescent="0.8">
      <c r="K294" s="3447">
        <f>+K293+J293+I293</f>
        <v>0</v>
      </c>
      <c r="MM294" s="3426">
        <f>+MM293+ML293+MK293</f>
        <v>0</v>
      </c>
    </row>
  </sheetData>
  <mergeCells count="253">
    <mergeCell ref="B20:B21"/>
    <mergeCell ref="C20:C21"/>
    <mergeCell ref="D20:E20"/>
    <mergeCell ref="D21:E21"/>
    <mergeCell ref="B22:B23"/>
    <mergeCell ref="C22:C23"/>
    <mergeCell ref="D22:E22"/>
    <mergeCell ref="D23:E23"/>
    <mergeCell ref="A1:K1"/>
    <mergeCell ref="AA1:AD1"/>
    <mergeCell ref="D2:H2"/>
    <mergeCell ref="D3:H3"/>
    <mergeCell ref="F4:H4"/>
    <mergeCell ref="A6:H7"/>
    <mergeCell ref="A8:E9"/>
    <mergeCell ref="F8:F9"/>
    <mergeCell ref="G8:G9"/>
    <mergeCell ref="H8:H9"/>
    <mergeCell ref="I8:I9"/>
    <mergeCell ref="A44:H45"/>
    <mergeCell ref="A46:E47"/>
    <mergeCell ref="F46:F47"/>
    <mergeCell ref="G46:G47"/>
    <mergeCell ref="H46:H47"/>
    <mergeCell ref="I46:I47"/>
    <mergeCell ref="D50:E50"/>
    <mergeCell ref="D51:E51"/>
    <mergeCell ref="D13:E13"/>
    <mergeCell ref="D14:E14"/>
    <mergeCell ref="D15:E15"/>
    <mergeCell ref="D17:E17"/>
    <mergeCell ref="D18:E18"/>
    <mergeCell ref="A10:A25"/>
    <mergeCell ref="B10:B13"/>
    <mergeCell ref="C10:C13"/>
    <mergeCell ref="D10:E10"/>
    <mergeCell ref="D11:E11"/>
    <mergeCell ref="D12:E12"/>
    <mergeCell ref="B24:B25"/>
    <mergeCell ref="C24:C25"/>
    <mergeCell ref="D24:E24"/>
    <mergeCell ref="D25:E25"/>
    <mergeCell ref="A26:E26"/>
    <mergeCell ref="A48:A92"/>
    <mergeCell ref="C48:C51"/>
    <mergeCell ref="D48:E48"/>
    <mergeCell ref="D49:E49"/>
    <mergeCell ref="D74:E74"/>
    <mergeCell ref="D76:E76"/>
    <mergeCell ref="D60:E60"/>
    <mergeCell ref="D61:E61"/>
    <mergeCell ref="D63:E63"/>
    <mergeCell ref="D64:E64"/>
    <mergeCell ref="D90:E90"/>
    <mergeCell ref="D92:E92"/>
    <mergeCell ref="D82:E82"/>
    <mergeCell ref="D84:E84"/>
    <mergeCell ref="C52:C55"/>
    <mergeCell ref="B48:B59"/>
    <mergeCell ref="C66:C69"/>
    <mergeCell ref="D66:E66"/>
    <mergeCell ref="D67:E67"/>
    <mergeCell ref="D68:E68"/>
    <mergeCell ref="D69:E69"/>
    <mergeCell ref="C70:C73"/>
    <mergeCell ref="D70:E70"/>
    <mergeCell ref="D71:E71"/>
    <mergeCell ref="B107:B118"/>
    <mergeCell ref="A107:A151"/>
    <mergeCell ref="C107:C110"/>
    <mergeCell ref="D107:E107"/>
    <mergeCell ref="A98:E98"/>
    <mergeCell ref="A105:E106"/>
    <mergeCell ref="D108:E108"/>
    <mergeCell ref="D109:E109"/>
    <mergeCell ref="D110:E110"/>
    <mergeCell ref="C119:C123"/>
    <mergeCell ref="D119:E119"/>
    <mergeCell ref="D120:E120"/>
    <mergeCell ref="D122:E122"/>
    <mergeCell ref="D123:E123"/>
    <mergeCell ref="C149:C151"/>
    <mergeCell ref="D149:E149"/>
    <mergeCell ref="D151:E151"/>
    <mergeCell ref="C125:C128"/>
    <mergeCell ref="D125:E125"/>
    <mergeCell ref="D126:E126"/>
    <mergeCell ref="D127:E127"/>
    <mergeCell ref="D128:E128"/>
    <mergeCell ref="D131:E131"/>
    <mergeCell ref="D132:E132"/>
    <mergeCell ref="O105:Q105"/>
    <mergeCell ref="F105:F106"/>
    <mergeCell ref="G105:G106"/>
    <mergeCell ref="I105:K105"/>
    <mergeCell ref="L105:N105"/>
    <mergeCell ref="D133:E133"/>
    <mergeCell ref="D135:E135"/>
    <mergeCell ref="C133:C135"/>
    <mergeCell ref="C141:C143"/>
    <mergeCell ref="D141:E141"/>
    <mergeCell ref="D143:E143"/>
    <mergeCell ref="C111:C114"/>
    <mergeCell ref="D111:E111"/>
    <mergeCell ref="D112:E112"/>
    <mergeCell ref="D113:E113"/>
    <mergeCell ref="D114:E114"/>
    <mergeCell ref="C115:C118"/>
    <mergeCell ref="D115:E115"/>
    <mergeCell ref="D116:E116"/>
    <mergeCell ref="D117:E117"/>
    <mergeCell ref="D118:E118"/>
    <mergeCell ref="C129:C132"/>
    <mergeCell ref="D129:E129"/>
    <mergeCell ref="D130:E130"/>
    <mergeCell ref="A293:E293"/>
    <mergeCell ref="C269:D276"/>
    <mergeCell ref="C245:D252"/>
    <mergeCell ref="D16:E16"/>
    <mergeCell ref="D19:E19"/>
    <mergeCell ref="C14:C19"/>
    <mergeCell ref="B14:B19"/>
    <mergeCell ref="D31:E31"/>
    <mergeCell ref="D32:E32"/>
    <mergeCell ref="D33:E33"/>
    <mergeCell ref="B32:B33"/>
    <mergeCell ref="B34:B35"/>
    <mergeCell ref="D34:E34"/>
    <mergeCell ref="D35:E35"/>
    <mergeCell ref="B36:B37"/>
    <mergeCell ref="D36:E36"/>
    <mergeCell ref="D37:E37"/>
    <mergeCell ref="B38:B39"/>
    <mergeCell ref="A157:E157"/>
    <mergeCell ref="A182:G182"/>
    <mergeCell ref="A183:E184"/>
    <mergeCell ref="F183:F184"/>
    <mergeCell ref="A185:A276"/>
    <mergeCell ref="C221:D228"/>
    <mergeCell ref="D38:E38"/>
    <mergeCell ref="D39:E39"/>
    <mergeCell ref="I29:K29"/>
    <mergeCell ref="L29:N29"/>
    <mergeCell ref="O29:Q29"/>
    <mergeCell ref="J10:J13"/>
    <mergeCell ref="K10:K13"/>
    <mergeCell ref="J14:J19"/>
    <mergeCell ref="K14:K19"/>
    <mergeCell ref="J20:J21"/>
    <mergeCell ref="K20:K21"/>
    <mergeCell ref="J22:J23"/>
    <mergeCell ref="K22:K23"/>
    <mergeCell ref="J24:J25"/>
    <mergeCell ref="K24:K25"/>
    <mergeCell ref="D72:E72"/>
    <mergeCell ref="D73:E73"/>
    <mergeCell ref="B60:B73"/>
    <mergeCell ref="D52:E52"/>
    <mergeCell ref="D53:E53"/>
    <mergeCell ref="D54:E54"/>
    <mergeCell ref="D55:E55"/>
    <mergeCell ref="C56:C59"/>
    <mergeCell ref="D56:E56"/>
    <mergeCell ref="D57:E57"/>
    <mergeCell ref="D58:E58"/>
    <mergeCell ref="D59:E59"/>
    <mergeCell ref="D62:E62"/>
    <mergeCell ref="D65:E65"/>
    <mergeCell ref="C60:C65"/>
    <mergeCell ref="C78:C79"/>
    <mergeCell ref="D78:E78"/>
    <mergeCell ref="D79:E79"/>
    <mergeCell ref="C80:C81"/>
    <mergeCell ref="D80:E80"/>
    <mergeCell ref="D81:E81"/>
    <mergeCell ref="B74:B81"/>
    <mergeCell ref="C86:C87"/>
    <mergeCell ref="D86:E86"/>
    <mergeCell ref="D87:E87"/>
    <mergeCell ref="C74:C77"/>
    <mergeCell ref="D75:E75"/>
    <mergeCell ref="D77:E77"/>
    <mergeCell ref="C88:C89"/>
    <mergeCell ref="D88:E88"/>
    <mergeCell ref="D89:E89"/>
    <mergeCell ref="B82:B89"/>
    <mergeCell ref="C94:C95"/>
    <mergeCell ref="D94:E94"/>
    <mergeCell ref="D95:E95"/>
    <mergeCell ref="C96:C97"/>
    <mergeCell ref="D96:E96"/>
    <mergeCell ref="D97:E97"/>
    <mergeCell ref="B90:B97"/>
    <mergeCell ref="D83:E83"/>
    <mergeCell ref="D85:E85"/>
    <mergeCell ref="C82:C85"/>
    <mergeCell ref="D91:E91"/>
    <mergeCell ref="D93:E93"/>
    <mergeCell ref="C90:C93"/>
    <mergeCell ref="B119:B132"/>
    <mergeCell ref="C137:C138"/>
    <mergeCell ref="D137:E137"/>
    <mergeCell ref="D138:E138"/>
    <mergeCell ref="C139:C140"/>
    <mergeCell ref="D139:E139"/>
    <mergeCell ref="D140:E140"/>
    <mergeCell ref="B133:B140"/>
    <mergeCell ref="C145:C146"/>
    <mergeCell ref="D145:E145"/>
    <mergeCell ref="D146:E146"/>
    <mergeCell ref="D121:E121"/>
    <mergeCell ref="D124:E124"/>
    <mergeCell ref="D134:E134"/>
    <mergeCell ref="D136:E136"/>
    <mergeCell ref="C285:D292"/>
    <mergeCell ref="B269:B292"/>
    <mergeCell ref="C153:C154"/>
    <mergeCell ref="C155:C156"/>
    <mergeCell ref="D153:E153"/>
    <mergeCell ref="D154:E154"/>
    <mergeCell ref="D155:E155"/>
    <mergeCell ref="D156:E156"/>
    <mergeCell ref="B149:B156"/>
    <mergeCell ref="C189:D192"/>
    <mergeCell ref="C193:D196"/>
    <mergeCell ref="B185:B196"/>
    <mergeCell ref="C185:D188"/>
    <mergeCell ref="C197:D204"/>
    <mergeCell ref="C205:D212"/>
    <mergeCell ref="C213:D220"/>
    <mergeCell ref="B197:B220"/>
    <mergeCell ref="C229:D236"/>
    <mergeCell ref="C237:D244"/>
    <mergeCell ref="B221:B244"/>
    <mergeCell ref="C253:D260"/>
    <mergeCell ref="C261:D268"/>
    <mergeCell ref="MK183:MM183"/>
    <mergeCell ref="MN183:MP183"/>
    <mergeCell ref="MQ183:MS183"/>
    <mergeCell ref="C147:C148"/>
    <mergeCell ref="D147:E147"/>
    <mergeCell ref="D148:E148"/>
    <mergeCell ref="B141:B148"/>
    <mergeCell ref="B245:B268"/>
    <mergeCell ref="C277:D284"/>
    <mergeCell ref="G183:G184"/>
    <mergeCell ref="L183:N183"/>
    <mergeCell ref="O183:Q183"/>
    <mergeCell ref="D142:E142"/>
    <mergeCell ref="D144:E144"/>
    <mergeCell ref="D150:E150"/>
    <mergeCell ref="D152:E152"/>
    <mergeCell ref="I183:K183"/>
  </mergeCells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20">
    <tabColor theme="7" tint="0.59999389629810485"/>
  </sheetPr>
  <dimension ref="A1:BL461"/>
  <sheetViews>
    <sheetView showGridLines="0" zoomScale="124" zoomScaleNormal="124" workbookViewId="0">
      <selection activeCell="E27" sqref="E27"/>
    </sheetView>
  </sheetViews>
  <sheetFormatPr baseColWidth="10" defaultColWidth="11.42578125" defaultRowHeight="18" x14ac:dyDescent="0.25"/>
  <cols>
    <col min="1" max="1" width="31.28515625" customWidth="1"/>
    <col min="2" max="2" width="31.85546875" customWidth="1"/>
    <col min="3" max="3" width="34.5703125" style="3271" customWidth="1"/>
    <col min="4" max="4" width="18.5703125" style="214" customWidth="1"/>
    <col min="5" max="5" width="63.42578125" style="214" bestFit="1" customWidth="1"/>
    <col min="6" max="16" width="17.5703125" customWidth="1"/>
    <col min="17" max="18" width="17.140625" customWidth="1"/>
    <col min="19" max="24" width="11.42578125" customWidth="1"/>
    <col min="25" max="25" width="18.5703125" customWidth="1"/>
    <col min="26" max="37" width="11.42578125" customWidth="1"/>
    <col min="38" max="38" width="11.5703125" customWidth="1"/>
    <col min="39" max="39" width="18.42578125" customWidth="1"/>
    <col min="40" max="59" width="11.42578125" customWidth="1"/>
    <col min="60" max="60" width="30.42578125" customWidth="1"/>
    <col min="61" max="119" width="11.42578125" customWidth="1"/>
  </cols>
  <sheetData>
    <row r="1" spans="1:16" ht="23.1" customHeight="1" thickBot="1" x14ac:dyDescent="0.4">
      <c r="A1" s="4966" t="s">
        <v>758</v>
      </c>
      <c r="B1" s="4980" t="s">
        <v>759</v>
      </c>
      <c r="C1" s="4981"/>
      <c r="D1" s="4974" t="s">
        <v>254</v>
      </c>
      <c r="E1" s="4975"/>
      <c r="F1" s="4975"/>
      <c r="G1" s="4975"/>
      <c r="H1" s="4975"/>
      <c r="I1" s="4975"/>
      <c r="J1" s="4975"/>
      <c r="K1" s="4975"/>
      <c r="L1" s="4975"/>
      <c r="M1" s="4975"/>
      <c r="N1" s="4975"/>
      <c r="O1" s="4975"/>
      <c r="P1" s="1426"/>
    </row>
    <row r="2" spans="1:16" ht="12.75" customHeight="1" x14ac:dyDescent="0.2">
      <c r="A2" s="4967"/>
      <c r="B2" s="4982"/>
      <c r="C2" s="4983"/>
      <c r="D2" s="3345"/>
      <c r="E2" s="3132"/>
      <c r="F2" s="4976" t="s">
        <v>760</v>
      </c>
      <c r="G2" s="4978" t="s">
        <v>304</v>
      </c>
      <c r="H2" s="4978"/>
      <c r="I2" s="4978"/>
      <c r="J2" s="4978" t="s">
        <v>368</v>
      </c>
      <c r="K2" s="4978"/>
      <c r="L2" s="4979"/>
      <c r="M2" s="4986" t="s">
        <v>761</v>
      </c>
      <c r="N2" s="4978"/>
      <c r="O2" s="4979"/>
      <c r="P2" s="1444"/>
    </row>
    <row r="3" spans="1:16" ht="28.7" customHeight="1" thickBot="1" x14ac:dyDescent="0.25">
      <c r="A3" s="4968"/>
      <c r="B3" s="4984"/>
      <c r="C3" s="4985"/>
      <c r="D3" s="3242"/>
      <c r="E3" s="1426"/>
      <c r="F3" s="4977"/>
      <c r="G3" s="1427" t="s">
        <v>287</v>
      </c>
      <c r="H3" s="1427" t="s">
        <v>289</v>
      </c>
      <c r="I3" s="1427" t="s">
        <v>288</v>
      </c>
      <c r="J3" s="1427" t="s">
        <v>287</v>
      </c>
      <c r="K3" s="1427" t="s">
        <v>289</v>
      </c>
      <c r="L3" s="1428" t="s">
        <v>288</v>
      </c>
      <c r="M3" s="3238" t="s">
        <v>287</v>
      </c>
      <c r="N3" s="1427" t="s">
        <v>289</v>
      </c>
      <c r="O3" s="1428" t="s">
        <v>288</v>
      </c>
      <c r="P3" s="1444"/>
    </row>
    <row r="4" spans="1:16" ht="18.75" thickBot="1" x14ac:dyDescent="0.3">
      <c r="A4" s="3289" t="s">
        <v>762</v>
      </c>
      <c r="B4" s="3273"/>
      <c r="C4" s="3280" t="s">
        <v>763</v>
      </c>
      <c r="D4" s="3456" t="s">
        <v>764</v>
      </c>
      <c r="E4" s="3461" t="s">
        <v>254</v>
      </c>
      <c r="F4" s="1429"/>
      <c r="G4" s="1429"/>
      <c r="H4" s="1429"/>
      <c r="I4" s="1429"/>
      <c r="J4" s="1429"/>
      <c r="K4" s="1429"/>
      <c r="L4" s="1430"/>
      <c r="M4" s="1429"/>
      <c r="N4" s="1429"/>
      <c r="O4" s="1430"/>
      <c r="P4" s="1429"/>
    </row>
    <row r="5" spans="1:16" ht="20.25" x14ac:dyDescent="0.25">
      <c r="A5" s="3575">
        <v>-44.86459</v>
      </c>
      <c r="B5" s="3281" t="s">
        <v>765</v>
      </c>
      <c r="C5" s="3340">
        <f>+A5*D5</f>
        <v>0</v>
      </c>
      <c r="D5" s="3457">
        <f>SUM(G5:I5)</f>
        <v>0</v>
      </c>
      <c r="E5" s="3246" t="s">
        <v>46</v>
      </c>
      <c r="F5" s="3253">
        <f>+F44+F48+F52+F56+F64+F72+F80+F88+F96+F104+F112+F120+F128+F136+F144</f>
        <v>0</v>
      </c>
      <c r="G5" s="3253">
        <f t="shared" ref="G5:O5" si="0">+G44+G48+G52+G56+G64+G72+G80+G88+G96+G104+G112+G120+G128+G136+G144</f>
        <v>0</v>
      </c>
      <c r="H5" s="3253">
        <f t="shared" si="0"/>
        <v>0</v>
      </c>
      <c r="I5" s="3253">
        <f t="shared" si="0"/>
        <v>0</v>
      </c>
      <c r="J5" s="3253">
        <f t="shared" ca="1" si="0"/>
        <v>0</v>
      </c>
      <c r="K5" s="3253">
        <f t="shared" ca="1" si="0"/>
        <v>0</v>
      </c>
      <c r="L5" s="3253">
        <f t="shared" ca="1" si="0"/>
        <v>0</v>
      </c>
      <c r="M5" s="3253">
        <f t="shared" ca="1" si="0"/>
        <v>0</v>
      </c>
      <c r="N5" s="3253">
        <f t="shared" ca="1" si="0"/>
        <v>0</v>
      </c>
      <c r="O5" s="3253">
        <f t="shared" ca="1" si="0"/>
        <v>0</v>
      </c>
      <c r="P5" s="1445"/>
    </row>
    <row r="6" spans="1:16" ht="20.25" x14ac:dyDescent="0.25">
      <c r="A6" s="3575">
        <v>-76.996639999999999</v>
      </c>
      <c r="B6" s="3281" t="s">
        <v>766</v>
      </c>
      <c r="C6" s="3341">
        <f>+A6*D6</f>
        <v>0</v>
      </c>
      <c r="D6" s="3457">
        <f>SUM(G6:I6)</f>
        <v>0</v>
      </c>
      <c r="E6" s="3246" t="s">
        <v>47</v>
      </c>
      <c r="F6" s="3253">
        <f>+F45+F49+F53+F57+F65+F73+F81+F89+F97+F105+F113+F121+F129+F137+F145</f>
        <v>0</v>
      </c>
      <c r="G6" s="3253">
        <f t="shared" ref="G6:O6" si="1">+G45+G49+G53+G57+G65+G73+G81+G89+G97+G105+G113+G121+G129+G137+G145</f>
        <v>0</v>
      </c>
      <c r="H6" s="3253">
        <f t="shared" si="1"/>
        <v>0</v>
      </c>
      <c r="I6" s="3253">
        <f t="shared" si="1"/>
        <v>0</v>
      </c>
      <c r="J6" s="3253">
        <f t="shared" ca="1" si="1"/>
        <v>0</v>
      </c>
      <c r="K6" s="3253">
        <f t="shared" ca="1" si="1"/>
        <v>0</v>
      </c>
      <c r="L6" s="3253">
        <f t="shared" ca="1" si="1"/>
        <v>0</v>
      </c>
      <c r="M6" s="3253">
        <f t="shared" ca="1" si="1"/>
        <v>0</v>
      </c>
      <c r="N6" s="3253">
        <f t="shared" ca="1" si="1"/>
        <v>0</v>
      </c>
      <c r="O6" s="3253">
        <f t="shared" ca="1" si="1"/>
        <v>0</v>
      </c>
      <c r="P6" s="1445"/>
    </row>
    <row r="7" spans="1:16" ht="20.25" x14ac:dyDescent="0.25">
      <c r="A7" s="3575">
        <v>0</v>
      </c>
      <c r="B7" s="3281" t="s">
        <v>767</v>
      </c>
      <c r="C7" s="3341">
        <f>+A7*D7</f>
        <v>0</v>
      </c>
      <c r="D7" s="3457">
        <f>SUM(G7:I7)</f>
        <v>0</v>
      </c>
      <c r="E7" s="3246" t="s">
        <v>635</v>
      </c>
      <c r="F7" s="3253">
        <f>+F58+F66+F74+F82+F90+F98+F106+F114+F122+F130+F138+F146</f>
        <v>0</v>
      </c>
      <c r="G7" s="3253">
        <f t="shared" ref="G7:O7" si="2">+G58+G66+G74+G82+G90+G98+G106+G114+G122+G130+G138+G146</f>
        <v>0</v>
      </c>
      <c r="H7" s="3253">
        <f t="shared" si="2"/>
        <v>0</v>
      </c>
      <c r="I7" s="3253">
        <f t="shared" si="2"/>
        <v>0</v>
      </c>
      <c r="J7" s="3253">
        <f t="shared" ca="1" si="2"/>
        <v>0</v>
      </c>
      <c r="K7" s="3253">
        <f t="shared" ca="1" si="2"/>
        <v>0</v>
      </c>
      <c r="L7" s="3253">
        <f t="shared" ca="1" si="2"/>
        <v>0</v>
      </c>
      <c r="M7" s="3253">
        <f t="shared" ca="1" si="2"/>
        <v>0</v>
      </c>
      <c r="N7" s="3253">
        <f t="shared" ca="1" si="2"/>
        <v>0</v>
      </c>
      <c r="O7" s="3253">
        <f t="shared" ca="1" si="2"/>
        <v>0</v>
      </c>
      <c r="P7" s="1445"/>
    </row>
    <row r="8" spans="1:16" ht="20.25" x14ac:dyDescent="0.25">
      <c r="A8" s="3568">
        <v>0</v>
      </c>
      <c r="B8" s="3272"/>
      <c r="C8" s="3342">
        <f>+A8*D8</f>
        <v>0</v>
      </c>
      <c r="D8" s="3457">
        <f>SUM(G8:I8)</f>
        <v>0</v>
      </c>
      <c r="E8" s="3246" t="s">
        <v>768</v>
      </c>
      <c r="F8" s="3253">
        <f>+F59+F67+F75+F83+F91+F99+F107+F115+F123+F131+F139+F147</f>
        <v>0</v>
      </c>
      <c r="G8" s="3253">
        <f t="shared" ref="G8:O8" si="3">+G59+G67+G75+G83+G91+G99+G107+G115+G123+G131+G139+G147</f>
        <v>0</v>
      </c>
      <c r="H8" s="3253">
        <f t="shared" si="3"/>
        <v>0</v>
      </c>
      <c r="I8" s="3253">
        <f t="shared" si="3"/>
        <v>0</v>
      </c>
      <c r="J8" s="3253">
        <f t="shared" ca="1" si="3"/>
        <v>0</v>
      </c>
      <c r="K8" s="3253">
        <f t="shared" ca="1" si="3"/>
        <v>0</v>
      </c>
      <c r="L8" s="3253">
        <f t="shared" ca="1" si="3"/>
        <v>0</v>
      </c>
      <c r="M8" s="3253">
        <f t="shared" ca="1" si="3"/>
        <v>0</v>
      </c>
      <c r="N8" s="3253">
        <f t="shared" ca="1" si="3"/>
        <v>0</v>
      </c>
      <c r="O8" s="3253">
        <f t="shared" ca="1" si="3"/>
        <v>0</v>
      </c>
      <c r="P8" s="1445"/>
    </row>
    <row r="9" spans="1:16" ht="20.25" x14ac:dyDescent="0.3">
      <c r="A9" s="3569"/>
      <c r="B9" s="3282" t="s">
        <v>769</v>
      </c>
      <c r="C9" s="3343">
        <f>SUM(C5:C7)</f>
        <v>0</v>
      </c>
      <c r="D9" s="3458">
        <f>SUM(D5:D8)</f>
        <v>0</v>
      </c>
      <c r="E9" s="3290" t="s">
        <v>4</v>
      </c>
      <c r="F9" s="3253"/>
      <c r="G9" s="3253">
        <f t="shared" ref="G9:L9" si="4">SUM(G5:G8)</f>
        <v>0</v>
      </c>
      <c r="H9" s="3253">
        <f t="shared" si="4"/>
        <v>0</v>
      </c>
      <c r="I9" s="3253">
        <f t="shared" si="4"/>
        <v>0</v>
      </c>
      <c r="J9" s="3253">
        <f t="shared" ca="1" si="4"/>
        <v>0</v>
      </c>
      <c r="K9" s="3253">
        <f t="shared" ca="1" si="4"/>
        <v>0</v>
      </c>
      <c r="L9" s="3254">
        <f t="shared" ca="1" si="4"/>
        <v>0</v>
      </c>
      <c r="M9" s="3255">
        <f t="shared" ref="M9:O9" ca="1" si="5">+G9+J9</f>
        <v>0</v>
      </c>
      <c r="N9" s="3256">
        <f t="shared" ca="1" si="5"/>
        <v>0</v>
      </c>
      <c r="O9" s="3263">
        <f t="shared" ca="1" si="5"/>
        <v>0</v>
      </c>
      <c r="P9" s="1445"/>
    </row>
    <row r="10" spans="1:16" ht="20.25" x14ac:dyDescent="0.25">
      <c r="A10" s="3575">
        <v>-1196.1439</v>
      </c>
      <c r="B10" s="3283" t="s">
        <v>770</v>
      </c>
      <c r="C10" s="3341">
        <f>+A10*D10</f>
        <v>0</v>
      </c>
      <c r="D10" s="3459">
        <f>+R34</f>
        <v>0</v>
      </c>
      <c r="E10" s="3246" t="s">
        <v>771</v>
      </c>
      <c r="F10" s="1431"/>
      <c r="G10" s="1432"/>
      <c r="H10" s="1432"/>
      <c r="I10" s="1432"/>
      <c r="J10" s="1432"/>
      <c r="K10" s="1432"/>
      <c r="L10" s="1433"/>
      <c r="M10" s="1445"/>
      <c r="N10" s="1445"/>
      <c r="O10" s="3346"/>
      <c r="P10" s="1445"/>
    </row>
    <row r="11" spans="1:16" ht="20.25" x14ac:dyDescent="0.25">
      <c r="A11" s="3575">
        <v>-1196.1439</v>
      </c>
      <c r="B11" s="3283" t="s">
        <v>772</v>
      </c>
      <c r="C11" s="3341">
        <f>+A11*D11</f>
        <v>0</v>
      </c>
      <c r="D11" s="3459">
        <f>+S34</f>
        <v>0</v>
      </c>
      <c r="E11" s="3246" t="s">
        <v>773</v>
      </c>
      <c r="F11" s="1431"/>
      <c r="G11" s="1432"/>
      <c r="H11" s="1432"/>
      <c r="I11" s="1432"/>
      <c r="J11" s="1432"/>
      <c r="K11" s="1432"/>
      <c r="L11" s="1433"/>
      <c r="M11" s="1445"/>
      <c r="N11" s="1445"/>
      <c r="O11" s="3346"/>
      <c r="P11" s="1445"/>
    </row>
    <row r="12" spans="1:16" ht="18.75" thickBot="1" x14ac:dyDescent="0.3">
      <c r="A12" s="3570"/>
      <c r="B12" s="3282" t="s">
        <v>774</v>
      </c>
      <c r="C12" s="3344">
        <f>SUM(C10:C11)</f>
        <v>0</v>
      </c>
      <c r="D12" s="3460">
        <f>+D11+D10</f>
        <v>0</v>
      </c>
      <c r="E12" s="3247" t="s">
        <v>775</v>
      </c>
      <c r="F12" s="3243"/>
      <c r="G12" s="3244"/>
      <c r="H12" s="3244"/>
      <c r="I12" s="3244"/>
      <c r="J12" s="3244"/>
      <c r="K12" s="3244"/>
      <c r="L12" s="3245"/>
      <c r="M12" s="3347"/>
      <c r="N12" s="3347"/>
      <c r="O12" s="3348"/>
      <c r="P12" s="1445"/>
    </row>
    <row r="13" spans="1:16" ht="18.75" thickBot="1" x14ac:dyDescent="0.3">
      <c r="A13" s="3571"/>
      <c r="B13" s="3284" t="s">
        <v>776</v>
      </c>
      <c r="C13" s="3287">
        <f>+C12+C9</f>
        <v>0</v>
      </c>
      <c r="D13" s="3248"/>
      <c r="E13" s="3249"/>
      <c r="F13" s="3239"/>
      <c r="G13" s="3240"/>
      <c r="H13" s="3240"/>
      <c r="I13" s="3240"/>
      <c r="J13" s="3240"/>
      <c r="K13" s="3240"/>
      <c r="L13" s="3241"/>
      <c r="M13" s="25"/>
      <c r="N13" s="25"/>
      <c r="O13" s="25"/>
      <c r="P13" s="25"/>
    </row>
    <row r="14" spans="1:16" ht="24" thickBot="1" x14ac:dyDescent="0.4">
      <c r="A14" s="3572"/>
      <c r="D14" s="4971" t="s">
        <v>777</v>
      </c>
      <c r="E14" s="4972"/>
      <c r="F14" s="4972"/>
      <c r="G14" s="4972"/>
      <c r="H14" s="4972"/>
      <c r="I14" s="4972"/>
      <c r="J14" s="4972"/>
      <c r="K14" s="4972"/>
      <c r="L14" s="4972"/>
      <c r="M14" s="4972"/>
      <c r="N14" s="4972"/>
      <c r="O14" s="4973"/>
      <c r="P14" s="1446"/>
    </row>
    <row r="15" spans="1:16" x14ac:dyDescent="0.25">
      <c r="A15" s="3572"/>
      <c r="D15" s="3259"/>
      <c r="E15" s="3252"/>
      <c r="F15" s="3252"/>
      <c r="G15" s="3252"/>
      <c r="H15" s="3252"/>
      <c r="I15" s="3252"/>
      <c r="J15" s="3252"/>
      <c r="K15" s="3252"/>
      <c r="L15" s="3252"/>
      <c r="M15" s="1446"/>
      <c r="N15" s="1446"/>
      <c r="O15" s="3260"/>
      <c r="P15" s="1446"/>
    </row>
    <row r="16" spans="1:16" ht="12.75" customHeight="1" thickBot="1" x14ac:dyDescent="0.3">
      <c r="A16" s="3572"/>
      <c r="D16" s="3261"/>
      <c r="E16" s="1434"/>
      <c r="F16" s="4969" t="s">
        <v>760</v>
      </c>
      <c r="G16" s="4970" t="s">
        <v>304</v>
      </c>
      <c r="H16" s="4970"/>
      <c r="I16" s="4970"/>
      <c r="J16" s="4970" t="s">
        <v>368</v>
      </c>
      <c r="K16" s="4970"/>
      <c r="L16" s="4970"/>
      <c r="M16" s="4970" t="s">
        <v>761</v>
      </c>
      <c r="N16" s="4970"/>
      <c r="O16" s="4987"/>
      <c r="P16" s="1447"/>
    </row>
    <row r="17" spans="1:64" ht="18.75" thickBot="1" x14ac:dyDescent="0.3">
      <c r="A17" s="3573" t="s">
        <v>778</v>
      </c>
      <c r="B17" s="487"/>
      <c r="C17" s="3280" t="s">
        <v>763</v>
      </c>
      <c r="D17" s="3456" t="s">
        <v>764</v>
      </c>
      <c r="E17" s="3279" t="s">
        <v>777</v>
      </c>
      <c r="F17" s="4969"/>
      <c r="G17" s="1436" t="s">
        <v>287</v>
      </c>
      <c r="H17" s="1436" t="s">
        <v>289</v>
      </c>
      <c r="I17" s="1436" t="s">
        <v>288</v>
      </c>
      <c r="J17" s="1436" t="s">
        <v>287</v>
      </c>
      <c r="K17" s="1436" t="s">
        <v>289</v>
      </c>
      <c r="L17" s="1436" t="s">
        <v>288</v>
      </c>
      <c r="M17" s="1436" t="s">
        <v>287</v>
      </c>
      <c r="N17" s="1436" t="s">
        <v>289</v>
      </c>
      <c r="O17" s="3262" t="s">
        <v>288</v>
      </c>
      <c r="P17" s="1447"/>
    </row>
    <row r="18" spans="1:64" ht="20.25" x14ac:dyDescent="0.25">
      <c r="A18" s="3575">
        <v>-70.439899999999994</v>
      </c>
      <c r="B18" s="3275" t="s">
        <v>765</v>
      </c>
      <c r="C18" s="3340">
        <f>+A18*D18</f>
        <v>0</v>
      </c>
      <c r="D18" s="3457">
        <f>SUM(G18:I18)</f>
        <v>0</v>
      </c>
      <c r="E18" s="3250" t="s">
        <v>779</v>
      </c>
      <c r="F18" s="1434">
        <f>+F46+F50+F54+F60+F68+F76+F84+F92+F100+F108+F116+F124+F132+F140+F148</f>
        <v>0</v>
      </c>
      <c r="G18" s="1434">
        <f t="shared" ref="G18:O18" si="6">+G46+G50+G54+G60+G68+G76+G84+G92+G100+G108+G116+G124+G132+G140+G148</f>
        <v>0</v>
      </c>
      <c r="H18" s="1434">
        <f t="shared" si="6"/>
        <v>0</v>
      </c>
      <c r="I18" s="1434">
        <f t="shared" si="6"/>
        <v>0</v>
      </c>
      <c r="J18" s="1434">
        <f t="shared" ca="1" si="6"/>
        <v>0</v>
      </c>
      <c r="K18" s="1434">
        <f t="shared" ca="1" si="6"/>
        <v>0</v>
      </c>
      <c r="L18" s="1434">
        <f t="shared" ca="1" si="6"/>
        <v>0</v>
      </c>
      <c r="M18" s="1434">
        <f t="shared" ca="1" si="6"/>
        <v>0</v>
      </c>
      <c r="N18" s="1434">
        <f t="shared" ca="1" si="6"/>
        <v>0</v>
      </c>
      <c r="O18" s="1434">
        <f t="shared" ca="1" si="6"/>
        <v>0</v>
      </c>
      <c r="P18" s="1448"/>
    </row>
    <row r="19" spans="1:64" ht="20.25" x14ac:dyDescent="0.25">
      <c r="A19" s="3575">
        <v>-102.57195</v>
      </c>
      <c r="B19" s="3275" t="s">
        <v>766</v>
      </c>
      <c r="C19" s="3341">
        <f>+A19*D19</f>
        <v>0</v>
      </c>
      <c r="D19" s="3457">
        <f>SUM(G19:I19)</f>
        <v>0</v>
      </c>
      <c r="E19" s="3250" t="s">
        <v>49</v>
      </c>
      <c r="F19" s="1434">
        <f>+F47+F51+F55+F61+F69+F77+F85+F93+F101+F109+F117+F125+F133+F141+F149</f>
        <v>0</v>
      </c>
      <c r="G19" s="1434">
        <f t="shared" ref="G19:O19" si="7">+G47+G51+G55+G61+G69+G77+G85+G93+G101+G109+G117+G125+G133+G141+G149</f>
        <v>0</v>
      </c>
      <c r="H19" s="1434">
        <f t="shared" si="7"/>
        <v>0</v>
      </c>
      <c r="I19" s="1434">
        <f t="shared" si="7"/>
        <v>0</v>
      </c>
      <c r="J19" s="1434">
        <f t="shared" ca="1" si="7"/>
        <v>0</v>
      </c>
      <c r="K19" s="1434">
        <f t="shared" ca="1" si="7"/>
        <v>0</v>
      </c>
      <c r="L19" s="1434">
        <f t="shared" ca="1" si="7"/>
        <v>0</v>
      </c>
      <c r="M19" s="1434">
        <f t="shared" ca="1" si="7"/>
        <v>0</v>
      </c>
      <c r="N19" s="1434">
        <f t="shared" ca="1" si="7"/>
        <v>0</v>
      </c>
      <c r="O19" s="1434">
        <f t="shared" ca="1" si="7"/>
        <v>0</v>
      </c>
      <c r="P19" s="1448"/>
    </row>
    <row r="20" spans="1:64" ht="20.25" x14ac:dyDescent="0.25">
      <c r="A20" s="3575">
        <v>0</v>
      </c>
      <c r="B20" s="3275" t="s">
        <v>767</v>
      </c>
      <c r="C20" s="3341">
        <f>+A20*D20</f>
        <v>0</v>
      </c>
      <c r="D20" s="3457">
        <f>SUM(G20:I20)</f>
        <v>0</v>
      </c>
      <c r="E20" s="3250" t="s">
        <v>780</v>
      </c>
      <c r="F20" s="1434">
        <f>+F62+F70+F78+F86+F94+F102+F110+F118+F126+F134+F142+F150</f>
        <v>0</v>
      </c>
      <c r="G20" s="1434">
        <f t="shared" ref="G20:O20" si="8">+G62+G70+G78+G86+G94+G102+G110+G118+G126+G134+G142+G150</f>
        <v>0</v>
      </c>
      <c r="H20" s="1434">
        <f t="shared" si="8"/>
        <v>0</v>
      </c>
      <c r="I20" s="1434">
        <f t="shared" si="8"/>
        <v>0</v>
      </c>
      <c r="J20" s="1434">
        <f t="shared" ca="1" si="8"/>
        <v>0</v>
      </c>
      <c r="K20" s="1434">
        <f t="shared" ca="1" si="8"/>
        <v>0</v>
      </c>
      <c r="L20" s="1434">
        <f t="shared" ca="1" si="8"/>
        <v>0</v>
      </c>
      <c r="M20" s="1434">
        <f t="shared" ca="1" si="8"/>
        <v>0</v>
      </c>
      <c r="N20" s="1434">
        <f t="shared" ca="1" si="8"/>
        <v>0</v>
      </c>
      <c r="O20" s="1434">
        <f t="shared" ca="1" si="8"/>
        <v>0</v>
      </c>
      <c r="P20" s="1448"/>
    </row>
    <row r="21" spans="1:64" ht="20.25" x14ac:dyDescent="0.25">
      <c r="A21" s="3288">
        <v>0</v>
      </c>
      <c r="B21" s="3272"/>
      <c r="C21" s="3342">
        <f>+A21*D21</f>
        <v>0</v>
      </c>
      <c r="D21" s="3457">
        <f>SUM(G21:I21)</f>
        <v>0</v>
      </c>
      <c r="E21" s="3250" t="s">
        <v>781</v>
      </c>
      <c r="F21" s="1434">
        <f>+F63+F71+F79+F87+F95+F103+F111+F119+F127+F135+F143+F151</f>
        <v>0</v>
      </c>
      <c r="G21" s="1434">
        <f t="shared" ref="G21:O21" si="9">+G63+G71+G79+G87+G95+G103+G111+G119+G127+G135+G143+G151</f>
        <v>0</v>
      </c>
      <c r="H21" s="1434">
        <f t="shared" si="9"/>
        <v>0</v>
      </c>
      <c r="I21" s="1434">
        <f t="shared" si="9"/>
        <v>0</v>
      </c>
      <c r="J21" s="1434">
        <f t="shared" ca="1" si="9"/>
        <v>0</v>
      </c>
      <c r="K21" s="1434">
        <f t="shared" ca="1" si="9"/>
        <v>0</v>
      </c>
      <c r="L21" s="1434">
        <f t="shared" ca="1" si="9"/>
        <v>0</v>
      </c>
      <c r="M21" s="1434">
        <f t="shared" ca="1" si="9"/>
        <v>0</v>
      </c>
      <c r="N21" s="1434">
        <f t="shared" ca="1" si="9"/>
        <v>0</v>
      </c>
      <c r="O21" s="1434">
        <f t="shared" ca="1" si="9"/>
        <v>0</v>
      </c>
      <c r="P21" s="1448"/>
    </row>
    <row r="22" spans="1:64" ht="20.25" x14ac:dyDescent="0.3">
      <c r="A22" s="3574"/>
      <c r="B22" s="3274" t="s">
        <v>769</v>
      </c>
      <c r="C22" s="3343">
        <f>SUM(C18:C20)</f>
        <v>0</v>
      </c>
      <c r="D22" s="3458">
        <f>SUM(D18:D21)</f>
        <v>0</v>
      </c>
      <c r="E22" s="1434" t="s">
        <v>4</v>
      </c>
      <c r="F22" s="3258"/>
      <c r="G22" s="3257">
        <f t="shared" ref="G22:L22" si="10">SUM(G18:G21)</f>
        <v>0</v>
      </c>
      <c r="H22" s="3257">
        <f t="shared" si="10"/>
        <v>0</v>
      </c>
      <c r="I22" s="3257">
        <f t="shared" si="10"/>
        <v>0</v>
      </c>
      <c r="J22" s="3257">
        <f t="shared" ca="1" si="10"/>
        <v>0</v>
      </c>
      <c r="K22" s="3257">
        <f t="shared" ca="1" si="10"/>
        <v>0</v>
      </c>
      <c r="L22" s="3257">
        <f t="shared" ca="1" si="10"/>
        <v>0</v>
      </c>
      <c r="M22" s="3256">
        <f t="shared" ref="M22:O22" ca="1" si="11">+G22+J22</f>
        <v>0</v>
      </c>
      <c r="N22" s="3256">
        <f t="shared" ca="1" si="11"/>
        <v>0</v>
      </c>
      <c r="O22" s="3263">
        <f t="shared" ca="1" si="11"/>
        <v>0</v>
      </c>
      <c r="P22" s="1448"/>
    </row>
    <row r="23" spans="1:64" ht="20.25" x14ac:dyDescent="0.25">
      <c r="A23" s="3575">
        <v>-1869.1149</v>
      </c>
      <c r="B23" s="3276" t="s">
        <v>770</v>
      </c>
      <c r="C23" s="3341">
        <f>+A23*D23</f>
        <v>0</v>
      </c>
      <c r="D23" s="3459">
        <f>+U34</f>
        <v>0</v>
      </c>
      <c r="E23" s="3250" t="s">
        <v>771</v>
      </c>
      <c r="F23" s="1435"/>
      <c r="G23" s="1435"/>
      <c r="H23" s="1435"/>
      <c r="I23" s="1435"/>
      <c r="J23" s="1435"/>
      <c r="K23" s="1435"/>
      <c r="L23" s="1435"/>
      <c r="M23" s="1435"/>
      <c r="N23" s="1435"/>
      <c r="O23" s="3264"/>
      <c r="P23" s="1242"/>
    </row>
    <row r="24" spans="1:64" ht="20.25" x14ac:dyDescent="0.25">
      <c r="A24" s="3575">
        <v>-1869.1149</v>
      </c>
      <c r="B24" s="3276" t="s">
        <v>772</v>
      </c>
      <c r="C24" s="3341">
        <f>+A24*D24</f>
        <v>0</v>
      </c>
      <c r="D24" s="3459">
        <f>+V34</f>
        <v>0</v>
      </c>
      <c r="E24" s="3250" t="s">
        <v>773</v>
      </c>
      <c r="F24" s="1435"/>
      <c r="G24" s="1435"/>
      <c r="H24" s="1435"/>
      <c r="I24" s="1435"/>
      <c r="J24" s="1435"/>
      <c r="K24" s="1435"/>
      <c r="L24" s="1435"/>
      <c r="M24" s="1242"/>
      <c r="N24" s="1242"/>
      <c r="O24" s="3265"/>
      <c r="P24" s="1242"/>
    </row>
    <row r="25" spans="1:64" ht="18.75" thickBot="1" x14ac:dyDescent="0.3">
      <c r="A25" s="27"/>
      <c r="B25" s="3274" t="s">
        <v>774</v>
      </c>
      <c r="C25" s="3344">
        <f>SUM(C23:C24)</f>
        <v>0</v>
      </c>
      <c r="D25" s="3460">
        <f>+D24+D23</f>
        <v>0</v>
      </c>
      <c r="E25" s="3266" t="s">
        <v>775</v>
      </c>
      <c r="F25" s="3267"/>
      <c r="G25" s="3268"/>
      <c r="H25" s="3268"/>
      <c r="I25" s="3268"/>
      <c r="J25" s="3268"/>
      <c r="K25" s="3268"/>
      <c r="L25" s="3268"/>
      <c r="M25" s="3269"/>
      <c r="N25" s="3269"/>
      <c r="O25" s="3270"/>
      <c r="P25" s="1242"/>
    </row>
    <row r="26" spans="1:64" ht="18.75" thickBot="1" x14ac:dyDescent="0.3">
      <c r="A26" s="3571"/>
      <c r="B26" s="3277" t="s">
        <v>782</v>
      </c>
      <c r="C26" s="3287">
        <f>+C25+C22</f>
        <v>0</v>
      </c>
      <c r="D26" s="1936"/>
    </row>
    <row r="27" spans="1:64" ht="18.75" thickBot="1" x14ac:dyDescent="0.3">
      <c r="B27" s="3277"/>
      <c r="C27" s="3285"/>
      <c r="F27" s="487" t="s">
        <v>241</v>
      </c>
      <c r="G27" s="72">
        <f t="shared" ref="G27:O27" si="12">+G22+G9-G163</f>
        <v>0</v>
      </c>
      <c r="H27" s="72">
        <f t="shared" si="12"/>
        <v>0</v>
      </c>
      <c r="I27" s="72">
        <f t="shared" si="12"/>
        <v>0</v>
      </c>
      <c r="J27" s="72">
        <f t="shared" ca="1" si="12"/>
        <v>0</v>
      </c>
      <c r="K27" s="72">
        <f t="shared" ca="1" si="12"/>
        <v>0</v>
      </c>
      <c r="L27" s="72">
        <f t="shared" ca="1" si="12"/>
        <v>0</v>
      </c>
      <c r="M27" s="72">
        <f t="shared" ca="1" si="12"/>
        <v>0</v>
      </c>
      <c r="N27" s="72">
        <f t="shared" ca="1" si="12"/>
        <v>0</v>
      </c>
      <c r="O27" s="72">
        <f t="shared" ca="1" si="12"/>
        <v>0</v>
      </c>
      <c r="P27" s="72"/>
    </row>
    <row r="28" spans="1:64" ht="18.75" thickBot="1" x14ac:dyDescent="0.3">
      <c r="A28" s="487"/>
      <c r="B28" s="3278" t="s">
        <v>783</v>
      </c>
      <c r="C28" s="3286">
        <f>+C26+C13</f>
        <v>0</v>
      </c>
    </row>
    <row r="30" spans="1:64" x14ac:dyDescent="0.25">
      <c r="D30" s="2941">
        <f>+D25+D12</f>
        <v>0</v>
      </c>
      <c r="E30" s="2696" t="s">
        <v>775</v>
      </c>
    </row>
    <row r="31" spans="1:64" x14ac:dyDescent="0.25">
      <c r="B31" s="99"/>
      <c r="D31" s="3349">
        <f>+D22+D9</f>
        <v>0</v>
      </c>
      <c r="E31" s="2696" t="s">
        <v>489</v>
      </c>
      <c r="G31" s="3612"/>
      <c r="H31" s="3612"/>
      <c r="I31" s="3612"/>
      <c r="J31" s="3612"/>
      <c r="K31" s="3612"/>
      <c r="R31" s="4962" t="s">
        <v>762</v>
      </c>
      <c r="S31" s="4963"/>
      <c r="U31" s="4962" t="s">
        <v>778</v>
      </c>
      <c r="V31" s="4963"/>
      <c r="W31" s="214"/>
      <c r="X31" s="214"/>
      <c r="Z31" s="3610" t="s">
        <v>762</v>
      </c>
      <c r="AA31" s="3611"/>
      <c r="AB31" s="3611"/>
      <c r="AC31" s="3611"/>
      <c r="AD31" s="3611"/>
      <c r="AE31" s="3611"/>
      <c r="AF31" s="527" t="s">
        <v>784</v>
      </c>
      <c r="AG31" s="527" t="s">
        <v>785</v>
      </c>
      <c r="AH31" s="1" t="s">
        <v>4</v>
      </c>
      <c r="AT31" t="s">
        <v>762</v>
      </c>
      <c r="BH31" t="s">
        <v>163</v>
      </c>
    </row>
    <row r="32" spans="1:64" ht="31.5" customHeight="1" x14ac:dyDescent="0.35">
      <c r="B32" s="3279" t="s">
        <v>786</v>
      </c>
      <c r="C32" s="3350">
        <f>+C$28*D32</f>
        <v>0</v>
      </c>
      <c r="D32" s="3351">
        <f>+IF(W152=0,0,X63)</f>
        <v>0</v>
      </c>
      <c r="R32" s="526" t="s">
        <v>787</v>
      </c>
      <c r="S32" s="526" t="s">
        <v>788</v>
      </c>
      <c r="U32" s="526" t="s">
        <v>787</v>
      </c>
      <c r="V32" s="526" t="s">
        <v>788</v>
      </c>
      <c r="W32" s="527"/>
      <c r="X32" s="527"/>
      <c r="Z32" s="4964" t="s">
        <v>304</v>
      </c>
      <c r="AA32" s="4964"/>
      <c r="AB32" s="4964"/>
      <c r="AC32" s="4964" t="s">
        <v>368</v>
      </c>
      <c r="AD32" s="4964"/>
      <c r="AE32" s="4964"/>
      <c r="AF32" s="527" t="s">
        <v>4</v>
      </c>
      <c r="AG32" s="527" t="s">
        <v>4</v>
      </c>
      <c r="AH32" s="527" t="s">
        <v>4</v>
      </c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 t="s">
        <v>789</v>
      </c>
      <c r="BE32" s="99" t="s">
        <v>790</v>
      </c>
      <c r="BH32" s="99" t="s">
        <v>791</v>
      </c>
      <c r="BI32" s="99" t="s">
        <v>792</v>
      </c>
      <c r="BJ32" s="99" t="s">
        <v>793</v>
      </c>
      <c r="BK32" s="99" t="s">
        <v>794</v>
      </c>
      <c r="BL32" s="99" t="s">
        <v>795</v>
      </c>
    </row>
    <row r="33" spans="1:64" ht="31.5" customHeight="1" x14ac:dyDescent="0.35">
      <c r="B33" s="3279" t="s">
        <v>796</v>
      </c>
      <c r="C33" s="3350">
        <f>+C$28*D33</f>
        <v>0</v>
      </c>
      <c r="D33" s="3351">
        <f>+IF(W152=0,0,X87)</f>
        <v>0</v>
      </c>
      <c r="Z33" s="518" t="s">
        <v>287</v>
      </c>
      <c r="AA33" s="518" t="s">
        <v>289</v>
      </c>
      <c r="AB33" s="518" t="s">
        <v>288</v>
      </c>
      <c r="AC33" s="518" t="s">
        <v>287</v>
      </c>
      <c r="AD33" s="518" t="s">
        <v>289</v>
      </c>
      <c r="AE33" s="518" t="s">
        <v>288</v>
      </c>
      <c r="AT33" s="99" t="s">
        <v>797</v>
      </c>
      <c r="AU33" s="99"/>
      <c r="AV33" s="99"/>
      <c r="AW33" s="99"/>
      <c r="AX33" s="99"/>
      <c r="AY33" s="99"/>
      <c r="AZ33" s="99"/>
      <c r="BA33" s="99"/>
      <c r="BB33" s="99"/>
      <c r="BC33" s="99"/>
      <c r="BD33" s="494">
        <v>1</v>
      </c>
      <c r="BE33" s="494">
        <v>0.5</v>
      </c>
      <c r="BH33" s="99" t="s">
        <v>798</v>
      </c>
      <c r="BI33" s="495">
        <v>53.008800000000001</v>
      </c>
      <c r="BJ33" s="496">
        <v>73.613500000000002</v>
      </c>
      <c r="BK33" s="496">
        <v>106.9722</v>
      </c>
      <c r="BL33" s="496">
        <v>106.9722</v>
      </c>
    </row>
    <row r="34" spans="1:64" ht="31.5" customHeight="1" x14ac:dyDescent="0.35">
      <c r="B34" s="3279" t="s">
        <v>799</v>
      </c>
      <c r="C34" s="3350">
        <f>+C$28*D34</f>
        <v>0</v>
      </c>
      <c r="D34" s="3351">
        <f>+IF(W152=0,0,X111)</f>
        <v>0</v>
      </c>
      <c r="R34" s="72">
        <f>SUM(Y44:Y151)</f>
        <v>0</v>
      </c>
      <c r="S34" s="72">
        <f>SUM(Z44:Z151)</f>
        <v>0</v>
      </c>
      <c r="T34" s="72">
        <f>SUM(R34:S34)</f>
        <v>0</v>
      </c>
      <c r="U34" s="72">
        <f>SUM(AB44:AB151)</f>
        <v>0</v>
      </c>
      <c r="V34" s="72">
        <f>SUM(AC44:AC151)</f>
        <v>0</v>
      </c>
      <c r="W34" s="72"/>
      <c r="X34" s="72"/>
      <c r="Y34" s="72">
        <f>SUM(U34:V34)</f>
        <v>0</v>
      </c>
      <c r="AT34" s="99" t="s">
        <v>800</v>
      </c>
      <c r="AU34" s="99"/>
      <c r="AV34" s="99"/>
      <c r="AW34" s="99"/>
      <c r="AX34" s="99"/>
      <c r="AY34" s="99"/>
      <c r="AZ34" s="99"/>
      <c r="BA34" s="99"/>
      <c r="BB34" s="99"/>
      <c r="BC34" s="99"/>
      <c r="BD34" s="494">
        <v>0.5</v>
      </c>
      <c r="BE34" s="494">
        <v>0</v>
      </c>
      <c r="BH34" s="99" t="s">
        <v>801</v>
      </c>
      <c r="BI34" s="495"/>
      <c r="BJ34" s="496"/>
      <c r="BK34" s="496"/>
      <c r="BL34" s="496"/>
    </row>
    <row r="35" spans="1:64" ht="31.5" customHeight="1" thickBot="1" x14ac:dyDescent="0.4">
      <c r="B35" s="3353" t="s">
        <v>802</v>
      </c>
      <c r="C35" s="3350">
        <f>+C$28*D35</f>
        <v>0</v>
      </c>
      <c r="D35" s="3351">
        <f>+IF(W152=0,0,X135)</f>
        <v>0</v>
      </c>
      <c r="Y35" s="487" t="s">
        <v>803</v>
      </c>
      <c r="Z35" s="72">
        <f t="shared" ref="Z35:AH35" si="13">+AE44</f>
        <v>0</v>
      </c>
      <c r="AA35" s="72">
        <f t="shared" si="13"/>
        <v>0</v>
      </c>
      <c r="AB35" s="72">
        <f t="shared" si="13"/>
        <v>0</v>
      </c>
      <c r="AC35" s="72">
        <f t="shared" ca="1" si="13"/>
        <v>0</v>
      </c>
      <c r="AD35" s="72">
        <f t="shared" ca="1" si="13"/>
        <v>0</v>
      </c>
      <c r="AE35" s="72">
        <f t="shared" ca="1" si="13"/>
        <v>0</v>
      </c>
      <c r="AF35" s="72">
        <f t="shared" si="13"/>
        <v>0</v>
      </c>
      <c r="AG35" s="72">
        <f t="shared" ca="1" si="13"/>
        <v>0</v>
      </c>
      <c r="AH35" s="72">
        <f t="shared" ca="1" si="13"/>
        <v>0</v>
      </c>
      <c r="AT35" s="3612" t="s">
        <v>778</v>
      </c>
      <c r="AU35" s="3612"/>
      <c r="AV35" s="3612"/>
      <c r="AW35" s="3612"/>
      <c r="AX35" s="3612"/>
      <c r="AY35" s="3612"/>
      <c r="AZ35" s="3612"/>
      <c r="BA35" s="3612"/>
      <c r="BB35" s="3612"/>
      <c r="BC35" s="3612"/>
      <c r="BD35" s="3612"/>
      <c r="BE35" s="3612"/>
      <c r="BH35" s="99" t="s">
        <v>804</v>
      </c>
      <c r="BI35" s="495">
        <v>4.2005100000000004</v>
      </c>
      <c r="BJ35" s="496">
        <v>4.9602000000000004</v>
      </c>
      <c r="BK35" s="496">
        <v>5.7337400000000001</v>
      </c>
      <c r="BL35" s="496">
        <v>6.3527699999999996</v>
      </c>
    </row>
    <row r="36" spans="1:64" ht="36.200000000000003" customHeight="1" thickBot="1" x14ac:dyDescent="0.4">
      <c r="B36" s="3354" t="s">
        <v>4</v>
      </c>
      <c r="C36" s="3352">
        <f>SUM(C32:C35)</f>
        <v>0</v>
      </c>
      <c r="Y36" s="72">
        <f>+T34+Y34</f>
        <v>0</v>
      </c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 t="s">
        <v>789</v>
      </c>
      <c r="BE36" s="99" t="s">
        <v>790</v>
      </c>
      <c r="BH36" s="99" t="s">
        <v>805</v>
      </c>
      <c r="BI36" s="495"/>
      <c r="BJ36" s="495">
        <v>6.2256999999999998</v>
      </c>
      <c r="BK36" s="495">
        <v>7.04819</v>
      </c>
      <c r="BL36" s="495">
        <v>7.8409700000000004</v>
      </c>
    </row>
    <row r="37" spans="1:64" x14ac:dyDescent="0.25">
      <c r="AT37" s="99" t="s">
        <v>797</v>
      </c>
      <c r="AU37" s="99"/>
      <c r="AV37" s="99"/>
      <c r="AW37" s="99"/>
      <c r="AX37" s="99"/>
      <c r="AY37" s="99"/>
      <c r="AZ37" s="99"/>
      <c r="BA37" s="99"/>
      <c r="BB37" s="99"/>
      <c r="BC37" s="99"/>
      <c r="BD37" s="494">
        <v>1</v>
      </c>
      <c r="BE37" s="494">
        <v>1</v>
      </c>
      <c r="BH37" s="99" t="s">
        <v>806</v>
      </c>
      <c r="BI37" s="495"/>
      <c r="BJ37" s="495">
        <v>6.2256999999999998</v>
      </c>
      <c r="BK37" s="495">
        <v>7.04819</v>
      </c>
      <c r="BL37" s="495">
        <v>7.8409700000000004</v>
      </c>
    </row>
    <row r="38" spans="1:64" hidden="1" x14ac:dyDescent="0.25">
      <c r="P38" s="1456" t="s">
        <v>807</v>
      </c>
      <c r="Q38" s="1461">
        <f>+A10</f>
        <v>-1196.1439</v>
      </c>
      <c r="AT38" s="99" t="s">
        <v>800</v>
      </c>
      <c r="AU38" s="99"/>
      <c r="AV38" s="99"/>
      <c r="AW38" s="99"/>
      <c r="AX38" s="99"/>
      <c r="AY38" s="99"/>
      <c r="AZ38" s="99"/>
      <c r="BA38" s="99"/>
      <c r="BB38" s="99"/>
      <c r="BC38" s="99"/>
      <c r="BD38" s="494">
        <v>0.5</v>
      </c>
      <c r="BE38" s="494">
        <v>0</v>
      </c>
      <c r="BH38" s="99" t="s">
        <v>808</v>
      </c>
      <c r="BI38" s="497">
        <v>3.2500000000000001E-2</v>
      </c>
      <c r="BJ38" s="497">
        <v>3.2500000000000001E-2</v>
      </c>
      <c r="BK38" s="497">
        <v>3.2500000000000001E-2</v>
      </c>
      <c r="BL38" s="497">
        <v>3.2500000000000001E-2</v>
      </c>
    </row>
    <row r="39" spans="1:64" hidden="1" x14ac:dyDescent="0.25">
      <c r="P39" s="1456" t="s">
        <v>809</v>
      </c>
      <c r="Q39" s="1462">
        <f>+A23</f>
        <v>-1869.1149</v>
      </c>
    </row>
    <row r="40" spans="1:64" hidden="1" x14ac:dyDescent="0.25">
      <c r="Z40" s="3610" t="s">
        <v>762</v>
      </c>
      <c r="AA40" s="3611"/>
      <c r="AB40" s="3611"/>
      <c r="AC40" s="3611"/>
      <c r="AD40" s="3611"/>
      <c r="AE40" s="3611"/>
      <c r="AF40" s="214"/>
      <c r="AG40" s="214"/>
      <c r="AJ40" s="3610" t="s">
        <v>778</v>
      </c>
      <c r="AK40" s="3611"/>
      <c r="AL40" s="3611"/>
      <c r="AM40" s="3611"/>
      <c r="AN40" s="3611"/>
      <c r="AO40" s="3611"/>
    </row>
    <row r="41" spans="1:64" ht="13.5" hidden="1" customHeight="1" x14ac:dyDescent="0.25">
      <c r="D41" s="488"/>
      <c r="E41" s="488"/>
      <c r="F41" s="4965" t="s">
        <v>101</v>
      </c>
      <c r="G41" s="4964" t="s">
        <v>304</v>
      </c>
      <c r="H41" s="4964"/>
      <c r="I41" s="4964"/>
      <c r="J41" s="4964" t="s">
        <v>368</v>
      </c>
      <c r="K41" s="4964"/>
      <c r="L41" s="4964"/>
      <c r="M41" s="4964" t="s">
        <v>810</v>
      </c>
      <c r="N41" s="4964"/>
      <c r="O41" s="4964"/>
      <c r="P41" s="527"/>
      <c r="Y41" s="4962" t="s">
        <v>762</v>
      </c>
      <c r="Z41" s="4963"/>
      <c r="AB41" s="4962" t="s">
        <v>778</v>
      </c>
      <c r="AC41" s="4963"/>
      <c r="AE41" s="1453" t="s">
        <v>304</v>
      </c>
      <c r="AF41" s="1454"/>
      <c r="AG41" s="1455"/>
      <c r="AH41" s="1453" t="s">
        <v>368</v>
      </c>
      <c r="AI41" s="1454"/>
      <c r="AJ41" s="1455"/>
      <c r="AK41" s="527" t="s">
        <v>784</v>
      </c>
      <c r="AL41" s="527" t="s">
        <v>785</v>
      </c>
      <c r="AM41" s="1" t="s">
        <v>4</v>
      </c>
      <c r="AN41" s="487"/>
      <c r="AO41" s="1453" t="s">
        <v>304</v>
      </c>
      <c r="AP41" s="1454"/>
      <c r="AQ41" s="1455"/>
      <c r="AR41" s="1453" t="s">
        <v>368</v>
      </c>
      <c r="AS41" s="1454"/>
      <c r="AT41" s="1455"/>
      <c r="AU41" s="527" t="s">
        <v>784</v>
      </c>
      <c r="AV41" s="527" t="s">
        <v>785</v>
      </c>
      <c r="AW41" s="1" t="s">
        <v>4</v>
      </c>
    </row>
    <row r="42" spans="1:64" ht="25.5" hidden="1" x14ac:dyDescent="0.25">
      <c r="D42" s="488"/>
      <c r="E42" s="488"/>
      <c r="F42" s="4965"/>
      <c r="G42" s="518" t="s">
        <v>287</v>
      </c>
      <c r="H42" s="518" t="s">
        <v>289</v>
      </c>
      <c r="I42" s="518" t="s">
        <v>288</v>
      </c>
      <c r="J42" s="518" t="s">
        <v>287</v>
      </c>
      <c r="K42" s="518" t="s">
        <v>289</v>
      </c>
      <c r="L42" s="518" t="s">
        <v>288</v>
      </c>
      <c r="M42" s="518" t="s">
        <v>287</v>
      </c>
      <c r="N42" s="518" t="s">
        <v>289</v>
      </c>
      <c r="O42" s="518" t="s">
        <v>288</v>
      </c>
      <c r="P42" s="527"/>
      <c r="Y42" s="526" t="s">
        <v>787</v>
      </c>
      <c r="Z42" s="526" t="s">
        <v>788</v>
      </c>
      <c r="AB42" s="526" t="s">
        <v>787</v>
      </c>
      <c r="AC42" s="526" t="s">
        <v>788</v>
      </c>
      <c r="AE42" s="518" t="s">
        <v>287</v>
      </c>
      <c r="AF42" s="518" t="s">
        <v>289</v>
      </c>
      <c r="AG42" s="518" t="s">
        <v>288</v>
      </c>
      <c r="AH42" s="518" t="s">
        <v>287</v>
      </c>
      <c r="AI42" s="518" t="s">
        <v>289</v>
      </c>
      <c r="AJ42" s="518" t="s">
        <v>288</v>
      </c>
      <c r="AK42" s="527" t="s">
        <v>4</v>
      </c>
      <c r="AL42" s="527" t="s">
        <v>4</v>
      </c>
      <c r="AM42" s="527" t="s">
        <v>4</v>
      </c>
      <c r="AN42" s="527"/>
      <c r="AO42" s="518" t="s">
        <v>287</v>
      </c>
      <c r="AP42" s="518" t="s">
        <v>289</v>
      </c>
      <c r="AQ42" s="518" t="s">
        <v>288</v>
      </c>
      <c r="AR42" s="518" t="s">
        <v>287</v>
      </c>
      <c r="AS42" s="518" t="s">
        <v>289</v>
      </c>
      <c r="AT42" s="518" t="s">
        <v>288</v>
      </c>
      <c r="AU42" s="527" t="s">
        <v>4</v>
      </c>
      <c r="AV42" s="527" t="s">
        <v>4</v>
      </c>
      <c r="AW42" s="527" t="s">
        <v>4</v>
      </c>
    </row>
    <row r="43" spans="1:64" ht="18.75" hidden="1" thickBot="1" x14ac:dyDescent="0.3">
      <c r="A43" s="487" t="s">
        <v>811</v>
      </c>
      <c r="B43" s="487"/>
      <c r="D43" s="488"/>
      <c r="E43" s="488"/>
      <c r="F43" s="520"/>
      <c r="G43" s="518"/>
      <c r="H43" s="518"/>
      <c r="I43" s="518"/>
      <c r="J43" s="518"/>
      <c r="K43" s="518"/>
      <c r="L43" s="518"/>
      <c r="M43" s="527"/>
      <c r="N43" s="527"/>
      <c r="O43" s="527"/>
      <c r="P43" s="527" t="s">
        <v>320</v>
      </c>
      <c r="Q43" s="487" t="s">
        <v>811</v>
      </c>
      <c r="R43" s="487" t="s">
        <v>812</v>
      </c>
      <c r="S43" s="527" t="s">
        <v>811</v>
      </c>
      <c r="T43" s="527" t="s">
        <v>812</v>
      </c>
      <c r="U43" s="527" t="s">
        <v>4</v>
      </c>
      <c r="Y43" s="527"/>
      <c r="Z43" s="527"/>
      <c r="AB43" s="527"/>
      <c r="AC43" s="527"/>
      <c r="AE43" s="527"/>
      <c r="AF43" s="527"/>
      <c r="AG43" s="527"/>
      <c r="AH43" s="527"/>
      <c r="AI43" s="527"/>
      <c r="AJ43" s="527"/>
      <c r="AK43" s="527"/>
      <c r="AL43" s="527"/>
      <c r="AM43" s="527"/>
      <c r="AN43" s="527"/>
      <c r="AO43" s="527"/>
      <c r="AQ43" s="527"/>
      <c r="AR43" s="527"/>
      <c r="AU43" s="527"/>
      <c r="AV43" s="527"/>
      <c r="AW43" s="527"/>
    </row>
    <row r="44" spans="1:64" hidden="1" x14ac:dyDescent="0.25">
      <c r="A44" s="72">
        <f>+F44</f>
        <v>0</v>
      </c>
      <c r="B44" s="72"/>
      <c r="C44" s="3271">
        <v>1</v>
      </c>
      <c r="D44" s="3608" t="s">
        <v>1209</v>
      </c>
      <c r="E44" s="3129" t="s">
        <v>46</v>
      </c>
      <c r="F44" s="241">
        <f>+'SECCION TSP'!G185</f>
        <v>0</v>
      </c>
      <c r="G44" s="241">
        <f>+'SECCION TSP'!MK185</f>
        <v>0</v>
      </c>
      <c r="H44" s="241">
        <f>+'SECCION TSP'!ML185</f>
        <v>0</v>
      </c>
      <c r="I44" s="241">
        <f>+'SECCION TSP'!MM185</f>
        <v>0</v>
      </c>
      <c r="J44" s="241">
        <f ca="1">+'SECCION TSP'!MN185</f>
        <v>0</v>
      </c>
      <c r="K44" s="241">
        <f ca="1">+'SECCION TSP'!MO185</f>
        <v>0</v>
      </c>
      <c r="L44" s="241">
        <f ca="1">+'SECCION TSP'!MP185</f>
        <v>0</v>
      </c>
      <c r="M44" s="241">
        <f ca="1">+'SECCION TSP'!MQ185</f>
        <v>0</v>
      </c>
      <c r="N44" s="241">
        <f ca="1">+'SECCION TSP'!MR185</f>
        <v>0</v>
      </c>
      <c r="O44" s="241">
        <f ca="1">+'SECCION TSP'!MS185</f>
        <v>0</v>
      </c>
      <c r="P44" s="1456" t="s">
        <v>807</v>
      </c>
      <c r="Q44">
        <f>+IF(P44="POBRE",Q$38,Q$39)</f>
        <v>-1196.1439</v>
      </c>
      <c r="R44" s="1461">
        <f>+A5</f>
        <v>-44.86459</v>
      </c>
      <c r="S44">
        <f t="shared" ref="S44:S135" si="14">+Q44*A44</f>
        <v>0</v>
      </c>
      <c r="T44">
        <f>+R44*SUM(G44:I44)</f>
        <v>0</v>
      </c>
      <c r="U44" s="1463">
        <f>+T44+S44</f>
        <v>0</v>
      </c>
      <c r="V44" s="1464"/>
      <c r="W44" s="1468"/>
      <c r="Y44" s="72">
        <f>+F44</f>
        <v>0</v>
      </c>
      <c r="AD44" s="487" t="s">
        <v>803</v>
      </c>
      <c r="AE44" s="72">
        <f t="shared" ref="AE44:AJ44" si="15">+G44</f>
        <v>0</v>
      </c>
      <c r="AF44" s="72">
        <f t="shared" si="15"/>
        <v>0</v>
      </c>
      <c r="AG44" s="72">
        <f t="shared" si="15"/>
        <v>0</v>
      </c>
      <c r="AH44" s="72">
        <f t="shared" ca="1" si="15"/>
        <v>0</v>
      </c>
      <c r="AI44" s="72">
        <f t="shared" ca="1" si="15"/>
        <v>0</v>
      </c>
      <c r="AJ44" s="72">
        <f t="shared" ca="1" si="15"/>
        <v>0</v>
      </c>
      <c r="AK44" s="528">
        <f>SUM(AE44:AG44)</f>
        <v>0</v>
      </c>
      <c r="AL44" s="528">
        <f ca="1">SUM(AH44:AJ44)</f>
        <v>0</v>
      </c>
      <c r="AM44" s="528">
        <f ca="1">SUM(AE44:AJ44)</f>
        <v>0</v>
      </c>
      <c r="AN44" s="72"/>
      <c r="AU44" s="528">
        <f>SUM(AO44:AQ44)</f>
        <v>0</v>
      </c>
      <c r="AV44" s="528">
        <f>SUM(AR44:AT44)</f>
        <v>0</v>
      </c>
      <c r="AW44" s="528">
        <f>SUM(AO44:AT44)</f>
        <v>0</v>
      </c>
    </row>
    <row r="45" spans="1:64" hidden="1" x14ac:dyDescent="0.25">
      <c r="A45" s="72">
        <f>+F45</f>
        <v>0</v>
      </c>
      <c r="B45" s="72"/>
      <c r="D45" s="3612"/>
      <c r="E45" s="488" t="s">
        <v>47</v>
      </c>
      <c r="F45" s="241">
        <f>+'SECCION TSP'!G186</f>
        <v>0</v>
      </c>
      <c r="G45" s="241">
        <f>+'SECCION TSP'!MK186</f>
        <v>0</v>
      </c>
      <c r="H45" s="241">
        <f>+'SECCION TSP'!ML186</f>
        <v>0</v>
      </c>
      <c r="I45" s="241">
        <f>+'SECCION TSP'!MM186</f>
        <v>0</v>
      </c>
      <c r="J45" s="241">
        <f ca="1">+'SECCION TSP'!MN186</f>
        <v>0</v>
      </c>
      <c r="K45" s="241">
        <f ca="1">+'SECCION TSP'!MO186</f>
        <v>0</v>
      </c>
      <c r="L45" s="241">
        <f ca="1">+'SECCION TSP'!MP186</f>
        <v>0</v>
      </c>
      <c r="M45" s="241">
        <f ca="1">+'SECCION TSP'!MQ186</f>
        <v>0</v>
      </c>
      <c r="N45" s="241">
        <f ca="1">+'SECCION TSP'!MR186</f>
        <v>0</v>
      </c>
      <c r="O45" s="241">
        <f ca="1">+'SECCION TSP'!MS186</f>
        <v>0</v>
      </c>
      <c r="P45" s="1456" t="s">
        <v>807</v>
      </c>
      <c r="Q45">
        <f t="shared" ref="Q45:Q135" si="16">+IF(P45="POBRE",Q$38,Q$39)</f>
        <v>-1196.1439</v>
      </c>
      <c r="R45" s="1461">
        <f>+A6</f>
        <v>-76.996639999999999</v>
      </c>
      <c r="S45">
        <f t="shared" si="14"/>
        <v>0</v>
      </c>
      <c r="T45">
        <f t="shared" ref="T45:T135" si="17">+R45*SUM(G45:I45)</f>
        <v>0</v>
      </c>
      <c r="U45" s="210">
        <f t="shared" ref="U45:U152" si="18">+T45+S45</f>
        <v>0</v>
      </c>
      <c r="V45" s="211"/>
      <c r="W45" s="1469"/>
      <c r="Z45" s="72">
        <f>+F45</f>
        <v>0</v>
      </c>
      <c r="AK45" s="72"/>
    </row>
    <row r="46" spans="1:64" hidden="1" x14ac:dyDescent="0.25">
      <c r="A46" s="72">
        <f>+F46</f>
        <v>0</v>
      </c>
      <c r="B46" s="72"/>
      <c r="C46" s="3271">
        <v>3</v>
      </c>
      <c r="D46" s="3612"/>
      <c r="E46" s="3129" t="s">
        <v>813</v>
      </c>
      <c r="F46" s="241">
        <f>+'SECCION TSP'!G187</f>
        <v>0</v>
      </c>
      <c r="G46" s="241">
        <f>+'SECCION TSP'!MK187</f>
        <v>0</v>
      </c>
      <c r="H46" s="241">
        <f>+'SECCION TSP'!ML187</f>
        <v>0</v>
      </c>
      <c r="I46" s="241">
        <f>+'SECCION TSP'!MM187</f>
        <v>0</v>
      </c>
      <c r="J46" s="241">
        <f ca="1">+'SECCION TSP'!MN187</f>
        <v>0</v>
      </c>
      <c r="K46" s="241">
        <f ca="1">+'SECCION TSP'!MO187</f>
        <v>0</v>
      </c>
      <c r="L46" s="241">
        <f ca="1">+'SECCION TSP'!MP187</f>
        <v>0</v>
      </c>
      <c r="M46" s="241">
        <f ca="1">+'SECCION TSP'!MQ187</f>
        <v>0</v>
      </c>
      <c r="N46" s="241">
        <f ca="1">+'SECCION TSP'!MR187</f>
        <v>0</v>
      </c>
      <c r="O46" s="241">
        <f ca="1">+'SECCION TSP'!MS187</f>
        <v>0</v>
      </c>
      <c r="P46" s="1456" t="s">
        <v>809</v>
      </c>
      <c r="Q46">
        <f t="shared" si="16"/>
        <v>-1869.1149</v>
      </c>
      <c r="R46" s="1462">
        <f>+A18</f>
        <v>-70.439899999999994</v>
      </c>
      <c r="S46">
        <f t="shared" si="14"/>
        <v>0</v>
      </c>
      <c r="T46">
        <f t="shared" si="17"/>
        <v>0</v>
      </c>
      <c r="U46" s="210">
        <f t="shared" si="18"/>
        <v>0</v>
      </c>
      <c r="V46" s="211"/>
      <c r="W46" s="1469"/>
      <c r="AB46" s="72">
        <f>+F46</f>
        <v>0</v>
      </c>
    </row>
    <row r="47" spans="1:64" ht="27.75" hidden="1" thickBot="1" x14ac:dyDescent="0.4">
      <c r="A47" s="72">
        <f>+F47</f>
        <v>0</v>
      </c>
      <c r="B47" s="72"/>
      <c r="D47" s="3612"/>
      <c r="E47" s="488" t="s">
        <v>49</v>
      </c>
      <c r="F47" s="241">
        <f>+'SECCION TSP'!G188</f>
        <v>0</v>
      </c>
      <c r="G47" s="241">
        <f>+'SECCION TSP'!MK188</f>
        <v>0</v>
      </c>
      <c r="H47" s="241">
        <f>+'SECCION TSP'!ML188</f>
        <v>0</v>
      </c>
      <c r="I47" s="241">
        <f>+'SECCION TSP'!MM188</f>
        <v>0</v>
      </c>
      <c r="J47" s="241">
        <f ca="1">+'SECCION TSP'!MN188</f>
        <v>0</v>
      </c>
      <c r="K47" s="241">
        <f ca="1">+'SECCION TSP'!MO188</f>
        <v>0</v>
      </c>
      <c r="L47" s="241">
        <f ca="1">+'SECCION TSP'!MP188</f>
        <v>0</v>
      </c>
      <c r="M47" s="241">
        <f ca="1">+'SECCION TSP'!MQ188</f>
        <v>0</v>
      </c>
      <c r="N47" s="241">
        <f ca="1">+'SECCION TSP'!MR188</f>
        <v>0</v>
      </c>
      <c r="O47" s="241">
        <f ca="1">+'SECCION TSP'!MS188</f>
        <v>0</v>
      </c>
      <c r="P47" s="1456" t="s">
        <v>809</v>
      </c>
      <c r="Q47">
        <f t="shared" si="16"/>
        <v>-1869.1149</v>
      </c>
      <c r="R47" s="1462">
        <f>+A19</f>
        <v>-102.57195</v>
      </c>
      <c r="S47">
        <f t="shared" si="14"/>
        <v>0</v>
      </c>
      <c r="T47">
        <f t="shared" si="17"/>
        <v>0</v>
      </c>
      <c r="U47" s="1465">
        <f t="shared" si="18"/>
        <v>0</v>
      </c>
      <c r="V47" s="1466">
        <f>SUM(U44:U47)</f>
        <v>0</v>
      </c>
      <c r="W47" s="1469"/>
      <c r="AC47" s="3451">
        <f>+F47</f>
        <v>0</v>
      </c>
    </row>
    <row r="48" spans="1:64" ht="27" hidden="1" x14ac:dyDescent="0.35">
      <c r="A48" s="72"/>
      <c r="B48" s="72"/>
      <c r="C48" s="3271">
        <v>1</v>
      </c>
      <c r="D48" s="3608" t="s">
        <v>1210</v>
      </c>
      <c r="E48" s="3129" t="s">
        <v>46</v>
      </c>
      <c r="F48" s="241">
        <f>+'SECCION TSP'!G189</f>
        <v>0</v>
      </c>
      <c r="G48" s="241">
        <f>+'SECCION TSP'!MK189</f>
        <v>0</v>
      </c>
      <c r="H48" s="241">
        <f>+'SECCION TSP'!ML189</f>
        <v>0</v>
      </c>
      <c r="I48" s="241">
        <f>+'SECCION TSP'!MM189</f>
        <v>0</v>
      </c>
      <c r="J48" s="241">
        <f ca="1">+'SECCION TSP'!MN189</f>
        <v>0</v>
      </c>
      <c r="K48" s="241">
        <f ca="1">+'SECCION TSP'!MO189</f>
        <v>0</v>
      </c>
      <c r="L48" s="241">
        <f ca="1">+'SECCION TSP'!MP189</f>
        <v>0</v>
      </c>
      <c r="M48" s="241">
        <f ca="1">+'SECCION TSP'!MQ189</f>
        <v>0</v>
      </c>
      <c r="N48" s="241">
        <f ca="1">+'SECCION TSP'!MR189</f>
        <v>0</v>
      </c>
      <c r="O48" s="241">
        <f ca="1">+'SECCION TSP'!MS189</f>
        <v>0</v>
      </c>
      <c r="P48" s="1456"/>
      <c r="R48" s="1462"/>
      <c r="U48" s="210"/>
      <c r="V48" s="211"/>
      <c r="W48" s="1469"/>
      <c r="Y48" s="72">
        <f>+F48</f>
        <v>0</v>
      </c>
      <c r="AC48" s="3451"/>
    </row>
    <row r="49" spans="1:49" ht="27" hidden="1" x14ac:dyDescent="0.35">
      <c r="A49" s="72"/>
      <c r="B49" s="72"/>
      <c r="D49" s="3612"/>
      <c r="E49" s="488" t="s">
        <v>47</v>
      </c>
      <c r="F49" s="241">
        <f>+'SECCION TSP'!G190</f>
        <v>0</v>
      </c>
      <c r="G49" s="241">
        <f>+'SECCION TSP'!MK190</f>
        <v>0</v>
      </c>
      <c r="H49" s="241">
        <f>+'SECCION TSP'!ML190</f>
        <v>0</v>
      </c>
      <c r="I49" s="241">
        <f>+'SECCION TSP'!MM190</f>
        <v>0</v>
      </c>
      <c r="J49" s="241">
        <f ca="1">+'SECCION TSP'!MN190</f>
        <v>0</v>
      </c>
      <c r="K49" s="241">
        <f ca="1">+'SECCION TSP'!MO190</f>
        <v>0</v>
      </c>
      <c r="L49" s="241">
        <f ca="1">+'SECCION TSP'!MP190</f>
        <v>0</v>
      </c>
      <c r="M49" s="241">
        <f ca="1">+'SECCION TSP'!MQ190</f>
        <v>0</v>
      </c>
      <c r="N49" s="241">
        <f ca="1">+'SECCION TSP'!MR190</f>
        <v>0</v>
      </c>
      <c r="O49" s="241">
        <f ca="1">+'SECCION TSP'!MS190</f>
        <v>0</v>
      </c>
      <c r="P49" s="1456"/>
      <c r="R49" s="1462"/>
      <c r="U49" s="210"/>
      <c r="V49" s="211"/>
      <c r="W49" s="1469"/>
      <c r="Z49" s="72">
        <f>+F49</f>
        <v>0</v>
      </c>
      <c r="AC49" s="3451"/>
    </row>
    <row r="50" spans="1:49" ht="27" hidden="1" x14ac:dyDescent="0.35">
      <c r="A50" s="72"/>
      <c r="B50" s="72"/>
      <c r="C50" s="3271">
        <v>3</v>
      </c>
      <c r="D50" s="3612"/>
      <c r="E50" s="3129" t="s">
        <v>813</v>
      </c>
      <c r="F50" s="241">
        <f>+'SECCION TSP'!G191</f>
        <v>0</v>
      </c>
      <c r="G50" s="241">
        <f>+'SECCION TSP'!MK191</f>
        <v>0</v>
      </c>
      <c r="H50" s="241">
        <f>+'SECCION TSP'!ML191</f>
        <v>0</v>
      </c>
      <c r="I50" s="241">
        <f>+'SECCION TSP'!MM191</f>
        <v>0</v>
      </c>
      <c r="J50" s="241">
        <f ca="1">+'SECCION TSP'!MN191</f>
        <v>0</v>
      </c>
      <c r="K50" s="241">
        <f ca="1">+'SECCION TSP'!MO191</f>
        <v>0</v>
      </c>
      <c r="L50" s="241">
        <f ca="1">+'SECCION TSP'!MP191</f>
        <v>0</v>
      </c>
      <c r="M50" s="241">
        <f ca="1">+'SECCION TSP'!MQ191</f>
        <v>0</v>
      </c>
      <c r="N50" s="241">
        <f ca="1">+'SECCION TSP'!MR191</f>
        <v>0</v>
      </c>
      <c r="O50" s="241">
        <f ca="1">+'SECCION TSP'!MS191</f>
        <v>0</v>
      </c>
      <c r="P50" s="1456"/>
      <c r="R50" s="1462"/>
      <c r="U50" s="210"/>
      <c r="V50" s="211"/>
      <c r="W50" s="1469"/>
      <c r="AB50" s="72">
        <f>+F50</f>
        <v>0</v>
      </c>
      <c r="AC50" s="3451"/>
    </row>
    <row r="51" spans="1:49" ht="27" hidden="1" x14ac:dyDescent="0.35">
      <c r="A51" s="72"/>
      <c r="B51" s="72"/>
      <c r="D51" s="3612"/>
      <c r="E51" s="488" t="s">
        <v>49</v>
      </c>
      <c r="F51" s="241">
        <f>+'SECCION TSP'!G192</f>
        <v>0</v>
      </c>
      <c r="G51" s="241">
        <f>+'SECCION TSP'!MK192</f>
        <v>0</v>
      </c>
      <c r="H51" s="241">
        <f>+'SECCION TSP'!ML192</f>
        <v>0</v>
      </c>
      <c r="I51" s="241">
        <f>+'SECCION TSP'!MM192</f>
        <v>0</v>
      </c>
      <c r="J51" s="241">
        <f ca="1">+'SECCION TSP'!MN192</f>
        <v>0</v>
      </c>
      <c r="K51" s="241">
        <f ca="1">+'SECCION TSP'!MO192</f>
        <v>0</v>
      </c>
      <c r="L51" s="241">
        <f ca="1">+'SECCION TSP'!MP192</f>
        <v>0</v>
      </c>
      <c r="M51" s="241">
        <f ca="1">+'SECCION TSP'!MQ192</f>
        <v>0</v>
      </c>
      <c r="N51" s="241">
        <f ca="1">+'SECCION TSP'!MR192</f>
        <v>0</v>
      </c>
      <c r="O51" s="241">
        <f ca="1">+'SECCION TSP'!MS192</f>
        <v>0</v>
      </c>
      <c r="P51" s="1456"/>
      <c r="R51" s="1462"/>
      <c r="U51" s="210"/>
      <c r="V51" s="211"/>
      <c r="W51" s="1469"/>
      <c r="AC51" s="3451">
        <f>+F51</f>
        <v>0</v>
      </c>
    </row>
    <row r="52" spans="1:49" ht="27" hidden="1" x14ac:dyDescent="0.35">
      <c r="A52" s="72"/>
      <c r="B52" s="72"/>
      <c r="C52" s="3271">
        <v>1</v>
      </c>
      <c r="D52" s="3608" t="s">
        <v>1211</v>
      </c>
      <c r="E52" s="3129" t="s">
        <v>46</v>
      </c>
      <c r="F52" s="241">
        <f>+'SECCION TSP'!G193</f>
        <v>0</v>
      </c>
      <c r="G52" s="241">
        <f>+'SECCION TSP'!MK193</f>
        <v>0</v>
      </c>
      <c r="H52" s="241">
        <f>+'SECCION TSP'!ML193</f>
        <v>0</v>
      </c>
      <c r="I52" s="241">
        <f>+'SECCION TSP'!MM193</f>
        <v>0</v>
      </c>
      <c r="J52" s="241">
        <f ca="1">+'SECCION TSP'!MN193</f>
        <v>0</v>
      </c>
      <c r="K52" s="241">
        <f ca="1">+'SECCION TSP'!MO193</f>
        <v>0</v>
      </c>
      <c r="L52" s="241">
        <f ca="1">+'SECCION TSP'!MP193</f>
        <v>0</v>
      </c>
      <c r="M52" s="241">
        <f ca="1">+'SECCION TSP'!MQ193</f>
        <v>0</v>
      </c>
      <c r="N52" s="241">
        <f ca="1">+'SECCION TSP'!MR193</f>
        <v>0</v>
      </c>
      <c r="O52" s="241">
        <f ca="1">+'SECCION TSP'!MS193</f>
        <v>0</v>
      </c>
      <c r="P52" s="1456"/>
      <c r="R52" s="1462"/>
      <c r="U52" s="210"/>
      <c r="V52" s="211"/>
      <c r="W52" s="1469"/>
      <c r="Y52" s="72">
        <f>+F52</f>
        <v>0</v>
      </c>
      <c r="AC52" s="3451"/>
    </row>
    <row r="53" spans="1:49" ht="27" hidden="1" x14ac:dyDescent="0.35">
      <c r="A53" s="72"/>
      <c r="B53" s="72"/>
      <c r="D53" s="3612"/>
      <c r="E53" s="488" t="s">
        <v>47</v>
      </c>
      <c r="F53" s="241">
        <f>+'SECCION TSP'!G194</f>
        <v>0</v>
      </c>
      <c r="G53" s="241">
        <f>+'SECCION TSP'!MK194</f>
        <v>0</v>
      </c>
      <c r="H53" s="241">
        <f>+'SECCION TSP'!ML194</f>
        <v>0</v>
      </c>
      <c r="I53" s="241">
        <f>+'SECCION TSP'!MM194</f>
        <v>0</v>
      </c>
      <c r="J53" s="241">
        <f ca="1">+'SECCION TSP'!MN194</f>
        <v>0</v>
      </c>
      <c r="K53" s="241">
        <f ca="1">+'SECCION TSP'!MO194</f>
        <v>0</v>
      </c>
      <c r="L53" s="241">
        <f ca="1">+'SECCION TSP'!MP194</f>
        <v>0</v>
      </c>
      <c r="M53" s="241">
        <f ca="1">+'SECCION TSP'!MQ194</f>
        <v>0</v>
      </c>
      <c r="N53" s="241">
        <f ca="1">+'SECCION TSP'!MR194</f>
        <v>0</v>
      </c>
      <c r="O53" s="241">
        <f ca="1">+'SECCION TSP'!MS194</f>
        <v>0</v>
      </c>
      <c r="P53" s="1456"/>
      <c r="R53" s="1462"/>
      <c r="U53" s="210"/>
      <c r="V53" s="211"/>
      <c r="W53" s="1469"/>
      <c r="Z53" s="72">
        <f>+F53</f>
        <v>0</v>
      </c>
      <c r="AC53" s="3451"/>
    </row>
    <row r="54" spans="1:49" ht="27" hidden="1" x14ac:dyDescent="0.35">
      <c r="A54" s="72"/>
      <c r="B54" s="72"/>
      <c r="C54" s="3271">
        <v>3</v>
      </c>
      <c r="D54" s="3612"/>
      <c r="E54" s="3129" t="s">
        <v>813</v>
      </c>
      <c r="F54" s="241">
        <f>+'SECCION TSP'!G195</f>
        <v>0</v>
      </c>
      <c r="G54" s="241">
        <f>+'SECCION TSP'!MK195</f>
        <v>0</v>
      </c>
      <c r="H54" s="241">
        <f>+'SECCION TSP'!ML195</f>
        <v>0</v>
      </c>
      <c r="I54" s="241">
        <f>+'SECCION TSP'!MM195</f>
        <v>0</v>
      </c>
      <c r="J54" s="241">
        <f ca="1">+'SECCION TSP'!MN195</f>
        <v>0</v>
      </c>
      <c r="K54" s="241">
        <f ca="1">+'SECCION TSP'!MO195</f>
        <v>0</v>
      </c>
      <c r="L54" s="241">
        <f ca="1">+'SECCION TSP'!MP195</f>
        <v>0</v>
      </c>
      <c r="M54" s="241">
        <f ca="1">+'SECCION TSP'!MQ195</f>
        <v>0</v>
      </c>
      <c r="N54" s="241">
        <f ca="1">+'SECCION TSP'!MR195</f>
        <v>0</v>
      </c>
      <c r="O54" s="241">
        <f ca="1">+'SECCION TSP'!MS195</f>
        <v>0</v>
      </c>
      <c r="P54" s="1456"/>
      <c r="R54" s="1462"/>
      <c r="U54" s="210"/>
      <c r="V54" s="211"/>
      <c r="W54" s="1469"/>
      <c r="AB54" s="72">
        <f>+F54</f>
        <v>0</v>
      </c>
      <c r="AC54" s="3451"/>
    </row>
    <row r="55" spans="1:49" ht="27.75" hidden="1" thickBot="1" x14ac:dyDescent="0.4">
      <c r="A55" s="72"/>
      <c r="B55" s="72"/>
      <c r="D55" s="3612"/>
      <c r="E55" s="488" t="s">
        <v>49</v>
      </c>
      <c r="F55" s="241">
        <f>+'SECCION TSP'!G196</f>
        <v>0</v>
      </c>
      <c r="G55" s="241">
        <f>+'SECCION TSP'!MK196</f>
        <v>0</v>
      </c>
      <c r="H55" s="241">
        <f>+'SECCION TSP'!ML196</f>
        <v>0</v>
      </c>
      <c r="I55" s="241">
        <f>+'SECCION TSP'!MM196</f>
        <v>0</v>
      </c>
      <c r="J55" s="241">
        <f ca="1">+'SECCION TSP'!MN196</f>
        <v>0</v>
      </c>
      <c r="K55" s="241">
        <f ca="1">+'SECCION TSP'!MO196</f>
        <v>0</v>
      </c>
      <c r="L55" s="241">
        <f ca="1">+'SECCION TSP'!MP196</f>
        <v>0</v>
      </c>
      <c r="M55" s="241">
        <f ca="1">+'SECCION TSP'!MQ196</f>
        <v>0</v>
      </c>
      <c r="N55" s="241">
        <f ca="1">+'SECCION TSP'!MR196</f>
        <v>0</v>
      </c>
      <c r="O55" s="241">
        <f ca="1">+'SECCION TSP'!MS196</f>
        <v>0</v>
      </c>
      <c r="P55" s="1456"/>
      <c r="R55" s="1462"/>
      <c r="U55" s="210"/>
      <c r="V55" s="211"/>
      <c r="W55" s="1469"/>
      <c r="AC55" s="3451">
        <f>+F55</f>
        <v>0</v>
      </c>
    </row>
    <row r="56" spans="1:49" ht="27" hidden="1" x14ac:dyDescent="0.35">
      <c r="A56" s="72">
        <f>+F56</f>
        <v>0</v>
      </c>
      <c r="B56" s="72"/>
      <c r="D56" s="3608" t="s">
        <v>1212</v>
      </c>
      <c r="E56" s="3251" t="s">
        <v>46</v>
      </c>
      <c r="F56" s="1457">
        <f>+'SECCION TSP'!G197</f>
        <v>0</v>
      </c>
      <c r="G56" s="241">
        <f>+'SECCION TSP'!MK197</f>
        <v>0</v>
      </c>
      <c r="H56" s="241">
        <f>+'SECCION TSP'!ML197</f>
        <v>0</v>
      </c>
      <c r="I56" s="241">
        <f>+'SECCION TSP'!MM197</f>
        <v>0</v>
      </c>
      <c r="J56" s="241">
        <f ca="1">+'SECCION TSP'!MN197</f>
        <v>0</v>
      </c>
      <c r="K56" s="241">
        <f ca="1">+'SECCION TSP'!MO197</f>
        <v>0</v>
      </c>
      <c r="L56" s="241">
        <f ca="1">+'SECCION TSP'!MP197</f>
        <v>0</v>
      </c>
      <c r="M56" s="241">
        <f ca="1">+'SECCION TSP'!MQ197</f>
        <v>0</v>
      </c>
      <c r="N56" s="241">
        <f ca="1">+'SECCION TSP'!MR197</f>
        <v>0</v>
      </c>
      <c r="O56" s="241">
        <f ca="1">+'SECCION TSP'!MS197</f>
        <v>0</v>
      </c>
      <c r="P56" s="1456" t="s">
        <v>807</v>
      </c>
      <c r="Q56">
        <f t="shared" si="16"/>
        <v>-1196.1439</v>
      </c>
      <c r="R56" s="1461">
        <f>+A$5</f>
        <v>-44.86459</v>
      </c>
      <c r="S56">
        <f t="shared" si="14"/>
        <v>0</v>
      </c>
      <c r="T56">
        <f t="shared" si="17"/>
        <v>0</v>
      </c>
      <c r="U56" s="1463">
        <f t="shared" si="18"/>
        <v>0</v>
      </c>
      <c r="V56" s="1464"/>
      <c r="W56" s="1469"/>
      <c r="AC56" s="3452"/>
      <c r="AD56" s="487" t="s">
        <v>803</v>
      </c>
      <c r="AO56" s="72">
        <f t="shared" ref="AO56:AT56" si="19">+G56</f>
        <v>0</v>
      </c>
      <c r="AP56" s="72">
        <f t="shared" si="19"/>
        <v>0</v>
      </c>
      <c r="AQ56" s="72">
        <f t="shared" si="19"/>
        <v>0</v>
      </c>
      <c r="AR56" s="72">
        <f t="shared" ca="1" si="19"/>
        <v>0</v>
      </c>
      <c r="AS56" s="72">
        <f t="shared" ca="1" si="19"/>
        <v>0</v>
      </c>
      <c r="AT56" s="72">
        <f t="shared" ca="1" si="19"/>
        <v>0</v>
      </c>
      <c r="AU56" s="528">
        <f>SUM(AO56:AQ56)</f>
        <v>0</v>
      </c>
      <c r="AV56" s="528">
        <f ca="1">SUM(AR56:AT56)</f>
        <v>0</v>
      </c>
      <c r="AW56" s="528">
        <f ca="1">SUM(AO56:AT56)</f>
        <v>0</v>
      </c>
    </row>
    <row r="57" spans="1:49" ht="27" hidden="1" x14ac:dyDescent="0.35">
      <c r="C57" s="3271">
        <v>2</v>
      </c>
      <c r="D57" s="3612"/>
      <c r="E57" s="3251" t="s">
        <v>47</v>
      </c>
      <c r="F57" s="1457">
        <f>+'SECCION TSP'!G198</f>
        <v>0</v>
      </c>
      <c r="G57" s="241">
        <f>+'SECCION TSP'!MK198</f>
        <v>0</v>
      </c>
      <c r="H57" s="241">
        <f>+'SECCION TSP'!ML198</f>
        <v>0</v>
      </c>
      <c r="I57" s="241">
        <f>+'SECCION TSP'!MM198</f>
        <v>0</v>
      </c>
      <c r="J57" s="241">
        <f ca="1">+'SECCION TSP'!MN198</f>
        <v>0</v>
      </c>
      <c r="K57" s="241">
        <f ca="1">+'SECCION TSP'!MO198</f>
        <v>0</v>
      </c>
      <c r="L57" s="241">
        <f ca="1">+'SECCION TSP'!MP198</f>
        <v>0</v>
      </c>
      <c r="M57" s="241">
        <f ca="1">+'SECCION TSP'!MQ198</f>
        <v>0</v>
      </c>
      <c r="N57" s="241">
        <f ca="1">+'SECCION TSP'!MR198</f>
        <v>0</v>
      </c>
      <c r="O57" s="241">
        <f ca="1">+'SECCION TSP'!MS198</f>
        <v>0</v>
      </c>
      <c r="P57" s="1456" t="s">
        <v>807</v>
      </c>
      <c r="Q57">
        <f t="shared" si="16"/>
        <v>-1196.1439</v>
      </c>
      <c r="R57" s="1461">
        <f>+A$6</f>
        <v>-76.996639999999999</v>
      </c>
      <c r="S57">
        <f t="shared" si="14"/>
        <v>0</v>
      </c>
      <c r="T57">
        <f t="shared" si="17"/>
        <v>0</v>
      </c>
      <c r="U57" s="210">
        <f t="shared" si="18"/>
        <v>0</v>
      </c>
      <c r="V57" s="211"/>
      <c r="W57" s="1469"/>
      <c r="Z57" s="72">
        <f>+F57</f>
        <v>0</v>
      </c>
      <c r="AC57" s="3452"/>
    </row>
    <row r="58" spans="1:49" ht="27" hidden="1" x14ac:dyDescent="0.35">
      <c r="D58" s="3612"/>
      <c r="E58" s="3251" t="s">
        <v>635</v>
      </c>
      <c r="F58" s="1457">
        <f>+'SECCION TSP'!G199</f>
        <v>0</v>
      </c>
      <c r="G58" s="241">
        <f>+'SECCION TSP'!MK199</f>
        <v>0</v>
      </c>
      <c r="H58" s="241">
        <f>+'SECCION TSP'!ML199</f>
        <v>0</v>
      </c>
      <c r="I58" s="241">
        <f>+'SECCION TSP'!MM199</f>
        <v>0</v>
      </c>
      <c r="J58" s="241">
        <f ca="1">+'SECCION TSP'!MN199</f>
        <v>0</v>
      </c>
      <c r="K58" s="241">
        <f ca="1">+'SECCION TSP'!MO199</f>
        <v>0</v>
      </c>
      <c r="L58" s="241">
        <f ca="1">+'SECCION TSP'!MP199</f>
        <v>0</v>
      </c>
      <c r="M58" s="241">
        <f ca="1">+'SECCION TSP'!MQ199</f>
        <v>0</v>
      </c>
      <c r="N58" s="241">
        <f ca="1">+'SECCION TSP'!MR199</f>
        <v>0</v>
      </c>
      <c r="O58" s="241">
        <f ca="1">+'SECCION TSP'!MS199</f>
        <v>0</v>
      </c>
      <c r="P58" s="1456" t="s">
        <v>807</v>
      </c>
      <c r="Q58">
        <f t="shared" si="16"/>
        <v>-1196.1439</v>
      </c>
      <c r="R58" s="1461">
        <f>+A$7</f>
        <v>0</v>
      </c>
      <c r="S58">
        <f t="shared" si="14"/>
        <v>0</v>
      </c>
      <c r="T58">
        <f t="shared" si="17"/>
        <v>0</v>
      </c>
      <c r="U58" s="210">
        <f t="shared" si="18"/>
        <v>0</v>
      </c>
      <c r="V58" s="211"/>
      <c r="W58" s="1469"/>
      <c r="AC58" s="3452"/>
    </row>
    <row r="59" spans="1:49" ht="27" hidden="1" x14ac:dyDescent="0.35">
      <c r="A59" s="72"/>
      <c r="B59" s="72"/>
      <c r="D59" s="3612"/>
      <c r="E59" s="3251" t="s">
        <v>636</v>
      </c>
      <c r="F59" s="1457">
        <f>+'SECCION TSP'!G200</f>
        <v>0</v>
      </c>
      <c r="G59" s="241">
        <f>+'SECCION TSP'!MK200</f>
        <v>0</v>
      </c>
      <c r="H59" s="241">
        <f>+'SECCION TSP'!ML200</f>
        <v>0</v>
      </c>
      <c r="I59" s="241">
        <f>+'SECCION TSP'!MM200</f>
        <v>0</v>
      </c>
      <c r="J59" s="241">
        <f ca="1">+'SECCION TSP'!MN200</f>
        <v>0</v>
      </c>
      <c r="K59" s="241">
        <f ca="1">+'SECCION TSP'!MO200</f>
        <v>0</v>
      </c>
      <c r="L59" s="241">
        <f ca="1">+'SECCION TSP'!MP200</f>
        <v>0</v>
      </c>
      <c r="M59" s="241">
        <f ca="1">+'SECCION TSP'!MQ200</f>
        <v>0</v>
      </c>
      <c r="N59" s="241">
        <f ca="1">+'SECCION TSP'!MR200</f>
        <v>0</v>
      </c>
      <c r="O59" s="241">
        <f ca="1">+'SECCION TSP'!MS200</f>
        <v>0</v>
      </c>
      <c r="P59" s="1456" t="s">
        <v>807</v>
      </c>
      <c r="Q59">
        <f t="shared" si="16"/>
        <v>-1196.1439</v>
      </c>
      <c r="R59" s="1461">
        <f>+A$8</f>
        <v>0</v>
      </c>
      <c r="S59">
        <f t="shared" si="14"/>
        <v>0</v>
      </c>
      <c r="T59">
        <f t="shared" si="17"/>
        <v>0</v>
      </c>
      <c r="U59" s="210">
        <f t="shared" si="18"/>
        <v>0</v>
      </c>
      <c r="V59" s="211"/>
      <c r="W59" s="1469"/>
      <c r="AC59" s="3452"/>
    </row>
    <row r="60" spans="1:49" ht="27" hidden="1" x14ac:dyDescent="0.35">
      <c r="A60" s="72">
        <f>+F60</f>
        <v>0</v>
      </c>
      <c r="B60" s="72"/>
      <c r="C60" s="3271">
        <v>5</v>
      </c>
      <c r="D60" s="3612"/>
      <c r="E60" s="3129" t="s">
        <v>813</v>
      </c>
      <c r="F60" s="521">
        <f>+'SECCION TSP'!G201</f>
        <v>0</v>
      </c>
      <c r="G60" s="241">
        <f>+'SECCION TSP'!MK201</f>
        <v>0</v>
      </c>
      <c r="H60" s="241">
        <f>+'SECCION TSP'!ML201</f>
        <v>0</v>
      </c>
      <c r="I60" s="241">
        <f>+'SECCION TSP'!MM201</f>
        <v>0</v>
      </c>
      <c r="J60" s="241">
        <f ca="1">+'SECCION TSP'!MN201</f>
        <v>0</v>
      </c>
      <c r="K60" s="241">
        <f ca="1">+'SECCION TSP'!MO201</f>
        <v>0</v>
      </c>
      <c r="L60" s="241">
        <f ca="1">+'SECCION TSP'!MP201</f>
        <v>0</v>
      </c>
      <c r="M60" s="241">
        <f ca="1">+'SECCION TSP'!MQ201</f>
        <v>0</v>
      </c>
      <c r="N60" s="241">
        <f ca="1">+'SECCION TSP'!MR201</f>
        <v>0</v>
      </c>
      <c r="O60" s="241">
        <f ca="1">+'SECCION TSP'!MS201</f>
        <v>0</v>
      </c>
      <c r="P60" s="1449" t="s">
        <v>809</v>
      </c>
      <c r="Q60">
        <f t="shared" si="16"/>
        <v>-1869.1149</v>
      </c>
      <c r="R60" s="1462">
        <f>+A$18</f>
        <v>-70.439899999999994</v>
      </c>
      <c r="S60">
        <f t="shared" si="14"/>
        <v>0</v>
      </c>
      <c r="T60">
        <f t="shared" si="17"/>
        <v>0</v>
      </c>
      <c r="U60" s="210">
        <f t="shared" si="18"/>
        <v>0</v>
      </c>
      <c r="V60" s="211"/>
      <c r="W60" s="1469"/>
      <c r="AC60" s="3451">
        <f>+F60</f>
        <v>0</v>
      </c>
    </row>
    <row r="61" spans="1:49" ht="27" hidden="1" x14ac:dyDescent="0.35">
      <c r="C61" s="3271">
        <v>4</v>
      </c>
      <c r="D61" s="3612"/>
      <c r="E61" s="488" t="s">
        <v>49</v>
      </c>
      <c r="F61" s="521">
        <f>+'SECCION TSP'!G202</f>
        <v>0</v>
      </c>
      <c r="G61" s="241">
        <f>+'SECCION TSP'!MK202</f>
        <v>0</v>
      </c>
      <c r="H61" s="241">
        <f>+'SECCION TSP'!ML202</f>
        <v>0</v>
      </c>
      <c r="I61" s="241">
        <f>+'SECCION TSP'!MM202</f>
        <v>0</v>
      </c>
      <c r="J61" s="241">
        <f ca="1">+'SECCION TSP'!MN202</f>
        <v>0</v>
      </c>
      <c r="K61" s="241">
        <f ca="1">+'SECCION TSP'!MO202</f>
        <v>0</v>
      </c>
      <c r="L61" s="241">
        <f ca="1">+'SECCION TSP'!MP202</f>
        <v>0</v>
      </c>
      <c r="M61" s="241">
        <f ca="1">+'SECCION TSP'!MQ202</f>
        <v>0</v>
      </c>
      <c r="N61" s="241">
        <f ca="1">+'SECCION TSP'!MR202</f>
        <v>0</v>
      </c>
      <c r="O61" s="241">
        <f ca="1">+'SECCION TSP'!MS202</f>
        <v>0</v>
      </c>
      <c r="P61" s="1449" t="s">
        <v>809</v>
      </c>
      <c r="Q61">
        <f t="shared" si="16"/>
        <v>-1869.1149</v>
      </c>
      <c r="R61" s="1462">
        <f>+A$19</f>
        <v>-102.57195</v>
      </c>
      <c r="S61">
        <f t="shared" si="14"/>
        <v>0</v>
      </c>
      <c r="T61">
        <f t="shared" si="17"/>
        <v>0</v>
      </c>
      <c r="U61" s="210">
        <f t="shared" si="18"/>
        <v>0</v>
      </c>
      <c r="V61" s="211"/>
      <c r="W61" s="1469"/>
      <c r="AC61" s="3452"/>
    </row>
    <row r="62" spans="1:49" ht="27" hidden="1" x14ac:dyDescent="0.35">
      <c r="D62" s="3612"/>
      <c r="E62" s="3129" t="s">
        <v>638</v>
      </c>
      <c r="F62" s="521">
        <f>+'SECCION TSP'!G203</f>
        <v>0</v>
      </c>
      <c r="G62" s="241">
        <f>+'SECCION TSP'!MK203</f>
        <v>0</v>
      </c>
      <c r="H62" s="241">
        <f>+'SECCION TSP'!ML203</f>
        <v>0</v>
      </c>
      <c r="I62" s="241">
        <f>+'SECCION TSP'!MM203</f>
        <v>0</v>
      </c>
      <c r="J62" s="241">
        <f ca="1">+'SECCION TSP'!MN203</f>
        <v>0</v>
      </c>
      <c r="K62" s="241">
        <f ca="1">+'SECCION TSP'!MO203</f>
        <v>0</v>
      </c>
      <c r="L62" s="241">
        <f ca="1">+'SECCION TSP'!MP203</f>
        <v>0</v>
      </c>
      <c r="M62" s="241">
        <f ca="1">+'SECCION TSP'!MQ203</f>
        <v>0</v>
      </c>
      <c r="N62" s="241">
        <f ca="1">+'SECCION TSP'!MR203</f>
        <v>0</v>
      </c>
      <c r="O62" s="241">
        <f ca="1">+'SECCION TSP'!MS203</f>
        <v>0</v>
      </c>
      <c r="P62" s="1449" t="s">
        <v>809</v>
      </c>
      <c r="Q62">
        <f t="shared" si="16"/>
        <v>-1869.1149</v>
      </c>
      <c r="R62" s="1462">
        <f>+A$20</f>
        <v>0</v>
      </c>
      <c r="S62">
        <f t="shared" si="14"/>
        <v>0</v>
      </c>
      <c r="T62">
        <f t="shared" si="17"/>
        <v>0</v>
      </c>
      <c r="U62" s="210">
        <f t="shared" si="18"/>
        <v>0</v>
      </c>
      <c r="V62" s="211"/>
      <c r="W62" s="1469"/>
      <c r="AC62" s="3452"/>
    </row>
    <row r="63" spans="1:49" ht="27.75" hidden="1" thickBot="1" x14ac:dyDescent="0.4">
      <c r="A63" s="72"/>
      <c r="B63" s="72"/>
      <c r="D63" s="3612"/>
      <c r="E63" s="3129" t="s">
        <v>639</v>
      </c>
      <c r="F63" s="521">
        <f>+'SECCION TSP'!G204</f>
        <v>0</v>
      </c>
      <c r="G63" s="241">
        <f>+'SECCION TSP'!MK204</f>
        <v>0</v>
      </c>
      <c r="H63" s="241">
        <f>+'SECCION TSP'!ML204</f>
        <v>0</v>
      </c>
      <c r="I63" s="241">
        <f>+'SECCION TSP'!MM204</f>
        <v>0</v>
      </c>
      <c r="J63" s="241">
        <f ca="1">+'SECCION TSP'!MN204</f>
        <v>0</v>
      </c>
      <c r="K63" s="241">
        <f ca="1">+'SECCION TSP'!MO204</f>
        <v>0</v>
      </c>
      <c r="L63" s="241">
        <f ca="1">+'SECCION TSP'!MP204</f>
        <v>0</v>
      </c>
      <c r="M63" s="241">
        <f ca="1">+'SECCION TSP'!MQ204</f>
        <v>0</v>
      </c>
      <c r="N63" s="241">
        <f ca="1">+'SECCION TSP'!MR204</f>
        <v>0</v>
      </c>
      <c r="O63" s="241">
        <f ca="1">+'SECCION TSP'!MS204</f>
        <v>0</v>
      </c>
      <c r="P63" s="1449" t="s">
        <v>809</v>
      </c>
      <c r="Q63">
        <f t="shared" si="16"/>
        <v>-1869.1149</v>
      </c>
      <c r="R63" s="1462">
        <f>+A$21</f>
        <v>0</v>
      </c>
      <c r="S63">
        <f t="shared" si="14"/>
        <v>0</v>
      </c>
      <c r="T63">
        <f t="shared" si="17"/>
        <v>0</v>
      </c>
      <c r="U63" s="1465">
        <f t="shared" si="18"/>
        <v>0</v>
      </c>
      <c r="V63" s="1466">
        <f>SUM(U56:U63)</f>
        <v>0</v>
      </c>
      <c r="W63" s="1470">
        <f>SUM(V47:V63)</f>
        <v>0</v>
      </c>
      <c r="X63" s="1479" t="e">
        <f>+W63/W$152</f>
        <v>#DIV/0!</v>
      </c>
      <c r="AC63" s="3452"/>
    </row>
    <row r="64" spans="1:49" ht="27" hidden="1" x14ac:dyDescent="0.35">
      <c r="A64" s="72"/>
      <c r="B64" s="72"/>
      <c r="D64" s="3608" t="s">
        <v>1213</v>
      </c>
      <c r="E64" s="3251" t="s">
        <v>46</v>
      </c>
      <c r="F64" s="521">
        <f>+'SECCION TSP'!G205</f>
        <v>0</v>
      </c>
      <c r="G64" s="241">
        <f>+'SECCION TSP'!MK205</f>
        <v>0</v>
      </c>
      <c r="H64" s="241">
        <f>+'SECCION TSP'!ML205</f>
        <v>0</v>
      </c>
      <c r="I64" s="241">
        <f>+'SECCION TSP'!MM205</f>
        <v>0</v>
      </c>
      <c r="J64" s="241">
        <f ca="1">+'SECCION TSP'!MN205</f>
        <v>0</v>
      </c>
      <c r="K64" s="241">
        <f ca="1">+'SECCION TSP'!MO205</f>
        <v>0</v>
      </c>
      <c r="L64" s="241">
        <f ca="1">+'SECCION TSP'!MP205</f>
        <v>0</v>
      </c>
      <c r="M64" s="241">
        <f ca="1">+'SECCION TSP'!MQ205</f>
        <v>0</v>
      </c>
      <c r="N64" s="241">
        <f ca="1">+'SECCION TSP'!MR205</f>
        <v>0</v>
      </c>
      <c r="O64" s="241">
        <f ca="1">+'SECCION TSP'!MS205</f>
        <v>0</v>
      </c>
      <c r="P64" s="1449"/>
      <c r="R64" s="1462"/>
      <c r="U64" s="210"/>
      <c r="V64" s="211"/>
      <c r="W64" s="1469"/>
      <c r="X64" s="1479"/>
      <c r="AC64" s="3452"/>
    </row>
    <row r="65" spans="1:29" ht="27" hidden="1" x14ac:dyDescent="0.35">
      <c r="A65" s="72"/>
      <c r="B65" s="72"/>
      <c r="C65" s="3271">
        <v>2</v>
      </c>
      <c r="D65" s="3612"/>
      <c r="E65" s="3251" t="s">
        <v>47</v>
      </c>
      <c r="F65" s="521">
        <f>+'SECCION TSP'!G206</f>
        <v>0</v>
      </c>
      <c r="G65" s="241">
        <f>+'SECCION TSP'!MK206</f>
        <v>0</v>
      </c>
      <c r="H65" s="241">
        <f>+'SECCION TSP'!ML206</f>
        <v>0</v>
      </c>
      <c r="I65" s="241">
        <f>+'SECCION TSP'!MM206</f>
        <v>0</v>
      </c>
      <c r="J65" s="241">
        <f ca="1">+'SECCION TSP'!MN206</f>
        <v>0</v>
      </c>
      <c r="K65" s="241">
        <f ca="1">+'SECCION TSP'!MO206</f>
        <v>0</v>
      </c>
      <c r="L65" s="241">
        <f ca="1">+'SECCION TSP'!MP206</f>
        <v>0</v>
      </c>
      <c r="M65" s="241">
        <f ca="1">+'SECCION TSP'!MQ206</f>
        <v>0</v>
      </c>
      <c r="N65" s="241">
        <f ca="1">+'SECCION TSP'!MR206</f>
        <v>0</v>
      </c>
      <c r="O65" s="241">
        <f ca="1">+'SECCION TSP'!MS206</f>
        <v>0</v>
      </c>
      <c r="P65" s="1449"/>
      <c r="R65" s="1462"/>
      <c r="U65" s="210"/>
      <c r="V65" s="211"/>
      <c r="W65" s="1469"/>
      <c r="X65" s="1479"/>
      <c r="Z65" s="72">
        <f>+F65</f>
        <v>0</v>
      </c>
      <c r="AC65" s="3452"/>
    </row>
    <row r="66" spans="1:29" ht="27" hidden="1" x14ac:dyDescent="0.35">
      <c r="A66" s="72"/>
      <c r="B66" s="72"/>
      <c r="D66" s="3612"/>
      <c r="E66" s="3251" t="s">
        <v>635</v>
      </c>
      <c r="F66" s="521">
        <f>+'SECCION TSP'!G207</f>
        <v>0</v>
      </c>
      <c r="G66" s="241">
        <f>+'SECCION TSP'!MK207</f>
        <v>0</v>
      </c>
      <c r="H66" s="241">
        <f>+'SECCION TSP'!ML207</f>
        <v>0</v>
      </c>
      <c r="I66" s="241">
        <f>+'SECCION TSP'!MM207</f>
        <v>0</v>
      </c>
      <c r="J66" s="241">
        <f ca="1">+'SECCION TSP'!MN207</f>
        <v>0</v>
      </c>
      <c r="K66" s="241">
        <f ca="1">+'SECCION TSP'!MO207</f>
        <v>0</v>
      </c>
      <c r="L66" s="241">
        <f ca="1">+'SECCION TSP'!MP207</f>
        <v>0</v>
      </c>
      <c r="M66" s="241">
        <f ca="1">+'SECCION TSP'!MQ207</f>
        <v>0</v>
      </c>
      <c r="N66" s="241">
        <f ca="1">+'SECCION TSP'!MR207</f>
        <v>0</v>
      </c>
      <c r="O66" s="241">
        <f ca="1">+'SECCION TSP'!MS207</f>
        <v>0</v>
      </c>
      <c r="P66" s="1449"/>
      <c r="R66" s="1462"/>
      <c r="U66" s="210"/>
      <c r="V66" s="211"/>
      <c r="W66" s="1469"/>
      <c r="X66" s="1479"/>
      <c r="AC66" s="3452"/>
    </row>
    <row r="67" spans="1:29" ht="27" hidden="1" x14ac:dyDescent="0.35">
      <c r="A67" s="72"/>
      <c r="B67" s="72"/>
      <c r="D67" s="3612"/>
      <c r="E67" s="3251" t="s">
        <v>636</v>
      </c>
      <c r="F67" s="521">
        <f>+'SECCION TSP'!G208</f>
        <v>0</v>
      </c>
      <c r="G67" s="241">
        <f>+'SECCION TSP'!MK208</f>
        <v>0</v>
      </c>
      <c r="H67" s="241">
        <f>+'SECCION TSP'!ML208</f>
        <v>0</v>
      </c>
      <c r="I67" s="241">
        <f>+'SECCION TSP'!MM208</f>
        <v>0</v>
      </c>
      <c r="J67" s="241">
        <f ca="1">+'SECCION TSP'!MN208</f>
        <v>0</v>
      </c>
      <c r="K67" s="241">
        <f ca="1">+'SECCION TSP'!MO208</f>
        <v>0</v>
      </c>
      <c r="L67" s="241">
        <f ca="1">+'SECCION TSP'!MP208</f>
        <v>0</v>
      </c>
      <c r="M67" s="241">
        <f ca="1">+'SECCION TSP'!MQ208</f>
        <v>0</v>
      </c>
      <c r="N67" s="241">
        <f ca="1">+'SECCION TSP'!MR208</f>
        <v>0</v>
      </c>
      <c r="O67" s="241">
        <f ca="1">+'SECCION TSP'!MS208</f>
        <v>0</v>
      </c>
      <c r="P67" s="1449"/>
      <c r="R67" s="1462"/>
      <c r="U67" s="210"/>
      <c r="V67" s="211"/>
      <c r="W67" s="1469"/>
      <c r="X67" s="1479"/>
      <c r="AC67" s="3452"/>
    </row>
    <row r="68" spans="1:29" ht="27" hidden="1" x14ac:dyDescent="0.35">
      <c r="A68" s="72"/>
      <c r="B68" s="72"/>
      <c r="C68" s="3271">
        <v>5</v>
      </c>
      <c r="D68" s="3612"/>
      <c r="E68" s="3129" t="s">
        <v>813</v>
      </c>
      <c r="F68" s="521">
        <f>+'SECCION TSP'!G209</f>
        <v>0</v>
      </c>
      <c r="G68" s="241">
        <f>+'SECCION TSP'!MK209</f>
        <v>0</v>
      </c>
      <c r="H68" s="241">
        <f>+'SECCION TSP'!ML209</f>
        <v>0</v>
      </c>
      <c r="I68" s="241">
        <f>+'SECCION TSP'!MM209</f>
        <v>0</v>
      </c>
      <c r="J68" s="241">
        <f ca="1">+'SECCION TSP'!MN209</f>
        <v>0</v>
      </c>
      <c r="K68" s="241">
        <f ca="1">+'SECCION TSP'!MO209</f>
        <v>0</v>
      </c>
      <c r="L68" s="241">
        <f ca="1">+'SECCION TSP'!MP209</f>
        <v>0</v>
      </c>
      <c r="M68" s="241">
        <f ca="1">+'SECCION TSP'!MQ209</f>
        <v>0</v>
      </c>
      <c r="N68" s="241">
        <f ca="1">+'SECCION TSP'!MR209</f>
        <v>0</v>
      </c>
      <c r="O68" s="241">
        <f ca="1">+'SECCION TSP'!MS209</f>
        <v>0</v>
      </c>
      <c r="P68" s="1449"/>
      <c r="R68" s="1462"/>
      <c r="U68" s="210"/>
      <c r="V68" s="211"/>
      <c r="W68" s="1469"/>
      <c r="X68" s="1479"/>
      <c r="AC68" s="3450">
        <f>+F68</f>
        <v>0</v>
      </c>
    </row>
    <row r="69" spans="1:29" ht="27" hidden="1" x14ac:dyDescent="0.35">
      <c r="A69" s="72"/>
      <c r="B69" s="72"/>
      <c r="C69" s="3271">
        <v>4</v>
      </c>
      <c r="D69" s="3612"/>
      <c r="E69" s="488" t="s">
        <v>49</v>
      </c>
      <c r="F69" s="521">
        <f>+'SECCION TSP'!G210</f>
        <v>0</v>
      </c>
      <c r="G69" s="241">
        <f>+'SECCION TSP'!MK210</f>
        <v>0</v>
      </c>
      <c r="H69" s="241">
        <f>+'SECCION TSP'!ML210</f>
        <v>0</v>
      </c>
      <c r="I69" s="241">
        <f>+'SECCION TSP'!MM210</f>
        <v>0</v>
      </c>
      <c r="J69" s="241">
        <f ca="1">+'SECCION TSP'!MN210</f>
        <v>0</v>
      </c>
      <c r="K69" s="241">
        <f ca="1">+'SECCION TSP'!MO210</f>
        <v>0</v>
      </c>
      <c r="L69" s="241">
        <f ca="1">+'SECCION TSP'!MP210</f>
        <v>0</v>
      </c>
      <c r="M69" s="241">
        <f ca="1">+'SECCION TSP'!MQ210</f>
        <v>0</v>
      </c>
      <c r="N69" s="241">
        <f ca="1">+'SECCION TSP'!MR210</f>
        <v>0</v>
      </c>
      <c r="O69" s="241">
        <f ca="1">+'SECCION TSP'!MS210</f>
        <v>0</v>
      </c>
      <c r="P69" s="1449"/>
      <c r="R69" s="1462"/>
      <c r="U69" s="210"/>
      <c r="V69" s="211"/>
      <c r="W69" s="1469"/>
      <c r="X69" s="1479"/>
      <c r="AC69" s="3452"/>
    </row>
    <row r="70" spans="1:29" ht="27" hidden="1" x14ac:dyDescent="0.35">
      <c r="A70" s="72"/>
      <c r="B70" s="72"/>
      <c r="D70" s="3612"/>
      <c r="E70" s="3129" t="s">
        <v>638</v>
      </c>
      <c r="F70" s="521">
        <f>+'SECCION TSP'!G211</f>
        <v>0</v>
      </c>
      <c r="G70" s="241">
        <f>+'SECCION TSP'!MK211</f>
        <v>0</v>
      </c>
      <c r="H70" s="241">
        <f>+'SECCION TSP'!ML211</f>
        <v>0</v>
      </c>
      <c r="I70" s="241">
        <f>+'SECCION TSP'!MM211</f>
        <v>0</v>
      </c>
      <c r="J70" s="241">
        <f ca="1">+'SECCION TSP'!MN211</f>
        <v>0</v>
      </c>
      <c r="K70" s="241">
        <f ca="1">+'SECCION TSP'!MO211</f>
        <v>0</v>
      </c>
      <c r="L70" s="241">
        <f ca="1">+'SECCION TSP'!MP211</f>
        <v>0</v>
      </c>
      <c r="M70" s="241">
        <f ca="1">+'SECCION TSP'!MQ211</f>
        <v>0</v>
      </c>
      <c r="N70" s="241">
        <f ca="1">+'SECCION TSP'!MR211</f>
        <v>0</v>
      </c>
      <c r="O70" s="241">
        <f ca="1">+'SECCION TSP'!MS211</f>
        <v>0</v>
      </c>
      <c r="P70" s="1449"/>
      <c r="R70" s="1462"/>
      <c r="U70" s="210"/>
      <c r="V70" s="211"/>
      <c r="W70" s="1469"/>
      <c r="X70" s="1479"/>
      <c r="AC70" s="3452"/>
    </row>
    <row r="71" spans="1:29" ht="27" hidden="1" x14ac:dyDescent="0.35">
      <c r="A71" s="72"/>
      <c r="B71" s="72"/>
      <c r="D71" s="3612"/>
      <c r="E71" s="3129" t="s">
        <v>639</v>
      </c>
      <c r="F71" s="521">
        <f>+'SECCION TSP'!G212</f>
        <v>0</v>
      </c>
      <c r="G71" s="241">
        <f>+'SECCION TSP'!MK212</f>
        <v>0</v>
      </c>
      <c r="H71" s="241">
        <f>+'SECCION TSP'!ML212</f>
        <v>0</v>
      </c>
      <c r="I71" s="241">
        <f>+'SECCION TSP'!MM212</f>
        <v>0</v>
      </c>
      <c r="J71" s="241">
        <f ca="1">+'SECCION TSP'!MN212</f>
        <v>0</v>
      </c>
      <c r="K71" s="241">
        <f ca="1">+'SECCION TSP'!MO212</f>
        <v>0</v>
      </c>
      <c r="L71" s="241">
        <f ca="1">+'SECCION TSP'!MP212</f>
        <v>0</v>
      </c>
      <c r="M71" s="241">
        <f ca="1">+'SECCION TSP'!MQ212</f>
        <v>0</v>
      </c>
      <c r="N71" s="241">
        <f ca="1">+'SECCION TSP'!MR212</f>
        <v>0</v>
      </c>
      <c r="O71" s="241">
        <f ca="1">+'SECCION TSP'!MS212</f>
        <v>0</v>
      </c>
      <c r="P71" s="1449"/>
      <c r="R71" s="1462"/>
      <c r="U71" s="210"/>
      <c r="V71" s="211"/>
      <c r="W71" s="1469"/>
      <c r="X71" s="1479"/>
      <c r="AC71" s="3452"/>
    </row>
    <row r="72" spans="1:29" ht="27" hidden="1" x14ac:dyDescent="0.35">
      <c r="A72" s="72"/>
      <c r="B72" s="72"/>
      <c r="D72" s="3608" t="s">
        <v>1214</v>
      </c>
      <c r="E72" s="3251" t="s">
        <v>46</v>
      </c>
      <c r="F72" s="521">
        <f>+'SECCION TSP'!G213</f>
        <v>0</v>
      </c>
      <c r="G72" s="241">
        <f>+'SECCION TSP'!MK213</f>
        <v>0</v>
      </c>
      <c r="H72" s="241">
        <f>+'SECCION TSP'!ML213</f>
        <v>0</v>
      </c>
      <c r="I72" s="241">
        <f>+'SECCION TSP'!MM213</f>
        <v>0</v>
      </c>
      <c r="J72" s="241">
        <f ca="1">+'SECCION TSP'!MN213</f>
        <v>0</v>
      </c>
      <c r="K72" s="241">
        <f ca="1">+'SECCION TSP'!MO213</f>
        <v>0</v>
      </c>
      <c r="L72" s="241">
        <f ca="1">+'SECCION TSP'!MP213</f>
        <v>0</v>
      </c>
      <c r="M72" s="241">
        <f ca="1">+'SECCION TSP'!MQ213</f>
        <v>0</v>
      </c>
      <c r="N72" s="241">
        <f ca="1">+'SECCION TSP'!MR213</f>
        <v>0</v>
      </c>
      <c r="O72" s="241">
        <f ca="1">+'SECCION TSP'!MS213</f>
        <v>0</v>
      </c>
      <c r="P72" s="1449"/>
      <c r="R72" s="1462"/>
      <c r="U72" s="210"/>
      <c r="V72" s="211"/>
      <c r="W72" s="1469"/>
      <c r="X72" s="1479"/>
      <c r="AC72" s="3452"/>
    </row>
    <row r="73" spans="1:29" ht="27" hidden="1" x14ac:dyDescent="0.35">
      <c r="A73" s="72"/>
      <c r="B73" s="72"/>
      <c r="C73" s="3271">
        <v>2</v>
      </c>
      <c r="D73" s="3612"/>
      <c r="E73" s="3251" t="s">
        <v>47</v>
      </c>
      <c r="F73" s="521">
        <f>+'SECCION TSP'!G214</f>
        <v>0</v>
      </c>
      <c r="G73" s="241">
        <f>+'SECCION TSP'!MK214</f>
        <v>0</v>
      </c>
      <c r="H73" s="241">
        <f>+'SECCION TSP'!ML214</f>
        <v>0</v>
      </c>
      <c r="I73" s="241">
        <f>+'SECCION TSP'!MM214</f>
        <v>0</v>
      </c>
      <c r="J73" s="241">
        <f ca="1">+'SECCION TSP'!MN214</f>
        <v>0</v>
      </c>
      <c r="K73" s="241">
        <f ca="1">+'SECCION TSP'!MO214</f>
        <v>0</v>
      </c>
      <c r="L73" s="241">
        <f ca="1">+'SECCION TSP'!MP214</f>
        <v>0</v>
      </c>
      <c r="M73" s="241">
        <f ca="1">+'SECCION TSP'!MQ214</f>
        <v>0</v>
      </c>
      <c r="N73" s="241">
        <f ca="1">+'SECCION TSP'!MR214</f>
        <v>0</v>
      </c>
      <c r="O73" s="241">
        <f ca="1">+'SECCION TSP'!MS214</f>
        <v>0</v>
      </c>
      <c r="P73" s="1449"/>
      <c r="R73" s="1462"/>
      <c r="U73" s="210"/>
      <c r="V73" s="211"/>
      <c r="W73" s="1469"/>
      <c r="X73" s="1479"/>
      <c r="Z73" s="72">
        <f>+F73</f>
        <v>0</v>
      </c>
      <c r="AC73" s="3452"/>
    </row>
    <row r="74" spans="1:29" ht="27" hidden="1" x14ac:dyDescent="0.35">
      <c r="A74" s="72"/>
      <c r="B74" s="72"/>
      <c r="D74" s="3612"/>
      <c r="E74" s="3251" t="s">
        <v>635</v>
      </c>
      <c r="F74" s="521">
        <f>+'SECCION TSP'!G215</f>
        <v>0</v>
      </c>
      <c r="G74" s="241">
        <f>+'SECCION TSP'!MK215</f>
        <v>0</v>
      </c>
      <c r="H74" s="241">
        <f>+'SECCION TSP'!ML215</f>
        <v>0</v>
      </c>
      <c r="I74" s="241">
        <f>+'SECCION TSP'!MM215</f>
        <v>0</v>
      </c>
      <c r="J74" s="241">
        <f ca="1">+'SECCION TSP'!MN215</f>
        <v>0</v>
      </c>
      <c r="K74" s="241">
        <f ca="1">+'SECCION TSP'!MO215</f>
        <v>0</v>
      </c>
      <c r="L74" s="241">
        <f ca="1">+'SECCION TSP'!MP215</f>
        <v>0</v>
      </c>
      <c r="M74" s="241">
        <f ca="1">+'SECCION TSP'!MQ215</f>
        <v>0</v>
      </c>
      <c r="N74" s="241">
        <f ca="1">+'SECCION TSP'!MR215</f>
        <v>0</v>
      </c>
      <c r="O74" s="241">
        <f ca="1">+'SECCION TSP'!MS215</f>
        <v>0</v>
      </c>
      <c r="P74" s="1449"/>
      <c r="R74" s="1462"/>
      <c r="U74" s="210"/>
      <c r="V74" s="211"/>
      <c r="W74" s="1469"/>
      <c r="X74" s="1479"/>
      <c r="AC74" s="3452"/>
    </row>
    <row r="75" spans="1:29" ht="27" hidden="1" x14ac:dyDescent="0.35">
      <c r="A75" s="72"/>
      <c r="B75" s="72"/>
      <c r="D75" s="3612"/>
      <c r="E75" s="3251" t="s">
        <v>636</v>
      </c>
      <c r="F75" s="521">
        <f>+'SECCION TSP'!G216</f>
        <v>0</v>
      </c>
      <c r="G75" s="241">
        <f>+'SECCION TSP'!MK216</f>
        <v>0</v>
      </c>
      <c r="H75" s="241">
        <f>+'SECCION TSP'!ML216</f>
        <v>0</v>
      </c>
      <c r="I75" s="241">
        <f>+'SECCION TSP'!MM216</f>
        <v>0</v>
      </c>
      <c r="J75" s="241">
        <f ca="1">+'SECCION TSP'!MN216</f>
        <v>0</v>
      </c>
      <c r="K75" s="241">
        <f ca="1">+'SECCION TSP'!MO216</f>
        <v>0</v>
      </c>
      <c r="L75" s="241">
        <f ca="1">+'SECCION TSP'!MP216</f>
        <v>0</v>
      </c>
      <c r="M75" s="241">
        <f ca="1">+'SECCION TSP'!MQ216</f>
        <v>0</v>
      </c>
      <c r="N75" s="241">
        <f ca="1">+'SECCION TSP'!MR216</f>
        <v>0</v>
      </c>
      <c r="O75" s="241">
        <f ca="1">+'SECCION TSP'!MS216</f>
        <v>0</v>
      </c>
      <c r="P75" s="1449"/>
      <c r="R75" s="1462"/>
      <c r="U75" s="210"/>
      <c r="V75" s="211"/>
      <c r="W75" s="1469"/>
      <c r="X75" s="1479"/>
      <c r="AC75" s="3452"/>
    </row>
    <row r="76" spans="1:29" ht="27" hidden="1" x14ac:dyDescent="0.35">
      <c r="A76" s="72"/>
      <c r="B76" s="72"/>
      <c r="C76" s="3271">
        <v>5</v>
      </c>
      <c r="D76" s="3612"/>
      <c r="E76" s="3129" t="s">
        <v>813</v>
      </c>
      <c r="F76" s="521">
        <f>+'SECCION TSP'!G217</f>
        <v>0</v>
      </c>
      <c r="G76" s="241">
        <f>+'SECCION TSP'!MK217</f>
        <v>0</v>
      </c>
      <c r="H76" s="241">
        <f>+'SECCION TSP'!ML217</f>
        <v>0</v>
      </c>
      <c r="I76" s="241">
        <f>+'SECCION TSP'!MM217</f>
        <v>0</v>
      </c>
      <c r="J76" s="241">
        <f ca="1">+'SECCION TSP'!MN217</f>
        <v>0</v>
      </c>
      <c r="K76" s="241">
        <f ca="1">+'SECCION TSP'!MO217</f>
        <v>0</v>
      </c>
      <c r="L76" s="241">
        <f ca="1">+'SECCION TSP'!MP217</f>
        <v>0</v>
      </c>
      <c r="M76" s="241">
        <f ca="1">+'SECCION TSP'!MQ217</f>
        <v>0</v>
      </c>
      <c r="N76" s="241">
        <f ca="1">+'SECCION TSP'!MR217</f>
        <v>0</v>
      </c>
      <c r="O76" s="241">
        <f ca="1">+'SECCION TSP'!MS217</f>
        <v>0</v>
      </c>
      <c r="P76" s="1449"/>
      <c r="R76" s="1462"/>
      <c r="U76" s="210"/>
      <c r="V76" s="211"/>
      <c r="W76" s="1469"/>
      <c r="X76" s="1479"/>
      <c r="AC76" s="3450">
        <f>+F76</f>
        <v>0</v>
      </c>
    </row>
    <row r="77" spans="1:29" ht="27" hidden="1" x14ac:dyDescent="0.35">
      <c r="A77" s="72"/>
      <c r="B77" s="72"/>
      <c r="C77" s="3271">
        <v>4</v>
      </c>
      <c r="D77" s="3612"/>
      <c r="E77" s="488" t="s">
        <v>49</v>
      </c>
      <c r="F77" s="521">
        <f>+'SECCION TSP'!G218</f>
        <v>0</v>
      </c>
      <c r="G77" s="241">
        <f>+'SECCION TSP'!MK218</f>
        <v>0</v>
      </c>
      <c r="H77" s="241">
        <f>+'SECCION TSP'!ML218</f>
        <v>0</v>
      </c>
      <c r="I77" s="241">
        <f>+'SECCION TSP'!MM218</f>
        <v>0</v>
      </c>
      <c r="J77" s="241">
        <f ca="1">+'SECCION TSP'!MN218</f>
        <v>0</v>
      </c>
      <c r="K77" s="241">
        <f ca="1">+'SECCION TSP'!MO218</f>
        <v>0</v>
      </c>
      <c r="L77" s="241">
        <f ca="1">+'SECCION TSP'!MP218</f>
        <v>0</v>
      </c>
      <c r="M77" s="241">
        <f ca="1">+'SECCION TSP'!MQ218</f>
        <v>0</v>
      </c>
      <c r="N77" s="241">
        <f ca="1">+'SECCION TSP'!MR218</f>
        <v>0</v>
      </c>
      <c r="O77" s="241">
        <f ca="1">+'SECCION TSP'!MS218</f>
        <v>0</v>
      </c>
      <c r="P77" s="1449"/>
      <c r="R77" s="1462"/>
      <c r="U77" s="210"/>
      <c r="V77" s="211"/>
      <c r="W77" s="1469"/>
      <c r="X77" s="1479"/>
      <c r="AC77" s="3452"/>
    </row>
    <row r="78" spans="1:29" ht="27" hidden="1" x14ac:dyDescent="0.35">
      <c r="A78" s="72"/>
      <c r="B78" s="72"/>
      <c r="D78" s="3612"/>
      <c r="E78" s="3129" t="s">
        <v>638</v>
      </c>
      <c r="F78" s="521">
        <f>+'SECCION TSP'!G219</f>
        <v>0</v>
      </c>
      <c r="G78" s="241">
        <f>+'SECCION TSP'!MK219</f>
        <v>0</v>
      </c>
      <c r="H78" s="241">
        <f>+'SECCION TSP'!ML219</f>
        <v>0</v>
      </c>
      <c r="I78" s="241">
        <f>+'SECCION TSP'!MM219</f>
        <v>0</v>
      </c>
      <c r="J78" s="241">
        <f ca="1">+'SECCION TSP'!MN219</f>
        <v>0</v>
      </c>
      <c r="K78" s="241">
        <f ca="1">+'SECCION TSP'!MO219</f>
        <v>0</v>
      </c>
      <c r="L78" s="241">
        <f ca="1">+'SECCION TSP'!MP219</f>
        <v>0</v>
      </c>
      <c r="M78" s="241">
        <f ca="1">+'SECCION TSP'!MQ219</f>
        <v>0</v>
      </c>
      <c r="N78" s="241">
        <f ca="1">+'SECCION TSP'!MR219</f>
        <v>0</v>
      </c>
      <c r="O78" s="241">
        <f ca="1">+'SECCION TSP'!MS219</f>
        <v>0</v>
      </c>
      <c r="P78" s="1449"/>
      <c r="R78" s="1462"/>
      <c r="U78" s="210"/>
      <c r="V78" s="211"/>
      <c r="W78" s="1469"/>
      <c r="X78" s="1479"/>
      <c r="AC78" s="3452"/>
    </row>
    <row r="79" spans="1:29" ht="27.75" hidden="1" thickBot="1" x14ac:dyDescent="0.4">
      <c r="A79" s="72"/>
      <c r="B79" s="72"/>
      <c r="D79" s="3612"/>
      <c r="E79" s="3129" t="s">
        <v>639</v>
      </c>
      <c r="F79" s="521">
        <f>+'SECCION TSP'!G220</f>
        <v>0</v>
      </c>
      <c r="G79" s="241">
        <f>+'SECCION TSP'!MK220</f>
        <v>0</v>
      </c>
      <c r="H79" s="241">
        <f>+'SECCION TSP'!ML220</f>
        <v>0</v>
      </c>
      <c r="I79" s="241">
        <f>+'SECCION TSP'!MM220</f>
        <v>0</v>
      </c>
      <c r="J79" s="241">
        <f ca="1">+'SECCION TSP'!MN220</f>
        <v>0</v>
      </c>
      <c r="K79" s="241">
        <f ca="1">+'SECCION TSP'!MO220</f>
        <v>0</v>
      </c>
      <c r="L79" s="241">
        <f ca="1">+'SECCION TSP'!MP220</f>
        <v>0</v>
      </c>
      <c r="M79" s="241">
        <f ca="1">+'SECCION TSP'!MQ220</f>
        <v>0</v>
      </c>
      <c r="N79" s="241">
        <f ca="1">+'SECCION TSP'!MR220</f>
        <v>0</v>
      </c>
      <c r="O79" s="241">
        <f ca="1">+'SECCION TSP'!MS220</f>
        <v>0</v>
      </c>
      <c r="P79" s="1449"/>
      <c r="R79" s="1462"/>
      <c r="U79" s="210"/>
      <c r="V79" s="211"/>
      <c r="W79" s="1469"/>
      <c r="X79" s="1479"/>
      <c r="AC79" s="3452"/>
    </row>
    <row r="80" spans="1:29" ht="27" hidden="1" x14ac:dyDescent="0.35">
      <c r="A80" s="72">
        <f>+F80</f>
        <v>0</v>
      </c>
      <c r="B80" s="72"/>
      <c r="D80" s="3608" t="s">
        <v>1215</v>
      </c>
      <c r="E80" s="3251" t="s">
        <v>46</v>
      </c>
      <c r="F80" s="1458">
        <f>+'SECCION TSP'!G221</f>
        <v>0</v>
      </c>
      <c r="G80" s="241">
        <f>+'SECCION TSP'!MK221</f>
        <v>0</v>
      </c>
      <c r="H80" s="241">
        <f>+'SECCION TSP'!ML221</f>
        <v>0</v>
      </c>
      <c r="I80" s="241">
        <f>+'SECCION TSP'!MM221</f>
        <v>0</v>
      </c>
      <c r="J80" s="241">
        <f ca="1">+'SECCION TSP'!MN221</f>
        <v>0</v>
      </c>
      <c r="K80" s="241">
        <f ca="1">+'SECCION TSP'!MO221</f>
        <v>0</v>
      </c>
      <c r="L80" s="241">
        <f ca="1">+'SECCION TSP'!MP221</f>
        <v>0</v>
      </c>
      <c r="M80" s="241">
        <f ca="1">+'SECCION TSP'!MQ221</f>
        <v>0</v>
      </c>
      <c r="N80" s="241">
        <f ca="1">+'SECCION TSP'!MR221</f>
        <v>0</v>
      </c>
      <c r="O80" s="241">
        <f ca="1">+'SECCION TSP'!MS221</f>
        <v>0</v>
      </c>
      <c r="P80" s="1456" t="s">
        <v>807</v>
      </c>
      <c r="Q80">
        <f t="shared" si="16"/>
        <v>-1196.1439</v>
      </c>
      <c r="R80" s="1461">
        <f>+A$5</f>
        <v>-44.86459</v>
      </c>
      <c r="S80">
        <f t="shared" si="14"/>
        <v>0</v>
      </c>
      <c r="T80">
        <f t="shared" si="17"/>
        <v>0</v>
      </c>
      <c r="U80" s="1463">
        <f t="shared" si="18"/>
        <v>0</v>
      </c>
      <c r="V80" s="1464"/>
      <c r="W80" s="1471"/>
      <c r="X80" s="1480"/>
      <c r="AC80" s="3452"/>
    </row>
    <row r="81" spans="1:29" ht="27" hidden="1" x14ac:dyDescent="0.35">
      <c r="C81" s="3271">
        <v>2</v>
      </c>
      <c r="D81" s="3612"/>
      <c r="E81" s="3251" t="s">
        <v>47</v>
      </c>
      <c r="F81" s="1458">
        <f>+'SECCION TSP'!G222</f>
        <v>0</v>
      </c>
      <c r="G81" s="241">
        <f>+'SECCION TSP'!MK222</f>
        <v>0</v>
      </c>
      <c r="H81" s="241">
        <f>+'SECCION TSP'!ML222</f>
        <v>0</v>
      </c>
      <c r="I81" s="241">
        <f>+'SECCION TSP'!MM222</f>
        <v>0</v>
      </c>
      <c r="J81" s="241">
        <f ca="1">+'SECCION TSP'!MN222</f>
        <v>0</v>
      </c>
      <c r="K81" s="241">
        <f ca="1">+'SECCION TSP'!MO222</f>
        <v>0</v>
      </c>
      <c r="L81" s="241">
        <f ca="1">+'SECCION TSP'!MP222</f>
        <v>0</v>
      </c>
      <c r="M81" s="241">
        <f ca="1">+'SECCION TSP'!MQ222</f>
        <v>0</v>
      </c>
      <c r="N81" s="241">
        <f ca="1">+'SECCION TSP'!MR222</f>
        <v>0</v>
      </c>
      <c r="O81" s="241">
        <f ca="1">+'SECCION TSP'!MS222</f>
        <v>0</v>
      </c>
      <c r="P81" s="1456" t="s">
        <v>807</v>
      </c>
      <c r="Q81">
        <f t="shared" si="16"/>
        <v>-1196.1439</v>
      </c>
      <c r="R81" s="1461">
        <f>+A$6</f>
        <v>-76.996639999999999</v>
      </c>
      <c r="S81">
        <f t="shared" si="14"/>
        <v>0</v>
      </c>
      <c r="T81">
        <f t="shared" si="17"/>
        <v>0</v>
      </c>
      <c r="U81" s="210">
        <f t="shared" si="18"/>
        <v>0</v>
      </c>
      <c r="V81" s="211"/>
      <c r="W81" s="1472"/>
      <c r="X81" s="1480"/>
      <c r="Z81" s="72">
        <f>+F81</f>
        <v>0</v>
      </c>
      <c r="AC81" s="3452"/>
    </row>
    <row r="82" spans="1:29" ht="27" hidden="1" x14ac:dyDescent="0.35">
      <c r="D82" s="3612"/>
      <c r="E82" s="3251" t="s">
        <v>635</v>
      </c>
      <c r="F82" s="1458">
        <f>+'SECCION TSP'!G223</f>
        <v>0</v>
      </c>
      <c r="G82" s="241">
        <f>+'SECCION TSP'!MK223</f>
        <v>0</v>
      </c>
      <c r="H82" s="241">
        <f>+'SECCION TSP'!ML223</f>
        <v>0</v>
      </c>
      <c r="I82" s="241">
        <f>+'SECCION TSP'!MM223</f>
        <v>0</v>
      </c>
      <c r="J82" s="241">
        <f ca="1">+'SECCION TSP'!MN223</f>
        <v>0</v>
      </c>
      <c r="K82" s="241">
        <f ca="1">+'SECCION TSP'!MO223</f>
        <v>0</v>
      </c>
      <c r="L82" s="241">
        <f ca="1">+'SECCION TSP'!MP223</f>
        <v>0</v>
      </c>
      <c r="M82" s="241">
        <f ca="1">+'SECCION TSP'!MQ223</f>
        <v>0</v>
      </c>
      <c r="N82" s="241">
        <f ca="1">+'SECCION TSP'!MR223</f>
        <v>0</v>
      </c>
      <c r="O82" s="241">
        <f ca="1">+'SECCION TSP'!MS223</f>
        <v>0</v>
      </c>
      <c r="P82" s="1456" t="s">
        <v>807</v>
      </c>
      <c r="Q82">
        <f t="shared" si="16"/>
        <v>-1196.1439</v>
      </c>
      <c r="R82" s="1461">
        <f>+A$7</f>
        <v>0</v>
      </c>
      <c r="S82">
        <f t="shared" si="14"/>
        <v>0</v>
      </c>
      <c r="T82">
        <f t="shared" si="17"/>
        <v>0</v>
      </c>
      <c r="U82" s="210">
        <f t="shared" si="18"/>
        <v>0</v>
      </c>
      <c r="V82" s="211"/>
      <c r="W82" s="1472"/>
      <c r="X82" s="1480"/>
      <c r="AC82" s="3452"/>
    </row>
    <row r="83" spans="1:29" ht="27" hidden="1" x14ac:dyDescent="0.35">
      <c r="A83" s="72"/>
      <c r="B83" s="72"/>
      <c r="D83" s="3612"/>
      <c r="E83" s="3251" t="s">
        <v>636</v>
      </c>
      <c r="F83" s="1458">
        <f>+'SECCION TSP'!G224</f>
        <v>0</v>
      </c>
      <c r="G83" s="241">
        <f>+'SECCION TSP'!MK224</f>
        <v>0</v>
      </c>
      <c r="H83" s="241">
        <f>+'SECCION TSP'!ML224</f>
        <v>0</v>
      </c>
      <c r="I83" s="241">
        <f>+'SECCION TSP'!MM224</f>
        <v>0</v>
      </c>
      <c r="J83" s="241">
        <f ca="1">+'SECCION TSP'!MN224</f>
        <v>0</v>
      </c>
      <c r="K83" s="241">
        <f ca="1">+'SECCION TSP'!MO224</f>
        <v>0</v>
      </c>
      <c r="L83" s="241">
        <f ca="1">+'SECCION TSP'!MP224</f>
        <v>0</v>
      </c>
      <c r="M83" s="241">
        <f ca="1">+'SECCION TSP'!MQ224</f>
        <v>0</v>
      </c>
      <c r="N83" s="241">
        <f ca="1">+'SECCION TSP'!MR224</f>
        <v>0</v>
      </c>
      <c r="O83" s="241">
        <f ca="1">+'SECCION TSP'!MS224</f>
        <v>0</v>
      </c>
      <c r="P83" s="1456" t="s">
        <v>807</v>
      </c>
      <c r="Q83">
        <f t="shared" si="16"/>
        <v>-1196.1439</v>
      </c>
      <c r="R83" s="1461">
        <f>+A$8</f>
        <v>0</v>
      </c>
      <c r="S83">
        <f t="shared" si="14"/>
        <v>0</v>
      </c>
      <c r="T83">
        <f t="shared" si="17"/>
        <v>0</v>
      </c>
      <c r="U83" s="210">
        <f t="shared" si="18"/>
        <v>0</v>
      </c>
      <c r="V83" s="211"/>
      <c r="W83" s="1472"/>
      <c r="X83" s="1480"/>
      <c r="AC83" s="3452"/>
    </row>
    <row r="84" spans="1:29" ht="27" hidden="1" x14ac:dyDescent="0.35">
      <c r="A84" s="72">
        <f>+F84</f>
        <v>0</v>
      </c>
      <c r="B84" s="72"/>
      <c r="C84" s="3271">
        <v>5</v>
      </c>
      <c r="D84" s="3612"/>
      <c r="E84" s="3129" t="s">
        <v>813</v>
      </c>
      <c r="F84" s="522">
        <f>+'SECCION TSP'!G225</f>
        <v>0</v>
      </c>
      <c r="G84" s="241">
        <f>+'SECCION TSP'!MK225</f>
        <v>0</v>
      </c>
      <c r="H84" s="241">
        <f>+'SECCION TSP'!ML225</f>
        <v>0</v>
      </c>
      <c r="I84" s="241">
        <f>+'SECCION TSP'!MM225</f>
        <v>0</v>
      </c>
      <c r="J84" s="241">
        <f ca="1">+'SECCION TSP'!MN225</f>
        <v>0</v>
      </c>
      <c r="K84" s="241">
        <f ca="1">+'SECCION TSP'!MO225</f>
        <v>0</v>
      </c>
      <c r="L84" s="241">
        <f ca="1">+'SECCION TSP'!MP225</f>
        <v>0</v>
      </c>
      <c r="M84" s="241">
        <f ca="1">+'SECCION TSP'!MQ225</f>
        <v>0</v>
      </c>
      <c r="N84" s="241">
        <f ca="1">+'SECCION TSP'!MR225</f>
        <v>0</v>
      </c>
      <c r="O84" s="241">
        <f ca="1">+'SECCION TSP'!MS225</f>
        <v>0</v>
      </c>
      <c r="P84" s="1450" t="s">
        <v>809</v>
      </c>
      <c r="Q84">
        <f t="shared" si="16"/>
        <v>-1869.1149</v>
      </c>
      <c r="R84" s="1462">
        <f>+A$18</f>
        <v>-70.439899999999994</v>
      </c>
      <c r="S84">
        <f t="shared" si="14"/>
        <v>0</v>
      </c>
      <c r="T84">
        <f t="shared" si="17"/>
        <v>0</v>
      </c>
      <c r="U84" s="210">
        <f t="shared" si="18"/>
        <v>0</v>
      </c>
      <c r="V84" s="1467"/>
      <c r="W84" s="1473"/>
      <c r="X84" s="1480"/>
      <c r="AC84" s="3451">
        <f>+F84</f>
        <v>0</v>
      </c>
    </row>
    <row r="85" spans="1:29" ht="27" hidden="1" x14ac:dyDescent="0.35">
      <c r="C85" s="3271">
        <v>4</v>
      </c>
      <c r="D85" s="3612"/>
      <c r="E85" s="488" t="s">
        <v>49</v>
      </c>
      <c r="F85" s="522">
        <f>+'SECCION TSP'!G226</f>
        <v>0</v>
      </c>
      <c r="G85" s="241">
        <f>+'SECCION TSP'!MK226</f>
        <v>0</v>
      </c>
      <c r="H85" s="241">
        <f>+'SECCION TSP'!ML226</f>
        <v>0</v>
      </c>
      <c r="I85" s="241">
        <f>+'SECCION TSP'!MM226</f>
        <v>0</v>
      </c>
      <c r="J85" s="241">
        <f ca="1">+'SECCION TSP'!MN226</f>
        <v>0</v>
      </c>
      <c r="K85" s="241">
        <f ca="1">+'SECCION TSP'!MO226</f>
        <v>0</v>
      </c>
      <c r="L85" s="241">
        <f ca="1">+'SECCION TSP'!MP226</f>
        <v>0</v>
      </c>
      <c r="M85" s="241">
        <f ca="1">+'SECCION TSP'!MQ226</f>
        <v>0</v>
      </c>
      <c r="N85" s="241">
        <f ca="1">+'SECCION TSP'!MR226</f>
        <v>0</v>
      </c>
      <c r="O85" s="241">
        <f ca="1">+'SECCION TSP'!MS226</f>
        <v>0</v>
      </c>
      <c r="P85" s="1450" t="s">
        <v>809</v>
      </c>
      <c r="Q85">
        <f t="shared" si="16"/>
        <v>-1869.1149</v>
      </c>
      <c r="R85" s="1462">
        <f>+A$19</f>
        <v>-102.57195</v>
      </c>
      <c r="S85">
        <f t="shared" si="14"/>
        <v>0</v>
      </c>
      <c r="T85">
        <f t="shared" si="17"/>
        <v>0</v>
      </c>
      <c r="U85" s="210">
        <f t="shared" si="18"/>
        <v>0</v>
      </c>
      <c r="V85" s="211"/>
      <c r="W85" s="1472"/>
      <c r="X85" s="1480"/>
      <c r="AC85" s="3452"/>
    </row>
    <row r="86" spans="1:29" ht="27" hidden="1" x14ac:dyDescent="0.35">
      <c r="D86" s="3612"/>
      <c r="E86" s="3129" t="s">
        <v>638</v>
      </c>
      <c r="F86" s="522">
        <f>+'SECCION TSP'!G227</f>
        <v>0</v>
      </c>
      <c r="G86" s="241">
        <f>+'SECCION TSP'!MK227</f>
        <v>0</v>
      </c>
      <c r="H86" s="241">
        <f>+'SECCION TSP'!ML227</f>
        <v>0</v>
      </c>
      <c r="I86" s="241">
        <f>+'SECCION TSP'!MM227</f>
        <v>0</v>
      </c>
      <c r="J86" s="241">
        <f ca="1">+'SECCION TSP'!MN227</f>
        <v>0</v>
      </c>
      <c r="K86" s="241">
        <f ca="1">+'SECCION TSP'!MO227</f>
        <v>0</v>
      </c>
      <c r="L86" s="241">
        <f ca="1">+'SECCION TSP'!MP227</f>
        <v>0</v>
      </c>
      <c r="M86" s="241">
        <f ca="1">+'SECCION TSP'!MQ227</f>
        <v>0</v>
      </c>
      <c r="N86" s="241">
        <f ca="1">+'SECCION TSP'!MR227</f>
        <v>0</v>
      </c>
      <c r="O86" s="241">
        <f ca="1">+'SECCION TSP'!MS227</f>
        <v>0</v>
      </c>
      <c r="P86" s="1450" t="s">
        <v>809</v>
      </c>
      <c r="Q86">
        <f t="shared" si="16"/>
        <v>-1869.1149</v>
      </c>
      <c r="R86" s="1462">
        <f>+A$20</f>
        <v>0</v>
      </c>
      <c r="S86">
        <f t="shared" si="14"/>
        <v>0</v>
      </c>
      <c r="T86">
        <f t="shared" si="17"/>
        <v>0</v>
      </c>
      <c r="U86" s="210">
        <f t="shared" si="18"/>
        <v>0</v>
      </c>
      <c r="V86" s="211"/>
      <c r="W86" s="1472"/>
      <c r="X86" s="1480"/>
      <c r="AC86" s="3452"/>
    </row>
    <row r="87" spans="1:29" ht="27.75" hidden="1" thickBot="1" x14ac:dyDescent="0.4">
      <c r="A87" s="72"/>
      <c r="B87" s="72"/>
      <c r="D87" s="3612"/>
      <c r="E87" s="3129" t="s">
        <v>639</v>
      </c>
      <c r="F87" s="522">
        <f>+'SECCION TSP'!G228</f>
        <v>0</v>
      </c>
      <c r="G87" s="241">
        <f>+'SECCION TSP'!MK228</f>
        <v>0</v>
      </c>
      <c r="H87" s="241">
        <f>+'SECCION TSP'!ML228</f>
        <v>0</v>
      </c>
      <c r="I87" s="241">
        <f>+'SECCION TSP'!MM228</f>
        <v>0</v>
      </c>
      <c r="J87" s="241">
        <f ca="1">+'SECCION TSP'!MN228</f>
        <v>0</v>
      </c>
      <c r="K87" s="241">
        <f ca="1">+'SECCION TSP'!MO228</f>
        <v>0</v>
      </c>
      <c r="L87" s="241">
        <f ca="1">+'SECCION TSP'!MP228</f>
        <v>0</v>
      </c>
      <c r="M87" s="241">
        <f ca="1">+'SECCION TSP'!MQ228</f>
        <v>0</v>
      </c>
      <c r="N87" s="241">
        <f ca="1">+'SECCION TSP'!MR228</f>
        <v>0</v>
      </c>
      <c r="O87" s="241">
        <f ca="1">+'SECCION TSP'!MS228</f>
        <v>0</v>
      </c>
      <c r="P87" s="1450" t="s">
        <v>809</v>
      </c>
      <c r="Q87">
        <f t="shared" si="16"/>
        <v>-1869.1149</v>
      </c>
      <c r="R87" s="1462">
        <f>+A$21</f>
        <v>0</v>
      </c>
      <c r="S87">
        <f t="shared" si="14"/>
        <v>0</v>
      </c>
      <c r="T87">
        <f t="shared" si="17"/>
        <v>0</v>
      </c>
      <c r="U87" s="1465">
        <f t="shared" si="18"/>
        <v>0</v>
      </c>
      <c r="V87" s="1466">
        <f>SUM(U80:U87)</f>
        <v>0</v>
      </c>
      <c r="W87" s="1474">
        <f>+V87</f>
        <v>0</v>
      </c>
      <c r="X87" s="1479" t="e">
        <f>+W87/W$152</f>
        <v>#DIV/0!</v>
      </c>
      <c r="AC87" s="3452"/>
    </row>
    <row r="88" spans="1:29" ht="27" hidden="1" x14ac:dyDescent="0.35">
      <c r="A88" s="72"/>
      <c r="B88" s="72"/>
      <c r="D88" s="3608" t="s">
        <v>1216</v>
      </c>
      <c r="E88" s="3251" t="s">
        <v>46</v>
      </c>
      <c r="F88" s="522">
        <f>+'SECCION TSP'!G229</f>
        <v>0</v>
      </c>
      <c r="G88" s="241">
        <f>+'SECCION TSP'!MK229</f>
        <v>0</v>
      </c>
      <c r="H88" s="241">
        <f>+'SECCION TSP'!ML229</f>
        <v>0</v>
      </c>
      <c r="I88" s="241">
        <f>+'SECCION TSP'!MM229</f>
        <v>0</v>
      </c>
      <c r="J88" s="241">
        <f ca="1">+'SECCION TSP'!MN229</f>
        <v>0</v>
      </c>
      <c r="K88" s="241">
        <f ca="1">+'SECCION TSP'!MO229</f>
        <v>0</v>
      </c>
      <c r="L88" s="241">
        <f ca="1">+'SECCION TSP'!MP229</f>
        <v>0</v>
      </c>
      <c r="M88" s="241">
        <f ca="1">+'SECCION TSP'!MQ229</f>
        <v>0</v>
      </c>
      <c r="N88" s="241">
        <f ca="1">+'SECCION TSP'!MR229</f>
        <v>0</v>
      </c>
      <c r="O88" s="241">
        <f ca="1">+'SECCION TSP'!MS229</f>
        <v>0</v>
      </c>
      <c r="P88" s="1450"/>
      <c r="R88" s="1462"/>
      <c r="U88" s="210"/>
      <c r="V88" s="211"/>
      <c r="W88" s="3443"/>
      <c r="X88" s="1479"/>
      <c r="AC88" s="3452"/>
    </row>
    <row r="89" spans="1:29" ht="27" hidden="1" x14ac:dyDescent="0.35">
      <c r="A89" s="72"/>
      <c r="B89" s="72"/>
      <c r="C89" s="3271">
        <v>2</v>
      </c>
      <c r="D89" s="3612"/>
      <c r="E89" s="3251" t="s">
        <v>47</v>
      </c>
      <c r="F89" s="522">
        <f>+'SECCION TSP'!G230</f>
        <v>0</v>
      </c>
      <c r="G89" s="241">
        <f>+'SECCION TSP'!MK230</f>
        <v>0</v>
      </c>
      <c r="H89" s="241">
        <f>+'SECCION TSP'!ML230</f>
        <v>0</v>
      </c>
      <c r="I89" s="241">
        <f>+'SECCION TSP'!MM230</f>
        <v>0</v>
      </c>
      <c r="J89" s="241">
        <f ca="1">+'SECCION TSP'!MN230</f>
        <v>0</v>
      </c>
      <c r="K89" s="241">
        <f ca="1">+'SECCION TSP'!MO230</f>
        <v>0</v>
      </c>
      <c r="L89" s="241">
        <f ca="1">+'SECCION TSP'!MP230</f>
        <v>0</v>
      </c>
      <c r="M89" s="241">
        <f ca="1">+'SECCION TSP'!MQ230</f>
        <v>0</v>
      </c>
      <c r="N89" s="241">
        <f ca="1">+'SECCION TSP'!MR230</f>
        <v>0</v>
      </c>
      <c r="O89" s="241">
        <f ca="1">+'SECCION TSP'!MS230</f>
        <v>0</v>
      </c>
      <c r="P89" s="1450"/>
      <c r="R89" s="1462"/>
      <c r="U89" s="210"/>
      <c r="V89" s="211"/>
      <c r="W89" s="3443"/>
      <c r="X89" s="1479"/>
      <c r="Z89" s="72">
        <f>+F89</f>
        <v>0</v>
      </c>
      <c r="AC89" s="3452"/>
    </row>
    <row r="90" spans="1:29" ht="27" hidden="1" x14ac:dyDescent="0.35">
      <c r="A90" s="72"/>
      <c r="B90" s="72"/>
      <c r="D90" s="3612"/>
      <c r="E90" s="3251" t="s">
        <v>635</v>
      </c>
      <c r="F90" s="522">
        <f>+'SECCION TSP'!G231</f>
        <v>0</v>
      </c>
      <c r="G90" s="241">
        <f>+'SECCION TSP'!MK231</f>
        <v>0</v>
      </c>
      <c r="H90" s="241">
        <f>+'SECCION TSP'!ML231</f>
        <v>0</v>
      </c>
      <c r="I90" s="241">
        <f>+'SECCION TSP'!MM231</f>
        <v>0</v>
      </c>
      <c r="J90" s="241">
        <f ca="1">+'SECCION TSP'!MN231</f>
        <v>0</v>
      </c>
      <c r="K90" s="241">
        <f ca="1">+'SECCION TSP'!MO231</f>
        <v>0</v>
      </c>
      <c r="L90" s="241">
        <f ca="1">+'SECCION TSP'!MP231</f>
        <v>0</v>
      </c>
      <c r="M90" s="241">
        <f ca="1">+'SECCION TSP'!MQ231</f>
        <v>0</v>
      </c>
      <c r="N90" s="241">
        <f ca="1">+'SECCION TSP'!MR231</f>
        <v>0</v>
      </c>
      <c r="O90" s="241">
        <f ca="1">+'SECCION TSP'!MS231</f>
        <v>0</v>
      </c>
      <c r="P90" s="1450"/>
      <c r="R90" s="1462"/>
      <c r="U90" s="210"/>
      <c r="V90" s="211"/>
      <c r="W90" s="3443"/>
      <c r="X90" s="1479"/>
      <c r="AC90" s="3452"/>
    </row>
    <row r="91" spans="1:29" ht="27" hidden="1" x14ac:dyDescent="0.35">
      <c r="A91" s="72"/>
      <c r="B91" s="72"/>
      <c r="D91" s="3612"/>
      <c r="E91" s="3251" t="s">
        <v>636</v>
      </c>
      <c r="F91" s="522">
        <f>+'SECCION TSP'!G232</f>
        <v>0</v>
      </c>
      <c r="G91" s="241">
        <f>+'SECCION TSP'!MK232</f>
        <v>0</v>
      </c>
      <c r="H91" s="241">
        <f>+'SECCION TSP'!ML232</f>
        <v>0</v>
      </c>
      <c r="I91" s="241">
        <f>+'SECCION TSP'!MM232</f>
        <v>0</v>
      </c>
      <c r="J91" s="241">
        <f ca="1">+'SECCION TSP'!MN232</f>
        <v>0</v>
      </c>
      <c r="K91" s="241">
        <f ca="1">+'SECCION TSP'!MO232</f>
        <v>0</v>
      </c>
      <c r="L91" s="241">
        <f ca="1">+'SECCION TSP'!MP232</f>
        <v>0</v>
      </c>
      <c r="M91" s="241">
        <f ca="1">+'SECCION TSP'!MQ232</f>
        <v>0</v>
      </c>
      <c r="N91" s="241">
        <f ca="1">+'SECCION TSP'!MR232</f>
        <v>0</v>
      </c>
      <c r="O91" s="241">
        <f ca="1">+'SECCION TSP'!MS232</f>
        <v>0</v>
      </c>
      <c r="P91" s="1450"/>
      <c r="R91" s="1462"/>
      <c r="U91" s="210"/>
      <c r="V91" s="211"/>
      <c r="W91" s="3443"/>
      <c r="X91" s="1479"/>
      <c r="AC91" s="3452"/>
    </row>
    <row r="92" spans="1:29" ht="27" hidden="1" x14ac:dyDescent="0.35">
      <c r="A92" s="72"/>
      <c r="B92" s="72"/>
      <c r="C92" s="3271">
        <v>5</v>
      </c>
      <c r="D92" s="3612"/>
      <c r="E92" s="3129" t="s">
        <v>813</v>
      </c>
      <c r="F92" s="522">
        <f>+'SECCION TSP'!G233</f>
        <v>0</v>
      </c>
      <c r="G92" s="241">
        <f>+'SECCION TSP'!MK233</f>
        <v>0</v>
      </c>
      <c r="H92" s="241">
        <f>+'SECCION TSP'!ML233</f>
        <v>0</v>
      </c>
      <c r="I92" s="241">
        <f>+'SECCION TSP'!MM233</f>
        <v>0</v>
      </c>
      <c r="J92" s="241">
        <f ca="1">+'SECCION TSP'!MN233</f>
        <v>0</v>
      </c>
      <c r="K92" s="241">
        <f ca="1">+'SECCION TSP'!MO233</f>
        <v>0</v>
      </c>
      <c r="L92" s="241">
        <f ca="1">+'SECCION TSP'!MP233</f>
        <v>0</v>
      </c>
      <c r="M92" s="241">
        <f ca="1">+'SECCION TSP'!MQ233</f>
        <v>0</v>
      </c>
      <c r="N92" s="241">
        <f ca="1">+'SECCION TSP'!MR233</f>
        <v>0</v>
      </c>
      <c r="O92" s="241">
        <f ca="1">+'SECCION TSP'!MS233</f>
        <v>0</v>
      </c>
      <c r="P92" s="1450"/>
      <c r="R92" s="1462"/>
      <c r="U92" s="210"/>
      <c r="V92" s="211"/>
      <c r="W92" s="3443"/>
      <c r="X92" s="1479"/>
      <c r="AC92" s="3450">
        <f>+F92</f>
        <v>0</v>
      </c>
    </row>
    <row r="93" spans="1:29" ht="27" hidden="1" x14ac:dyDescent="0.35">
      <c r="A93" s="72"/>
      <c r="B93" s="72"/>
      <c r="C93" s="3271">
        <v>4</v>
      </c>
      <c r="D93" s="3612"/>
      <c r="E93" s="488" t="s">
        <v>49</v>
      </c>
      <c r="F93" s="522">
        <f>+'SECCION TSP'!G234</f>
        <v>0</v>
      </c>
      <c r="G93" s="241">
        <f>+'SECCION TSP'!MK234</f>
        <v>0</v>
      </c>
      <c r="H93" s="241">
        <f>+'SECCION TSP'!ML234</f>
        <v>0</v>
      </c>
      <c r="I93" s="241">
        <f>+'SECCION TSP'!MM234</f>
        <v>0</v>
      </c>
      <c r="J93" s="241">
        <f ca="1">+'SECCION TSP'!MN234</f>
        <v>0</v>
      </c>
      <c r="K93" s="241">
        <f ca="1">+'SECCION TSP'!MO234</f>
        <v>0</v>
      </c>
      <c r="L93" s="241">
        <f ca="1">+'SECCION TSP'!MP234</f>
        <v>0</v>
      </c>
      <c r="M93" s="241">
        <f ca="1">+'SECCION TSP'!MQ234</f>
        <v>0</v>
      </c>
      <c r="N93" s="241">
        <f ca="1">+'SECCION TSP'!MR234</f>
        <v>0</v>
      </c>
      <c r="O93" s="241">
        <f ca="1">+'SECCION TSP'!MS234</f>
        <v>0</v>
      </c>
      <c r="P93" s="1450"/>
      <c r="R93" s="1462"/>
      <c r="U93" s="210"/>
      <c r="V93" s="211"/>
      <c r="W93" s="3443"/>
      <c r="X93" s="1479"/>
      <c r="AC93" s="3452"/>
    </row>
    <row r="94" spans="1:29" ht="27" hidden="1" x14ac:dyDescent="0.35">
      <c r="A94" s="72"/>
      <c r="B94" s="72"/>
      <c r="D94" s="3612"/>
      <c r="E94" s="3129" t="s">
        <v>638</v>
      </c>
      <c r="F94" s="522">
        <f>+'SECCION TSP'!G235</f>
        <v>0</v>
      </c>
      <c r="G94" s="241">
        <f>+'SECCION TSP'!MK235</f>
        <v>0</v>
      </c>
      <c r="H94" s="241">
        <f>+'SECCION TSP'!ML235</f>
        <v>0</v>
      </c>
      <c r="I94" s="241">
        <f>+'SECCION TSP'!MM235</f>
        <v>0</v>
      </c>
      <c r="J94" s="241">
        <f ca="1">+'SECCION TSP'!MN235</f>
        <v>0</v>
      </c>
      <c r="K94" s="241">
        <f ca="1">+'SECCION TSP'!MO235</f>
        <v>0</v>
      </c>
      <c r="L94" s="241">
        <f ca="1">+'SECCION TSP'!MP235</f>
        <v>0</v>
      </c>
      <c r="M94" s="241">
        <f ca="1">+'SECCION TSP'!MQ235</f>
        <v>0</v>
      </c>
      <c r="N94" s="241">
        <f ca="1">+'SECCION TSP'!MR235</f>
        <v>0</v>
      </c>
      <c r="O94" s="241">
        <f ca="1">+'SECCION TSP'!MS235</f>
        <v>0</v>
      </c>
      <c r="P94" s="1450"/>
      <c r="R94" s="1462"/>
      <c r="U94" s="210"/>
      <c r="V94" s="211"/>
      <c r="W94" s="3443"/>
      <c r="X94" s="1479"/>
      <c r="AC94" s="3452"/>
    </row>
    <row r="95" spans="1:29" ht="27" hidden="1" x14ac:dyDescent="0.35">
      <c r="A95" s="72"/>
      <c r="B95" s="72"/>
      <c r="D95" s="3612"/>
      <c r="E95" s="3129" t="s">
        <v>639</v>
      </c>
      <c r="F95" s="522">
        <f>+'SECCION TSP'!G236</f>
        <v>0</v>
      </c>
      <c r="G95" s="241">
        <f>+'SECCION TSP'!MK236</f>
        <v>0</v>
      </c>
      <c r="H95" s="241">
        <f>+'SECCION TSP'!ML236</f>
        <v>0</v>
      </c>
      <c r="I95" s="241">
        <f>+'SECCION TSP'!MM236</f>
        <v>0</v>
      </c>
      <c r="J95" s="241">
        <f ca="1">+'SECCION TSP'!MN236</f>
        <v>0</v>
      </c>
      <c r="K95" s="241">
        <f ca="1">+'SECCION TSP'!MO236</f>
        <v>0</v>
      </c>
      <c r="L95" s="241">
        <f ca="1">+'SECCION TSP'!MP236</f>
        <v>0</v>
      </c>
      <c r="M95" s="241">
        <f ca="1">+'SECCION TSP'!MQ236</f>
        <v>0</v>
      </c>
      <c r="N95" s="241">
        <f ca="1">+'SECCION TSP'!MR236</f>
        <v>0</v>
      </c>
      <c r="O95" s="241">
        <f ca="1">+'SECCION TSP'!MS236</f>
        <v>0</v>
      </c>
      <c r="P95" s="1450"/>
      <c r="R95" s="1462"/>
      <c r="U95" s="210"/>
      <c r="V95" s="211"/>
      <c r="W95" s="3443"/>
      <c r="X95" s="1479"/>
      <c r="AC95" s="3452"/>
    </row>
    <row r="96" spans="1:29" ht="27" hidden="1" x14ac:dyDescent="0.35">
      <c r="A96" s="72"/>
      <c r="B96" s="72"/>
      <c r="D96" s="3608" t="s">
        <v>1217</v>
      </c>
      <c r="E96" s="3251" t="s">
        <v>46</v>
      </c>
      <c r="F96" s="522">
        <f>+'SECCION TSP'!G237</f>
        <v>0</v>
      </c>
      <c r="G96" s="241">
        <f>+'SECCION TSP'!MK237</f>
        <v>0</v>
      </c>
      <c r="H96" s="241">
        <f>+'SECCION TSP'!ML237</f>
        <v>0</v>
      </c>
      <c r="I96" s="241">
        <f>+'SECCION TSP'!MM237</f>
        <v>0</v>
      </c>
      <c r="J96" s="241">
        <f ca="1">+'SECCION TSP'!MN237</f>
        <v>0</v>
      </c>
      <c r="K96" s="241">
        <f ca="1">+'SECCION TSP'!MO237</f>
        <v>0</v>
      </c>
      <c r="L96" s="241">
        <f ca="1">+'SECCION TSP'!MP237</f>
        <v>0</v>
      </c>
      <c r="M96" s="241">
        <f ca="1">+'SECCION TSP'!MQ237</f>
        <v>0</v>
      </c>
      <c r="N96" s="241">
        <f ca="1">+'SECCION TSP'!MR237</f>
        <v>0</v>
      </c>
      <c r="O96" s="241">
        <f ca="1">+'SECCION TSP'!MS237</f>
        <v>0</v>
      </c>
      <c r="P96" s="1450"/>
      <c r="R96" s="1462"/>
      <c r="U96" s="210"/>
      <c r="V96" s="211"/>
      <c r="W96" s="3443"/>
      <c r="X96" s="1479"/>
      <c r="AC96" s="3452"/>
    </row>
    <row r="97" spans="1:29" ht="27" hidden="1" x14ac:dyDescent="0.35">
      <c r="A97" s="72"/>
      <c r="B97" s="72"/>
      <c r="C97" s="3271">
        <v>2</v>
      </c>
      <c r="D97" s="3612"/>
      <c r="E97" s="3251" t="s">
        <v>47</v>
      </c>
      <c r="F97" s="522">
        <f>+'SECCION TSP'!G238</f>
        <v>0</v>
      </c>
      <c r="G97" s="241">
        <f>+'SECCION TSP'!MK238</f>
        <v>0</v>
      </c>
      <c r="H97" s="241">
        <f>+'SECCION TSP'!ML238</f>
        <v>0</v>
      </c>
      <c r="I97" s="241">
        <f>+'SECCION TSP'!MM238</f>
        <v>0</v>
      </c>
      <c r="J97" s="241">
        <f ca="1">+'SECCION TSP'!MN238</f>
        <v>0</v>
      </c>
      <c r="K97" s="241">
        <f ca="1">+'SECCION TSP'!MO238</f>
        <v>0</v>
      </c>
      <c r="L97" s="241">
        <f ca="1">+'SECCION TSP'!MP238</f>
        <v>0</v>
      </c>
      <c r="M97" s="241">
        <f ca="1">+'SECCION TSP'!MQ238</f>
        <v>0</v>
      </c>
      <c r="N97" s="241">
        <f ca="1">+'SECCION TSP'!MR238</f>
        <v>0</v>
      </c>
      <c r="O97" s="241">
        <f ca="1">+'SECCION TSP'!MS238</f>
        <v>0</v>
      </c>
      <c r="P97" s="1450"/>
      <c r="R97" s="1462"/>
      <c r="U97" s="210"/>
      <c r="V97" s="211"/>
      <c r="W97" s="3443"/>
      <c r="X97" s="1479"/>
      <c r="Z97" s="72">
        <f>+F97</f>
        <v>0</v>
      </c>
      <c r="AC97" s="3452"/>
    </row>
    <row r="98" spans="1:29" ht="27" hidden="1" x14ac:dyDescent="0.35">
      <c r="A98" s="72"/>
      <c r="B98" s="72"/>
      <c r="D98" s="3612"/>
      <c r="E98" s="3251" t="s">
        <v>635</v>
      </c>
      <c r="F98" s="522">
        <f>+'SECCION TSP'!G239</f>
        <v>0</v>
      </c>
      <c r="G98" s="241">
        <f>+'SECCION TSP'!MK239</f>
        <v>0</v>
      </c>
      <c r="H98" s="241">
        <f>+'SECCION TSP'!ML239</f>
        <v>0</v>
      </c>
      <c r="I98" s="241">
        <f>+'SECCION TSP'!MM239</f>
        <v>0</v>
      </c>
      <c r="J98" s="241">
        <f ca="1">+'SECCION TSP'!MN239</f>
        <v>0</v>
      </c>
      <c r="K98" s="241">
        <f ca="1">+'SECCION TSP'!MO239</f>
        <v>0</v>
      </c>
      <c r="L98" s="241">
        <f ca="1">+'SECCION TSP'!MP239</f>
        <v>0</v>
      </c>
      <c r="M98" s="241">
        <f ca="1">+'SECCION TSP'!MQ239</f>
        <v>0</v>
      </c>
      <c r="N98" s="241">
        <f ca="1">+'SECCION TSP'!MR239</f>
        <v>0</v>
      </c>
      <c r="O98" s="241">
        <f ca="1">+'SECCION TSP'!MS239</f>
        <v>0</v>
      </c>
      <c r="P98" s="1450"/>
      <c r="R98" s="1462"/>
      <c r="U98" s="210"/>
      <c r="V98" s="211"/>
      <c r="W98" s="3443"/>
      <c r="X98" s="1479"/>
      <c r="AC98" s="3452"/>
    </row>
    <row r="99" spans="1:29" ht="27" hidden="1" x14ac:dyDescent="0.35">
      <c r="A99" s="72"/>
      <c r="B99" s="72"/>
      <c r="D99" s="3612"/>
      <c r="E99" s="3251" t="s">
        <v>636</v>
      </c>
      <c r="F99" s="522">
        <f>+'SECCION TSP'!G240</f>
        <v>0</v>
      </c>
      <c r="G99" s="241">
        <f>+'SECCION TSP'!MK240</f>
        <v>0</v>
      </c>
      <c r="H99" s="241">
        <f>+'SECCION TSP'!ML240</f>
        <v>0</v>
      </c>
      <c r="I99" s="241">
        <f>+'SECCION TSP'!MM240</f>
        <v>0</v>
      </c>
      <c r="J99" s="241">
        <f ca="1">+'SECCION TSP'!MN240</f>
        <v>0</v>
      </c>
      <c r="K99" s="241">
        <f ca="1">+'SECCION TSP'!MO240</f>
        <v>0</v>
      </c>
      <c r="L99" s="241">
        <f ca="1">+'SECCION TSP'!MP240</f>
        <v>0</v>
      </c>
      <c r="M99" s="241">
        <f ca="1">+'SECCION TSP'!MQ240</f>
        <v>0</v>
      </c>
      <c r="N99" s="241">
        <f ca="1">+'SECCION TSP'!MR240</f>
        <v>0</v>
      </c>
      <c r="O99" s="241">
        <f ca="1">+'SECCION TSP'!MS240</f>
        <v>0</v>
      </c>
      <c r="P99" s="1450"/>
      <c r="R99" s="1462"/>
      <c r="U99" s="210"/>
      <c r="V99" s="211"/>
      <c r="W99" s="3443"/>
      <c r="X99" s="1479"/>
      <c r="AC99" s="3452"/>
    </row>
    <row r="100" spans="1:29" ht="27" hidden="1" x14ac:dyDescent="0.35">
      <c r="A100" s="72"/>
      <c r="B100" s="72"/>
      <c r="C100" s="3271">
        <v>5</v>
      </c>
      <c r="D100" s="3612"/>
      <c r="E100" s="3129" t="s">
        <v>813</v>
      </c>
      <c r="F100" s="522">
        <f>+'SECCION TSP'!G241</f>
        <v>0</v>
      </c>
      <c r="G100" s="241">
        <f>+'SECCION TSP'!MK241</f>
        <v>0</v>
      </c>
      <c r="H100" s="241">
        <f>+'SECCION TSP'!ML241</f>
        <v>0</v>
      </c>
      <c r="I100" s="241">
        <f>+'SECCION TSP'!MM241</f>
        <v>0</v>
      </c>
      <c r="J100" s="241">
        <f ca="1">+'SECCION TSP'!MN241</f>
        <v>0</v>
      </c>
      <c r="K100" s="241">
        <f ca="1">+'SECCION TSP'!MO241</f>
        <v>0</v>
      </c>
      <c r="L100" s="241">
        <f ca="1">+'SECCION TSP'!MP241</f>
        <v>0</v>
      </c>
      <c r="M100" s="241">
        <f ca="1">+'SECCION TSP'!MQ241</f>
        <v>0</v>
      </c>
      <c r="N100" s="241">
        <f ca="1">+'SECCION TSP'!MR241</f>
        <v>0</v>
      </c>
      <c r="O100" s="241">
        <f ca="1">+'SECCION TSP'!MS241</f>
        <v>0</v>
      </c>
      <c r="P100" s="1450"/>
      <c r="R100" s="1462"/>
      <c r="U100" s="210"/>
      <c r="V100" s="211"/>
      <c r="W100" s="3443"/>
      <c r="X100" s="1479"/>
      <c r="AC100" s="3451">
        <f>+F92</f>
        <v>0</v>
      </c>
    </row>
    <row r="101" spans="1:29" ht="27" hidden="1" x14ac:dyDescent="0.35">
      <c r="A101" s="72"/>
      <c r="B101" s="72"/>
      <c r="C101" s="3271">
        <v>4</v>
      </c>
      <c r="D101" s="3612"/>
      <c r="E101" s="488" t="s">
        <v>49</v>
      </c>
      <c r="F101" s="522">
        <f>+'SECCION TSP'!G242</f>
        <v>0</v>
      </c>
      <c r="G101" s="241">
        <f>+'SECCION TSP'!MK242</f>
        <v>0</v>
      </c>
      <c r="H101" s="241">
        <f>+'SECCION TSP'!ML242</f>
        <v>0</v>
      </c>
      <c r="I101" s="241">
        <f>+'SECCION TSP'!MM242</f>
        <v>0</v>
      </c>
      <c r="J101" s="241">
        <f ca="1">+'SECCION TSP'!MN242</f>
        <v>0</v>
      </c>
      <c r="K101" s="241">
        <f ca="1">+'SECCION TSP'!MO242</f>
        <v>0</v>
      </c>
      <c r="L101" s="241">
        <f ca="1">+'SECCION TSP'!MP242</f>
        <v>0</v>
      </c>
      <c r="M101" s="241">
        <f ca="1">+'SECCION TSP'!MQ242</f>
        <v>0</v>
      </c>
      <c r="N101" s="241">
        <f ca="1">+'SECCION TSP'!MR242</f>
        <v>0</v>
      </c>
      <c r="O101" s="241">
        <f ca="1">+'SECCION TSP'!MS242</f>
        <v>0</v>
      </c>
      <c r="P101" s="1450"/>
      <c r="R101" s="1462"/>
      <c r="U101" s="210"/>
      <c r="V101" s="211"/>
      <c r="W101" s="3443"/>
      <c r="X101" s="1479"/>
      <c r="AC101" s="3452"/>
    </row>
    <row r="102" spans="1:29" ht="27" hidden="1" x14ac:dyDescent="0.35">
      <c r="A102" s="72"/>
      <c r="B102" s="72"/>
      <c r="D102" s="3612"/>
      <c r="E102" s="3129" t="s">
        <v>638</v>
      </c>
      <c r="F102" s="522">
        <f>+'SECCION TSP'!G243</f>
        <v>0</v>
      </c>
      <c r="G102" s="241">
        <f>+'SECCION TSP'!MK243</f>
        <v>0</v>
      </c>
      <c r="H102" s="241">
        <f>+'SECCION TSP'!ML243</f>
        <v>0</v>
      </c>
      <c r="I102" s="241">
        <f>+'SECCION TSP'!MM243</f>
        <v>0</v>
      </c>
      <c r="J102" s="241">
        <f ca="1">+'SECCION TSP'!MN243</f>
        <v>0</v>
      </c>
      <c r="K102" s="241">
        <f ca="1">+'SECCION TSP'!MO243</f>
        <v>0</v>
      </c>
      <c r="L102" s="241">
        <f ca="1">+'SECCION TSP'!MP243</f>
        <v>0</v>
      </c>
      <c r="M102" s="241">
        <f ca="1">+'SECCION TSP'!MQ243</f>
        <v>0</v>
      </c>
      <c r="N102" s="241">
        <f ca="1">+'SECCION TSP'!MR243</f>
        <v>0</v>
      </c>
      <c r="O102" s="241">
        <f ca="1">+'SECCION TSP'!MS243</f>
        <v>0</v>
      </c>
      <c r="P102" s="1450"/>
      <c r="R102" s="1462"/>
      <c r="U102" s="210"/>
      <c r="V102" s="211"/>
      <c r="W102" s="3443"/>
      <c r="X102" s="1479"/>
      <c r="AC102" s="3452"/>
    </row>
    <row r="103" spans="1:29" ht="27.75" hidden="1" thickBot="1" x14ac:dyDescent="0.4">
      <c r="A103" s="72"/>
      <c r="B103" s="72"/>
      <c r="D103" s="3612"/>
      <c r="E103" s="3129" t="s">
        <v>639</v>
      </c>
      <c r="F103" s="522">
        <f>+'SECCION TSP'!G244</f>
        <v>0</v>
      </c>
      <c r="G103" s="241">
        <f>+'SECCION TSP'!MK244</f>
        <v>0</v>
      </c>
      <c r="H103" s="241">
        <f>+'SECCION TSP'!ML244</f>
        <v>0</v>
      </c>
      <c r="I103" s="241">
        <f>+'SECCION TSP'!MM244</f>
        <v>0</v>
      </c>
      <c r="J103" s="241">
        <f ca="1">+'SECCION TSP'!MN244</f>
        <v>0</v>
      </c>
      <c r="K103" s="241">
        <f ca="1">+'SECCION TSP'!MO244</f>
        <v>0</v>
      </c>
      <c r="L103" s="241">
        <f ca="1">+'SECCION TSP'!MP244</f>
        <v>0</v>
      </c>
      <c r="M103" s="241">
        <f ca="1">+'SECCION TSP'!MQ244</f>
        <v>0</v>
      </c>
      <c r="N103" s="241">
        <f ca="1">+'SECCION TSP'!MR244</f>
        <v>0</v>
      </c>
      <c r="O103" s="241">
        <f ca="1">+'SECCION TSP'!MS244</f>
        <v>0</v>
      </c>
      <c r="P103" s="1450"/>
      <c r="R103" s="1462"/>
      <c r="U103" s="210"/>
      <c r="V103" s="211"/>
      <c r="W103" s="3443"/>
      <c r="X103" s="1479"/>
      <c r="AC103" s="3452"/>
    </row>
    <row r="104" spans="1:29" ht="27" hidden="1" x14ac:dyDescent="0.35">
      <c r="A104" s="72">
        <f>+F104</f>
        <v>0</v>
      </c>
      <c r="B104" s="72"/>
      <c r="D104" s="3608" t="s">
        <v>1218</v>
      </c>
      <c r="E104" s="3251" t="s">
        <v>46</v>
      </c>
      <c r="F104" s="1459">
        <f>+'SECCION TSP'!G245</f>
        <v>0</v>
      </c>
      <c r="G104" s="241">
        <f>+'SECCION TSP'!MK245</f>
        <v>0</v>
      </c>
      <c r="H104" s="241">
        <f>+'SECCION TSP'!ML245</f>
        <v>0</v>
      </c>
      <c r="I104" s="241">
        <f>+'SECCION TSP'!MM245</f>
        <v>0</v>
      </c>
      <c r="J104" s="241">
        <f ca="1">+'SECCION TSP'!MN245</f>
        <v>0</v>
      </c>
      <c r="K104" s="241">
        <f ca="1">+'SECCION TSP'!MO245</f>
        <v>0</v>
      </c>
      <c r="L104" s="241">
        <f ca="1">+'SECCION TSP'!MP245</f>
        <v>0</v>
      </c>
      <c r="M104" s="241">
        <f ca="1">+'SECCION TSP'!MQ245</f>
        <v>0</v>
      </c>
      <c r="N104" s="241">
        <f ca="1">+'SECCION TSP'!MR245</f>
        <v>0</v>
      </c>
      <c r="O104" s="241">
        <f ca="1">+'SECCION TSP'!MS245</f>
        <v>0</v>
      </c>
      <c r="P104" s="1456" t="s">
        <v>807</v>
      </c>
      <c r="Q104">
        <f t="shared" si="16"/>
        <v>-1196.1439</v>
      </c>
      <c r="R104" s="1461">
        <f>+A$5</f>
        <v>-44.86459</v>
      </c>
      <c r="S104">
        <f t="shared" si="14"/>
        <v>0</v>
      </c>
      <c r="T104">
        <f t="shared" si="17"/>
        <v>0</v>
      </c>
      <c r="U104" s="1463">
        <f t="shared" si="18"/>
        <v>0</v>
      </c>
      <c r="V104" s="1464"/>
      <c r="W104" s="1475"/>
      <c r="X104" s="1480"/>
      <c r="AC104" s="3452"/>
    </row>
    <row r="105" spans="1:29" ht="27" hidden="1" x14ac:dyDescent="0.35">
      <c r="C105" s="3271">
        <v>2</v>
      </c>
      <c r="D105" s="3612"/>
      <c r="E105" s="3251" t="s">
        <v>47</v>
      </c>
      <c r="F105" s="1459">
        <f>+'SECCION TSP'!G246</f>
        <v>0</v>
      </c>
      <c r="G105" s="241">
        <f>+'SECCION TSP'!MK246</f>
        <v>0</v>
      </c>
      <c r="H105" s="241">
        <f>+'SECCION TSP'!ML246</f>
        <v>0</v>
      </c>
      <c r="I105" s="241">
        <f>+'SECCION TSP'!MM246</f>
        <v>0</v>
      </c>
      <c r="J105" s="241">
        <f ca="1">+'SECCION TSP'!MN246</f>
        <v>0</v>
      </c>
      <c r="K105" s="241">
        <f ca="1">+'SECCION TSP'!MO246</f>
        <v>0</v>
      </c>
      <c r="L105" s="241">
        <f ca="1">+'SECCION TSP'!MP246</f>
        <v>0</v>
      </c>
      <c r="M105" s="241">
        <f ca="1">+'SECCION TSP'!MQ246</f>
        <v>0</v>
      </c>
      <c r="N105" s="241">
        <f ca="1">+'SECCION TSP'!MR246</f>
        <v>0</v>
      </c>
      <c r="O105" s="241">
        <f ca="1">+'SECCION TSP'!MS246</f>
        <v>0</v>
      </c>
      <c r="P105" s="1456" t="s">
        <v>807</v>
      </c>
      <c r="Q105">
        <f t="shared" si="16"/>
        <v>-1196.1439</v>
      </c>
      <c r="R105" s="1461">
        <f>+A$6</f>
        <v>-76.996639999999999</v>
      </c>
      <c r="S105">
        <f t="shared" si="14"/>
        <v>0</v>
      </c>
      <c r="T105">
        <f t="shared" si="17"/>
        <v>0</v>
      </c>
      <c r="U105" s="210">
        <f t="shared" si="18"/>
        <v>0</v>
      </c>
      <c r="V105" s="211"/>
      <c r="W105" s="1475"/>
      <c r="X105" s="1480"/>
      <c r="Z105" s="72">
        <f>+F105</f>
        <v>0</v>
      </c>
      <c r="AC105" s="3452"/>
    </row>
    <row r="106" spans="1:29" ht="27" hidden="1" x14ac:dyDescent="0.35">
      <c r="D106" s="3612"/>
      <c r="E106" s="3251" t="s">
        <v>635</v>
      </c>
      <c r="F106" s="1459">
        <f>+'SECCION TSP'!G247</f>
        <v>0</v>
      </c>
      <c r="G106" s="241">
        <f>+'SECCION TSP'!MK247</f>
        <v>0</v>
      </c>
      <c r="H106" s="241">
        <f>+'SECCION TSP'!ML247</f>
        <v>0</v>
      </c>
      <c r="I106" s="241">
        <f>+'SECCION TSP'!MM247</f>
        <v>0</v>
      </c>
      <c r="J106" s="241">
        <f ca="1">+'SECCION TSP'!MN247</f>
        <v>0</v>
      </c>
      <c r="K106" s="241">
        <f ca="1">+'SECCION TSP'!MO247</f>
        <v>0</v>
      </c>
      <c r="L106" s="241">
        <f ca="1">+'SECCION TSP'!MP247</f>
        <v>0</v>
      </c>
      <c r="M106" s="241">
        <f ca="1">+'SECCION TSP'!MQ247</f>
        <v>0</v>
      </c>
      <c r="N106" s="241">
        <f ca="1">+'SECCION TSP'!MR247</f>
        <v>0</v>
      </c>
      <c r="O106" s="241">
        <f ca="1">+'SECCION TSP'!MS247</f>
        <v>0</v>
      </c>
      <c r="P106" s="1456" t="s">
        <v>807</v>
      </c>
      <c r="Q106">
        <f t="shared" si="16"/>
        <v>-1196.1439</v>
      </c>
      <c r="R106" s="1461">
        <f>+A$7</f>
        <v>0</v>
      </c>
      <c r="S106">
        <f t="shared" si="14"/>
        <v>0</v>
      </c>
      <c r="T106">
        <f t="shared" si="17"/>
        <v>0</v>
      </c>
      <c r="U106" s="210">
        <f t="shared" si="18"/>
        <v>0</v>
      </c>
      <c r="V106" s="211"/>
      <c r="W106" s="1475"/>
      <c r="X106" s="1480"/>
      <c r="AC106" s="3452"/>
    </row>
    <row r="107" spans="1:29" ht="27" hidden="1" x14ac:dyDescent="0.35">
      <c r="A107" s="72"/>
      <c r="B107" s="72"/>
      <c r="D107" s="3612"/>
      <c r="E107" s="3251" t="s">
        <v>636</v>
      </c>
      <c r="F107" s="1459">
        <f>+'SECCION TSP'!G248</f>
        <v>0</v>
      </c>
      <c r="G107" s="241">
        <f>+'SECCION TSP'!MK248</f>
        <v>0</v>
      </c>
      <c r="H107" s="241">
        <f>+'SECCION TSP'!ML248</f>
        <v>0</v>
      </c>
      <c r="I107" s="241">
        <f>+'SECCION TSP'!MM248</f>
        <v>0</v>
      </c>
      <c r="J107" s="241">
        <f ca="1">+'SECCION TSP'!MN248</f>
        <v>0</v>
      </c>
      <c r="K107" s="241">
        <f ca="1">+'SECCION TSP'!MO248</f>
        <v>0</v>
      </c>
      <c r="L107" s="241">
        <f ca="1">+'SECCION TSP'!MP248</f>
        <v>0</v>
      </c>
      <c r="M107" s="241">
        <f ca="1">+'SECCION TSP'!MQ248</f>
        <v>0</v>
      </c>
      <c r="N107" s="241">
        <f ca="1">+'SECCION TSP'!MR248</f>
        <v>0</v>
      </c>
      <c r="O107" s="241">
        <f ca="1">+'SECCION TSP'!MS248</f>
        <v>0</v>
      </c>
      <c r="P107" s="1456" t="s">
        <v>807</v>
      </c>
      <c r="Q107">
        <f t="shared" si="16"/>
        <v>-1196.1439</v>
      </c>
      <c r="R107" s="1461">
        <f>+A$8</f>
        <v>0</v>
      </c>
      <c r="S107">
        <f t="shared" si="14"/>
        <v>0</v>
      </c>
      <c r="T107">
        <f t="shared" si="17"/>
        <v>0</v>
      </c>
      <c r="U107" s="210">
        <f t="shared" si="18"/>
        <v>0</v>
      </c>
      <c r="V107" s="211"/>
      <c r="W107" s="1475"/>
      <c r="X107" s="1480"/>
      <c r="AC107" s="3452"/>
    </row>
    <row r="108" spans="1:29" ht="27" hidden="1" x14ac:dyDescent="0.35">
      <c r="A108" s="72">
        <f>+F108</f>
        <v>0</v>
      </c>
      <c r="B108" s="72"/>
      <c r="C108" s="3271">
        <v>5</v>
      </c>
      <c r="D108" s="3612"/>
      <c r="E108" s="3129" t="s">
        <v>813</v>
      </c>
      <c r="F108" s="523">
        <f>+'SECCION TSP'!G249</f>
        <v>0</v>
      </c>
      <c r="G108" s="241">
        <f>+'SECCION TSP'!MK249</f>
        <v>0</v>
      </c>
      <c r="H108" s="241">
        <f>+'SECCION TSP'!ML249</f>
        <v>0</v>
      </c>
      <c r="I108" s="241">
        <f>+'SECCION TSP'!MM249</f>
        <v>0</v>
      </c>
      <c r="J108" s="241">
        <f ca="1">+'SECCION TSP'!MN249</f>
        <v>0</v>
      </c>
      <c r="K108" s="241">
        <f ca="1">+'SECCION TSP'!MO249</f>
        <v>0</v>
      </c>
      <c r="L108" s="241">
        <f ca="1">+'SECCION TSP'!MP249</f>
        <v>0</v>
      </c>
      <c r="M108" s="241">
        <f ca="1">+'SECCION TSP'!MQ249</f>
        <v>0</v>
      </c>
      <c r="N108" s="241">
        <f ca="1">+'SECCION TSP'!MR249</f>
        <v>0</v>
      </c>
      <c r="O108" s="241">
        <f ca="1">+'SECCION TSP'!MS249</f>
        <v>0</v>
      </c>
      <c r="P108" s="1451" t="s">
        <v>809</v>
      </c>
      <c r="Q108">
        <f t="shared" si="16"/>
        <v>-1869.1149</v>
      </c>
      <c r="R108" s="1462">
        <f>+A$18</f>
        <v>-70.439899999999994</v>
      </c>
      <c r="S108">
        <f t="shared" si="14"/>
        <v>0</v>
      </c>
      <c r="T108">
        <f t="shared" si="17"/>
        <v>0</v>
      </c>
      <c r="U108" s="210">
        <f t="shared" si="18"/>
        <v>0</v>
      </c>
      <c r="V108" s="1467"/>
      <c r="W108" s="1476"/>
      <c r="X108" s="1480"/>
      <c r="AC108" s="3451">
        <f>+F108</f>
        <v>0</v>
      </c>
    </row>
    <row r="109" spans="1:29" ht="27" hidden="1" x14ac:dyDescent="0.35">
      <c r="C109" s="3271">
        <v>4</v>
      </c>
      <c r="D109" s="3612"/>
      <c r="E109" s="488" t="s">
        <v>49</v>
      </c>
      <c r="F109" s="523">
        <f>+'SECCION TSP'!G250</f>
        <v>0</v>
      </c>
      <c r="G109" s="241">
        <f>+'SECCION TSP'!MK250</f>
        <v>0</v>
      </c>
      <c r="H109" s="241">
        <f>+'SECCION TSP'!ML250</f>
        <v>0</v>
      </c>
      <c r="I109" s="241">
        <f>+'SECCION TSP'!MM250</f>
        <v>0</v>
      </c>
      <c r="J109" s="241">
        <f ca="1">+'SECCION TSP'!MN250</f>
        <v>0</v>
      </c>
      <c r="K109" s="241">
        <f ca="1">+'SECCION TSP'!MO250</f>
        <v>0</v>
      </c>
      <c r="L109" s="241">
        <f ca="1">+'SECCION TSP'!MP250</f>
        <v>0</v>
      </c>
      <c r="M109" s="241">
        <f ca="1">+'SECCION TSP'!MQ250</f>
        <v>0</v>
      </c>
      <c r="N109" s="241">
        <f ca="1">+'SECCION TSP'!MR250</f>
        <v>0</v>
      </c>
      <c r="O109" s="241">
        <f ca="1">+'SECCION TSP'!MS250</f>
        <v>0</v>
      </c>
      <c r="P109" s="1451" t="s">
        <v>809</v>
      </c>
      <c r="Q109">
        <f t="shared" si="16"/>
        <v>-1869.1149</v>
      </c>
      <c r="R109" s="1462">
        <f>+A$19</f>
        <v>-102.57195</v>
      </c>
      <c r="S109">
        <f t="shared" si="14"/>
        <v>0</v>
      </c>
      <c r="T109">
        <f t="shared" si="17"/>
        <v>0</v>
      </c>
      <c r="U109" s="210">
        <f t="shared" si="18"/>
        <v>0</v>
      </c>
      <c r="V109" s="211"/>
      <c r="W109" s="1475"/>
      <c r="X109" s="1480"/>
      <c r="AC109" s="3452"/>
    </row>
    <row r="110" spans="1:29" ht="27" hidden="1" x14ac:dyDescent="0.35">
      <c r="D110" s="3612"/>
      <c r="E110" s="3129" t="s">
        <v>638</v>
      </c>
      <c r="F110" s="523">
        <f>+'SECCION TSP'!G251</f>
        <v>0</v>
      </c>
      <c r="G110" s="241">
        <f>+'SECCION TSP'!MK251</f>
        <v>0</v>
      </c>
      <c r="H110" s="241">
        <f>+'SECCION TSP'!ML251</f>
        <v>0</v>
      </c>
      <c r="I110" s="241">
        <f>+'SECCION TSP'!MM251</f>
        <v>0</v>
      </c>
      <c r="J110" s="241">
        <f ca="1">+'SECCION TSP'!MN251</f>
        <v>0</v>
      </c>
      <c r="K110" s="241">
        <f ca="1">+'SECCION TSP'!MO251</f>
        <v>0</v>
      </c>
      <c r="L110" s="241">
        <f ca="1">+'SECCION TSP'!MP251</f>
        <v>0</v>
      </c>
      <c r="M110" s="241">
        <f ca="1">+'SECCION TSP'!MQ251</f>
        <v>0</v>
      </c>
      <c r="N110" s="241">
        <f ca="1">+'SECCION TSP'!MR251</f>
        <v>0</v>
      </c>
      <c r="O110" s="241">
        <f ca="1">+'SECCION TSP'!MS251</f>
        <v>0</v>
      </c>
      <c r="P110" s="1451" t="s">
        <v>809</v>
      </c>
      <c r="Q110">
        <f t="shared" si="16"/>
        <v>-1869.1149</v>
      </c>
      <c r="R110" s="1462">
        <f>+A$20</f>
        <v>0</v>
      </c>
      <c r="S110">
        <f t="shared" si="14"/>
        <v>0</v>
      </c>
      <c r="T110">
        <f t="shared" si="17"/>
        <v>0</v>
      </c>
      <c r="U110" s="210">
        <f t="shared" si="18"/>
        <v>0</v>
      </c>
      <c r="V110" s="211"/>
      <c r="W110" s="1475"/>
      <c r="X110" s="1480"/>
      <c r="AC110" s="3452"/>
    </row>
    <row r="111" spans="1:29" ht="27.75" hidden="1" thickBot="1" x14ac:dyDescent="0.4">
      <c r="A111" s="72"/>
      <c r="B111" s="72"/>
      <c r="D111" s="3612"/>
      <c r="E111" s="3129" t="s">
        <v>639</v>
      </c>
      <c r="F111" s="523">
        <f>+'SECCION TSP'!G252</f>
        <v>0</v>
      </c>
      <c r="G111" s="241">
        <f>+'SECCION TSP'!MK252</f>
        <v>0</v>
      </c>
      <c r="H111" s="241">
        <f>+'SECCION TSP'!ML252</f>
        <v>0</v>
      </c>
      <c r="I111" s="241">
        <f>+'SECCION TSP'!MM252</f>
        <v>0</v>
      </c>
      <c r="J111" s="241">
        <f ca="1">+'SECCION TSP'!MN252</f>
        <v>0</v>
      </c>
      <c r="K111" s="241">
        <f ca="1">+'SECCION TSP'!MO252</f>
        <v>0</v>
      </c>
      <c r="L111" s="241">
        <f ca="1">+'SECCION TSP'!MP252</f>
        <v>0</v>
      </c>
      <c r="M111" s="241">
        <f ca="1">+'SECCION TSP'!MQ252</f>
        <v>0</v>
      </c>
      <c r="N111" s="241">
        <f ca="1">+'SECCION TSP'!MR252</f>
        <v>0</v>
      </c>
      <c r="O111" s="241">
        <f ca="1">+'SECCION TSP'!MS252</f>
        <v>0</v>
      </c>
      <c r="P111" s="1451" t="s">
        <v>809</v>
      </c>
      <c r="Q111">
        <f t="shared" si="16"/>
        <v>-1869.1149</v>
      </c>
      <c r="R111" s="1462">
        <f>+A$21</f>
        <v>0</v>
      </c>
      <c r="S111">
        <f t="shared" si="14"/>
        <v>0</v>
      </c>
      <c r="T111">
        <f t="shared" si="17"/>
        <v>0</v>
      </c>
      <c r="U111" s="1465">
        <f t="shared" si="18"/>
        <v>0</v>
      </c>
      <c r="V111" s="1466">
        <f>SUM(U104:U111)</f>
        <v>0</v>
      </c>
      <c r="W111" s="1475">
        <f>+V111</f>
        <v>0</v>
      </c>
      <c r="X111" s="1479" t="e">
        <f>+W111/W$152</f>
        <v>#DIV/0!</v>
      </c>
      <c r="AC111" s="3452"/>
    </row>
    <row r="112" spans="1:29" ht="27" hidden="1" x14ac:dyDescent="0.35">
      <c r="A112" s="72"/>
      <c r="B112" s="72"/>
      <c r="D112" s="3608" t="s">
        <v>1219</v>
      </c>
      <c r="E112" s="3251" t="s">
        <v>46</v>
      </c>
      <c r="F112" s="523">
        <f>+'SECCION TSP'!G253</f>
        <v>0</v>
      </c>
      <c r="G112" s="241">
        <f>+'SECCION TSP'!MK253</f>
        <v>0</v>
      </c>
      <c r="H112" s="241">
        <f>+'SECCION TSP'!ML253</f>
        <v>0</v>
      </c>
      <c r="I112" s="241">
        <f>+'SECCION TSP'!MM253</f>
        <v>0</v>
      </c>
      <c r="J112" s="241">
        <f ca="1">+'SECCION TSP'!MN253</f>
        <v>0</v>
      </c>
      <c r="K112" s="241">
        <f ca="1">+'SECCION TSP'!MO253</f>
        <v>0</v>
      </c>
      <c r="L112" s="241">
        <f ca="1">+'SECCION TSP'!MP253</f>
        <v>0</v>
      </c>
      <c r="M112" s="241">
        <f ca="1">+'SECCION TSP'!MQ253</f>
        <v>0</v>
      </c>
      <c r="N112" s="241">
        <f ca="1">+'SECCION TSP'!MR253</f>
        <v>0</v>
      </c>
      <c r="O112" s="241">
        <f ca="1">+'SECCION TSP'!MS253</f>
        <v>0</v>
      </c>
      <c r="P112" s="1451"/>
      <c r="R112" s="1462"/>
      <c r="U112" s="210"/>
      <c r="V112" s="211"/>
      <c r="W112" s="1475"/>
      <c r="X112" s="1479"/>
      <c r="AC112" s="3452"/>
    </row>
    <row r="113" spans="1:29" ht="27" hidden="1" x14ac:dyDescent="0.35">
      <c r="A113" s="72"/>
      <c r="B113" s="72"/>
      <c r="C113" s="3271">
        <v>2</v>
      </c>
      <c r="D113" s="3612"/>
      <c r="E113" s="3251" t="s">
        <v>47</v>
      </c>
      <c r="F113" s="523">
        <f>+'SECCION TSP'!G254</f>
        <v>0</v>
      </c>
      <c r="G113" s="241">
        <f>+'SECCION TSP'!MK254</f>
        <v>0</v>
      </c>
      <c r="H113" s="241">
        <f>+'SECCION TSP'!ML254</f>
        <v>0</v>
      </c>
      <c r="I113" s="241">
        <f>+'SECCION TSP'!MM254</f>
        <v>0</v>
      </c>
      <c r="J113" s="241">
        <f ca="1">+'SECCION TSP'!MN254</f>
        <v>0</v>
      </c>
      <c r="K113" s="241">
        <f ca="1">+'SECCION TSP'!MO254</f>
        <v>0</v>
      </c>
      <c r="L113" s="241">
        <f ca="1">+'SECCION TSP'!MP254</f>
        <v>0</v>
      </c>
      <c r="M113" s="241">
        <f ca="1">+'SECCION TSP'!MQ254</f>
        <v>0</v>
      </c>
      <c r="N113" s="241">
        <f ca="1">+'SECCION TSP'!MR254</f>
        <v>0</v>
      </c>
      <c r="O113" s="241">
        <f ca="1">+'SECCION TSP'!MS254</f>
        <v>0</v>
      </c>
      <c r="P113" s="1451"/>
      <c r="R113" s="1462"/>
      <c r="U113" s="210"/>
      <c r="V113" s="211"/>
      <c r="W113" s="1475"/>
      <c r="X113" s="1479"/>
      <c r="Z113" s="72">
        <f>+F113</f>
        <v>0</v>
      </c>
      <c r="AC113" s="3452"/>
    </row>
    <row r="114" spans="1:29" ht="27" hidden="1" x14ac:dyDescent="0.35">
      <c r="A114" s="72"/>
      <c r="B114" s="72"/>
      <c r="D114" s="3612"/>
      <c r="E114" s="3251" t="s">
        <v>635</v>
      </c>
      <c r="F114" s="523">
        <f>+'SECCION TSP'!G255</f>
        <v>0</v>
      </c>
      <c r="G114" s="241">
        <f>+'SECCION TSP'!MK255</f>
        <v>0</v>
      </c>
      <c r="H114" s="241">
        <f>+'SECCION TSP'!ML255</f>
        <v>0</v>
      </c>
      <c r="I114" s="241">
        <f>+'SECCION TSP'!MM255</f>
        <v>0</v>
      </c>
      <c r="J114" s="241">
        <f ca="1">+'SECCION TSP'!MN255</f>
        <v>0</v>
      </c>
      <c r="K114" s="241">
        <f ca="1">+'SECCION TSP'!MO255</f>
        <v>0</v>
      </c>
      <c r="L114" s="241">
        <f ca="1">+'SECCION TSP'!MP255</f>
        <v>0</v>
      </c>
      <c r="M114" s="241">
        <f ca="1">+'SECCION TSP'!MQ255</f>
        <v>0</v>
      </c>
      <c r="N114" s="241">
        <f ca="1">+'SECCION TSP'!MR255</f>
        <v>0</v>
      </c>
      <c r="O114" s="241">
        <f ca="1">+'SECCION TSP'!MS255</f>
        <v>0</v>
      </c>
      <c r="P114" s="1451"/>
      <c r="R114" s="1462"/>
      <c r="U114" s="210"/>
      <c r="V114" s="211"/>
      <c r="W114" s="1475"/>
      <c r="X114" s="1479"/>
      <c r="AC114" s="3452"/>
    </row>
    <row r="115" spans="1:29" ht="27" hidden="1" x14ac:dyDescent="0.35">
      <c r="A115" s="72"/>
      <c r="B115" s="72"/>
      <c r="D115" s="3612"/>
      <c r="E115" s="3251" t="s">
        <v>636</v>
      </c>
      <c r="F115" s="523">
        <f>+'SECCION TSP'!G256</f>
        <v>0</v>
      </c>
      <c r="G115" s="241">
        <f>+'SECCION TSP'!MK256</f>
        <v>0</v>
      </c>
      <c r="H115" s="241">
        <f>+'SECCION TSP'!ML256</f>
        <v>0</v>
      </c>
      <c r="I115" s="241">
        <f>+'SECCION TSP'!MM256</f>
        <v>0</v>
      </c>
      <c r="J115" s="241">
        <f ca="1">+'SECCION TSP'!MN256</f>
        <v>0</v>
      </c>
      <c r="K115" s="241">
        <f ca="1">+'SECCION TSP'!MO256</f>
        <v>0</v>
      </c>
      <c r="L115" s="241">
        <f ca="1">+'SECCION TSP'!MP256</f>
        <v>0</v>
      </c>
      <c r="M115" s="241">
        <f ca="1">+'SECCION TSP'!MQ256</f>
        <v>0</v>
      </c>
      <c r="N115" s="241">
        <f ca="1">+'SECCION TSP'!MR256</f>
        <v>0</v>
      </c>
      <c r="O115" s="241">
        <f ca="1">+'SECCION TSP'!MS256</f>
        <v>0</v>
      </c>
      <c r="P115" s="1451"/>
      <c r="R115" s="1462"/>
      <c r="U115" s="210"/>
      <c r="V115" s="211"/>
      <c r="W115" s="1475"/>
      <c r="X115" s="1479"/>
      <c r="AC115" s="3452"/>
    </row>
    <row r="116" spans="1:29" ht="27" hidden="1" x14ac:dyDescent="0.35">
      <c r="A116" s="72"/>
      <c r="B116" s="72"/>
      <c r="C116" s="3271">
        <v>5</v>
      </c>
      <c r="D116" s="3612"/>
      <c r="E116" s="3129" t="s">
        <v>813</v>
      </c>
      <c r="F116" s="523">
        <f>+'SECCION TSP'!G257</f>
        <v>0</v>
      </c>
      <c r="G116" s="241">
        <f>+'SECCION TSP'!MK257</f>
        <v>0</v>
      </c>
      <c r="H116" s="241">
        <f>+'SECCION TSP'!ML257</f>
        <v>0</v>
      </c>
      <c r="I116" s="241">
        <f>+'SECCION TSP'!MM257</f>
        <v>0</v>
      </c>
      <c r="J116" s="241">
        <f ca="1">+'SECCION TSP'!MN257</f>
        <v>0</v>
      </c>
      <c r="K116" s="241">
        <f ca="1">+'SECCION TSP'!MO257</f>
        <v>0</v>
      </c>
      <c r="L116" s="241">
        <f ca="1">+'SECCION TSP'!MP257</f>
        <v>0</v>
      </c>
      <c r="M116" s="241">
        <f ca="1">+'SECCION TSP'!MQ257</f>
        <v>0</v>
      </c>
      <c r="N116" s="241">
        <f ca="1">+'SECCION TSP'!MR257</f>
        <v>0</v>
      </c>
      <c r="O116" s="241">
        <f ca="1">+'SECCION TSP'!MS257</f>
        <v>0</v>
      </c>
      <c r="P116" s="1451"/>
      <c r="R116" s="1462"/>
      <c r="U116" s="210"/>
      <c r="V116" s="211"/>
      <c r="W116" s="1475"/>
      <c r="X116" s="1479"/>
      <c r="AC116" s="3451">
        <f>+F116</f>
        <v>0</v>
      </c>
    </row>
    <row r="117" spans="1:29" ht="27" hidden="1" x14ac:dyDescent="0.35">
      <c r="A117" s="72"/>
      <c r="B117" s="72"/>
      <c r="C117" s="3271">
        <v>4</v>
      </c>
      <c r="D117" s="3612"/>
      <c r="E117" s="488" t="s">
        <v>49</v>
      </c>
      <c r="F117" s="523">
        <f>+'SECCION TSP'!G258</f>
        <v>0</v>
      </c>
      <c r="G117" s="241">
        <f>+'SECCION TSP'!MK258</f>
        <v>0</v>
      </c>
      <c r="H117" s="241">
        <f>+'SECCION TSP'!ML258</f>
        <v>0</v>
      </c>
      <c r="I117" s="241">
        <f>+'SECCION TSP'!MM258</f>
        <v>0</v>
      </c>
      <c r="J117" s="241">
        <f ca="1">+'SECCION TSP'!MN258</f>
        <v>0</v>
      </c>
      <c r="K117" s="241">
        <f ca="1">+'SECCION TSP'!MO258</f>
        <v>0</v>
      </c>
      <c r="L117" s="241">
        <f ca="1">+'SECCION TSP'!MP258</f>
        <v>0</v>
      </c>
      <c r="M117" s="241">
        <f ca="1">+'SECCION TSP'!MQ258</f>
        <v>0</v>
      </c>
      <c r="N117" s="241">
        <f ca="1">+'SECCION TSP'!MR258</f>
        <v>0</v>
      </c>
      <c r="O117" s="241">
        <f ca="1">+'SECCION TSP'!MS258</f>
        <v>0</v>
      </c>
      <c r="P117" s="1451"/>
      <c r="R117" s="1462"/>
      <c r="U117" s="210"/>
      <c r="V117" s="211"/>
      <c r="W117" s="1475"/>
      <c r="X117" s="1479"/>
      <c r="AC117" s="3452"/>
    </row>
    <row r="118" spans="1:29" ht="27" hidden="1" x14ac:dyDescent="0.35">
      <c r="A118" s="72"/>
      <c r="B118" s="72"/>
      <c r="D118" s="3612"/>
      <c r="E118" s="3129" t="s">
        <v>638</v>
      </c>
      <c r="F118" s="523">
        <f>+'SECCION TSP'!G259</f>
        <v>0</v>
      </c>
      <c r="G118" s="241">
        <f>+'SECCION TSP'!MK259</f>
        <v>0</v>
      </c>
      <c r="H118" s="241">
        <f>+'SECCION TSP'!ML259</f>
        <v>0</v>
      </c>
      <c r="I118" s="241">
        <f>+'SECCION TSP'!MM259</f>
        <v>0</v>
      </c>
      <c r="J118" s="241">
        <f ca="1">+'SECCION TSP'!MN259</f>
        <v>0</v>
      </c>
      <c r="K118" s="241">
        <f ca="1">+'SECCION TSP'!MO259</f>
        <v>0</v>
      </c>
      <c r="L118" s="241">
        <f ca="1">+'SECCION TSP'!MP259</f>
        <v>0</v>
      </c>
      <c r="M118" s="241">
        <f ca="1">+'SECCION TSP'!MQ259</f>
        <v>0</v>
      </c>
      <c r="N118" s="241">
        <f ca="1">+'SECCION TSP'!MR259</f>
        <v>0</v>
      </c>
      <c r="O118" s="241">
        <f ca="1">+'SECCION TSP'!MS259</f>
        <v>0</v>
      </c>
      <c r="P118" s="1451"/>
      <c r="R118" s="1462"/>
      <c r="U118" s="210"/>
      <c r="V118" s="211"/>
      <c r="W118" s="1475"/>
      <c r="X118" s="1479"/>
      <c r="AC118" s="3452"/>
    </row>
    <row r="119" spans="1:29" ht="27" hidden="1" x14ac:dyDescent="0.35">
      <c r="A119" s="72"/>
      <c r="B119" s="72"/>
      <c r="D119" s="3612"/>
      <c r="E119" s="3129" t="s">
        <v>639</v>
      </c>
      <c r="F119" s="523">
        <f>+'SECCION TSP'!G260</f>
        <v>0</v>
      </c>
      <c r="G119" s="241">
        <f>+'SECCION TSP'!MK260</f>
        <v>0</v>
      </c>
      <c r="H119" s="241">
        <f>+'SECCION TSP'!ML260</f>
        <v>0</v>
      </c>
      <c r="I119" s="241">
        <f>+'SECCION TSP'!MM260</f>
        <v>0</v>
      </c>
      <c r="J119" s="241">
        <f ca="1">+'SECCION TSP'!MN260</f>
        <v>0</v>
      </c>
      <c r="K119" s="241">
        <f ca="1">+'SECCION TSP'!MO260</f>
        <v>0</v>
      </c>
      <c r="L119" s="241">
        <f ca="1">+'SECCION TSP'!MP260</f>
        <v>0</v>
      </c>
      <c r="M119" s="241">
        <f ca="1">+'SECCION TSP'!MQ260</f>
        <v>0</v>
      </c>
      <c r="N119" s="241">
        <f ca="1">+'SECCION TSP'!MR260</f>
        <v>0</v>
      </c>
      <c r="O119" s="241">
        <f ca="1">+'SECCION TSP'!MS260</f>
        <v>0</v>
      </c>
      <c r="P119" s="1451"/>
      <c r="R119" s="1462"/>
      <c r="U119" s="210"/>
      <c r="V119" s="211"/>
      <c r="W119" s="1475"/>
      <c r="X119" s="1479"/>
      <c r="AC119" s="3452"/>
    </row>
    <row r="120" spans="1:29" ht="27" hidden="1" x14ac:dyDescent="0.35">
      <c r="A120" s="72"/>
      <c r="B120" s="72"/>
      <c r="D120" s="3608" t="s">
        <v>1220</v>
      </c>
      <c r="E120" s="3251" t="s">
        <v>46</v>
      </c>
      <c r="F120" s="523">
        <f>+'SECCION TSP'!G261</f>
        <v>0</v>
      </c>
      <c r="G120" s="241">
        <f>+'SECCION TSP'!MK261</f>
        <v>0</v>
      </c>
      <c r="H120" s="241">
        <f>+'SECCION TSP'!ML261</f>
        <v>0</v>
      </c>
      <c r="I120" s="241">
        <f>+'SECCION TSP'!MM261</f>
        <v>0</v>
      </c>
      <c r="J120" s="241">
        <f ca="1">+'SECCION TSP'!MN261</f>
        <v>0</v>
      </c>
      <c r="K120" s="241">
        <f ca="1">+'SECCION TSP'!MO261</f>
        <v>0</v>
      </c>
      <c r="L120" s="241">
        <f ca="1">+'SECCION TSP'!MP261</f>
        <v>0</v>
      </c>
      <c r="M120" s="241">
        <f ca="1">+'SECCION TSP'!MQ261</f>
        <v>0</v>
      </c>
      <c r="N120" s="241">
        <f ca="1">+'SECCION TSP'!MR261</f>
        <v>0</v>
      </c>
      <c r="O120" s="241">
        <f ca="1">+'SECCION TSP'!MS261</f>
        <v>0</v>
      </c>
      <c r="P120" s="1451"/>
      <c r="R120" s="1462"/>
      <c r="U120" s="210"/>
      <c r="V120" s="211"/>
      <c r="W120" s="1475"/>
      <c r="X120" s="1479"/>
      <c r="AC120" s="3452"/>
    </row>
    <row r="121" spans="1:29" ht="27" hidden="1" x14ac:dyDescent="0.35">
      <c r="A121" s="72"/>
      <c r="B121" s="72"/>
      <c r="C121" s="3271">
        <v>2</v>
      </c>
      <c r="D121" s="3612"/>
      <c r="E121" s="3251" t="s">
        <v>47</v>
      </c>
      <c r="F121" s="523">
        <f>+'SECCION TSP'!G262</f>
        <v>0</v>
      </c>
      <c r="G121" s="241">
        <f>+'SECCION TSP'!MK262</f>
        <v>0</v>
      </c>
      <c r="H121" s="241">
        <f>+'SECCION TSP'!ML262</f>
        <v>0</v>
      </c>
      <c r="I121" s="241">
        <f>+'SECCION TSP'!MM262</f>
        <v>0</v>
      </c>
      <c r="J121" s="241">
        <f ca="1">+'SECCION TSP'!MN262</f>
        <v>0</v>
      </c>
      <c r="K121" s="241">
        <f ca="1">+'SECCION TSP'!MO262</f>
        <v>0</v>
      </c>
      <c r="L121" s="241">
        <f ca="1">+'SECCION TSP'!MP262</f>
        <v>0</v>
      </c>
      <c r="M121" s="241">
        <f ca="1">+'SECCION TSP'!MQ262</f>
        <v>0</v>
      </c>
      <c r="N121" s="241">
        <f ca="1">+'SECCION TSP'!MR262</f>
        <v>0</v>
      </c>
      <c r="O121" s="241">
        <f ca="1">+'SECCION TSP'!MS262</f>
        <v>0</v>
      </c>
      <c r="P121" s="1451"/>
      <c r="R121" s="1462"/>
      <c r="U121" s="210"/>
      <c r="V121" s="211"/>
      <c r="W121" s="1475"/>
      <c r="X121" s="1479"/>
      <c r="Z121" s="72">
        <f>+F121</f>
        <v>0</v>
      </c>
      <c r="AC121" s="3452"/>
    </row>
    <row r="122" spans="1:29" ht="27" hidden="1" x14ac:dyDescent="0.35">
      <c r="A122" s="72"/>
      <c r="B122" s="72"/>
      <c r="D122" s="3612"/>
      <c r="E122" s="3251" t="s">
        <v>635</v>
      </c>
      <c r="F122" s="523">
        <f>+'SECCION TSP'!G263</f>
        <v>0</v>
      </c>
      <c r="G122" s="241">
        <f>+'SECCION TSP'!MK263</f>
        <v>0</v>
      </c>
      <c r="H122" s="241">
        <f>+'SECCION TSP'!ML263</f>
        <v>0</v>
      </c>
      <c r="I122" s="241">
        <f>+'SECCION TSP'!MM263</f>
        <v>0</v>
      </c>
      <c r="J122" s="241">
        <f ca="1">+'SECCION TSP'!MN263</f>
        <v>0</v>
      </c>
      <c r="K122" s="241">
        <f ca="1">+'SECCION TSP'!MO263</f>
        <v>0</v>
      </c>
      <c r="L122" s="241">
        <f ca="1">+'SECCION TSP'!MP263</f>
        <v>0</v>
      </c>
      <c r="M122" s="241">
        <f ca="1">+'SECCION TSP'!MQ263</f>
        <v>0</v>
      </c>
      <c r="N122" s="241">
        <f ca="1">+'SECCION TSP'!MR263</f>
        <v>0</v>
      </c>
      <c r="O122" s="241">
        <f ca="1">+'SECCION TSP'!MS263</f>
        <v>0</v>
      </c>
      <c r="P122" s="1451"/>
      <c r="R122" s="1462"/>
      <c r="U122" s="210"/>
      <c r="V122" s="211"/>
      <c r="W122" s="1475"/>
      <c r="X122" s="1479"/>
      <c r="AC122" s="3452"/>
    </row>
    <row r="123" spans="1:29" ht="27" hidden="1" x14ac:dyDescent="0.35">
      <c r="A123" s="72"/>
      <c r="B123" s="72"/>
      <c r="D123" s="3612"/>
      <c r="E123" s="3251" t="s">
        <v>636</v>
      </c>
      <c r="F123" s="523">
        <f>+'SECCION TSP'!G264</f>
        <v>0</v>
      </c>
      <c r="G123" s="241">
        <f>+'SECCION TSP'!MK264</f>
        <v>0</v>
      </c>
      <c r="H123" s="241">
        <f>+'SECCION TSP'!ML264</f>
        <v>0</v>
      </c>
      <c r="I123" s="241">
        <f>+'SECCION TSP'!MM264</f>
        <v>0</v>
      </c>
      <c r="J123" s="241">
        <f ca="1">+'SECCION TSP'!MN264</f>
        <v>0</v>
      </c>
      <c r="K123" s="241">
        <f ca="1">+'SECCION TSP'!MO264</f>
        <v>0</v>
      </c>
      <c r="L123" s="241">
        <f ca="1">+'SECCION TSP'!MP264</f>
        <v>0</v>
      </c>
      <c r="M123" s="241">
        <f ca="1">+'SECCION TSP'!MQ264</f>
        <v>0</v>
      </c>
      <c r="N123" s="241">
        <f ca="1">+'SECCION TSP'!MR264</f>
        <v>0</v>
      </c>
      <c r="O123" s="241">
        <f ca="1">+'SECCION TSP'!MS264</f>
        <v>0</v>
      </c>
      <c r="P123" s="1451"/>
      <c r="R123" s="1462"/>
      <c r="U123" s="210"/>
      <c r="V123" s="211"/>
      <c r="W123" s="1475"/>
      <c r="X123" s="1479"/>
      <c r="AC123" s="3452"/>
    </row>
    <row r="124" spans="1:29" ht="27" hidden="1" x14ac:dyDescent="0.35">
      <c r="A124" s="72"/>
      <c r="B124" s="72"/>
      <c r="C124" s="3271">
        <v>5</v>
      </c>
      <c r="D124" s="3612"/>
      <c r="E124" s="3129" t="s">
        <v>813</v>
      </c>
      <c r="F124" s="523">
        <f>+'SECCION TSP'!G265</f>
        <v>0</v>
      </c>
      <c r="G124" s="241">
        <f>+'SECCION TSP'!MK265</f>
        <v>0</v>
      </c>
      <c r="H124" s="241">
        <f>+'SECCION TSP'!ML265</f>
        <v>0</v>
      </c>
      <c r="I124" s="241">
        <f>+'SECCION TSP'!MM265</f>
        <v>0</v>
      </c>
      <c r="J124" s="241">
        <f ca="1">+'SECCION TSP'!MN265</f>
        <v>0</v>
      </c>
      <c r="K124" s="241">
        <f ca="1">+'SECCION TSP'!MO265</f>
        <v>0</v>
      </c>
      <c r="L124" s="241">
        <f ca="1">+'SECCION TSP'!MP265</f>
        <v>0</v>
      </c>
      <c r="M124" s="241">
        <f ca="1">+'SECCION TSP'!MQ265</f>
        <v>0</v>
      </c>
      <c r="N124" s="241">
        <f ca="1">+'SECCION TSP'!MR265</f>
        <v>0</v>
      </c>
      <c r="O124" s="241">
        <f ca="1">+'SECCION TSP'!MS265</f>
        <v>0</v>
      </c>
      <c r="P124" s="1451"/>
      <c r="R124" s="1462"/>
      <c r="U124" s="210"/>
      <c r="V124" s="211"/>
      <c r="W124" s="1475"/>
      <c r="X124" s="1479"/>
      <c r="AC124" s="3451">
        <f>+F124</f>
        <v>0</v>
      </c>
    </row>
    <row r="125" spans="1:29" ht="27" hidden="1" x14ac:dyDescent="0.35">
      <c r="A125" s="72"/>
      <c r="B125" s="72"/>
      <c r="C125" s="3271">
        <v>4</v>
      </c>
      <c r="D125" s="3612"/>
      <c r="E125" s="488" t="s">
        <v>49</v>
      </c>
      <c r="F125" s="523">
        <f>+'SECCION TSP'!G266</f>
        <v>0</v>
      </c>
      <c r="G125" s="241">
        <f>+'SECCION TSP'!MK266</f>
        <v>0</v>
      </c>
      <c r="H125" s="241">
        <f>+'SECCION TSP'!ML266</f>
        <v>0</v>
      </c>
      <c r="I125" s="241">
        <f>+'SECCION TSP'!MM266</f>
        <v>0</v>
      </c>
      <c r="J125" s="241">
        <f ca="1">+'SECCION TSP'!MN266</f>
        <v>0</v>
      </c>
      <c r="K125" s="241">
        <f ca="1">+'SECCION TSP'!MO266</f>
        <v>0</v>
      </c>
      <c r="L125" s="241">
        <f ca="1">+'SECCION TSP'!MP266</f>
        <v>0</v>
      </c>
      <c r="M125" s="241">
        <f ca="1">+'SECCION TSP'!MQ266</f>
        <v>0</v>
      </c>
      <c r="N125" s="241">
        <f ca="1">+'SECCION TSP'!MR266</f>
        <v>0</v>
      </c>
      <c r="O125" s="241">
        <f ca="1">+'SECCION TSP'!MS266</f>
        <v>0</v>
      </c>
      <c r="P125" s="1451"/>
      <c r="R125" s="1462"/>
      <c r="U125" s="210"/>
      <c r="V125" s="211"/>
      <c r="W125" s="1475"/>
      <c r="X125" s="1479"/>
      <c r="AC125" s="3452"/>
    </row>
    <row r="126" spans="1:29" ht="27" hidden="1" x14ac:dyDescent="0.35">
      <c r="A126" s="72"/>
      <c r="B126" s="72"/>
      <c r="D126" s="3612"/>
      <c r="E126" s="3129" t="s">
        <v>638</v>
      </c>
      <c r="F126" s="523">
        <f>+'SECCION TSP'!G267</f>
        <v>0</v>
      </c>
      <c r="G126" s="241">
        <f>+'SECCION TSP'!MK267</f>
        <v>0</v>
      </c>
      <c r="H126" s="241">
        <f>+'SECCION TSP'!ML267</f>
        <v>0</v>
      </c>
      <c r="I126" s="241">
        <f>+'SECCION TSP'!MM267</f>
        <v>0</v>
      </c>
      <c r="J126" s="241">
        <f ca="1">+'SECCION TSP'!MN267</f>
        <v>0</v>
      </c>
      <c r="K126" s="241">
        <f ca="1">+'SECCION TSP'!MO267</f>
        <v>0</v>
      </c>
      <c r="L126" s="241">
        <f ca="1">+'SECCION TSP'!MP267</f>
        <v>0</v>
      </c>
      <c r="M126" s="241">
        <f ca="1">+'SECCION TSP'!MQ267</f>
        <v>0</v>
      </c>
      <c r="N126" s="241">
        <f ca="1">+'SECCION TSP'!MR267</f>
        <v>0</v>
      </c>
      <c r="O126" s="241">
        <f ca="1">+'SECCION TSP'!MS267</f>
        <v>0</v>
      </c>
      <c r="P126" s="1451"/>
      <c r="R126" s="1462"/>
      <c r="U126" s="210"/>
      <c r="V126" s="211"/>
      <c r="W126" s="1475"/>
      <c r="X126" s="1479"/>
      <c r="AC126" s="3452"/>
    </row>
    <row r="127" spans="1:29" ht="27.75" hidden="1" thickBot="1" x14ac:dyDescent="0.4">
      <c r="A127" s="72"/>
      <c r="B127" s="72"/>
      <c r="D127" s="3612"/>
      <c r="E127" s="3129" t="s">
        <v>639</v>
      </c>
      <c r="F127" s="523">
        <f>+'SECCION TSP'!G268</f>
        <v>0</v>
      </c>
      <c r="G127" s="241">
        <f>+'SECCION TSP'!MK268</f>
        <v>0</v>
      </c>
      <c r="H127" s="241">
        <f>+'SECCION TSP'!ML268</f>
        <v>0</v>
      </c>
      <c r="I127" s="241">
        <f>+'SECCION TSP'!MM268</f>
        <v>0</v>
      </c>
      <c r="J127" s="241">
        <f ca="1">+'SECCION TSP'!MN268</f>
        <v>0</v>
      </c>
      <c r="K127" s="241">
        <f ca="1">+'SECCION TSP'!MO268</f>
        <v>0</v>
      </c>
      <c r="L127" s="241">
        <f ca="1">+'SECCION TSP'!MP268</f>
        <v>0</v>
      </c>
      <c r="M127" s="241">
        <f ca="1">+'SECCION TSP'!MQ268</f>
        <v>0</v>
      </c>
      <c r="N127" s="241">
        <f ca="1">+'SECCION TSP'!MR268</f>
        <v>0</v>
      </c>
      <c r="O127" s="241">
        <f ca="1">+'SECCION TSP'!MS268</f>
        <v>0</v>
      </c>
      <c r="P127" s="1451"/>
      <c r="R127" s="1462"/>
      <c r="U127" s="210"/>
      <c r="V127" s="211"/>
      <c r="W127" s="1475"/>
      <c r="X127" s="1479"/>
      <c r="AC127" s="3452"/>
    </row>
    <row r="128" spans="1:29" ht="27" hidden="1" x14ac:dyDescent="0.35">
      <c r="A128" s="72">
        <f>+F128</f>
        <v>0</v>
      </c>
      <c r="B128" s="72"/>
      <c r="C128" s="3444"/>
      <c r="D128" s="3608" t="s">
        <v>1221</v>
      </c>
      <c r="E128" s="3251" t="s">
        <v>46</v>
      </c>
      <c r="F128" s="1460">
        <f>+'SECCION TSP'!G269</f>
        <v>0</v>
      </c>
      <c r="G128" s="241">
        <f>+'SECCION TSP'!MK269</f>
        <v>0</v>
      </c>
      <c r="H128" s="241">
        <f>+'SECCION TSP'!ML269</f>
        <v>0</v>
      </c>
      <c r="I128" s="241">
        <f>+'SECCION TSP'!MM269</f>
        <v>0</v>
      </c>
      <c r="J128" s="241">
        <f ca="1">+'SECCION TSP'!MN269</f>
        <v>0</v>
      </c>
      <c r="K128" s="241">
        <f ca="1">+'SECCION TSP'!MO269</f>
        <v>0</v>
      </c>
      <c r="L128" s="241">
        <f ca="1">+'SECCION TSP'!MP269</f>
        <v>0</v>
      </c>
      <c r="M128" s="241">
        <f ca="1">+'SECCION TSP'!MQ269</f>
        <v>0</v>
      </c>
      <c r="N128" s="241">
        <f ca="1">+'SECCION TSP'!MR269</f>
        <v>0</v>
      </c>
      <c r="O128" s="241">
        <f ca="1">+'SECCION TSP'!MS269</f>
        <v>0</v>
      </c>
      <c r="P128" s="1456" t="s">
        <v>807</v>
      </c>
      <c r="Q128">
        <f t="shared" si="16"/>
        <v>-1196.1439</v>
      </c>
      <c r="R128" s="1461">
        <f>+A$5</f>
        <v>-44.86459</v>
      </c>
      <c r="S128">
        <f t="shared" si="14"/>
        <v>0</v>
      </c>
      <c r="T128">
        <f t="shared" si="17"/>
        <v>0</v>
      </c>
      <c r="U128" s="1463">
        <f t="shared" si="18"/>
        <v>0</v>
      </c>
      <c r="V128" s="1464"/>
      <c r="W128" s="1477"/>
      <c r="X128" s="1480"/>
      <c r="AC128" s="3452"/>
    </row>
    <row r="129" spans="1:29" ht="27" hidden="1" x14ac:dyDescent="0.35">
      <c r="C129" s="3444">
        <v>2</v>
      </c>
      <c r="D129" s="3612"/>
      <c r="E129" s="3251" t="s">
        <v>47</v>
      </c>
      <c r="F129" s="1460">
        <f>+'SECCION TSP'!G270</f>
        <v>0</v>
      </c>
      <c r="G129" s="241">
        <f>+'SECCION TSP'!MK270</f>
        <v>0</v>
      </c>
      <c r="H129" s="241">
        <f>+'SECCION TSP'!ML270</f>
        <v>0</v>
      </c>
      <c r="I129" s="241">
        <f>+'SECCION TSP'!MM270</f>
        <v>0</v>
      </c>
      <c r="J129" s="241">
        <f ca="1">+'SECCION TSP'!MN270</f>
        <v>0</v>
      </c>
      <c r="K129" s="241">
        <f ca="1">+'SECCION TSP'!MO270</f>
        <v>0</v>
      </c>
      <c r="L129" s="241">
        <f ca="1">+'SECCION TSP'!MP270</f>
        <v>0</v>
      </c>
      <c r="M129" s="241">
        <f ca="1">+'SECCION TSP'!MQ270</f>
        <v>0</v>
      </c>
      <c r="N129" s="241">
        <f ca="1">+'SECCION TSP'!MR270</f>
        <v>0</v>
      </c>
      <c r="O129" s="241">
        <f ca="1">+'SECCION TSP'!MS270</f>
        <v>0</v>
      </c>
      <c r="P129" s="1456" t="s">
        <v>807</v>
      </c>
      <c r="Q129">
        <f t="shared" si="16"/>
        <v>-1196.1439</v>
      </c>
      <c r="R129" s="1461">
        <f>+A$6</f>
        <v>-76.996639999999999</v>
      </c>
      <c r="S129">
        <f t="shared" si="14"/>
        <v>0</v>
      </c>
      <c r="T129">
        <f t="shared" si="17"/>
        <v>0</v>
      </c>
      <c r="U129" s="210">
        <f t="shared" si="18"/>
        <v>0</v>
      </c>
      <c r="V129" s="211"/>
      <c r="W129" s="1477"/>
      <c r="X129" s="1480"/>
      <c r="Z129" s="72">
        <f>+F129</f>
        <v>0</v>
      </c>
      <c r="AC129" s="3452"/>
    </row>
    <row r="130" spans="1:29" ht="27" hidden="1" x14ac:dyDescent="0.35">
      <c r="C130" s="3444"/>
      <c r="D130" s="3612"/>
      <c r="E130" s="3251" t="s">
        <v>635</v>
      </c>
      <c r="F130" s="1460">
        <f>+'SECCION TSP'!G271</f>
        <v>0</v>
      </c>
      <c r="G130" s="241">
        <f>+'SECCION TSP'!MK271</f>
        <v>0</v>
      </c>
      <c r="H130" s="241">
        <f>+'SECCION TSP'!ML271</f>
        <v>0</v>
      </c>
      <c r="I130" s="241">
        <f>+'SECCION TSP'!MM271</f>
        <v>0</v>
      </c>
      <c r="J130" s="241">
        <f ca="1">+'SECCION TSP'!MN271</f>
        <v>0</v>
      </c>
      <c r="K130" s="241">
        <f ca="1">+'SECCION TSP'!MO271</f>
        <v>0</v>
      </c>
      <c r="L130" s="241">
        <f ca="1">+'SECCION TSP'!MP271</f>
        <v>0</v>
      </c>
      <c r="M130" s="241">
        <f ca="1">+'SECCION TSP'!MQ271</f>
        <v>0</v>
      </c>
      <c r="N130" s="241">
        <f ca="1">+'SECCION TSP'!MR271</f>
        <v>0</v>
      </c>
      <c r="O130" s="241">
        <f ca="1">+'SECCION TSP'!MS271</f>
        <v>0</v>
      </c>
      <c r="P130" s="1456" t="s">
        <v>807</v>
      </c>
      <c r="Q130">
        <f t="shared" si="16"/>
        <v>-1196.1439</v>
      </c>
      <c r="R130" s="1461">
        <f>+A$7</f>
        <v>0</v>
      </c>
      <c r="S130">
        <f t="shared" si="14"/>
        <v>0</v>
      </c>
      <c r="T130">
        <f t="shared" si="17"/>
        <v>0</v>
      </c>
      <c r="U130" s="210">
        <f t="shared" si="18"/>
        <v>0</v>
      </c>
      <c r="V130" s="211"/>
      <c r="W130" s="1477"/>
      <c r="X130" s="1480"/>
      <c r="AC130" s="3452"/>
    </row>
    <row r="131" spans="1:29" ht="27" hidden="1" x14ac:dyDescent="0.35">
      <c r="A131" s="72"/>
      <c r="B131" s="72"/>
      <c r="C131" s="3444"/>
      <c r="D131" s="3612"/>
      <c r="E131" s="3251" t="s">
        <v>636</v>
      </c>
      <c r="F131" s="1460">
        <f>+'SECCION TSP'!G272</f>
        <v>0</v>
      </c>
      <c r="G131" s="241">
        <f>+'SECCION TSP'!MK272</f>
        <v>0</v>
      </c>
      <c r="H131" s="241">
        <f>+'SECCION TSP'!ML272</f>
        <v>0</v>
      </c>
      <c r="I131" s="241">
        <f>+'SECCION TSP'!MM272</f>
        <v>0</v>
      </c>
      <c r="J131" s="241">
        <f ca="1">+'SECCION TSP'!MN272</f>
        <v>0</v>
      </c>
      <c r="K131" s="241">
        <f ca="1">+'SECCION TSP'!MO272</f>
        <v>0</v>
      </c>
      <c r="L131" s="241">
        <f ca="1">+'SECCION TSP'!MP272</f>
        <v>0</v>
      </c>
      <c r="M131" s="241">
        <f ca="1">+'SECCION TSP'!MQ272</f>
        <v>0</v>
      </c>
      <c r="N131" s="241">
        <f ca="1">+'SECCION TSP'!MR272</f>
        <v>0</v>
      </c>
      <c r="O131" s="241">
        <f ca="1">+'SECCION TSP'!MS272</f>
        <v>0</v>
      </c>
      <c r="P131" s="1456" t="s">
        <v>807</v>
      </c>
      <c r="Q131">
        <f t="shared" si="16"/>
        <v>-1196.1439</v>
      </c>
      <c r="R131" s="1461">
        <f>+A$8</f>
        <v>0</v>
      </c>
      <c r="S131">
        <f t="shared" si="14"/>
        <v>0</v>
      </c>
      <c r="T131">
        <f t="shared" si="17"/>
        <v>0</v>
      </c>
      <c r="U131" s="210">
        <f t="shared" si="18"/>
        <v>0</v>
      </c>
      <c r="V131" s="211"/>
      <c r="W131" s="1477"/>
      <c r="X131" s="1480"/>
      <c r="AC131" s="3452"/>
    </row>
    <row r="132" spans="1:29" ht="27" hidden="1" x14ac:dyDescent="0.35">
      <c r="A132" s="72">
        <f>+F132</f>
        <v>0</v>
      </c>
      <c r="B132" s="72"/>
      <c r="C132" s="3271">
        <v>5</v>
      </c>
      <c r="D132" s="3612"/>
      <c r="E132" s="3129" t="s">
        <v>813</v>
      </c>
      <c r="F132" s="524">
        <f>+'SECCION TSP'!G273</f>
        <v>0</v>
      </c>
      <c r="G132" s="241">
        <f>+'SECCION TSP'!MK273</f>
        <v>0</v>
      </c>
      <c r="H132" s="241">
        <f>+'SECCION TSP'!ML273</f>
        <v>0</v>
      </c>
      <c r="I132" s="241">
        <f>+'SECCION TSP'!MM273</f>
        <v>0</v>
      </c>
      <c r="J132" s="241">
        <f ca="1">+'SECCION TSP'!MN273</f>
        <v>0</v>
      </c>
      <c r="K132" s="241">
        <f ca="1">+'SECCION TSP'!MO273</f>
        <v>0</v>
      </c>
      <c r="L132" s="241">
        <f ca="1">+'SECCION TSP'!MP273</f>
        <v>0</v>
      </c>
      <c r="M132" s="241">
        <f ca="1">+'SECCION TSP'!MQ273</f>
        <v>0</v>
      </c>
      <c r="N132" s="241">
        <f ca="1">+'SECCION TSP'!MR273</f>
        <v>0</v>
      </c>
      <c r="O132" s="241">
        <f ca="1">+'SECCION TSP'!MS273</f>
        <v>0</v>
      </c>
      <c r="P132" s="1452" t="s">
        <v>809</v>
      </c>
      <c r="Q132">
        <f t="shared" si="16"/>
        <v>-1869.1149</v>
      </c>
      <c r="R132" s="1462">
        <f>+A$18</f>
        <v>-70.439899999999994</v>
      </c>
      <c r="S132">
        <f t="shared" si="14"/>
        <v>0</v>
      </c>
      <c r="T132">
        <f t="shared" si="17"/>
        <v>0</v>
      </c>
      <c r="U132" s="210">
        <f t="shared" si="18"/>
        <v>0</v>
      </c>
      <c r="V132" s="1467"/>
      <c r="W132" s="1478"/>
      <c r="X132" s="1480"/>
      <c r="Z132" s="72"/>
      <c r="AC132" s="3451">
        <f>+F132</f>
        <v>0</v>
      </c>
    </row>
    <row r="133" spans="1:29" ht="27" hidden="1" x14ac:dyDescent="0.35">
      <c r="C133" s="3271">
        <v>4</v>
      </c>
      <c r="D133" s="3612"/>
      <c r="E133" s="488" t="s">
        <v>49</v>
      </c>
      <c r="F133" s="524">
        <f>+'SECCION TSP'!G274</f>
        <v>0</v>
      </c>
      <c r="G133" s="241">
        <f>+'SECCION TSP'!MK274</f>
        <v>0</v>
      </c>
      <c r="H133" s="241">
        <f>+'SECCION TSP'!ML274</f>
        <v>0</v>
      </c>
      <c r="I133" s="241">
        <f>+'SECCION TSP'!MM274</f>
        <v>0</v>
      </c>
      <c r="J133" s="241">
        <f ca="1">+'SECCION TSP'!MN274</f>
        <v>0</v>
      </c>
      <c r="K133" s="241">
        <f ca="1">+'SECCION TSP'!MO274</f>
        <v>0</v>
      </c>
      <c r="L133" s="241">
        <f ca="1">+'SECCION TSP'!MP274</f>
        <v>0</v>
      </c>
      <c r="M133" s="241">
        <f ca="1">+'SECCION TSP'!MQ274</f>
        <v>0</v>
      </c>
      <c r="N133" s="241">
        <f ca="1">+'SECCION TSP'!MR274</f>
        <v>0</v>
      </c>
      <c r="O133" s="241">
        <f ca="1">+'SECCION TSP'!MS274</f>
        <v>0</v>
      </c>
      <c r="P133" s="1452" t="s">
        <v>809</v>
      </c>
      <c r="Q133">
        <f t="shared" si="16"/>
        <v>-1869.1149</v>
      </c>
      <c r="R133" s="1462">
        <f>+A$19</f>
        <v>-102.57195</v>
      </c>
      <c r="S133">
        <f t="shared" si="14"/>
        <v>0</v>
      </c>
      <c r="T133">
        <f t="shared" si="17"/>
        <v>0</v>
      </c>
      <c r="U133" s="210">
        <f t="shared" si="18"/>
        <v>0</v>
      </c>
      <c r="V133" s="211"/>
      <c r="W133" s="1477"/>
      <c r="X133" s="1480"/>
      <c r="AC133" s="3452"/>
    </row>
    <row r="134" spans="1:29" ht="27" hidden="1" x14ac:dyDescent="0.35">
      <c r="C134" s="3444"/>
      <c r="D134" s="3612"/>
      <c r="E134" s="3129" t="s">
        <v>638</v>
      </c>
      <c r="F134" s="524">
        <f>+'SECCION TSP'!G275</f>
        <v>0</v>
      </c>
      <c r="G134" s="241">
        <f>+'SECCION TSP'!MK275</f>
        <v>0</v>
      </c>
      <c r="H134" s="241">
        <f>+'SECCION TSP'!ML275</f>
        <v>0</v>
      </c>
      <c r="I134" s="241">
        <f>+'SECCION TSP'!MM275</f>
        <v>0</v>
      </c>
      <c r="J134" s="241">
        <f ca="1">+'SECCION TSP'!MN275</f>
        <v>0</v>
      </c>
      <c r="K134" s="241">
        <f ca="1">+'SECCION TSP'!MO275</f>
        <v>0</v>
      </c>
      <c r="L134" s="241">
        <f ca="1">+'SECCION TSP'!MP275</f>
        <v>0</v>
      </c>
      <c r="M134" s="241">
        <f ca="1">+'SECCION TSP'!MQ275</f>
        <v>0</v>
      </c>
      <c r="N134" s="241">
        <f ca="1">+'SECCION TSP'!MR275</f>
        <v>0</v>
      </c>
      <c r="O134" s="241">
        <f ca="1">+'SECCION TSP'!MS275</f>
        <v>0</v>
      </c>
      <c r="P134" s="1452" t="s">
        <v>809</v>
      </c>
      <c r="Q134">
        <f t="shared" si="16"/>
        <v>-1869.1149</v>
      </c>
      <c r="R134" s="1462">
        <f>+A$20</f>
        <v>0</v>
      </c>
      <c r="S134">
        <f t="shared" si="14"/>
        <v>0</v>
      </c>
      <c r="T134">
        <f t="shared" si="17"/>
        <v>0</v>
      </c>
      <c r="U134" s="210">
        <f t="shared" si="18"/>
        <v>0</v>
      </c>
      <c r="V134" s="211"/>
      <c r="W134" s="1477"/>
      <c r="X134" s="1480"/>
      <c r="AC134" s="3452"/>
    </row>
    <row r="135" spans="1:29" ht="27.75" hidden="1" thickBot="1" x14ac:dyDescent="0.4">
      <c r="A135" s="72"/>
      <c r="B135" s="72"/>
      <c r="C135" s="3444"/>
      <c r="D135" s="3612"/>
      <c r="E135" s="3129" t="s">
        <v>639</v>
      </c>
      <c r="F135" s="524">
        <f>+'SECCION TSP'!G276</f>
        <v>0</v>
      </c>
      <c r="G135" s="241">
        <f>+'SECCION TSP'!MK276</f>
        <v>0</v>
      </c>
      <c r="H135" s="241">
        <f>+'SECCION TSP'!ML276</f>
        <v>0</v>
      </c>
      <c r="I135" s="241">
        <f>+'SECCION TSP'!MM276</f>
        <v>0</v>
      </c>
      <c r="J135" s="241">
        <f ca="1">+'SECCION TSP'!MN276</f>
        <v>0</v>
      </c>
      <c r="K135" s="241">
        <f ca="1">+'SECCION TSP'!MO276</f>
        <v>0</v>
      </c>
      <c r="L135" s="241">
        <f ca="1">+'SECCION TSP'!MP276</f>
        <v>0</v>
      </c>
      <c r="M135" s="241">
        <f ca="1">+'SECCION TSP'!MQ276</f>
        <v>0</v>
      </c>
      <c r="N135" s="241">
        <f ca="1">+'SECCION TSP'!MR276</f>
        <v>0</v>
      </c>
      <c r="O135" s="241">
        <f ca="1">+'SECCION TSP'!MS276</f>
        <v>0</v>
      </c>
      <c r="P135" s="1452" t="s">
        <v>809</v>
      </c>
      <c r="Q135">
        <f t="shared" si="16"/>
        <v>-1869.1149</v>
      </c>
      <c r="R135" s="1462">
        <f>+A$21</f>
        <v>0</v>
      </c>
      <c r="S135">
        <f t="shared" si="14"/>
        <v>0</v>
      </c>
      <c r="T135">
        <f t="shared" si="17"/>
        <v>0</v>
      </c>
      <c r="U135" s="1465">
        <f t="shared" si="18"/>
        <v>0</v>
      </c>
      <c r="V135" s="1466">
        <f>SUM(U128:U135)</f>
        <v>0</v>
      </c>
      <c r="W135" s="1477">
        <f>+V135</f>
        <v>0</v>
      </c>
      <c r="X135" s="1479" t="e">
        <f>+W135/W$152</f>
        <v>#DIV/0!</v>
      </c>
      <c r="AC135" s="3452"/>
    </row>
    <row r="136" spans="1:29" ht="27" hidden="1" x14ac:dyDescent="0.35">
      <c r="A136" s="72"/>
      <c r="B136" s="72"/>
      <c r="C136" s="3444"/>
      <c r="D136" s="3608" t="s">
        <v>1222</v>
      </c>
      <c r="E136" s="3251" t="s">
        <v>46</v>
      </c>
      <c r="F136" s="524">
        <f>+'SECCION TSP'!G277</f>
        <v>0</v>
      </c>
      <c r="G136" s="241">
        <f>+'SECCION TSP'!MK277</f>
        <v>0</v>
      </c>
      <c r="H136" s="241">
        <f>+'SECCION TSP'!ML277</f>
        <v>0</v>
      </c>
      <c r="I136" s="241">
        <f>+'SECCION TSP'!MM277</f>
        <v>0</v>
      </c>
      <c r="J136" s="241">
        <f ca="1">+'SECCION TSP'!MN277</f>
        <v>0</v>
      </c>
      <c r="K136" s="241">
        <f ca="1">+'SECCION TSP'!MO277</f>
        <v>0</v>
      </c>
      <c r="L136" s="241">
        <f ca="1">+'SECCION TSP'!MP277</f>
        <v>0</v>
      </c>
      <c r="M136" s="241">
        <f ca="1">+'SECCION TSP'!MQ277</f>
        <v>0</v>
      </c>
      <c r="N136" s="241">
        <f ca="1">+'SECCION TSP'!MR277</f>
        <v>0</v>
      </c>
      <c r="O136" s="241">
        <f ca="1">+'SECCION TSP'!MS277</f>
        <v>0</v>
      </c>
      <c r="P136" s="1452"/>
      <c r="R136" s="1462"/>
      <c r="W136" s="1477"/>
      <c r="X136" s="1479"/>
      <c r="AC136" s="3452"/>
    </row>
    <row r="137" spans="1:29" ht="27" hidden="1" x14ac:dyDescent="0.35">
      <c r="A137" s="72"/>
      <c r="B137" s="72"/>
      <c r="C137" s="3444">
        <v>2</v>
      </c>
      <c r="D137" s="3612"/>
      <c r="E137" s="3251" t="s">
        <v>47</v>
      </c>
      <c r="F137" s="524">
        <f>+'SECCION TSP'!G278</f>
        <v>0</v>
      </c>
      <c r="G137" s="241">
        <f>+'SECCION TSP'!MK278</f>
        <v>0</v>
      </c>
      <c r="H137" s="241">
        <f>+'SECCION TSP'!ML278</f>
        <v>0</v>
      </c>
      <c r="I137" s="241">
        <f>+'SECCION TSP'!MM278</f>
        <v>0</v>
      </c>
      <c r="J137" s="241">
        <f ca="1">+'SECCION TSP'!MN278</f>
        <v>0</v>
      </c>
      <c r="K137" s="241">
        <f ca="1">+'SECCION TSP'!MO278</f>
        <v>0</v>
      </c>
      <c r="L137" s="241">
        <f ca="1">+'SECCION TSP'!MP278</f>
        <v>0</v>
      </c>
      <c r="M137" s="241">
        <f ca="1">+'SECCION TSP'!MQ278</f>
        <v>0</v>
      </c>
      <c r="N137" s="241">
        <f ca="1">+'SECCION TSP'!MR278</f>
        <v>0</v>
      </c>
      <c r="O137" s="241">
        <f ca="1">+'SECCION TSP'!MS278</f>
        <v>0</v>
      </c>
      <c r="P137" s="1452"/>
      <c r="R137" s="1462"/>
      <c r="W137" s="1477"/>
      <c r="X137" s="1479"/>
      <c r="Z137" s="72">
        <f>+F137</f>
        <v>0</v>
      </c>
      <c r="AC137" s="3452"/>
    </row>
    <row r="138" spans="1:29" ht="27" hidden="1" x14ac:dyDescent="0.35">
      <c r="A138" s="72"/>
      <c r="B138" s="72"/>
      <c r="C138" s="3444"/>
      <c r="D138" s="3612"/>
      <c r="E138" s="3251" t="s">
        <v>635</v>
      </c>
      <c r="F138" s="524">
        <f>+'SECCION TSP'!G279</f>
        <v>0</v>
      </c>
      <c r="G138" s="241">
        <f>+'SECCION TSP'!MK279</f>
        <v>0</v>
      </c>
      <c r="H138" s="241">
        <f>+'SECCION TSP'!ML279</f>
        <v>0</v>
      </c>
      <c r="I138" s="241">
        <f>+'SECCION TSP'!MM279</f>
        <v>0</v>
      </c>
      <c r="J138" s="241">
        <f ca="1">+'SECCION TSP'!MN279</f>
        <v>0</v>
      </c>
      <c r="K138" s="241">
        <f ca="1">+'SECCION TSP'!MO279</f>
        <v>0</v>
      </c>
      <c r="L138" s="241">
        <f ca="1">+'SECCION TSP'!MP279</f>
        <v>0</v>
      </c>
      <c r="M138" s="241">
        <f ca="1">+'SECCION TSP'!MQ279</f>
        <v>0</v>
      </c>
      <c r="N138" s="241">
        <f ca="1">+'SECCION TSP'!MR279</f>
        <v>0</v>
      </c>
      <c r="O138" s="241">
        <f ca="1">+'SECCION TSP'!MS279</f>
        <v>0</v>
      </c>
      <c r="P138" s="1452"/>
      <c r="R138" s="1462"/>
      <c r="W138" s="1477"/>
      <c r="X138" s="1479"/>
      <c r="AC138" s="3452"/>
    </row>
    <row r="139" spans="1:29" ht="27" hidden="1" x14ac:dyDescent="0.35">
      <c r="A139" s="72"/>
      <c r="B139" s="72"/>
      <c r="C139" s="3444"/>
      <c r="D139" s="3612"/>
      <c r="E139" s="3251" t="s">
        <v>636</v>
      </c>
      <c r="F139" s="524">
        <f>+'SECCION TSP'!G280</f>
        <v>0</v>
      </c>
      <c r="G139" s="241">
        <f>+'SECCION TSP'!MK280</f>
        <v>0</v>
      </c>
      <c r="H139" s="241">
        <f>+'SECCION TSP'!ML280</f>
        <v>0</v>
      </c>
      <c r="I139" s="241">
        <f>+'SECCION TSP'!MM280</f>
        <v>0</v>
      </c>
      <c r="J139" s="241">
        <f ca="1">+'SECCION TSP'!MN280</f>
        <v>0</v>
      </c>
      <c r="K139" s="241">
        <f ca="1">+'SECCION TSP'!MO280</f>
        <v>0</v>
      </c>
      <c r="L139" s="241">
        <f ca="1">+'SECCION TSP'!MP280</f>
        <v>0</v>
      </c>
      <c r="M139" s="241">
        <f ca="1">+'SECCION TSP'!MQ280</f>
        <v>0</v>
      </c>
      <c r="N139" s="241">
        <f ca="1">+'SECCION TSP'!MR280</f>
        <v>0</v>
      </c>
      <c r="O139" s="241">
        <f ca="1">+'SECCION TSP'!MS280</f>
        <v>0</v>
      </c>
      <c r="P139" s="1452"/>
      <c r="R139" s="1462"/>
      <c r="W139" s="1477"/>
      <c r="X139" s="1479"/>
      <c r="AC139" s="3452"/>
    </row>
    <row r="140" spans="1:29" ht="27" hidden="1" x14ac:dyDescent="0.35">
      <c r="A140" s="72"/>
      <c r="B140" s="72"/>
      <c r="C140" s="3271">
        <v>5</v>
      </c>
      <c r="D140" s="3612"/>
      <c r="E140" s="3129" t="s">
        <v>813</v>
      </c>
      <c r="F140" s="524">
        <f>+'SECCION TSP'!G281</f>
        <v>0</v>
      </c>
      <c r="G140" s="241">
        <f>+'SECCION TSP'!MK281</f>
        <v>0</v>
      </c>
      <c r="H140" s="241">
        <f>+'SECCION TSP'!ML281</f>
        <v>0</v>
      </c>
      <c r="I140" s="241">
        <f>+'SECCION TSP'!MM281</f>
        <v>0</v>
      </c>
      <c r="J140" s="241">
        <f ca="1">+'SECCION TSP'!MN281</f>
        <v>0</v>
      </c>
      <c r="K140" s="241">
        <f ca="1">+'SECCION TSP'!MO281</f>
        <v>0</v>
      </c>
      <c r="L140" s="241">
        <f ca="1">+'SECCION TSP'!MP281</f>
        <v>0</v>
      </c>
      <c r="M140" s="241">
        <f ca="1">+'SECCION TSP'!MQ281</f>
        <v>0</v>
      </c>
      <c r="N140" s="241">
        <f ca="1">+'SECCION TSP'!MR281</f>
        <v>0</v>
      </c>
      <c r="O140" s="241">
        <f ca="1">+'SECCION TSP'!MS281</f>
        <v>0</v>
      </c>
      <c r="P140" s="1452"/>
      <c r="R140" s="1462"/>
      <c r="W140" s="1477"/>
      <c r="X140" s="1479"/>
      <c r="AC140" s="3451">
        <f>+F140</f>
        <v>0</v>
      </c>
    </row>
    <row r="141" spans="1:29" ht="27" hidden="1" x14ac:dyDescent="0.35">
      <c r="A141" s="72"/>
      <c r="B141" s="72"/>
      <c r="C141" s="3271">
        <v>4</v>
      </c>
      <c r="D141" s="3612"/>
      <c r="E141" s="488" t="s">
        <v>49</v>
      </c>
      <c r="F141" s="524">
        <f>+'SECCION TSP'!G282</f>
        <v>0</v>
      </c>
      <c r="G141" s="241">
        <f>+'SECCION TSP'!MK282</f>
        <v>0</v>
      </c>
      <c r="H141" s="241">
        <f>+'SECCION TSP'!ML282</f>
        <v>0</v>
      </c>
      <c r="I141" s="241">
        <f>+'SECCION TSP'!MM282</f>
        <v>0</v>
      </c>
      <c r="J141" s="241">
        <f ca="1">+'SECCION TSP'!MN282</f>
        <v>0</v>
      </c>
      <c r="K141" s="241">
        <f ca="1">+'SECCION TSP'!MO282</f>
        <v>0</v>
      </c>
      <c r="L141" s="241">
        <f ca="1">+'SECCION TSP'!MP282</f>
        <v>0</v>
      </c>
      <c r="M141" s="241">
        <f ca="1">+'SECCION TSP'!MQ282</f>
        <v>0</v>
      </c>
      <c r="N141" s="241">
        <f ca="1">+'SECCION TSP'!MR282</f>
        <v>0</v>
      </c>
      <c r="O141" s="241">
        <f ca="1">+'SECCION TSP'!MS282</f>
        <v>0</v>
      </c>
      <c r="P141" s="1452"/>
      <c r="R141" s="1462"/>
      <c r="W141" s="1477"/>
      <c r="X141" s="1479"/>
      <c r="AC141" s="3452"/>
    </row>
    <row r="142" spans="1:29" ht="27" hidden="1" x14ac:dyDescent="0.35">
      <c r="A142" s="72"/>
      <c r="B142" s="72"/>
      <c r="C142" s="3444"/>
      <c r="D142" s="3612"/>
      <c r="E142" s="3129" t="s">
        <v>638</v>
      </c>
      <c r="F142" s="524">
        <f>+'SECCION TSP'!G283</f>
        <v>0</v>
      </c>
      <c r="G142" s="241">
        <f>+'SECCION TSP'!MK283</f>
        <v>0</v>
      </c>
      <c r="H142" s="241">
        <f>+'SECCION TSP'!ML283</f>
        <v>0</v>
      </c>
      <c r="I142" s="241">
        <f>+'SECCION TSP'!MM283</f>
        <v>0</v>
      </c>
      <c r="J142" s="241">
        <f ca="1">+'SECCION TSP'!MN283</f>
        <v>0</v>
      </c>
      <c r="K142" s="241">
        <f ca="1">+'SECCION TSP'!MO283</f>
        <v>0</v>
      </c>
      <c r="L142" s="241">
        <f ca="1">+'SECCION TSP'!MP283</f>
        <v>0</v>
      </c>
      <c r="M142" s="241">
        <f ca="1">+'SECCION TSP'!MQ283</f>
        <v>0</v>
      </c>
      <c r="N142" s="241">
        <f ca="1">+'SECCION TSP'!MR283</f>
        <v>0</v>
      </c>
      <c r="O142" s="241">
        <f ca="1">+'SECCION TSP'!MS283</f>
        <v>0</v>
      </c>
      <c r="P142" s="1452"/>
      <c r="R142" s="1462"/>
      <c r="W142" s="1477"/>
      <c r="X142" s="1479"/>
      <c r="AC142" s="3452"/>
    </row>
    <row r="143" spans="1:29" ht="27" hidden="1" x14ac:dyDescent="0.35">
      <c r="A143" s="72"/>
      <c r="B143" s="72"/>
      <c r="C143" s="3444"/>
      <c r="D143" s="3612"/>
      <c r="E143" s="3129" t="s">
        <v>639</v>
      </c>
      <c r="F143" s="524">
        <f>+'SECCION TSP'!G284</f>
        <v>0</v>
      </c>
      <c r="G143" s="241">
        <f>+'SECCION TSP'!MK284</f>
        <v>0</v>
      </c>
      <c r="H143" s="241">
        <f>+'SECCION TSP'!ML284</f>
        <v>0</v>
      </c>
      <c r="I143" s="241">
        <f>+'SECCION TSP'!MM284</f>
        <v>0</v>
      </c>
      <c r="J143" s="241">
        <f ca="1">+'SECCION TSP'!MN284</f>
        <v>0</v>
      </c>
      <c r="K143" s="241">
        <f ca="1">+'SECCION TSP'!MO284</f>
        <v>0</v>
      </c>
      <c r="L143" s="241">
        <f ca="1">+'SECCION TSP'!MP284</f>
        <v>0</v>
      </c>
      <c r="M143" s="241">
        <f ca="1">+'SECCION TSP'!MQ284</f>
        <v>0</v>
      </c>
      <c r="N143" s="241">
        <f ca="1">+'SECCION TSP'!MR284</f>
        <v>0</v>
      </c>
      <c r="O143" s="241">
        <f ca="1">+'SECCION TSP'!MS284</f>
        <v>0</v>
      </c>
      <c r="P143" s="1452"/>
      <c r="R143" s="1462"/>
      <c r="W143" s="1477"/>
      <c r="X143" s="1479"/>
      <c r="AC143" s="3452"/>
    </row>
    <row r="144" spans="1:29" ht="27" hidden="1" x14ac:dyDescent="0.35">
      <c r="A144" s="72"/>
      <c r="B144" s="72"/>
      <c r="C144" s="3444"/>
      <c r="D144" s="3608" t="s">
        <v>1223</v>
      </c>
      <c r="E144" s="3251" t="s">
        <v>46</v>
      </c>
      <c r="F144" s="524">
        <f>+'SECCION TSP'!G285</f>
        <v>0</v>
      </c>
      <c r="G144" s="241">
        <f>+'SECCION TSP'!MK285</f>
        <v>0</v>
      </c>
      <c r="H144" s="241">
        <f>+'SECCION TSP'!ML285</f>
        <v>0</v>
      </c>
      <c r="I144" s="241">
        <f>+'SECCION TSP'!MM285</f>
        <v>0</v>
      </c>
      <c r="J144" s="241">
        <f ca="1">+'SECCION TSP'!MN285</f>
        <v>0</v>
      </c>
      <c r="K144" s="241">
        <f ca="1">+'SECCION TSP'!MO285</f>
        <v>0</v>
      </c>
      <c r="L144" s="241">
        <f ca="1">+'SECCION TSP'!MP285</f>
        <v>0</v>
      </c>
      <c r="M144" s="241">
        <f ca="1">+'SECCION TSP'!MQ285</f>
        <v>0</v>
      </c>
      <c r="N144" s="241">
        <f ca="1">+'SECCION TSP'!MR285</f>
        <v>0</v>
      </c>
      <c r="O144" s="241">
        <f ca="1">+'SECCION TSP'!MS285</f>
        <v>0</v>
      </c>
      <c r="P144" s="1452"/>
      <c r="R144" s="1462"/>
      <c r="W144" s="1477"/>
      <c r="X144" s="1479"/>
      <c r="AC144" s="3452"/>
    </row>
    <row r="145" spans="1:29" ht="27" hidden="1" x14ac:dyDescent="0.35">
      <c r="A145" s="72"/>
      <c r="B145" s="72"/>
      <c r="C145" s="3444">
        <v>2</v>
      </c>
      <c r="D145" s="3612"/>
      <c r="E145" s="3251" t="s">
        <v>47</v>
      </c>
      <c r="F145" s="524">
        <f>+'SECCION TSP'!G286</f>
        <v>0</v>
      </c>
      <c r="G145" s="241">
        <f>+'SECCION TSP'!MK286</f>
        <v>0</v>
      </c>
      <c r="H145" s="241">
        <f>+'SECCION TSP'!ML286</f>
        <v>0</v>
      </c>
      <c r="I145" s="241">
        <f>+'SECCION TSP'!MM286</f>
        <v>0</v>
      </c>
      <c r="J145" s="241">
        <f ca="1">+'SECCION TSP'!MN286</f>
        <v>0</v>
      </c>
      <c r="K145" s="241">
        <f ca="1">+'SECCION TSP'!MO286</f>
        <v>0</v>
      </c>
      <c r="L145" s="241">
        <f ca="1">+'SECCION TSP'!MP286</f>
        <v>0</v>
      </c>
      <c r="M145" s="241">
        <f ca="1">+'SECCION TSP'!MQ286</f>
        <v>0</v>
      </c>
      <c r="N145" s="241">
        <f ca="1">+'SECCION TSP'!MR286</f>
        <v>0</v>
      </c>
      <c r="O145" s="241">
        <f ca="1">+'SECCION TSP'!MS286</f>
        <v>0</v>
      </c>
      <c r="P145" s="1452"/>
      <c r="R145" s="1462"/>
      <c r="W145" s="1477"/>
      <c r="X145" s="1479"/>
      <c r="Z145" s="72">
        <f>+F145</f>
        <v>0</v>
      </c>
      <c r="AC145" s="3452"/>
    </row>
    <row r="146" spans="1:29" ht="27" hidden="1" x14ac:dyDescent="0.35">
      <c r="A146" s="72"/>
      <c r="B146" s="72"/>
      <c r="C146" s="3444"/>
      <c r="D146" s="3612"/>
      <c r="E146" s="3251" t="s">
        <v>635</v>
      </c>
      <c r="F146" s="524">
        <f>+'SECCION TSP'!G287</f>
        <v>0</v>
      </c>
      <c r="G146" s="241">
        <f>+'SECCION TSP'!MK287</f>
        <v>0</v>
      </c>
      <c r="H146" s="241">
        <f>+'SECCION TSP'!ML287</f>
        <v>0</v>
      </c>
      <c r="I146" s="241">
        <f>+'SECCION TSP'!MM287</f>
        <v>0</v>
      </c>
      <c r="J146" s="241">
        <f ca="1">+'SECCION TSP'!MN287</f>
        <v>0</v>
      </c>
      <c r="K146" s="241">
        <f ca="1">+'SECCION TSP'!MO287</f>
        <v>0</v>
      </c>
      <c r="L146" s="241">
        <f ca="1">+'SECCION TSP'!MP287</f>
        <v>0</v>
      </c>
      <c r="M146" s="241">
        <f ca="1">+'SECCION TSP'!MQ287</f>
        <v>0</v>
      </c>
      <c r="N146" s="241">
        <f ca="1">+'SECCION TSP'!MR287</f>
        <v>0</v>
      </c>
      <c r="O146" s="241">
        <f ca="1">+'SECCION TSP'!MS287</f>
        <v>0</v>
      </c>
      <c r="P146" s="1452"/>
      <c r="R146" s="1462"/>
      <c r="W146" s="1477"/>
      <c r="X146" s="1479"/>
      <c r="AC146" s="3452"/>
    </row>
    <row r="147" spans="1:29" ht="27" hidden="1" x14ac:dyDescent="0.35">
      <c r="A147" s="72"/>
      <c r="B147" s="72"/>
      <c r="C147" s="3444"/>
      <c r="D147" s="3612"/>
      <c r="E147" s="3251" t="s">
        <v>636</v>
      </c>
      <c r="F147" s="524">
        <f>+'SECCION TSP'!G288</f>
        <v>0</v>
      </c>
      <c r="G147" s="241">
        <f>+'SECCION TSP'!MK288</f>
        <v>0</v>
      </c>
      <c r="H147" s="241">
        <f>+'SECCION TSP'!ML288</f>
        <v>0</v>
      </c>
      <c r="I147" s="241">
        <f>+'SECCION TSP'!MM288</f>
        <v>0</v>
      </c>
      <c r="J147" s="241">
        <f ca="1">+'SECCION TSP'!MN288</f>
        <v>0</v>
      </c>
      <c r="K147" s="241">
        <f ca="1">+'SECCION TSP'!MO288</f>
        <v>0</v>
      </c>
      <c r="L147" s="241">
        <f ca="1">+'SECCION TSP'!MP288</f>
        <v>0</v>
      </c>
      <c r="M147" s="241">
        <f ca="1">+'SECCION TSP'!MQ288</f>
        <v>0</v>
      </c>
      <c r="N147" s="241">
        <f ca="1">+'SECCION TSP'!MR288</f>
        <v>0</v>
      </c>
      <c r="O147" s="241">
        <f ca="1">+'SECCION TSP'!MS288</f>
        <v>0</v>
      </c>
      <c r="P147" s="1452"/>
      <c r="R147" s="1462"/>
      <c r="W147" s="1477"/>
      <c r="X147" s="1479"/>
      <c r="AC147" s="3452"/>
    </row>
    <row r="148" spans="1:29" ht="27" hidden="1" x14ac:dyDescent="0.35">
      <c r="A148" s="72"/>
      <c r="B148" s="72"/>
      <c r="C148" s="3271">
        <v>5</v>
      </c>
      <c r="D148" s="3612"/>
      <c r="E148" s="3129" t="s">
        <v>813</v>
      </c>
      <c r="F148" s="524">
        <f>+'SECCION TSP'!G289</f>
        <v>0</v>
      </c>
      <c r="G148" s="241">
        <f>+'SECCION TSP'!MK289</f>
        <v>0</v>
      </c>
      <c r="H148" s="241">
        <f>+'SECCION TSP'!ML289</f>
        <v>0</v>
      </c>
      <c r="I148" s="241">
        <f>+'SECCION TSP'!MM289</f>
        <v>0</v>
      </c>
      <c r="J148" s="241">
        <f ca="1">+'SECCION TSP'!MN289</f>
        <v>0</v>
      </c>
      <c r="K148" s="241">
        <f ca="1">+'SECCION TSP'!MO289</f>
        <v>0</v>
      </c>
      <c r="L148" s="241">
        <f ca="1">+'SECCION TSP'!MP289</f>
        <v>0</v>
      </c>
      <c r="M148" s="241">
        <f ca="1">+'SECCION TSP'!MQ289</f>
        <v>0</v>
      </c>
      <c r="N148" s="241">
        <f ca="1">+'SECCION TSP'!MR289</f>
        <v>0</v>
      </c>
      <c r="O148" s="241">
        <f ca="1">+'SECCION TSP'!MS289</f>
        <v>0</v>
      </c>
      <c r="P148" s="1452"/>
      <c r="R148" s="1462"/>
      <c r="W148" s="1477"/>
      <c r="X148" s="1479"/>
      <c r="AC148" s="3451">
        <f>+F148</f>
        <v>0</v>
      </c>
    </row>
    <row r="149" spans="1:29" ht="27" hidden="1" x14ac:dyDescent="0.35">
      <c r="A149" s="72"/>
      <c r="B149" s="72"/>
      <c r="C149" s="3271">
        <v>4</v>
      </c>
      <c r="D149" s="3612"/>
      <c r="E149" s="488" t="s">
        <v>49</v>
      </c>
      <c r="F149" s="524">
        <f>+'SECCION TSP'!G290</f>
        <v>0</v>
      </c>
      <c r="G149" s="241">
        <f>+'SECCION TSP'!MK290</f>
        <v>0</v>
      </c>
      <c r="H149" s="241">
        <f>+'SECCION TSP'!ML290</f>
        <v>0</v>
      </c>
      <c r="I149" s="241">
        <f>+'SECCION TSP'!MM290</f>
        <v>0</v>
      </c>
      <c r="J149" s="241">
        <f ca="1">+'SECCION TSP'!MN290</f>
        <v>0</v>
      </c>
      <c r="K149" s="241">
        <f ca="1">+'SECCION TSP'!MO290</f>
        <v>0</v>
      </c>
      <c r="L149" s="241">
        <f ca="1">+'SECCION TSP'!MP290</f>
        <v>0</v>
      </c>
      <c r="M149" s="241">
        <f ca="1">+'SECCION TSP'!MQ290</f>
        <v>0</v>
      </c>
      <c r="N149" s="241">
        <f ca="1">+'SECCION TSP'!MR290</f>
        <v>0</v>
      </c>
      <c r="O149" s="241">
        <f ca="1">+'SECCION TSP'!MS290</f>
        <v>0</v>
      </c>
      <c r="P149" s="1452"/>
      <c r="R149" s="1462"/>
      <c r="W149" s="1477"/>
      <c r="X149" s="1479"/>
      <c r="AC149" s="3452"/>
    </row>
    <row r="150" spans="1:29" ht="27" hidden="1" x14ac:dyDescent="0.35">
      <c r="A150" s="72"/>
      <c r="B150" s="72"/>
      <c r="C150" s="3444"/>
      <c r="D150" s="3612"/>
      <c r="E150" s="3129" t="s">
        <v>638</v>
      </c>
      <c r="F150" s="524">
        <f>+'SECCION TSP'!G291</f>
        <v>0</v>
      </c>
      <c r="G150" s="241">
        <f>+'SECCION TSP'!MK291</f>
        <v>0</v>
      </c>
      <c r="H150" s="241">
        <f>+'SECCION TSP'!ML291</f>
        <v>0</v>
      </c>
      <c r="I150" s="241">
        <f>+'SECCION TSP'!MM291</f>
        <v>0</v>
      </c>
      <c r="J150" s="241">
        <f ca="1">+'SECCION TSP'!MN291</f>
        <v>0</v>
      </c>
      <c r="K150" s="241">
        <f ca="1">+'SECCION TSP'!MO291</f>
        <v>0</v>
      </c>
      <c r="L150" s="241">
        <f ca="1">+'SECCION TSP'!MP291</f>
        <v>0</v>
      </c>
      <c r="M150" s="241">
        <f ca="1">+'SECCION TSP'!MQ291</f>
        <v>0</v>
      </c>
      <c r="N150" s="241">
        <f ca="1">+'SECCION TSP'!MR291</f>
        <v>0</v>
      </c>
      <c r="O150" s="241">
        <f ca="1">+'SECCION TSP'!MS291</f>
        <v>0</v>
      </c>
      <c r="P150" s="1452"/>
      <c r="R150" s="1462"/>
      <c r="W150" s="1477"/>
      <c r="X150" s="1479"/>
      <c r="AC150" s="3452"/>
    </row>
    <row r="151" spans="1:29" ht="27" hidden="1" x14ac:dyDescent="0.35">
      <c r="A151" s="72"/>
      <c r="B151" s="72"/>
      <c r="C151" s="3444"/>
      <c r="D151" s="3612"/>
      <c r="E151" s="3129" t="s">
        <v>639</v>
      </c>
      <c r="F151" s="524">
        <f>+'SECCION TSP'!G292</f>
        <v>0</v>
      </c>
      <c r="G151" s="241">
        <f>+'SECCION TSP'!MK292</f>
        <v>0</v>
      </c>
      <c r="H151" s="241">
        <f>+'SECCION TSP'!ML292</f>
        <v>0</v>
      </c>
      <c r="I151" s="241">
        <f>+'SECCION TSP'!MM292</f>
        <v>0</v>
      </c>
      <c r="J151" s="241">
        <f ca="1">+'SECCION TSP'!MN292</f>
        <v>0</v>
      </c>
      <c r="K151" s="241">
        <f ca="1">+'SECCION TSP'!MO292</f>
        <v>0</v>
      </c>
      <c r="L151" s="241">
        <f ca="1">+'SECCION TSP'!MP292</f>
        <v>0</v>
      </c>
      <c r="M151" s="241">
        <f ca="1">+'SECCION TSP'!MQ292</f>
        <v>0</v>
      </c>
      <c r="N151" s="241">
        <f ca="1">+'SECCION TSP'!MR292</f>
        <v>0</v>
      </c>
      <c r="O151" s="241">
        <f ca="1">+'SECCION TSP'!MS292</f>
        <v>0</v>
      </c>
      <c r="P151" s="1452"/>
      <c r="R151" s="1462"/>
      <c r="W151" s="1477"/>
      <c r="X151" s="1479"/>
      <c r="AC151" s="3452"/>
    </row>
    <row r="152" spans="1:29" ht="27" hidden="1" x14ac:dyDescent="0.35">
      <c r="A152" s="72">
        <f>SUM(A44:A135)</f>
        <v>0</v>
      </c>
      <c r="B152" s="72"/>
      <c r="C152" s="3444"/>
      <c r="D152" s="488"/>
      <c r="E152" s="488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S152">
        <f>SUM(S44:S135)</f>
        <v>0</v>
      </c>
      <c r="T152">
        <f>SUM(T44:T135)</f>
        <v>0</v>
      </c>
      <c r="U152">
        <f t="shared" si="18"/>
        <v>0</v>
      </c>
      <c r="V152">
        <f>SUM(V44:V135)</f>
        <v>0</v>
      </c>
      <c r="W152">
        <f>SUM(W44:W135)</f>
        <v>0</v>
      </c>
      <c r="X152" t="e">
        <f>SUM(X44:X135)</f>
        <v>#DIV/0!</v>
      </c>
      <c r="AC152" s="3452"/>
    </row>
    <row r="153" spans="1:29" ht="30" hidden="1" x14ac:dyDescent="0.4">
      <c r="C153" s="3444"/>
      <c r="D153" s="488"/>
      <c r="E153" s="488"/>
      <c r="F153" s="99"/>
      <c r="G153" s="99"/>
      <c r="H153" s="99"/>
      <c r="I153" s="99"/>
      <c r="J153" s="99"/>
      <c r="K153" s="99"/>
      <c r="L153" s="99"/>
      <c r="Y153" s="3449"/>
      <c r="AC153" s="3452"/>
    </row>
    <row r="154" spans="1:29" ht="27" hidden="1" x14ac:dyDescent="0.35">
      <c r="C154" s="3444"/>
      <c r="D154" s="488"/>
      <c r="E154" s="488"/>
      <c r="F154" s="99"/>
      <c r="G154" s="99"/>
      <c r="H154" s="99"/>
      <c r="I154" s="99"/>
      <c r="J154" s="99"/>
      <c r="K154" s="99"/>
      <c r="L154" s="99"/>
      <c r="AC154" s="3452"/>
    </row>
    <row r="155" spans="1:29" ht="27" hidden="1" x14ac:dyDescent="0.35">
      <c r="C155" s="3444"/>
      <c r="D155" s="3608" t="s">
        <v>4</v>
      </c>
      <c r="E155" s="488" t="s">
        <v>46</v>
      </c>
      <c r="F155" s="101">
        <f>+F44+F56+F80+F104+F128</f>
        <v>0</v>
      </c>
      <c r="G155" s="101">
        <f t="shared" ref="G155:L155" si="20">+G44+G56+G80+G104+G128</f>
        <v>0</v>
      </c>
      <c r="H155" s="101">
        <f t="shared" si="20"/>
        <v>0</v>
      </c>
      <c r="I155" s="101">
        <f t="shared" si="20"/>
        <v>0</v>
      </c>
      <c r="J155" s="101">
        <f t="shared" ca="1" si="20"/>
        <v>0</v>
      </c>
      <c r="K155" s="101">
        <f t="shared" ca="1" si="20"/>
        <v>0</v>
      </c>
      <c r="L155" s="101">
        <f t="shared" ca="1" si="20"/>
        <v>0</v>
      </c>
      <c r="M155" s="101">
        <f t="shared" ref="M155:O156" ca="1" si="21">+M44+M56+M80+M104+M128</f>
        <v>0</v>
      </c>
      <c r="N155" s="101">
        <f t="shared" ca="1" si="21"/>
        <v>0</v>
      </c>
      <c r="O155" s="101">
        <f t="shared" ca="1" si="21"/>
        <v>0</v>
      </c>
      <c r="P155" s="72">
        <f ca="1">SUM(M155:O155)</f>
        <v>0</v>
      </c>
      <c r="Q155" s="72">
        <f ca="1">SUM(G155:L155)</f>
        <v>0</v>
      </c>
      <c r="R155" s="72">
        <f>SUM(G155:I155)</f>
        <v>0</v>
      </c>
      <c r="AC155" s="3452"/>
    </row>
    <row r="156" spans="1:29" ht="27" hidden="1" x14ac:dyDescent="0.35">
      <c r="C156" s="3444"/>
      <c r="D156" s="3612"/>
      <c r="E156" s="3129" t="s">
        <v>47</v>
      </c>
      <c r="F156" s="101">
        <f>+F45+F57+F81+F105+F129</f>
        <v>0</v>
      </c>
      <c r="G156" s="101">
        <f t="shared" ref="G156:L156" si="22">+G45+G57+G81+G105+G129</f>
        <v>0</v>
      </c>
      <c r="H156" s="101">
        <f t="shared" si="22"/>
        <v>0</v>
      </c>
      <c r="I156" s="101">
        <f t="shared" si="22"/>
        <v>0</v>
      </c>
      <c r="J156" s="101">
        <f t="shared" ca="1" si="22"/>
        <v>0</v>
      </c>
      <c r="K156" s="101">
        <f t="shared" ca="1" si="22"/>
        <v>0</v>
      </c>
      <c r="L156" s="101">
        <f t="shared" ca="1" si="22"/>
        <v>0</v>
      </c>
      <c r="M156" s="101">
        <f t="shared" ca="1" si="21"/>
        <v>0</v>
      </c>
      <c r="N156" s="101">
        <f t="shared" ca="1" si="21"/>
        <v>0</v>
      </c>
      <c r="O156" s="101">
        <f t="shared" ca="1" si="21"/>
        <v>0</v>
      </c>
      <c r="P156" s="72">
        <f t="shared" ref="P156:P163" ca="1" si="23">SUM(M156:O156)</f>
        <v>0</v>
      </c>
      <c r="Q156" s="72">
        <f t="shared" ref="Q156:Q163" ca="1" si="24">SUM(G156:L156)</f>
        <v>0</v>
      </c>
      <c r="R156" s="72">
        <f t="shared" ref="R156:R163" si="25">SUM(G156:I156)</f>
        <v>0</v>
      </c>
      <c r="AC156" s="3452"/>
    </row>
    <row r="157" spans="1:29" ht="27" hidden="1" x14ac:dyDescent="0.35">
      <c r="C157" s="3444"/>
      <c r="D157" s="3612"/>
      <c r="E157" s="3129" t="s">
        <v>635</v>
      </c>
      <c r="F157" s="101">
        <f>+F58+F82+F106+F130</f>
        <v>0</v>
      </c>
      <c r="G157" s="101">
        <f t="shared" ref="G157:L157" si="26">+G58+G82+G106+G130</f>
        <v>0</v>
      </c>
      <c r="H157" s="101">
        <f t="shared" si="26"/>
        <v>0</v>
      </c>
      <c r="I157" s="101">
        <f t="shared" si="26"/>
        <v>0</v>
      </c>
      <c r="J157" s="101">
        <f t="shared" ca="1" si="26"/>
        <v>0</v>
      </c>
      <c r="K157" s="101">
        <f t="shared" ca="1" si="26"/>
        <v>0</v>
      </c>
      <c r="L157" s="101">
        <f t="shared" ca="1" si="26"/>
        <v>0</v>
      </c>
      <c r="M157" s="101">
        <f t="shared" ref="M157:O158" ca="1" si="27">+M58+M82+M106+M130</f>
        <v>0</v>
      </c>
      <c r="N157" s="101">
        <f t="shared" ca="1" si="27"/>
        <v>0</v>
      </c>
      <c r="O157" s="101">
        <f t="shared" ca="1" si="27"/>
        <v>0</v>
      </c>
      <c r="P157" s="72">
        <f t="shared" ca="1" si="23"/>
        <v>0</v>
      </c>
      <c r="Q157" s="72">
        <f t="shared" ca="1" si="24"/>
        <v>0</v>
      </c>
      <c r="R157" s="72">
        <f t="shared" si="25"/>
        <v>0</v>
      </c>
      <c r="AC157" s="3452"/>
    </row>
    <row r="158" spans="1:29" ht="27" hidden="1" x14ac:dyDescent="0.35">
      <c r="C158" s="3444"/>
      <c r="D158" s="3612"/>
      <c r="E158" s="3129" t="s">
        <v>636</v>
      </c>
      <c r="F158" s="101">
        <f>+F59+F83+F107+F131</f>
        <v>0</v>
      </c>
      <c r="G158" s="101">
        <f t="shared" ref="G158:L158" si="28">+G59+G83+G107+G131</f>
        <v>0</v>
      </c>
      <c r="H158" s="101">
        <f t="shared" si="28"/>
        <v>0</v>
      </c>
      <c r="I158" s="101">
        <f t="shared" si="28"/>
        <v>0</v>
      </c>
      <c r="J158" s="101">
        <f t="shared" ca="1" si="28"/>
        <v>0</v>
      </c>
      <c r="K158" s="101">
        <f t="shared" ca="1" si="28"/>
        <v>0</v>
      </c>
      <c r="L158" s="101">
        <f t="shared" ca="1" si="28"/>
        <v>0</v>
      </c>
      <c r="M158" s="101">
        <f t="shared" ca="1" si="27"/>
        <v>0</v>
      </c>
      <c r="N158" s="101">
        <f t="shared" ca="1" si="27"/>
        <v>0</v>
      </c>
      <c r="O158" s="101">
        <f t="shared" ca="1" si="27"/>
        <v>0</v>
      </c>
      <c r="P158" s="72">
        <f t="shared" ca="1" si="23"/>
        <v>0</v>
      </c>
      <c r="Q158" s="72">
        <f t="shared" ca="1" si="24"/>
        <v>0</v>
      </c>
      <c r="R158" s="72">
        <f t="shared" si="25"/>
        <v>0</v>
      </c>
      <c r="AC158" s="3452"/>
    </row>
    <row r="159" spans="1:29" ht="27" hidden="1" x14ac:dyDescent="0.35">
      <c r="C159" s="3444"/>
      <c r="D159" s="3612"/>
      <c r="E159" s="3129" t="s">
        <v>813</v>
      </c>
      <c r="F159" s="101">
        <f>+F46+F60+F84+F108+F132</f>
        <v>0</v>
      </c>
      <c r="G159" s="101">
        <f t="shared" ref="G159:L159" si="29">+G46+G60+G84+G108+G132</f>
        <v>0</v>
      </c>
      <c r="H159" s="101">
        <f t="shared" si="29"/>
        <v>0</v>
      </c>
      <c r="I159" s="101">
        <f t="shared" si="29"/>
        <v>0</v>
      </c>
      <c r="J159" s="101">
        <f t="shared" ca="1" si="29"/>
        <v>0</v>
      </c>
      <c r="K159" s="101">
        <f t="shared" ca="1" si="29"/>
        <v>0</v>
      </c>
      <c r="L159" s="101">
        <f t="shared" ca="1" si="29"/>
        <v>0</v>
      </c>
      <c r="M159" s="101">
        <f t="shared" ref="M159:O160" ca="1" si="30">+M46+M60+M84+M108+M132</f>
        <v>0</v>
      </c>
      <c r="N159" s="101">
        <f t="shared" ca="1" si="30"/>
        <v>0</v>
      </c>
      <c r="O159" s="101">
        <f t="shared" ca="1" si="30"/>
        <v>0</v>
      </c>
      <c r="P159" s="72">
        <f t="shared" ca="1" si="23"/>
        <v>0</v>
      </c>
      <c r="Q159" s="72">
        <f t="shared" ca="1" si="24"/>
        <v>0</v>
      </c>
      <c r="R159" s="72">
        <f t="shared" si="25"/>
        <v>0</v>
      </c>
      <c r="AC159" s="3452"/>
    </row>
    <row r="160" spans="1:29" ht="27" hidden="1" x14ac:dyDescent="0.35">
      <c r="D160" s="3612"/>
      <c r="E160" s="488" t="s">
        <v>49</v>
      </c>
      <c r="F160" s="101">
        <f>+F47+F61+F85+F109+F133</f>
        <v>0</v>
      </c>
      <c r="G160" s="101">
        <f t="shared" ref="G160:L160" si="31">+G47+G61+G85+G109+G133</f>
        <v>0</v>
      </c>
      <c r="H160" s="101">
        <f t="shared" si="31"/>
        <v>0</v>
      </c>
      <c r="I160" s="101">
        <f t="shared" si="31"/>
        <v>0</v>
      </c>
      <c r="J160" s="101">
        <f t="shared" ca="1" si="31"/>
        <v>0</v>
      </c>
      <c r="K160" s="101">
        <f t="shared" ca="1" si="31"/>
        <v>0</v>
      </c>
      <c r="L160" s="101">
        <f t="shared" ca="1" si="31"/>
        <v>0</v>
      </c>
      <c r="M160" s="101">
        <f t="shared" ca="1" si="30"/>
        <v>0</v>
      </c>
      <c r="N160" s="101">
        <f t="shared" ca="1" si="30"/>
        <v>0</v>
      </c>
      <c r="O160" s="101">
        <f t="shared" ca="1" si="30"/>
        <v>0</v>
      </c>
      <c r="P160" s="72">
        <f t="shared" ca="1" si="23"/>
        <v>0</v>
      </c>
      <c r="Q160" s="72">
        <f t="shared" ca="1" si="24"/>
        <v>0</v>
      </c>
      <c r="R160" s="72">
        <f t="shared" si="25"/>
        <v>0</v>
      </c>
      <c r="AC160" s="3452"/>
    </row>
    <row r="161" spans="4:29" ht="27" hidden="1" x14ac:dyDescent="0.35">
      <c r="D161" s="3612"/>
      <c r="E161" s="3129" t="s">
        <v>814</v>
      </c>
      <c r="F161" s="101">
        <f>+F62+F86+F110+F134</f>
        <v>0</v>
      </c>
      <c r="G161" s="101">
        <f t="shared" ref="G161:L161" si="32">+G62+G86+G110+G134</f>
        <v>0</v>
      </c>
      <c r="H161" s="101">
        <f t="shared" si="32"/>
        <v>0</v>
      </c>
      <c r="I161" s="101">
        <f t="shared" si="32"/>
        <v>0</v>
      </c>
      <c r="J161" s="101">
        <f t="shared" ca="1" si="32"/>
        <v>0</v>
      </c>
      <c r="K161" s="101">
        <f t="shared" ca="1" si="32"/>
        <v>0</v>
      </c>
      <c r="L161" s="101">
        <f t="shared" ca="1" si="32"/>
        <v>0</v>
      </c>
      <c r="M161" s="101">
        <f t="shared" ref="M161:O162" ca="1" si="33">+M62+M86+M110+M134</f>
        <v>0</v>
      </c>
      <c r="N161" s="101">
        <f t="shared" ca="1" si="33"/>
        <v>0</v>
      </c>
      <c r="O161" s="101">
        <f t="shared" ca="1" si="33"/>
        <v>0</v>
      </c>
      <c r="P161" s="72">
        <f t="shared" ca="1" si="23"/>
        <v>0</v>
      </c>
      <c r="Q161" s="72">
        <f t="shared" ca="1" si="24"/>
        <v>0</v>
      </c>
      <c r="R161" s="72">
        <f t="shared" si="25"/>
        <v>0</v>
      </c>
      <c r="AC161" s="3452"/>
    </row>
    <row r="162" spans="4:29" ht="27" hidden="1" x14ac:dyDescent="0.35">
      <c r="D162" s="3612"/>
      <c r="E162" s="3129" t="s">
        <v>639</v>
      </c>
      <c r="F162" s="101">
        <f>+F63+F87+F111+F135</f>
        <v>0</v>
      </c>
      <c r="G162" s="101">
        <f t="shared" ref="G162:L162" si="34">+G63+G87+G111+G135</f>
        <v>0</v>
      </c>
      <c r="H162" s="101">
        <f t="shared" si="34"/>
        <v>0</v>
      </c>
      <c r="I162" s="101">
        <f t="shared" si="34"/>
        <v>0</v>
      </c>
      <c r="J162" s="101">
        <f t="shared" ca="1" si="34"/>
        <v>0</v>
      </c>
      <c r="K162" s="101">
        <f t="shared" ca="1" si="34"/>
        <v>0</v>
      </c>
      <c r="L162" s="101">
        <f t="shared" ca="1" si="34"/>
        <v>0</v>
      </c>
      <c r="M162" s="101">
        <f t="shared" ca="1" si="33"/>
        <v>0</v>
      </c>
      <c r="N162" s="101">
        <f t="shared" ca="1" si="33"/>
        <v>0</v>
      </c>
      <c r="O162" s="101">
        <f t="shared" ca="1" si="33"/>
        <v>0</v>
      </c>
      <c r="P162" s="72">
        <f t="shared" ca="1" si="23"/>
        <v>0</v>
      </c>
      <c r="Q162" s="72">
        <f t="shared" ca="1" si="24"/>
        <v>0</v>
      </c>
      <c r="R162" s="72">
        <f t="shared" si="25"/>
        <v>0</v>
      </c>
      <c r="AC162" s="3452"/>
    </row>
    <row r="163" spans="4:29" ht="27" hidden="1" x14ac:dyDescent="0.35">
      <c r="D163" s="488"/>
      <c r="E163" s="488"/>
      <c r="F163" s="1990">
        <f>SUM(F155:F162)</f>
        <v>0</v>
      </c>
      <c r="G163" s="1990">
        <f t="shared" ref="G163:L163" si="35">SUM(G155:G162)</f>
        <v>0</v>
      </c>
      <c r="H163" s="1990">
        <f t="shared" si="35"/>
        <v>0</v>
      </c>
      <c r="I163" s="1990">
        <f t="shared" si="35"/>
        <v>0</v>
      </c>
      <c r="J163" s="1990">
        <f t="shared" ca="1" si="35"/>
        <v>0</v>
      </c>
      <c r="K163" s="1990">
        <f t="shared" ca="1" si="35"/>
        <v>0</v>
      </c>
      <c r="L163" s="1990">
        <f t="shared" ca="1" si="35"/>
        <v>0</v>
      </c>
      <c r="M163" s="1990">
        <f ca="1">SUM(M155:M162)</f>
        <v>0</v>
      </c>
      <c r="N163" s="1990">
        <f ca="1">SUM(N155:N162)</f>
        <v>0</v>
      </c>
      <c r="O163" s="1990">
        <f ca="1">SUM(O155:O162)</f>
        <v>0</v>
      </c>
      <c r="P163" s="72">
        <f t="shared" ca="1" si="23"/>
        <v>0</v>
      </c>
      <c r="Q163" s="72">
        <f t="shared" ca="1" si="24"/>
        <v>0</v>
      </c>
      <c r="R163" s="72">
        <f t="shared" si="25"/>
        <v>0</v>
      </c>
      <c r="S163" s="72">
        <f>+R163-I231</f>
        <v>0</v>
      </c>
      <c r="AC163" s="3452"/>
    </row>
    <row r="164" spans="4:29" ht="27" hidden="1" x14ac:dyDescent="0.35">
      <c r="D164" s="488"/>
      <c r="E164" s="488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AC164" s="3452"/>
    </row>
    <row r="165" spans="4:29" ht="27" hidden="1" x14ac:dyDescent="0.35">
      <c r="D165" s="488"/>
      <c r="E165" s="488"/>
      <c r="F165" s="99"/>
      <c r="G165" s="99"/>
      <c r="H165" s="99"/>
      <c r="I165" s="99"/>
      <c r="J165" s="99"/>
      <c r="K165" s="99"/>
      <c r="L165" s="99"/>
      <c r="AC165" s="3452"/>
    </row>
    <row r="166" spans="4:29" ht="27" hidden="1" x14ac:dyDescent="0.35">
      <c r="D166" s="488"/>
      <c r="E166" s="488"/>
      <c r="F166" s="99"/>
      <c r="G166" s="99"/>
      <c r="H166" s="99"/>
      <c r="I166" s="99"/>
      <c r="J166" s="99"/>
      <c r="K166" s="99"/>
      <c r="L166" s="99"/>
      <c r="AC166" s="3452"/>
    </row>
    <row r="167" spans="4:29" ht="27" hidden="1" x14ac:dyDescent="0.35">
      <c r="D167" s="488"/>
      <c r="E167" s="488"/>
      <c r="F167" s="99"/>
      <c r="G167" s="99"/>
      <c r="H167" s="99"/>
      <c r="I167" s="99"/>
      <c r="J167" s="99"/>
      <c r="K167" s="99"/>
      <c r="L167" s="99"/>
      <c r="AC167" s="3452"/>
    </row>
    <row r="168" spans="4:29" ht="27" hidden="1" x14ac:dyDescent="0.35">
      <c r="D168" s="488"/>
      <c r="E168" s="488"/>
      <c r="F168" s="99"/>
      <c r="G168" s="99"/>
      <c r="H168" s="99"/>
      <c r="I168" s="99"/>
      <c r="J168" s="99"/>
      <c r="K168" s="99"/>
      <c r="L168" s="99"/>
      <c r="AC168" s="3452"/>
    </row>
    <row r="169" spans="4:29" ht="27" hidden="1" x14ac:dyDescent="0.35">
      <c r="D169" s="488"/>
      <c r="E169" s="488"/>
      <c r="F169" s="99"/>
      <c r="G169" s="99"/>
      <c r="H169" s="99"/>
      <c r="I169" s="99"/>
      <c r="J169" s="99"/>
      <c r="K169" s="99"/>
      <c r="L169" s="99"/>
      <c r="AC169" s="3452"/>
    </row>
    <row r="170" spans="4:29" ht="27" hidden="1" x14ac:dyDescent="0.35">
      <c r="D170" s="488"/>
      <c r="E170" s="488"/>
      <c r="F170" s="99"/>
      <c r="G170" s="99"/>
      <c r="H170" s="99"/>
      <c r="I170" s="99"/>
      <c r="J170" s="99"/>
      <c r="K170" s="99"/>
      <c r="L170" s="99"/>
      <c r="AC170" s="3452"/>
    </row>
    <row r="171" spans="4:29" ht="27" hidden="1" x14ac:dyDescent="0.35">
      <c r="D171" s="488"/>
      <c r="E171" s="488"/>
      <c r="F171" s="99"/>
      <c r="G171" s="99"/>
      <c r="H171" s="99"/>
      <c r="I171" s="99"/>
      <c r="J171" s="99"/>
      <c r="K171" s="99"/>
      <c r="L171" s="99"/>
      <c r="AC171" s="3452"/>
    </row>
    <row r="172" spans="4:29" ht="27" hidden="1" x14ac:dyDescent="0.35">
      <c r="D172" s="488"/>
      <c r="E172" s="488"/>
      <c r="F172" s="99"/>
      <c r="G172" s="99"/>
      <c r="H172" s="99"/>
      <c r="I172" s="99"/>
      <c r="J172" s="99"/>
      <c r="K172" s="99"/>
      <c r="L172" s="99"/>
      <c r="AC172" s="3452"/>
    </row>
    <row r="173" spans="4:29" ht="27" hidden="1" x14ac:dyDescent="0.35">
      <c r="D173" s="488"/>
      <c r="E173" s="488"/>
      <c r="F173" s="99"/>
      <c r="G173" s="99"/>
      <c r="H173" s="99"/>
      <c r="I173" s="99"/>
      <c r="J173" s="99"/>
      <c r="K173" s="99"/>
      <c r="L173" s="99"/>
      <c r="AC173" s="3452"/>
    </row>
    <row r="174" spans="4:29" ht="27" hidden="1" x14ac:dyDescent="0.35">
      <c r="D174" s="488"/>
      <c r="E174" s="488"/>
      <c r="F174" s="99"/>
      <c r="G174" s="99"/>
      <c r="H174" s="99"/>
      <c r="I174" s="99"/>
      <c r="J174" s="99"/>
      <c r="K174" s="99"/>
      <c r="L174" s="99"/>
      <c r="AC174" s="3452"/>
    </row>
    <row r="175" spans="4:29" ht="27" hidden="1" x14ac:dyDescent="0.35">
      <c r="D175" s="488"/>
      <c r="E175" s="488"/>
      <c r="F175" s="99"/>
      <c r="G175" s="99"/>
      <c r="H175" s="99"/>
      <c r="I175" s="99"/>
      <c r="J175" s="99"/>
      <c r="K175" s="99"/>
      <c r="L175" s="99"/>
      <c r="AC175" s="3452"/>
    </row>
    <row r="176" spans="4:29" ht="27" hidden="1" x14ac:dyDescent="0.35">
      <c r="D176" s="488"/>
      <c r="E176" s="488"/>
      <c r="F176" s="99"/>
      <c r="G176" s="99"/>
      <c r="H176" s="99"/>
      <c r="I176" s="99"/>
      <c r="J176" s="99"/>
      <c r="K176" s="99"/>
      <c r="L176" s="99"/>
      <c r="AC176" s="3452"/>
    </row>
    <row r="177" spans="4:29" ht="27" hidden="1" x14ac:dyDescent="0.35">
      <c r="D177" s="488"/>
      <c r="E177" s="488"/>
      <c r="F177" s="99"/>
      <c r="G177" s="99"/>
      <c r="H177" s="99"/>
      <c r="I177" s="99"/>
      <c r="J177" s="99"/>
      <c r="K177" s="99"/>
      <c r="L177" s="99"/>
      <c r="AC177" s="3452"/>
    </row>
    <row r="178" spans="4:29" ht="27" hidden="1" x14ac:dyDescent="0.35">
      <c r="D178" s="488"/>
      <c r="E178" s="488"/>
      <c r="F178" s="99"/>
      <c r="G178" s="99"/>
      <c r="H178" s="99"/>
      <c r="I178" s="99"/>
      <c r="J178" s="99"/>
      <c r="K178" s="99"/>
      <c r="L178" s="99"/>
      <c r="AC178" s="3452"/>
    </row>
    <row r="179" spans="4:29" ht="27" hidden="1" x14ac:dyDescent="0.35">
      <c r="D179" s="488"/>
      <c r="E179" s="488"/>
      <c r="F179" s="99"/>
      <c r="G179" s="99"/>
      <c r="H179" s="99"/>
      <c r="I179" s="99"/>
      <c r="J179" s="99"/>
      <c r="K179" s="99"/>
      <c r="L179" s="99"/>
      <c r="AC179" s="3452"/>
    </row>
    <row r="180" spans="4:29" ht="27" hidden="1" x14ac:dyDescent="0.35">
      <c r="D180" s="488"/>
      <c r="E180" s="488"/>
      <c r="F180" s="99"/>
      <c r="G180" s="99"/>
      <c r="H180" s="99"/>
      <c r="I180" s="99"/>
      <c r="J180" s="99"/>
      <c r="K180" s="99"/>
      <c r="L180" s="99"/>
      <c r="AC180" s="3452"/>
    </row>
    <row r="181" spans="4:29" ht="27" hidden="1" x14ac:dyDescent="0.35">
      <c r="D181" s="488"/>
      <c r="E181" s="488"/>
      <c r="F181" s="99"/>
      <c r="G181" s="99"/>
      <c r="H181" s="99"/>
      <c r="I181" s="99"/>
      <c r="J181" s="99"/>
      <c r="K181" s="99"/>
      <c r="L181" s="99"/>
      <c r="AC181" s="3452"/>
    </row>
    <row r="182" spans="4:29" ht="27" hidden="1" x14ac:dyDescent="0.35">
      <c r="D182" s="488"/>
      <c r="E182" s="488"/>
      <c r="F182" s="99"/>
      <c r="G182" s="99"/>
      <c r="H182" s="99"/>
      <c r="I182" s="99"/>
      <c r="J182" s="99"/>
      <c r="K182" s="99"/>
      <c r="L182" s="99"/>
      <c r="AC182" s="3452"/>
    </row>
    <row r="183" spans="4:29" ht="27" hidden="1" x14ac:dyDescent="0.35">
      <c r="D183" s="488"/>
      <c r="E183" s="488"/>
      <c r="F183" s="99"/>
      <c r="G183" s="99"/>
      <c r="H183" s="99"/>
      <c r="I183" s="99"/>
      <c r="J183" s="99"/>
      <c r="K183" s="99"/>
      <c r="L183" s="99"/>
      <c r="AC183" s="3452"/>
    </row>
    <row r="184" spans="4:29" ht="27" hidden="1" x14ac:dyDescent="0.35">
      <c r="D184" s="488"/>
      <c r="E184" s="488"/>
      <c r="F184" s="99"/>
      <c r="G184" s="99"/>
      <c r="H184" s="99"/>
      <c r="I184" s="99"/>
      <c r="J184" s="99"/>
      <c r="K184" s="99"/>
      <c r="L184" s="99"/>
      <c r="AC184" s="3452"/>
    </row>
    <row r="185" spans="4:29" ht="27" hidden="1" x14ac:dyDescent="0.35">
      <c r="D185" s="488"/>
      <c r="E185" s="488"/>
      <c r="F185" s="99"/>
      <c r="G185" s="99"/>
      <c r="H185" s="99"/>
      <c r="I185" s="99"/>
      <c r="J185" s="99"/>
      <c r="K185" s="99"/>
      <c r="L185" s="99"/>
      <c r="AC185" s="3452"/>
    </row>
    <row r="186" spans="4:29" ht="27" hidden="1" x14ac:dyDescent="0.35">
      <c r="D186" s="488"/>
      <c r="E186" s="488"/>
      <c r="F186" s="99"/>
      <c r="G186" s="99"/>
      <c r="H186" s="99"/>
      <c r="I186" s="99"/>
      <c r="J186" s="99"/>
      <c r="K186" s="99"/>
      <c r="L186" s="99"/>
      <c r="AC186" s="3452"/>
    </row>
    <row r="187" spans="4:29" ht="27" hidden="1" x14ac:dyDescent="0.35">
      <c r="D187" s="488"/>
      <c r="E187" s="488"/>
      <c r="F187" s="99"/>
      <c r="G187" s="99"/>
      <c r="H187" s="99"/>
      <c r="I187" s="99"/>
      <c r="J187" s="99"/>
      <c r="K187" s="99"/>
      <c r="L187" s="99"/>
      <c r="R187" s="487" t="s">
        <v>815</v>
      </c>
      <c r="AC187" s="3452"/>
    </row>
    <row r="188" spans="4:29" ht="27" hidden="1" x14ac:dyDescent="0.35">
      <c r="R188" s="525">
        <f>+'SECCION I-II'!E17</f>
        <v>0</v>
      </c>
      <c r="S188" s="72">
        <f>+F5-F6</f>
        <v>0</v>
      </c>
      <c r="AC188" s="3452"/>
    </row>
    <row r="189" spans="4:29" ht="27.75" hidden="1" thickBot="1" x14ac:dyDescent="0.4">
      <c r="R189" s="72">
        <f>+'SECCION I-II'!E18</f>
        <v>0</v>
      </c>
      <c r="S189" s="72">
        <f>+F6-F7</f>
        <v>0</v>
      </c>
      <c r="AC189" s="3452"/>
    </row>
    <row r="190" spans="4:29" ht="27" hidden="1" x14ac:dyDescent="0.35">
      <c r="D190" s="4989" t="s">
        <v>160</v>
      </c>
      <c r="E190" s="4989"/>
      <c r="F190" s="4989"/>
      <c r="G190" s="4989"/>
      <c r="H190" s="4990"/>
      <c r="I190" s="5010" t="s">
        <v>191</v>
      </c>
      <c r="J190" s="5010" t="s">
        <v>101</v>
      </c>
      <c r="AC190" s="3452"/>
    </row>
    <row r="191" spans="4:29" ht="27.75" hidden="1" thickBot="1" x14ac:dyDescent="0.4">
      <c r="D191" s="4989"/>
      <c r="E191" s="4991"/>
      <c r="F191" s="4991"/>
      <c r="G191" s="4991"/>
      <c r="H191" s="4992"/>
      <c r="I191" s="5011"/>
      <c r="J191" s="5011"/>
      <c r="AC191" s="3452"/>
    </row>
    <row r="192" spans="4:29" ht="27.75" hidden="1" thickBot="1" x14ac:dyDescent="0.4">
      <c r="D192" s="4993" t="s">
        <v>163</v>
      </c>
      <c r="E192" s="5017" t="s">
        <v>41</v>
      </c>
      <c r="F192" s="5001" t="s">
        <v>42</v>
      </c>
      <c r="G192" s="5001"/>
      <c r="H192" s="5001"/>
      <c r="I192" s="1442">
        <f>+'Compra -HOJA1'!F84</f>
        <v>0</v>
      </c>
      <c r="J192" s="1442">
        <f>+'Compra -HOJA1'!G84</f>
        <v>0</v>
      </c>
      <c r="AC192" s="3452"/>
    </row>
    <row r="193" spans="4:29" ht="33.75" hidden="1" thickBot="1" x14ac:dyDescent="0.4">
      <c r="D193" s="4994"/>
      <c r="E193" s="5018"/>
      <c r="F193" s="1439" t="s">
        <v>43</v>
      </c>
      <c r="G193" s="4988" t="s">
        <v>44</v>
      </c>
      <c r="H193" s="4988"/>
      <c r="I193" s="1442">
        <f>+'Compra -HOJA1'!F85</f>
        <v>0</v>
      </c>
      <c r="J193" s="1442">
        <f>+'Compra -HOJA1'!G85</f>
        <v>0</v>
      </c>
      <c r="M193" s="487" t="s">
        <v>816</v>
      </c>
      <c r="AC193" s="3452"/>
    </row>
    <row r="194" spans="4:29" ht="27.75" hidden="1" thickBot="1" x14ac:dyDescent="0.4">
      <c r="D194" s="4994"/>
      <c r="E194" s="5018"/>
      <c r="F194" s="4996" t="s">
        <v>167</v>
      </c>
      <c r="G194" s="5015" t="s">
        <v>46</v>
      </c>
      <c r="H194" s="5015"/>
      <c r="I194" s="1442">
        <f>+'Compra -HOJA1'!F87</f>
        <v>0</v>
      </c>
      <c r="J194" s="1442">
        <f>+'Compra -HOJA1'!G87</f>
        <v>0</v>
      </c>
      <c r="K194" s="72">
        <f>+SUM(G44:I44)</f>
        <v>0</v>
      </c>
      <c r="M194" s="72">
        <f>+I194-K194</f>
        <v>0</v>
      </c>
      <c r="AC194" s="3452"/>
    </row>
    <row r="195" spans="4:29" ht="27.75" hidden="1" thickBot="1" x14ac:dyDescent="0.4">
      <c r="D195" s="4994"/>
      <c r="E195" s="5018"/>
      <c r="F195" s="4997"/>
      <c r="G195" s="5015" t="s">
        <v>47</v>
      </c>
      <c r="H195" s="5015"/>
      <c r="I195" s="1442">
        <f>+'Compra -HOJA1'!F88</f>
        <v>0</v>
      </c>
      <c r="J195" s="1442">
        <f>+'Compra -HOJA1'!G88</f>
        <v>0</v>
      </c>
      <c r="K195" s="72">
        <f>+SUM(G45:I45)</f>
        <v>0</v>
      </c>
      <c r="M195" s="72">
        <f>+I195-K195</f>
        <v>0</v>
      </c>
      <c r="AC195" s="3452"/>
    </row>
    <row r="196" spans="4:29" ht="27.75" hidden="1" thickBot="1" x14ac:dyDescent="0.4">
      <c r="D196" s="4994"/>
      <c r="E196" s="5018"/>
      <c r="F196" s="4997"/>
      <c r="G196" s="4995" t="s">
        <v>169</v>
      </c>
      <c r="H196" s="4995"/>
      <c r="I196" s="1442">
        <f>+'Compra -HOJA1'!F89</f>
        <v>0</v>
      </c>
      <c r="J196" s="1442">
        <f>+'Compra -HOJA1'!G89</f>
        <v>0</v>
      </c>
      <c r="K196" s="72">
        <f>+SUM(G46:I46)</f>
        <v>0</v>
      </c>
      <c r="M196" s="72">
        <f>+I196-K196</f>
        <v>0</v>
      </c>
      <c r="AC196" s="3452"/>
    </row>
    <row r="197" spans="4:29" ht="27.75" hidden="1" thickBot="1" x14ac:dyDescent="0.4">
      <c r="D197" s="4994"/>
      <c r="E197" s="5018"/>
      <c r="F197" s="4998"/>
      <c r="G197" s="4995" t="s">
        <v>49</v>
      </c>
      <c r="H197" s="4995"/>
      <c r="I197" s="1442">
        <f>+'Compra -HOJA1'!F90</f>
        <v>0</v>
      </c>
      <c r="J197" s="1442">
        <f>+'Compra -HOJA1'!G90</f>
        <v>0</v>
      </c>
      <c r="K197" s="72">
        <f>+SUM(G47:I47)</f>
        <v>0</v>
      </c>
      <c r="M197" s="72">
        <f>+I197-K197</f>
        <v>0</v>
      </c>
      <c r="AC197" s="3452"/>
    </row>
    <row r="198" spans="4:29" ht="50.25" hidden="1" thickBot="1" x14ac:dyDescent="0.4">
      <c r="D198" s="4994"/>
      <c r="E198" s="5018"/>
      <c r="F198" s="1439" t="s">
        <v>50</v>
      </c>
      <c r="G198" s="5016" t="s">
        <v>51</v>
      </c>
      <c r="H198" s="5016"/>
      <c r="I198" s="1442" t="e">
        <f>+'Compra -HOJA1'!#REF!</f>
        <v>#REF!</v>
      </c>
      <c r="J198" s="1442" t="e">
        <f>+'Compra -HOJA1'!#REF!</f>
        <v>#REF!</v>
      </c>
      <c r="AC198" s="3452"/>
    </row>
    <row r="199" spans="4:29" ht="18.75" hidden="1" thickBot="1" x14ac:dyDescent="0.3">
      <c r="D199" s="4994"/>
      <c r="E199" s="5012" t="s">
        <v>52</v>
      </c>
      <c r="F199" s="5001" t="s">
        <v>42</v>
      </c>
      <c r="G199" s="5001"/>
      <c r="H199" s="5001"/>
      <c r="I199" s="1442">
        <f>+'Compra -HOJA1'!F99</f>
        <v>0</v>
      </c>
      <c r="J199" s="1442">
        <f>+'Compra -HOJA1'!G99</f>
        <v>0</v>
      </c>
    </row>
    <row r="200" spans="4:29" ht="33.75" hidden="1" thickBot="1" x14ac:dyDescent="0.3">
      <c r="D200" s="4994"/>
      <c r="E200" s="5013"/>
      <c r="F200" s="1439" t="s">
        <v>43</v>
      </c>
      <c r="G200" s="4988" t="s">
        <v>44</v>
      </c>
      <c r="H200" s="4988"/>
      <c r="I200" s="1442">
        <f>+'Compra -HOJA1'!F100</f>
        <v>0</v>
      </c>
      <c r="J200" s="1442">
        <f>+'Compra -HOJA1'!G100</f>
        <v>0</v>
      </c>
    </row>
    <row r="201" spans="4:29" ht="18.75" hidden="1" thickBot="1" x14ac:dyDescent="0.3">
      <c r="D201" s="4994"/>
      <c r="E201" s="5013"/>
      <c r="F201" s="4996" t="s">
        <v>167</v>
      </c>
      <c r="G201" s="5003" t="s">
        <v>53</v>
      </c>
      <c r="H201" s="5003"/>
      <c r="I201" s="1442">
        <f>+'Compra -HOJA1'!F106</f>
        <v>0</v>
      </c>
      <c r="J201" s="1442">
        <f>+'Compra -HOJA1'!G106</f>
        <v>0</v>
      </c>
      <c r="K201" s="72"/>
    </row>
    <row r="202" spans="4:29" ht="18.75" hidden="1" thickBot="1" x14ac:dyDescent="0.3">
      <c r="D202" s="4994"/>
      <c r="E202" s="5013"/>
      <c r="F202" s="4997"/>
      <c r="G202" s="5003" t="s">
        <v>54</v>
      </c>
      <c r="H202" s="5003"/>
      <c r="I202" s="1442">
        <f>+'Compra -HOJA1'!F107</f>
        <v>0</v>
      </c>
      <c r="J202" s="1442">
        <f>+'Compra -HOJA1'!G107</f>
        <v>0</v>
      </c>
      <c r="K202">
        <f>SUM(G56:I59)</f>
        <v>0</v>
      </c>
      <c r="L202">
        <f>SUM(I201:I202)</f>
        <v>0</v>
      </c>
      <c r="M202">
        <f>+K202-L202</f>
        <v>0</v>
      </c>
    </row>
    <row r="203" spans="4:29" ht="18.75" hidden="1" thickBot="1" x14ac:dyDescent="0.3">
      <c r="D203" s="4994"/>
      <c r="E203" s="5013"/>
      <c r="F203" s="4997"/>
      <c r="G203" s="4995" t="s">
        <v>55</v>
      </c>
      <c r="H203" s="4995"/>
      <c r="I203" s="1442">
        <f>+'Compra -HOJA1'!F110</f>
        <v>0</v>
      </c>
      <c r="J203" s="1442">
        <f>+'Compra -HOJA1'!G110</f>
        <v>0</v>
      </c>
      <c r="M203">
        <f>+K203-L203</f>
        <v>0</v>
      </c>
    </row>
    <row r="204" spans="4:29" ht="18.75" hidden="1" thickBot="1" x14ac:dyDescent="0.3">
      <c r="D204" s="4994"/>
      <c r="E204" s="5013"/>
      <c r="F204" s="4998"/>
      <c r="G204" s="4995" t="s">
        <v>56</v>
      </c>
      <c r="H204" s="4995"/>
      <c r="I204" s="1442">
        <f>+'Compra -HOJA1'!F111</f>
        <v>0</v>
      </c>
      <c r="J204" s="1442">
        <f>+'Compra -HOJA1'!G111</f>
        <v>0</v>
      </c>
      <c r="K204" s="72">
        <f>+SUM(G60:I63)</f>
        <v>0</v>
      </c>
      <c r="L204">
        <f>SUM(I203:I204)</f>
        <v>0</v>
      </c>
      <c r="M204">
        <f>+K204-L204</f>
        <v>0</v>
      </c>
    </row>
    <row r="205" spans="4:29" ht="50.25" hidden="1" thickBot="1" x14ac:dyDescent="0.35">
      <c r="D205" s="4994"/>
      <c r="E205" s="5014"/>
      <c r="F205" s="1439" t="s">
        <v>50</v>
      </c>
      <c r="G205" s="5004" t="s">
        <v>51</v>
      </c>
      <c r="H205" s="5004"/>
      <c r="I205" s="1442" t="e">
        <f>+'Compra -HOJA1'!#REF!</f>
        <v>#REF!</v>
      </c>
      <c r="J205" s="1442" t="e">
        <f>+'Compra -HOJA1'!#REF!</f>
        <v>#REF!</v>
      </c>
    </row>
    <row r="206" spans="4:29" ht="18.75" hidden="1" thickBot="1" x14ac:dyDescent="0.3">
      <c r="D206" s="4994"/>
      <c r="E206" s="5005" t="s">
        <v>57</v>
      </c>
      <c r="F206" s="5007" t="s">
        <v>42</v>
      </c>
      <c r="G206" s="5008"/>
      <c r="H206" s="5009"/>
      <c r="I206" s="1442">
        <f>+'Compra -HOJA1'!F128</f>
        <v>0</v>
      </c>
      <c r="J206" s="1442">
        <f>+'Compra -HOJA1'!G128</f>
        <v>0</v>
      </c>
    </row>
    <row r="207" spans="4:29" ht="33.75" hidden="1" thickBot="1" x14ac:dyDescent="0.3">
      <c r="D207" s="4994"/>
      <c r="E207" s="5006"/>
      <c r="F207" s="1345" t="s">
        <v>43</v>
      </c>
      <c r="G207" s="4988" t="s">
        <v>44</v>
      </c>
      <c r="H207" s="4988"/>
      <c r="I207" s="1442">
        <f>+'Compra -HOJA1'!F129</f>
        <v>0</v>
      </c>
      <c r="J207" s="1442">
        <f>+'Compra -HOJA1'!G129</f>
        <v>0</v>
      </c>
    </row>
    <row r="208" spans="4:29" ht="18.75" hidden="1" thickBot="1" x14ac:dyDescent="0.3">
      <c r="D208" s="4994"/>
      <c r="E208" s="5006"/>
      <c r="F208" s="4996" t="s">
        <v>58</v>
      </c>
      <c r="G208" s="5003" t="s">
        <v>59</v>
      </c>
      <c r="H208" s="5003"/>
      <c r="I208" s="1442">
        <f>+'Compra -HOJA1'!F133</f>
        <v>0</v>
      </c>
      <c r="J208" s="1442">
        <f>+'Compra -HOJA1'!G133</f>
        <v>0</v>
      </c>
      <c r="K208" s="72">
        <f>+SUM(G80:I83)</f>
        <v>0</v>
      </c>
      <c r="M208" s="72">
        <f>+I208-K208</f>
        <v>0</v>
      </c>
    </row>
    <row r="209" spans="4:13" ht="18.75" hidden="1" thickBot="1" x14ac:dyDescent="0.3">
      <c r="D209" s="4994"/>
      <c r="E209" s="5006"/>
      <c r="F209" s="4998"/>
      <c r="G209" s="4995" t="s">
        <v>60</v>
      </c>
      <c r="H209" s="4995"/>
      <c r="I209" s="1442">
        <f>+'Compra -HOJA1'!F135</f>
        <v>0</v>
      </c>
      <c r="J209" s="1442">
        <f>+'Compra -HOJA1'!G135</f>
        <v>0</v>
      </c>
      <c r="K209" s="72">
        <f>+SUM(G84:I87)</f>
        <v>0</v>
      </c>
      <c r="M209" s="72">
        <f>+I209-K209</f>
        <v>0</v>
      </c>
    </row>
    <row r="210" spans="4:13" ht="50.25" hidden="1" thickBot="1" x14ac:dyDescent="0.35">
      <c r="D210" s="4994"/>
      <c r="E210" s="5006"/>
      <c r="F210" s="1345" t="s">
        <v>61</v>
      </c>
      <c r="G210" s="5004" t="s">
        <v>51</v>
      </c>
      <c r="H210" s="5004"/>
      <c r="I210" s="1442" t="e">
        <f>+'Compra -HOJA1'!#REF!</f>
        <v>#REF!</v>
      </c>
      <c r="J210" s="1442" t="e">
        <f>+'Compra -HOJA1'!#REF!</f>
        <v>#REF!</v>
      </c>
    </row>
    <row r="211" spans="4:13" ht="18.75" hidden="1" thickBot="1" x14ac:dyDescent="0.3">
      <c r="D211" s="4994"/>
      <c r="E211" s="4999" t="s">
        <v>62</v>
      </c>
      <c r="F211" s="5001" t="s">
        <v>42</v>
      </c>
      <c r="G211" s="5001"/>
      <c r="H211" s="5001"/>
      <c r="I211" s="1442">
        <f>+'Compra -HOJA1'!F143</f>
        <v>0</v>
      </c>
      <c r="J211" s="1442">
        <f>+'Compra -HOJA1'!G143</f>
        <v>0</v>
      </c>
    </row>
    <row r="212" spans="4:13" ht="33.75" hidden="1" thickBot="1" x14ac:dyDescent="0.3">
      <c r="D212" s="4994"/>
      <c r="E212" s="5000"/>
      <c r="F212" s="1439" t="s">
        <v>43</v>
      </c>
      <c r="G212" s="4988" t="s">
        <v>63</v>
      </c>
      <c r="H212" s="4988"/>
      <c r="I212" s="1442">
        <f>+'Compra -HOJA1'!F144</f>
        <v>0</v>
      </c>
      <c r="J212" s="1442">
        <f>+'Compra -HOJA1'!G144</f>
        <v>0</v>
      </c>
    </row>
    <row r="213" spans="4:13" ht="18.75" hidden="1" thickBot="1" x14ac:dyDescent="0.3">
      <c r="D213" s="4994"/>
      <c r="E213" s="5000"/>
      <c r="F213" s="5002" t="s">
        <v>45</v>
      </c>
      <c r="G213" s="5003" t="s">
        <v>64</v>
      </c>
      <c r="H213" s="5003"/>
      <c r="I213" s="1442">
        <f>+'Compra -HOJA1'!F148</f>
        <v>0</v>
      </c>
      <c r="J213" s="1442">
        <f>+'Compra -HOJA1'!G148</f>
        <v>0</v>
      </c>
      <c r="K213" s="72">
        <f>+SUM(G104:I107)</f>
        <v>0</v>
      </c>
      <c r="M213" s="72">
        <f>+I213-K213</f>
        <v>0</v>
      </c>
    </row>
    <row r="214" spans="4:13" ht="18.75" hidden="1" thickBot="1" x14ac:dyDescent="0.3">
      <c r="D214" s="4994"/>
      <c r="E214" s="5000"/>
      <c r="F214" s="5002"/>
      <c r="G214" s="4995" t="s">
        <v>65</v>
      </c>
      <c r="H214" s="4995"/>
      <c r="I214" s="1442">
        <f>+'Compra -HOJA1'!F150</f>
        <v>0</v>
      </c>
      <c r="J214" s="1442">
        <f>+'Compra -HOJA1'!G150</f>
        <v>0</v>
      </c>
      <c r="K214" s="72">
        <f>+SUM(G108:I111)</f>
        <v>0</v>
      </c>
      <c r="M214" s="72">
        <f>+I214-K214</f>
        <v>0</v>
      </c>
    </row>
    <row r="215" spans="4:13" ht="19.5" hidden="1" thickBot="1" x14ac:dyDescent="0.35">
      <c r="D215" s="4994"/>
      <c r="E215" s="5000"/>
      <c r="F215" s="1443" t="s">
        <v>66</v>
      </c>
      <c r="G215" s="5004" t="s">
        <v>51</v>
      </c>
      <c r="H215" s="5004"/>
      <c r="I215" s="1442" t="e">
        <f>+'Compra -HOJA1'!#REF!</f>
        <v>#REF!</v>
      </c>
      <c r="J215" s="1442" t="e">
        <f>+'Compra -HOJA1'!#REF!</f>
        <v>#REF!</v>
      </c>
    </row>
    <row r="216" spans="4:13" ht="18.75" hidden="1" thickBot="1" x14ac:dyDescent="0.3">
      <c r="D216" s="4994"/>
      <c r="E216" s="5019" t="s">
        <v>67</v>
      </c>
      <c r="F216" s="5007" t="s">
        <v>42</v>
      </c>
      <c r="G216" s="5008"/>
      <c r="H216" s="5009"/>
      <c r="I216" s="1442">
        <f>+'Compra -HOJA1'!F158</f>
        <v>0</v>
      </c>
      <c r="J216" s="1442">
        <f>+'Compra -HOJA1'!G158</f>
        <v>0</v>
      </c>
    </row>
    <row r="217" spans="4:13" ht="33.75" hidden="1" thickBot="1" x14ac:dyDescent="0.3">
      <c r="D217" s="4994"/>
      <c r="E217" s="5019"/>
      <c r="F217" s="1345" t="s">
        <v>43</v>
      </c>
      <c r="G217" s="4988" t="s">
        <v>44</v>
      </c>
      <c r="H217" s="4988"/>
      <c r="I217" s="1442">
        <f>+'Compra -HOJA1'!F159</f>
        <v>0</v>
      </c>
      <c r="J217" s="1442">
        <f>+'Compra -HOJA1'!G159</f>
        <v>0</v>
      </c>
    </row>
    <row r="218" spans="4:13" ht="18.75" hidden="1" thickBot="1" x14ac:dyDescent="0.3">
      <c r="D218" s="4994"/>
      <c r="E218" s="5019"/>
      <c r="F218" s="5002" t="s">
        <v>45</v>
      </c>
      <c r="G218" s="5003" t="s">
        <v>68</v>
      </c>
      <c r="H218" s="5003"/>
      <c r="I218" s="1442">
        <f>+'Compra -HOJA1'!F163</f>
        <v>0</v>
      </c>
      <c r="J218" s="1442">
        <f>+'Compra -HOJA1'!G163</f>
        <v>0</v>
      </c>
      <c r="K218" s="72">
        <f>+SUM(G128:I131)</f>
        <v>0</v>
      </c>
      <c r="M218" s="72">
        <f>+I218-K218</f>
        <v>0</v>
      </c>
    </row>
    <row r="219" spans="4:13" ht="18.75" hidden="1" thickBot="1" x14ac:dyDescent="0.3">
      <c r="D219" s="4994"/>
      <c r="E219" s="5019"/>
      <c r="F219" s="5002"/>
      <c r="G219" s="4995" t="s">
        <v>69</v>
      </c>
      <c r="H219" s="4995"/>
      <c r="I219" s="1442">
        <f>+'Compra -HOJA1'!F165</f>
        <v>0</v>
      </c>
      <c r="J219" s="1442">
        <f>+'Compra -HOJA1'!G165</f>
        <v>0</v>
      </c>
      <c r="K219" s="72">
        <f>+SUM(G132:I135)</f>
        <v>0</v>
      </c>
      <c r="M219" s="72">
        <f>+I219-K219</f>
        <v>0</v>
      </c>
    </row>
    <row r="220" spans="4:13" ht="49.5" hidden="1" x14ac:dyDescent="0.3">
      <c r="D220" s="4994"/>
      <c r="E220" s="5019"/>
      <c r="F220" s="1439" t="s">
        <v>66</v>
      </c>
      <c r="G220" s="5004" t="s">
        <v>51</v>
      </c>
      <c r="H220" s="5004"/>
      <c r="I220" s="1442" t="e">
        <f>+'Compra -HOJA1'!#REF!</f>
        <v>#REF!</v>
      </c>
      <c r="J220" s="1442" t="e">
        <f>+'Compra -HOJA1'!#REF!</f>
        <v>#REF!</v>
      </c>
    </row>
    <row r="221" spans="4:13" hidden="1" x14ac:dyDescent="0.25">
      <c r="I221" t="e">
        <f>SUM(I192:I220)</f>
        <v>#REF!</v>
      </c>
      <c r="J221" t="e">
        <f>SUM(J192:J220)</f>
        <v>#REF!</v>
      </c>
      <c r="K221">
        <f>SUM(K192:K220)</f>
        <v>0</v>
      </c>
      <c r="M221" s="72">
        <f>SUM(M194:M220)</f>
        <v>0</v>
      </c>
    </row>
    <row r="222" spans="4:13" hidden="1" x14ac:dyDescent="0.25"/>
    <row r="223" spans="4:13" hidden="1" x14ac:dyDescent="0.25">
      <c r="F223" s="5007" t="s">
        <v>42</v>
      </c>
      <c r="G223" s="5008"/>
      <c r="H223" s="5009"/>
      <c r="I223">
        <f>+I192+I199+I206+I211+I216</f>
        <v>0</v>
      </c>
      <c r="J223">
        <f>+J192+J199+J206+J211+J216</f>
        <v>0</v>
      </c>
    </row>
    <row r="224" spans="4:13" ht="33" hidden="1" x14ac:dyDescent="0.25">
      <c r="F224" s="1345" t="s">
        <v>43</v>
      </c>
      <c r="G224" s="4988" t="s">
        <v>44</v>
      </c>
      <c r="H224" s="4988"/>
      <c r="I224">
        <f>+I193+I200+I207+I212+I217</f>
        <v>0</v>
      </c>
      <c r="J224">
        <f>+J193+J200+J207+J212+J217</f>
        <v>0</v>
      </c>
    </row>
    <row r="225" spans="6:10" hidden="1" x14ac:dyDescent="0.25">
      <c r="F225" s="5002" t="s">
        <v>45</v>
      </c>
      <c r="G225" s="5003" t="s">
        <v>68</v>
      </c>
      <c r="H225" s="5003"/>
      <c r="I225">
        <f>+I194+I195+I201+I202+I208+I213+I218</f>
        <v>0</v>
      </c>
      <c r="J225">
        <f>+J194+J195+J201+J202+J208+J213+J218</f>
        <v>0</v>
      </c>
    </row>
    <row r="226" spans="6:10" hidden="1" x14ac:dyDescent="0.25">
      <c r="F226" s="5002"/>
      <c r="G226" s="4995" t="s">
        <v>69</v>
      </c>
      <c r="H226" s="4995"/>
      <c r="I226">
        <f>+I196+I197+I203+I204+I209+I214+I219</f>
        <v>0</v>
      </c>
      <c r="J226">
        <f>+J196+J197+J203+J204+J209+J214+J219</f>
        <v>0</v>
      </c>
    </row>
    <row r="227" spans="6:10" ht="49.5" hidden="1" x14ac:dyDescent="0.3">
      <c r="F227" s="1439" t="s">
        <v>66</v>
      </c>
      <c r="G227" s="5004" t="s">
        <v>51</v>
      </c>
      <c r="H227" s="5004"/>
      <c r="I227" t="e">
        <f>+I198+I205+I210+I215+I220</f>
        <v>#REF!</v>
      </c>
      <c r="J227" t="e">
        <f>+J198+J205+J210+J215+J220</f>
        <v>#REF!</v>
      </c>
    </row>
    <row r="228" spans="6:10" hidden="1" x14ac:dyDescent="0.25">
      <c r="I228" t="e">
        <f>SUM(I223:I227)</f>
        <v>#REF!</v>
      </c>
      <c r="J228" t="e">
        <f>SUM(J223:J227)</f>
        <v>#REF!</v>
      </c>
    </row>
    <row r="229" spans="6:10" hidden="1" x14ac:dyDescent="0.25"/>
    <row r="230" spans="6:10" hidden="1" x14ac:dyDescent="0.25"/>
    <row r="231" spans="6:10" hidden="1" x14ac:dyDescent="0.25">
      <c r="I231">
        <f>+I225+I226</f>
        <v>0</v>
      </c>
    </row>
    <row r="232" spans="6:10" hidden="1" x14ac:dyDescent="0.25">
      <c r="I232" s="72">
        <f>+D31</f>
        <v>0</v>
      </c>
    </row>
    <row r="233" spans="6:10" hidden="1" x14ac:dyDescent="0.25">
      <c r="I233" s="72">
        <f>+I231-I232</f>
        <v>0</v>
      </c>
    </row>
    <row r="234" spans="6:10" hidden="1" x14ac:dyDescent="0.25"/>
    <row r="235" spans="6:10" hidden="1" x14ac:dyDescent="0.25"/>
    <row r="236" spans="6:10" hidden="1" x14ac:dyDescent="0.25"/>
    <row r="237" spans="6:10" hidden="1" x14ac:dyDescent="0.25"/>
    <row r="238" spans="6:10" hidden="1" x14ac:dyDescent="0.25"/>
    <row r="239" spans="6:10" hidden="1" x14ac:dyDescent="0.25"/>
    <row r="240" spans="6:1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</sheetData>
  <sheetProtection algorithmName="SHA-512" hashValue="pTlsr1Mrf/01s5aleQX+fJQ99X8LYSucaAHlDo5ZzhsL9LeUlcgO4Lb7J1Pk3vugx6/kXflVGQPt2Xz23ReWyQ==" saltValue="nzOJk24nte/TABwZfEu3lg==" spinCount="100000" sheet="1" objects="1" scenarios="1"/>
  <mergeCells count="92">
    <mergeCell ref="D96:D103"/>
    <mergeCell ref="D48:D51"/>
    <mergeCell ref="D52:D55"/>
    <mergeCell ref="D64:D71"/>
    <mergeCell ref="D72:D79"/>
    <mergeCell ref="D88:D95"/>
    <mergeCell ref="F225:F226"/>
    <mergeCell ref="G225:H225"/>
    <mergeCell ref="G226:H226"/>
    <mergeCell ref="G227:H227"/>
    <mergeCell ref="E216:E220"/>
    <mergeCell ref="F216:H216"/>
    <mergeCell ref="G217:H217"/>
    <mergeCell ref="F218:F219"/>
    <mergeCell ref="G218:H218"/>
    <mergeCell ref="G219:H219"/>
    <mergeCell ref="G224:H224"/>
    <mergeCell ref="G220:H220"/>
    <mergeCell ref="F223:H223"/>
    <mergeCell ref="I190:I191"/>
    <mergeCell ref="J190:J191"/>
    <mergeCell ref="E199:E205"/>
    <mergeCell ref="F199:H199"/>
    <mergeCell ref="G200:H200"/>
    <mergeCell ref="F201:F204"/>
    <mergeCell ref="G201:H201"/>
    <mergeCell ref="G194:H194"/>
    <mergeCell ref="G195:H195"/>
    <mergeCell ref="G196:H196"/>
    <mergeCell ref="G197:H197"/>
    <mergeCell ref="G198:H198"/>
    <mergeCell ref="E192:E198"/>
    <mergeCell ref="F192:H192"/>
    <mergeCell ref="G204:H204"/>
    <mergeCell ref="G205:H205"/>
    <mergeCell ref="F208:F209"/>
    <mergeCell ref="G208:H208"/>
    <mergeCell ref="G209:H209"/>
    <mergeCell ref="G210:H210"/>
    <mergeCell ref="G202:H202"/>
    <mergeCell ref="G193:H193"/>
    <mergeCell ref="D190:H191"/>
    <mergeCell ref="D192:D220"/>
    <mergeCell ref="G203:H203"/>
    <mergeCell ref="D155:D162"/>
    <mergeCell ref="F194:F197"/>
    <mergeCell ref="E211:E215"/>
    <mergeCell ref="F211:H211"/>
    <mergeCell ref="G212:H212"/>
    <mergeCell ref="F213:F214"/>
    <mergeCell ref="G213:H213"/>
    <mergeCell ref="G214:H214"/>
    <mergeCell ref="G215:H215"/>
    <mergeCell ref="E206:E210"/>
    <mergeCell ref="F206:H206"/>
    <mergeCell ref="G207:H207"/>
    <mergeCell ref="AT35:BE35"/>
    <mergeCell ref="G31:K31"/>
    <mergeCell ref="Z31:AE31"/>
    <mergeCell ref="Z32:AB32"/>
    <mergeCell ref="AC32:AE32"/>
    <mergeCell ref="R31:S31"/>
    <mergeCell ref="U31:V31"/>
    <mergeCell ref="Z40:AE40"/>
    <mergeCell ref="A1:A3"/>
    <mergeCell ref="F16:F17"/>
    <mergeCell ref="G16:I16"/>
    <mergeCell ref="J16:L16"/>
    <mergeCell ref="D14:O14"/>
    <mergeCell ref="D1:O1"/>
    <mergeCell ref="F2:F3"/>
    <mergeCell ref="G2:I2"/>
    <mergeCell ref="J2:L2"/>
    <mergeCell ref="B1:C3"/>
    <mergeCell ref="M2:O2"/>
    <mergeCell ref="M16:O16"/>
    <mergeCell ref="D112:D119"/>
    <mergeCell ref="D120:D127"/>
    <mergeCell ref="D136:D143"/>
    <mergeCell ref="D144:D151"/>
    <mergeCell ref="AJ40:AO40"/>
    <mergeCell ref="AB41:AC41"/>
    <mergeCell ref="Y41:Z41"/>
    <mergeCell ref="M41:O41"/>
    <mergeCell ref="D128:D135"/>
    <mergeCell ref="F41:F42"/>
    <mergeCell ref="G41:I41"/>
    <mergeCell ref="J41:L41"/>
    <mergeCell ref="D56:D63"/>
    <mergeCell ref="D44:D47"/>
    <mergeCell ref="D80:D87"/>
    <mergeCell ref="D104:D111"/>
  </mergeCells>
  <pageMargins left="0.7" right="0.7" top="0.75" bottom="0.75" header="0.3" footer="0.3"/>
  <pageSetup paperSize="9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AC73"/>
  <sheetViews>
    <sheetView topLeftCell="E35" workbookViewId="0">
      <selection activeCell="G46" sqref="G46"/>
    </sheetView>
  </sheetViews>
  <sheetFormatPr baseColWidth="10" defaultColWidth="11.42578125" defaultRowHeight="12.75" x14ac:dyDescent="0.2"/>
  <cols>
    <col min="3" max="5" width="21" customWidth="1"/>
    <col min="6" max="6" width="24.28515625" customWidth="1"/>
    <col min="7" max="7" width="21" customWidth="1"/>
    <col min="8" max="8" width="22.7109375" customWidth="1"/>
    <col min="9" max="10" width="26.28515625" customWidth="1"/>
    <col min="11" max="11" width="27.42578125" customWidth="1"/>
    <col min="12" max="28" width="21" customWidth="1"/>
  </cols>
  <sheetData>
    <row r="2" spans="1:29" ht="13.5" thickBot="1" x14ac:dyDescent="0.25"/>
    <row r="3" spans="1:29" ht="16.5" thickBot="1" x14ac:dyDescent="0.25">
      <c r="C3" s="5020" t="s">
        <v>87</v>
      </c>
      <c r="D3" s="5021"/>
      <c r="E3" s="5021"/>
      <c r="F3" s="5022"/>
    </row>
    <row r="4" spans="1:29" ht="15.75" x14ac:dyDescent="0.2">
      <c r="C4" s="2891" t="s">
        <v>4</v>
      </c>
      <c r="D4" s="2892" t="s">
        <v>5</v>
      </c>
      <c r="E4" s="2892" t="s">
        <v>6</v>
      </c>
      <c r="F4" s="2892" t="s">
        <v>7</v>
      </c>
    </row>
    <row r="5" spans="1:29" ht="15.75" x14ac:dyDescent="0.25">
      <c r="C5" s="2680">
        <f>SUM(D5:F5)</f>
        <v>1328000</v>
      </c>
      <c r="D5" s="2893">
        <v>185000</v>
      </c>
      <c r="E5" s="2893">
        <v>785000</v>
      </c>
      <c r="F5" s="2893">
        <v>358000</v>
      </c>
    </row>
    <row r="6" spans="1:29" ht="13.5" thickBot="1" x14ac:dyDescent="0.25"/>
    <row r="7" spans="1:29" s="2906" customFormat="1" ht="30.75" customHeight="1" thickBot="1" x14ac:dyDescent="0.25">
      <c r="A7" s="2903"/>
      <c r="B7" s="2904"/>
      <c r="C7" s="2905"/>
      <c r="D7" s="2905"/>
      <c r="F7" s="2905"/>
      <c r="H7" s="5023" t="s">
        <v>1</v>
      </c>
      <c r="I7" s="5024"/>
      <c r="J7" s="5025"/>
      <c r="K7" s="5026" t="s">
        <v>152</v>
      </c>
      <c r="L7" s="5027"/>
      <c r="M7" s="5028"/>
      <c r="N7" s="5029" t="s">
        <v>4</v>
      </c>
      <c r="O7" s="5030"/>
      <c r="P7" s="5030"/>
      <c r="Q7" s="5031"/>
      <c r="R7" s="2907"/>
      <c r="S7" s="2907"/>
      <c r="T7" s="2907"/>
      <c r="U7" s="2907"/>
      <c r="V7" s="2907"/>
      <c r="W7" s="2907"/>
      <c r="X7" s="2907"/>
      <c r="Y7" s="2907"/>
      <c r="Z7" s="2907"/>
      <c r="AA7" s="2907"/>
      <c r="AB7" s="2907"/>
      <c r="AC7" s="2907"/>
    </row>
    <row r="8" spans="1:29" s="946" customFormat="1" ht="30.75" customHeight="1" x14ac:dyDescent="0.2">
      <c r="A8" s="2908"/>
      <c r="B8" s="601"/>
      <c r="C8" s="2909"/>
      <c r="D8" s="2909"/>
      <c r="F8" s="627" t="s">
        <v>154</v>
      </c>
      <c r="G8" s="2763" t="s">
        <v>4</v>
      </c>
      <c r="H8" s="627" t="s">
        <v>5</v>
      </c>
      <c r="I8" s="627" t="s">
        <v>6</v>
      </c>
      <c r="J8" s="627" t="s">
        <v>7</v>
      </c>
      <c r="K8" s="2894" t="s">
        <v>5</v>
      </c>
      <c r="L8" s="2894" t="s">
        <v>6</v>
      </c>
      <c r="M8" s="2894" t="s">
        <v>7</v>
      </c>
      <c r="N8" s="2894" t="s">
        <v>5</v>
      </c>
      <c r="O8" s="2894" t="s">
        <v>6</v>
      </c>
      <c r="P8" s="2894" t="s">
        <v>7</v>
      </c>
      <c r="Q8" s="2768" t="s">
        <v>4</v>
      </c>
      <c r="R8" s="2910" t="s">
        <v>152</v>
      </c>
      <c r="S8" s="2910"/>
      <c r="T8" s="2910"/>
      <c r="U8" s="2910"/>
      <c r="V8" s="2910"/>
      <c r="W8" s="2910"/>
      <c r="X8" s="2910"/>
      <c r="Y8" s="2910"/>
      <c r="Z8" s="2910"/>
      <c r="AA8" s="2910"/>
      <c r="AB8" s="2910"/>
      <c r="AC8" s="2910"/>
    </row>
    <row r="9" spans="1:29" s="946" customFormat="1" ht="30.75" customHeight="1" x14ac:dyDescent="0.25">
      <c r="A9" s="2908"/>
      <c r="B9" s="601"/>
      <c r="C9" s="2909"/>
      <c r="D9" s="2909"/>
      <c r="E9" s="2688" t="s">
        <v>155</v>
      </c>
      <c r="F9" s="2895">
        <f>+'Compra -HOJA1'!F72</f>
        <v>0</v>
      </c>
      <c r="G9" s="2446">
        <f>+'Compra -HOJA1'!G72</f>
        <v>0</v>
      </c>
      <c r="H9" s="2896">
        <f>+'Compra -HOJA1'!H72</f>
        <v>0</v>
      </c>
      <c r="I9" s="2896">
        <f>+'Compra -HOJA1'!I72</f>
        <v>0</v>
      </c>
      <c r="J9" s="2896">
        <f>+'Compra -HOJA1'!J72</f>
        <v>0</v>
      </c>
      <c r="K9" s="2897">
        <f>+'Compra -HOJA1'!K72</f>
        <v>0</v>
      </c>
      <c r="L9" s="2896">
        <f>+'Compra -HOJA1'!L72</f>
        <v>0</v>
      </c>
      <c r="M9" s="2896">
        <f>+'Compra -HOJA1'!M72</f>
        <v>0</v>
      </c>
      <c r="N9" s="2896">
        <f>+'Compra -HOJA1'!N72</f>
        <v>0</v>
      </c>
      <c r="O9" s="2896">
        <f>+'Compra -HOJA1'!O72</f>
        <v>0</v>
      </c>
      <c r="P9" s="2896">
        <f>+'Compra -HOJA1'!P72</f>
        <v>0</v>
      </c>
      <c r="Q9" s="2896">
        <f>+'Compra -HOJA1'!Q72</f>
        <v>0</v>
      </c>
      <c r="R9" s="2910">
        <f>+'Compra -HOJA1'!R72</f>
        <v>0</v>
      </c>
      <c r="S9" s="2910"/>
      <c r="T9" s="2910"/>
      <c r="U9" s="2910"/>
      <c r="V9" s="2910"/>
      <c r="W9" s="2910"/>
      <c r="X9" s="2910"/>
      <c r="Y9" s="2910"/>
      <c r="Z9" s="2910"/>
      <c r="AA9" s="2910"/>
      <c r="AB9" s="2910"/>
      <c r="AC9" s="2910"/>
    </row>
    <row r="10" spans="1:29" s="946" customFormat="1" ht="30.75" customHeight="1" x14ac:dyDescent="0.25">
      <c r="A10" s="2908"/>
      <c r="B10" s="601"/>
      <c r="C10" s="2909"/>
      <c r="D10" s="2909"/>
      <c r="E10" s="2688" t="s">
        <v>156</v>
      </c>
      <c r="F10" s="2898">
        <f>+'Compra -HOJA1'!F73</f>
        <v>0</v>
      </c>
      <c r="G10" s="2911">
        <f>+'Compra -HOJA1'!G73</f>
        <v>0</v>
      </c>
      <c r="H10" s="2896">
        <f>+'Compra -HOJA1'!H73</f>
        <v>0</v>
      </c>
      <c r="I10" s="2896">
        <f>+'Compra -HOJA1'!I73</f>
        <v>0</v>
      </c>
      <c r="J10" s="2896">
        <f>+'Compra -HOJA1'!J73</f>
        <v>0</v>
      </c>
      <c r="K10" s="2897">
        <f>+'Compra -HOJA1'!K73</f>
        <v>0</v>
      </c>
      <c r="L10" s="2899">
        <f>+'Compra -HOJA1'!L73</f>
        <v>0</v>
      </c>
      <c r="M10" s="2900">
        <f>+'Compra -HOJA1'!M73</f>
        <v>0</v>
      </c>
      <c r="N10" s="2896">
        <f>+'Compra -HOJA1'!N73</f>
        <v>0</v>
      </c>
      <c r="O10" s="2896">
        <f>+'Compra -HOJA1'!O73</f>
        <v>0</v>
      </c>
      <c r="P10" s="2896">
        <f>+'Compra -HOJA1'!P73</f>
        <v>0</v>
      </c>
      <c r="Q10" s="2896">
        <f>+'Compra -HOJA1'!Q73</f>
        <v>0</v>
      </c>
      <c r="R10" s="2910">
        <f>+'Compra -HOJA1'!R73</f>
        <v>0</v>
      </c>
      <c r="S10" s="2910"/>
      <c r="T10" s="2910"/>
      <c r="U10" s="2910"/>
      <c r="V10" s="2910"/>
      <c r="W10" s="2910"/>
      <c r="X10" s="2910"/>
      <c r="Y10" s="2910"/>
      <c r="Z10" s="2910"/>
      <c r="AA10" s="2910"/>
      <c r="AB10" s="2910"/>
      <c r="AC10" s="2910"/>
    </row>
    <row r="11" spans="1:29" s="946" customFormat="1" ht="30.75" customHeight="1" x14ac:dyDescent="0.25">
      <c r="A11" s="2908"/>
      <c r="B11" s="601"/>
      <c r="C11" s="2909"/>
      <c r="D11" s="2909"/>
      <c r="E11" s="2688" t="s">
        <v>429</v>
      </c>
      <c r="F11" s="2898" t="e">
        <f>+'Compra -HOJA1'!#REF!</f>
        <v>#REF!</v>
      </c>
      <c r="G11" s="2911" t="e">
        <f>+'Compra -HOJA1'!#REF!</f>
        <v>#REF!</v>
      </c>
      <c r="H11" s="2896" t="e">
        <f>+'Compra -HOJA1'!#REF!</f>
        <v>#REF!</v>
      </c>
      <c r="I11" s="2896" t="e">
        <f>+'Compra -HOJA1'!#REF!</f>
        <v>#REF!</v>
      </c>
      <c r="J11" s="2896" t="e">
        <f>+'Compra -HOJA1'!#REF!</f>
        <v>#REF!</v>
      </c>
      <c r="K11" s="2901" t="e">
        <f>+'Compra -HOJA1'!#REF!</f>
        <v>#REF!</v>
      </c>
      <c r="L11" s="2902" t="e">
        <f>+'Compra -HOJA1'!#REF!</f>
        <v>#REF!</v>
      </c>
      <c r="M11" s="2902" t="e">
        <f>+'Compra -HOJA1'!#REF!</f>
        <v>#REF!</v>
      </c>
      <c r="N11" s="2896" t="e">
        <f>+'Compra -HOJA1'!#REF!</f>
        <v>#REF!</v>
      </c>
      <c r="O11" s="2896" t="e">
        <f>+'Compra -HOJA1'!#REF!</f>
        <v>#REF!</v>
      </c>
      <c r="P11" s="2896" t="e">
        <f>+'Compra -HOJA1'!#REF!</f>
        <v>#REF!</v>
      </c>
      <c r="Q11" s="2896" t="e">
        <f>+'Compra -HOJA1'!#REF!</f>
        <v>#REF!</v>
      </c>
      <c r="R11" s="2912" t="e">
        <f>+'Compra -HOJA1'!#REF!</f>
        <v>#REF!</v>
      </c>
      <c r="S11" s="2910"/>
      <c r="T11" s="2910"/>
      <c r="U11" s="2910"/>
      <c r="V11" s="2910"/>
      <c r="W11" s="2910"/>
      <c r="X11" s="2910"/>
      <c r="Y11" s="2910"/>
      <c r="Z11" s="2910"/>
      <c r="AA11" s="2910"/>
      <c r="AB11" s="2910"/>
      <c r="AC11" s="2910"/>
    </row>
    <row r="12" spans="1:29" s="946" customFormat="1" ht="30.75" customHeight="1" x14ac:dyDescent="0.25">
      <c r="A12" s="2908"/>
      <c r="B12" s="601"/>
      <c r="C12" s="2909"/>
      <c r="D12" s="2909"/>
      <c r="E12" s="2688" t="s">
        <v>18</v>
      </c>
      <c r="F12" s="2898">
        <f ca="1">+'Compra -HOJA1'!F74</f>
        <v>0</v>
      </c>
      <c r="G12" s="2911">
        <f ca="1">+'Compra -HOJA1'!G74</f>
        <v>0</v>
      </c>
      <c r="H12" s="2896">
        <f ca="1">+'Compra -HOJA1'!H74</f>
        <v>0</v>
      </c>
      <c r="I12" s="2896">
        <f ca="1">+'Compra -HOJA1'!I74</f>
        <v>0</v>
      </c>
      <c r="J12" s="2896">
        <f ca="1">+'Compra -HOJA1'!J74</f>
        <v>0</v>
      </c>
      <c r="K12" s="2901">
        <f ca="1">+'Compra -HOJA1'!K74</f>
        <v>0</v>
      </c>
      <c r="L12" s="2902">
        <f ca="1">+'Compra -HOJA1'!L74</f>
        <v>0</v>
      </c>
      <c r="M12" s="2902">
        <f ca="1">+'Compra -HOJA1'!M74</f>
        <v>0</v>
      </c>
      <c r="N12" s="2896">
        <f ca="1">+'Compra -HOJA1'!N74</f>
        <v>0</v>
      </c>
      <c r="O12" s="2896">
        <f ca="1">+'Compra -HOJA1'!O74</f>
        <v>0</v>
      </c>
      <c r="P12" s="2896">
        <f ca="1">+'Compra -HOJA1'!P74</f>
        <v>0</v>
      </c>
      <c r="Q12" s="2896">
        <f ca="1">+'Compra -HOJA1'!Q74</f>
        <v>0</v>
      </c>
      <c r="R12" s="2912">
        <f ca="1">+'Compra -HOJA1'!R74</f>
        <v>0</v>
      </c>
      <c r="S12" s="2910"/>
      <c r="T12" s="2910"/>
      <c r="U12" s="2910"/>
      <c r="V12" s="2910"/>
      <c r="W12" s="2910"/>
      <c r="X12" s="2910"/>
      <c r="Y12" s="2910"/>
      <c r="Z12" s="2910"/>
      <c r="AA12" s="2910"/>
      <c r="AB12" s="2910"/>
      <c r="AC12" s="2910"/>
    </row>
    <row r="13" spans="1:29" s="946" customFormat="1" ht="30.75" customHeight="1" x14ac:dyDescent="0.25">
      <c r="A13" s="2908"/>
      <c r="B13" s="601"/>
      <c r="C13" s="2909"/>
      <c r="D13" s="2909"/>
      <c r="E13" s="2688" t="s">
        <v>157</v>
      </c>
      <c r="F13" s="2898">
        <f>+'Compra -HOJA1'!F75</f>
        <v>0</v>
      </c>
      <c r="G13" s="2911">
        <f>+'Compra -HOJA1'!G75</f>
        <v>0</v>
      </c>
      <c r="H13" s="2896">
        <f>+'Compra -HOJA1'!H75</f>
        <v>0</v>
      </c>
      <c r="I13" s="2896">
        <f>+'Compra -HOJA1'!I75</f>
        <v>0</v>
      </c>
      <c r="J13" s="2896">
        <f>+'Compra -HOJA1'!J75</f>
        <v>0</v>
      </c>
      <c r="K13" s="2901">
        <f>+'Compra -HOJA1'!K75</f>
        <v>0</v>
      </c>
      <c r="L13" s="2902">
        <f>+'Compra -HOJA1'!L75</f>
        <v>0</v>
      </c>
      <c r="M13" s="2902">
        <f>+'Compra -HOJA1'!M75</f>
        <v>0</v>
      </c>
      <c r="N13" s="2896">
        <f>+'Compra -HOJA1'!N75</f>
        <v>0</v>
      </c>
      <c r="O13" s="2896">
        <f>+'Compra -HOJA1'!O75</f>
        <v>0</v>
      </c>
      <c r="P13" s="2896">
        <f>+'Compra -HOJA1'!P75</f>
        <v>0</v>
      </c>
      <c r="Q13" s="2896">
        <f>+'Compra -HOJA1'!Q75</f>
        <v>0</v>
      </c>
      <c r="R13" s="2912">
        <f>+'Compra -HOJA1'!R75</f>
        <v>0</v>
      </c>
      <c r="S13" s="2910"/>
      <c r="T13" s="2910"/>
      <c r="U13" s="2910"/>
      <c r="V13" s="2910"/>
      <c r="W13" s="2910"/>
      <c r="X13" s="2910"/>
      <c r="Y13" s="2910"/>
      <c r="Z13" s="2910"/>
      <c r="AA13" s="2910"/>
      <c r="AB13" s="2910"/>
      <c r="AC13" s="2910"/>
    </row>
    <row r="14" spans="1:29" s="946" customFormat="1" ht="30.75" customHeight="1" x14ac:dyDescent="0.25">
      <c r="A14" s="2908"/>
      <c r="B14" s="601"/>
      <c r="C14" s="2909"/>
      <c r="D14" s="2909"/>
      <c r="E14" s="2688" t="s">
        <v>158</v>
      </c>
      <c r="F14" s="2898">
        <f>+'Compra -HOJA1'!F76</f>
        <v>0</v>
      </c>
      <c r="G14" s="2911">
        <f>+'Compra -HOJA1'!G76</f>
        <v>0</v>
      </c>
      <c r="H14" s="2896">
        <f>+'Compra -HOJA1'!H76</f>
        <v>0</v>
      </c>
      <c r="I14" s="2896">
        <f>+'Compra -HOJA1'!I76</f>
        <v>0</v>
      </c>
      <c r="J14" s="2896">
        <f>+'Compra -HOJA1'!J76</f>
        <v>0</v>
      </c>
      <c r="K14" s="2901">
        <f>+'Compra -HOJA1'!K76</f>
        <v>0</v>
      </c>
      <c r="L14" s="2902">
        <f>+'Compra -HOJA1'!L76</f>
        <v>0</v>
      </c>
      <c r="M14" s="2902">
        <f>+'Compra -HOJA1'!M76</f>
        <v>0</v>
      </c>
      <c r="N14" s="2896">
        <f>+'Compra -HOJA1'!N76</f>
        <v>0</v>
      </c>
      <c r="O14" s="2896">
        <f>+'Compra -HOJA1'!O76</f>
        <v>0</v>
      </c>
      <c r="P14" s="2896">
        <f>+'Compra -HOJA1'!P76</f>
        <v>0</v>
      </c>
      <c r="Q14" s="2896">
        <f>+'Compra -HOJA1'!Q76</f>
        <v>0</v>
      </c>
      <c r="R14" s="2912">
        <f>+'Compra -HOJA1'!R76</f>
        <v>0</v>
      </c>
      <c r="S14" s="2910"/>
      <c r="T14" s="2910"/>
      <c r="U14" s="2910"/>
      <c r="V14" s="2910"/>
      <c r="W14" s="2910"/>
      <c r="X14" s="2910"/>
      <c r="Y14" s="2910"/>
      <c r="Z14" s="2910"/>
      <c r="AA14" s="2910"/>
      <c r="AB14" s="2910"/>
      <c r="AC14" s="2910"/>
    </row>
    <row r="15" spans="1:29" s="946" customFormat="1" ht="30.75" customHeight="1" x14ac:dyDescent="0.25">
      <c r="A15" s="2908"/>
      <c r="B15" s="601"/>
      <c r="C15" s="2909"/>
      <c r="D15" s="2909"/>
      <c r="E15" s="2688">
        <v>5500</v>
      </c>
      <c r="F15" s="2895">
        <f>+'Compra -HOJA1'!F77</f>
        <v>0</v>
      </c>
      <c r="G15" s="2911">
        <f>+'Compra -HOJA1'!G77</f>
        <v>0</v>
      </c>
      <c r="H15" s="2896">
        <f>+'Compra -HOJA1'!H77</f>
        <v>0</v>
      </c>
      <c r="I15" s="2896">
        <f>+'Compra -HOJA1'!I77</f>
        <v>0</v>
      </c>
      <c r="J15" s="2896">
        <f>+'Compra -HOJA1'!J77</f>
        <v>0</v>
      </c>
      <c r="K15" s="2913">
        <f>+'Compra -HOJA1'!K77</f>
        <v>0</v>
      </c>
      <c r="L15" s="2913">
        <f>+'Compra -HOJA1'!L77</f>
        <v>0</v>
      </c>
      <c r="M15" s="2913">
        <f>+'Compra -HOJA1'!M77</f>
        <v>0</v>
      </c>
      <c r="N15" s="2913">
        <f>+'Compra -HOJA1'!N77</f>
        <v>0</v>
      </c>
      <c r="O15" s="2913">
        <f>+'Compra -HOJA1'!O77</f>
        <v>0</v>
      </c>
      <c r="P15" s="2913">
        <f>+'Compra -HOJA1'!P77</f>
        <v>0</v>
      </c>
      <c r="Q15" s="2913">
        <f>+'Compra -HOJA1'!Q77</f>
        <v>0</v>
      </c>
      <c r="R15" s="2910">
        <f>+'Compra -HOJA1'!R77</f>
        <v>0</v>
      </c>
      <c r="S15" s="2910"/>
      <c r="T15" s="2910"/>
      <c r="U15" s="2910"/>
      <c r="V15" s="2910"/>
      <c r="W15" s="2910"/>
      <c r="X15" s="2910"/>
      <c r="Y15" s="2910"/>
      <c r="Z15" s="2910"/>
      <c r="AA15" s="2910"/>
      <c r="AB15" s="2910"/>
      <c r="AC15" s="2910"/>
    </row>
    <row r="16" spans="1:29" s="2917" customFormat="1" ht="30.75" customHeight="1" thickBot="1" x14ac:dyDescent="0.3">
      <c r="A16" s="2914"/>
      <c r="B16" s="2915"/>
      <c r="C16" s="2916"/>
      <c r="D16" s="2916"/>
      <c r="F16" s="2918">
        <f ca="1">+'Compra -HOJA1'!F78</f>
        <v>0</v>
      </c>
      <c r="G16" s="2919">
        <f ca="1">+'Compra -HOJA1'!G78</f>
        <v>0</v>
      </c>
      <c r="H16" s="2920">
        <f ca="1">+'Compra -HOJA1'!H78</f>
        <v>0</v>
      </c>
      <c r="I16" s="2920">
        <f ca="1">+'Compra -HOJA1'!I78</f>
        <v>0</v>
      </c>
      <c r="J16" s="2920">
        <f ca="1">+'Compra -HOJA1'!J78</f>
        <v>0</v>
      </c>
      <c r="K16" s="2921">
        <f ca="1">+'Compra -HOJA1'!K78</f>
        <v>0</v>
      </c>
      <c r="L16" s="2921">
        <f ca="1">+'Compra -HOJA1'!L78</f>
        <v>0</v>
      </c>
      <c r="M16" s="2921">
        <f ca="1">+'Compra -HOJA1'!M78</f>
        <v>0</v>
      </c>
      <c r="N16" s="2922">
        <f ca="1">+'Compra -HOJA1'!N78</f>
        <v>0</v>
      </c>
      <c r="O16" s="2922">
        <f ca="1">+'Compra -HOJA1'!O78</f>
        <v>0</v>
      </c>
      <c r="P16" s="2922">
        <f ca="1">+'Compra -HOJA1'!P78</f>
        <v>0</v>
      </c>
      <c r="Q16" s="2923">
        <f ca="1">+'Compra -HOJA1'!Q78</f>
        <v>0</v>
      </c>
      <c r="R16" s="2924">
        <f>+'Compra -HOJA1'!R78</f>
        <v>0</v>
      </c>
      <c r="S16" s="2924"/>
      <c r="T16" s="2924"/>
      <c r="U16" s="2924"/>
      <c r="V16" s="2924"/>
      <c r="W16" s="2924"/>
      <c r="X16" s="2924"/>
      <c r="Y16" s="2924"/>
      <c r="Z16" s="2924"/>
      <c r="AA16" s="2924"/>
      <c r="AB16" s="2924"/>
      <c r="AC16" s="2924"/>
    </row>
    <row r="17" spans="4:20" ht="13.5" thickBot="1" x14ac:dyDescent="0.25"/>
    <row r="18" spans="4:20" ht="27" thickBot="1" x14ac:dyDescent="0.45">
      <c r="H18" s="5032" t="s">
        <v>833</v>
      </c>
      <c r="I18" s="5032"/>
      <c r="J18" s="5032"/>
      <c r="K18" s="5023" t="s">
        <v>1</v>
      </c>
      <c r="L18" s="5024"/>
      <c r="M18" s="5025"/>
      <c r="N18" s="5026" t="s">
        <v>152</v>
      </c>
      <c r="O18" s="5027"/>
      <c r="P18" s="5028"/>
      <c r="Q18" s="5029" t="s">
        <v>4</v>
      </c>
      <c r="R18" s="5030"/>
      <c r="S18" s="5030"/>
      <c r="T18" s="5031"/>
    </row>
    <row r="19" spans="4:20" ht="26.25" x14ac:dyDescent="0.2">
      <c r="H19" s="2933" t="s">
        <v>5</v>
      </c>
      <c r="I19" s="2933" t="s">
        <v>6</v>
      </c>
      <c r="J19" s="2933" t="s">
        <v>7</v>
      </c>
      <c r="K19" s="2933" t="s">
        <v>5</v>
      </c>
      <c r="L19" s="2933" t="s">
        <v>6</v>
      </c>
      <c r="M19" s="2933" t="s">
        <v>7</v>
      </c>
      <c r="N19" s="2933" t="s">
        <v>5</v>
      </c>
      <c r="O19" s="2933" t="s">
        <v>6</v>
      </c>
      <c r="P19" s="2933" t="s">
        <v>7</v>
      </c>
      <c r="Q19" s="2894" t="s">
        <v>5</v>
      </c>
      <c r="R19" s="2894" t="s">
        <v>6</v>
      </c>
      <c r="S19" s="2894" t="s">
        <v>7</v>
      </c>
      <c r="T19" s="2768" t="s">
        <v>4</v>
      </c>
    </row>
    <row r="20" spans="4:20" ht="15.75" x14ac:dyDescent="0.25">
      <c r="E20" s="2688" t="s">
        <v>834</v>
      </c>
      <c r="F20" s="2895">
        <f>SUM(H20:J20)</f>
        <v>0</v>
      </c>
      <c r="H20" s="2902">
        <f>+H9</f>
        <v>0</v>
      </c>
      <c r="I20" s="2902">
        <f t="shared" ref="I20:J20" si="0">+I9</f>
        <v>0</v>
      </c>
      <c r="J20" s="2902">
        <f t="shared" si="0"/>
        <v>0</v>
      </c>
    </row>
    <row r="21" spans="4:20" ht="15.75" x14ac:dyDescent="0.25">
      <c r="E21" s="2688" t="s">
        <v>156</v>
      </c>
      <c r="F21" s="2898"/>
      <c r="H21" s="2932">
        <f>+K21+N21</f>
        <v>0</v>
      </c>
      <c r="I21" s="2932">
        <f t="shared" ref="I21:J25" si="1">+L21+O21</f>
        <v>0</v>
      </c>
      <c r="J21" s="2932">
        <f t="shared" si="1"/>
        <v>0</v>
      </c>
      <c r="K21" s="2934">
        <f>+H10</f>
        <v>0</v>
      </c>
      <c r="L21" s="2934">
        <f t="shared" ref="L21:P27" si="2">+I10</f>
        <v>0</v>
      </c>
      <c r="M21" s="2934">
        <f t="shared" si="2"/>
        <v>0</v>
      </c>
      <c r="N21" s="2934">
        <f t="shared" si="2"/>
        <v>0</v>
      </c>
      <c r="O21" s="2934">
        <f t="shared" si="2"/>
        <v>0</v>
      </c>
      <c r="P21" s="2934">
        <f t="shared" si="2"/>
        <v>0</v>
      </c>
      <c r="Q21" s="2934">
        <f t="shared" ref="Q21:Q25" si="3">+N10</f>
        <v>0</v>
      </c>
      <c r="R21" s="2934">
        <f t="shared" ref="R21:R25" si="4">+O10</f>
        <v>0</v>
      </c>
      <c r="S21" s="2934">
        <f t="shared" ref="S21:S25" si="5">+P10</f>
        <v>0</v>
      </c>
      <c r="T21" s="2934">
        <f t="shared" ref="T21:T25" si="6">+Q10</f>
        <v>0</v>
      </c>
    </row>
    <row r="22" spans="4:20" ht="15.75" x14ac:dyDescent="0.25">
      <c r="E22" s="2688" t="s">
        <v>429</v>
      </c>
      <c r="F22" s="2898"/>
      <c r="H22" s="2932" t="e">
        <f t="shared" ref="H22:H25" si="7">+K22+N22</f>
        <v>#REF!</v>
      </c>
      <c r="I22" s="2932" t="e">
        <f t="shared" si="1"/>
        <v>#REF!</v>
      </c>
      <c r="J22" s="2932" t="e">
        <f t="shared" si="1"/>
        <v>#REF!</v>
      </c>
      <c r="K22" s="2934" t="e">
        <f t="shared" ref="K22:K27" si="8">+H11</f>
        <v>#REF!</v>
      </c>
      <c r="L22" s="2934" t="e">
        <f t="shared" si="2"/>
        <v>#REF!</v>
      </c>
      <c r="M22" s="2934" t="e">
        <f t="shared" si="2"/>
        <v>#REF!</v>
      </c>
      <c r="N22" s="2934" t="e">
        <f t="shared" si="2"/>
        <v>#REF!</v>
      </c>
      <c r="O22" s="2934" t="e">
        <f t="shared" si="2"/>
        <v>#REF!</v>
      </c>
      <c r="P22" s="2934" t="e">
        <f t="shared" si="2"/>
        <v>#REF!</v>
      </c>
      <c r="Q22" s="2934" t="e">
        <f t="shared" si="3"/>
        <v>#REF!</v>
      </c>
      <c r="R22" s="2934" t="e">
        <f t="shared" si="4"/>
        <v>#REF!</v>
      </c>
      <c r="S22" s="2934" t="e">
        <f t="shared" si="5"/>
        <v>#REF!</v>
      </c>
      <c r="T22" s="2934" t="e">
        <f t="shared" si="6"/>
        <v>#REF!</v>
      </c>
    </row>
    <row r="23" spans="4:20" ht="15.75" x14ac:dyDescent="0.25">
      <c r="D23" s="2934">
        <f ca="1">+SUM(K23:M23)</f>
        <v>0</v>
      </c>
      <c r="E23" s="2688" t="s">
        <v>18</v>
      </c>
      <c r="F23" s="2898"/>
      <c r="H23" s="2932">
        <f t="shared" ca="1" si="7"/>
        <v>0</v>
      </c>
      <c r="I23" s="2932">
        <f t="shared" ca="1" si="1"/>
        <v>0</v>
      </c>
      <c r="J23" s="2932">
        <f t="shared" ca="1" si="1"/>
        <v>0</v>
      </c>
      <c r="K23" s="2934">
        <f t="shared" ca="1" si="8"/>
        <v>0</v>
      </c>
      <c r="L23" s="2934">
        <f t="shared" ca="1" si="2"/>
        <v>0</v>
      </c>
      <c r="M23" s="2934">
        <f t="shared" ca="1" si="2"/>
        <v>0</v>
      </c>
      <c r="N23" s="2934">
        <f t="shared" ca="1" si="2"/>
        <v>0</v>
      </c>
      <c r="O23" s="2934">
        <f t="shared" ca="1" si="2"/>
        <v>0</v>
      </c>
      <c r="P23" s="2934">
        <f t="shared" ca="1" si="2"/>
        <v>0</v>
      </c>
      <c r="Q23" s="2934">
        <f t="shared" ca="1" si="3"/>
        <v>0</v>
      </c>
      <c r="R23" s="2934">
        <f t="shared" ca="1" si="4"/>
        <v>0</v>
      </c>
      <c r="S23" s="2934">
        <f t="shared" ca="1" si="5"/>
        <v>0</v>
      </c>
      <c r="T23" s="2934">
        <f t="shared" ca="1" si="6"/>
        <v>0</v>
      </c>
    </row>
    <row r="24" spans="4:20" ht="15.75" x14ac:dyDescent="0.25">
      <c r="D24" s="2934">
        <f t="shared" ref="D24:D25" si="9">+SUM(K24:M24)</f>
        <v>0</v>
      </c>
      <c r="E24" s="2688" t="s">
        <v>157</v>
      </c>
      <c r="F24" s="2898"/>
      <c r="H24" s="2932">
        <f t="shared" si="7"/>
        <v>0</v>
      </c>
      <c r="I24" s="2932">
        <f t="shared" si="1"/>
        <v>0</v>
      </c>
      <c r="J24" s="2932">
        <f t="shared" si="1"/>
        <v>0</v>
      </c>
      <c r="K24" s="2934">
        <f t="shared" si="8"/>
        <v>0</v>
      </c>
      <c r="L24" s="2934">
        <f t="shared" si="2"/>
        <v>0</v>
      </c>
      <c r="M24" s="2934">
        <f t="shared" si="2"/>
        <v>0</v>
      </c>
      <c r="N24" s="2934">
        <f t="shared" si="2"/>
        <v>0</v>
      </c>
      <c r="O24" s="2934">
        <f t="shared" si="2"/>
        <v>0</v>
      </c>
      <c r="P24" s="2934">
        <f t="shared" si="2"/>
        <v>0</v>
      </c>
      <c r="Q24" s="2934">
        <f t="shared" si="3"/>
        <v>0</v>
      </c>
      <c r="R24" s="2934">
        <f t="shared" si="4"/>
        <v>0</v>
      </c>
      <c r="S24" s="2934">
        <f t="shared" si="5"/>
        <v>0</v>
      </c>
      <c r="T24" s="2934">
        <f t="shared" si="6"/>
        <v>0</v>
      </c>
    </row>
    <row r="25" spans="4:20" ht="15.75" x14ac:dyDescent="0.25">
      <c r="D25" s="2934">
        <f t="shared" si="9"/>
        <v>0</v>
      </c>
      <c r="E25" s="2688" t="s">
        <v>158</v>
      </c>
      <c r="F25" s="2898"/>
      <c r="H25" s="2932">
        <f t="shared" si="7"/>
        <v>0</v>
      </c>
      <c r="I25" s="2932">
        <f t="shared" si="1"/>
        <v>0</v>
      </c>
      <c r="J25" s="2932">
        <f t="shared" si="1"/>
        <v>0</v>
      </c>
      <c r="K25" s="2934">
        <f t="shared" si="8"/>
        <v>0</v>
      </c>
      <c r="L25" s="2934">
        <f t="shared" si="2"/>
        <v>0</v>
      </c>
      <c r="M25" s="2934">
        <f t="shared" si="2"/>
        <v>0</v>
      </c>
      <c r="N25" s="2934">
        <f t="shared" si="2"/>
        <v>0</v>
      </c>
      <c r="O25" s="2934">
        <f t="shared" si="2"/>
        <v>0</v>
      </c>
      <c r="P25" s="2934">
        <f t="shared" si="2"/>
        <v>0</v>
      </c>
      <c r="Q25" s="2934">
        <f t="shared" si="3"/>
        <v>0</v>
      </c>
      <c r="R25" s="2934">
        <f t="shared" si="4"/>
        <v>0</v>
      </c>
      <c r="S25" s="2934">
        <f t="shared" si="5"/>
        <v>0</v>
      </c>
      <c r="T25" s="2934">
        <f t="shared" si="6"/>
        <v>0</v>
      </c>
    </row>
    <row r="26" spans="4:20" ht="15" x14ac:dyDescent="0.2">
      <c r="F26" s="2895"/>
      <c r="H26" s="2932"/>
      <c r="I26" s="2932"/>
      <c r="J26" s="2932"/>
      <c r="K26" s="2934"/>
      <c r="L26" s="2934"/>
      <c r="M26" s="2934"/>
      <c r="N26" s="2934"/>
      <c r="O26" s="2934"/>
      <c r="P26" s="2934"/>
      <c r="Q26" s="2934"/>
      <c r="R26" s="2934"/>
      <c r="S26" s="2934"/>
      <c r="T26" s="2934"/>
    </row>
    <row r="27" spans="4:20" ht="24" thickBot="1" x14ac:dyDescent="0.3">
      <c r="E27" s="2935" t="s">
        <v>835</v>
      </c>
      <c r="F27" s="2898"/>
      <c r="H27" s="2936" t="e">
        <f>SUM(H21:H25)</f>
        <v>#REF!</v>
      </c>
      <c r="I27" s="2936" t="e">
        <f t="shared" ref="I27:J27" si="10">SUM(I21:I25)</f>
        <v>#REF!</v>
      </c>
      <c r="J27" s="2936" t="e">
        <f t="shared" si="10"/>
        <v>#REF!</v>
      </c>
      <c r="K27" s="2934">
        <f t="shared" ca="1" si="8"/>
        <v>0</v>
      </c>
      <c r="L27" s="2934">
        <f t="shared" ca="1" si="2"/>
        <v>0</v>
      </c>
      <c r="M27" s="2934">
        <f t="shared" ca="1" si="2"/>
        <v>0</v>
      </c>
      <c r="N27" s="2934">
        <f t="shared" ca="1" si="2"/>
        <v>0</v>
      </c>
      <c r="O27" s="2934">
        <f t="shared" ca="1" si="2"/>
        <v>0</v>
      </c>
      <c r="P27" s="2934">
        <f t="shared" ca="1" si="2"/>
        <v>0</v>
      </c>
      <c r="Q27" s="2934">
        <f t="shared" ref="Q27" ca="1" si="11">+N16</f>
        <v>0</v>
      </c>
      <c r="R27" s="2934">
        <f t="shared" ref="R27" ca="1" si="12">+O16</f>
        <v>0</v>
      </c>
      <c r="S27" s="2934">
        <f t="shared" ref="S27" ca="1" si="13">+P16</f>
        <v>0</v>
      </c>
      <c r="T27" s="2934">
        <f t="shared" ref="T27" ca="1" si="14">+Q16</f>
        <v>0</v>
      </c>
    </row>
    <row r="28" spans="4:20" ht="34.5" customHeight="1" thickBot="1" x14ac:dyDescent="0.25">
      <c r="H28" s="2931"/>
      <c r="I28" s="2931"/>
      <c r="J28" s="2931"/>
      <c r="K28" s="5023" t="s">
        <v>1</v>
      </c>
      <c r="L28" s="5024"/>
      <c r="M28" s="5025"/>
      <c r="N28" s="5026" t="s">
        <v>152</v>
      </c>
      <c r="O28" s="5027"/>
      <c r="P28" s="5028"/>
      <c r="Q28" s="5029" t="s">
        <v>4</v>
      </c>
      <c r="R28" s="5030"/>
      <c r="S28" s="5030"/>
      <c r="T28" s="5031"/>
    </row>
    <row r="29" spans="4:20" ht="30.75" thickBot="1" x14ac:dyDescent="0.45">
      <c r="F29" s="2929" t="e">
        <f>SUM(H29:J29)</f>
        <v>#REF!</v>
      </c>
      <c r="H29" s="2928" t="e">
        <f>+H20-H27</f>
        <v>#REF!</v>
      </c>
      <c r="I29" s="2928" t="e">
        <f t="shared" ref="I29:J29" si="15">+I20-I27</f>
        <v>#REF!</v>
      </c>
      <c r="J29" s="2928" t="e">
        <f t="shared" si="15"/>
        <v>#REF!</v>
      </c>
      <c r="K29" s="2933" t="s">
        <v>5</v>
      </c>
      <c r="L29" s="2933" t="s">
        <v>6</v>
      </c>
      <c r="M29" s="2933" t="s">
        <v>7</v>
      </c>
      <c r="N29" s="2933" t="s">
        <v>5</v>
      </c>
      <c r="O29" s="2933" t="s">
        <v>6</v>
      </c>
      <c r="P29" s="2933" t="s">
        <v>7</v>
      </c>
      <c r="Q29" s="2894" t="s">
        <v>5</v>
      </c>
      <c r="R29" s="2894" t="s">
        <v>6</v>
      </c>
      <c r="S29" s="2894" t="s">
        <v>7</v>
      </c>
      <c r="T29" s="2768" t="s">
        <v>4</v>
      </c>
    </row>
    <row r="30" spans="4:20" ht="29.45" customHeight="1" x14ac:dyDescent="0.2">
      <c r="D30" s="487" t="s">
        <v>784</v>
      </c>
      <c r="E30" s="487" t="s">
        <v>784</v>
      </c>
    </row>
    <row r="31" spans="4:20" ht="29.45" customHeight="1" x14ac:dyDescent="0.5">
      <c r="D31" s="2930">
        <f>+SUM('Compra -HOJA1'!F84:F165)</f>
        <v>0</v>
      </c>
      <c r="E31" s="72">
        <f>+SUM(K31:M31)</f>
        <v>0</v>
      </c>
      <c r="G31" s="1" t="s">
        <v>163</v>
      </c>
      <c r="H31" s="2932">
        <f t="shared" ref="H31" ca="1" si="16">+K31+N31</f>
        <v>0</v>
      </c>
      <c r="I31" s="2932">
        <f t="shared" ref="I31" ca="1" si="17">+L31+O31</f>
        <v>0</v>
      </c>
      <c r="J31" s="2932">
        <f t="shared" ref="J31" ca="1" si="18">+M31+P31</f>
        <v>0</v>
      </c>
      <c r="K31" s="2937">
        <f>+SUM('Compra -HOJA1'!I290:I371)</f>
        <v>0</v>
      </c>
      <c r="L31" s="2937">
        <f>+SUM('Compra -HOJA1'!J290:J371)</f>
        <v>0</v>
      </c>
      <c r="M31" s="2937">
        <f>+SUM('Compra -HOJA1'!K290:K371)</f>
        <v>0</v>
      </c>
      <c r="N31" s="2937">
        <f ca="1">+SUM('Compra -HOJA1'!L290:L371)</f>
        <v>0</v>
      </c>
      <c r="O31" s="2937">
        <f ca="1">+SUM('Compra -HOJA1'!M290:M371)</f>
        <v>0</v>
      </c>
      <c r="P31" s="2937">
        <f ca="1">+SUM('Compra -HOJA1'!N290:N371)</f>
        <v>0</v>
      </c>
    </row>
    <row r="32" spans="4:20" ht="29.45" customHeight="1" x14ac:dyDescent="0.5">
      <c r="D32" s="2930">
        <f>+SUM('Compra -HOJA1'!F173:F175)</f>
        <v>0</v>
      </c>
      <c r="E32" s="72">
        <f t="shared" ref="E32:E33" si="19">+SUM(K32:M32)</f>
        <v>0</v>
      </c>
      <c r="G32" s="1" t="s">
        <v>836</v>
      </c>
      <c r="H32" s="2932">
        <f t="shared" ref="H32" ca="1" si="20">+K32+N32</f>
        <v>0</v>
      </c>
      <c r="I32" s="2932">
        <f t="shared" ref="I32" ca="1" si="21">+L32+O32</f>
        <v>0</v>
      </c>
      <c r="J32" s="2932">
        <f t="shared" ref="J32" ca="1" si="22">+M32+P32</f>
        <v>0</v>
      </c>
      <c r="K32" s="2937">
        <f>+SUM('Compra -HOJA1'!I379:I382)</f>
        <v>0</v>
      </c>
      <c r="L32" s="2937">
        <f>+SUM('Compra -HOJA1'!J379:J382)</f>
        <v>0</v>
      </c>
      <c r="M32" s="2937">
        <f>+SUM('Compra -HOJA1'!K379:K382)</f>
        <v>0</v>
      </c>
      <c r="N32" s="2937">
        <f ca="1">+SUM('Compra -HOJA1'!L379:L382)</f>
        <v>0</v>
      </c>
      <c r="O32" s="2937">
        <f ca="1">+SUM('Compra -HOJA1'!M379:M382)</f>
        <v>0</v>
      </c>
      <c r="P32" s="2937">
        <f ca="1">+SUM('Compra -HOJA1'!N379:N382)</f>
        <v>0</v>
      </c>
    </row>
    <row r="33" spans="3:25" ht="29.45" customHeight="1" thickBot="1" x14ac:dyDescent="0.55000000000000004">
      <c r="D33" s="2930">
        <f ca="1">+SUM('Compra -HOJA1'!F383:F391)</f>
        <v>0</v>
      </c>
      <c r="E33" s="72">
        <f t="shared" ca="1" si="19"/>
        <v>0</v>
      </c>
      <c r="G33" s="487" t="s">
        <v>837</v>
      </c>
      <c r="H33" s="2932">
        <f t="shared" ref="H33" ca="1" si="23">+K33+N33</f>
        <v>0</v>
      </c>
      <c r="I33" s="2932">
        <f t="shared" ref="I33" ca="1" si="24">+L33+O33</f>
        <v>0</v>
      </c>
      <c r="J33" s="2932">
        <f t="shared" ref="J33" ca="1" si="25">+M33+P33</f>
        <v>0</v>
      </c>
      <c r="K33" s="2937">
        <f ca="1">+SUM('Compra -HOJA1'!I383:I391)</f>
        <v>0</v>
      </c>
      <c r="L33" s="2937">
        <f ca="1">+SUM('Compra -HOJA1'!J383:J391)</f>
        <v>0</v>
      </c>
      <c r="M33" s="2937">
        <f ca="1">+SUM('Compra -HOJA1'!K383:K391)</f>
        <v>0</v>
      </c>
      <c r="N33" s="2937">
        <f ca="1">+SUM('Compra -HOJA1'!L383:L391)</f>
        <v>0</v>
      </c>
      <c r="O33" s="2937">
        <f ca="1">+SUM('Compra -HOJA1'!M383:M391)</f>
        <v>0</v>
      </c>
      <c r="P33" s="2937">
        <f ca="1">+SUM('Compra -HOJA1'!N383:N391)</f>
        <v>0</v>
      </c>
    </row>
    <row r="34" spans="3:25" ht="29.45" customHeight="1" thickBot="1" x14ac:dyDescent="0.25">
      <c r="H34" s="2928">
        <f ca="1">SUM(H31:H33)</f>
        <v>0</v>
      </c>
      <c r="I34" s="2928">
        <f t="shared" ref="I34:J34" ca="1" si="26">SUM(I31:I33)</f>
        <v>0</v>
      </c>
      <c r="J34" s="2928">
        <f t="shared" ca="1" si="26"/>
        <v>0</v>
      </c>
      <c r="K34" s="5023" t="s">
        <v>1</v>
      </c>
      <c r="L34" s="5024"/>
      <c r="M34" s="5025"/>
      <c r="N34" s="5026" t="s">
        <v>152</v>
      </c>
      <c r="O34" s="5027"/>
      <c r="P34" s="5028"/>
      <c r="Q34" s="5029" t="s">
        <v>4</v>
      </c>
      <c r="R34" s="5030"/>
      <c r="S34" s="5030"/>
      <c r="T34" s="5031"/>
    </row>
    <row r="35" spans="3:25" ht="29.45" customHeight="1" x14ac:dyDescent="0.2">
      <c r="C35" s="487" t="s">
        <v>838</v>
      </c>
      <c r="H35" s="2933" t="s">
        <v>5</v>
      </c>
      <c r="I35" s="2933" t="s">
        <v>6</v>
      </c>
      <c r="J35" s="2933" t="s">
        <v>7</v>
      </c>
      <c r="K35" s="2933" t="s">
        <v>5</v>
      </c>
      <c r="L35" s="2933" t="s">
        <v>6</v>
      </c>
      <c r="M35" s="2933" t="s">
        <v>7</v>
      </c>
      <c r="N35" s="2933" t="s">
        <v>5</v>
      </c>
      <c r="O35" s="2933" t="s">
        <v>6</v>
      </c>
      <c r="P35" s="2933" t="s">
        <v>7</v>
      </c>
      <c r="Q35" s="2894" t="s">
        <v>5</v>
      </c>
      <c r="R35" s="2894" t="s">
        <v>6</v>
      </c>
      <c r="S35" s="2894" t="s">
        <v>7</v>
      </c>
      <c r="T35" s="2768" t="s">
        <v>4</v>
      </c>
    </row>
    <row r="36" spans="3:25" ht="20.85" customHeight="1" x14ac:dyDescent="0.3">
      <c r="D36" s="487" t="s">
        <v>834</v>
      </c>
      <c r="E36" s="487" t="s">
        <v>839</v>
      </c>
      <c r="F36" s="487"/>
      <c r="H36" s="2944">
        <f>+H20</f>
        <v>0</v>
      </c>
      <c r="I36" s="2944">
        <f t="shared" ref="I36:J36" si="27">+I20</f>
        <v>0</v>
      </c>
      <c r="J36" s="2944">
        <f t="shared" si="27"/>
        <v>0</v>
      </c>
    </row>
    <row r="37" spans="3:25" ht="20.85" customHeight="1" x14ac:dyDescent="0.2">
      <c r="D37" s="487" t="s">
        <v>18</v>
      </c>
      <c r="E37" s="525">
        <f ca="1">+SUM(K37:M37)</f>
        <v>0</v>
      </c>
      <c r="F37" s="2941">
        <f ca="1">+'DDJJ EPEC S-II -GUDI'!G36+'DDJJ EPEC S-II -GUDI'!G38</f>
        <v>0</v>
      </c>
      <c r="G37" s="2940">
        <f ca="1">+F37</f>
        <v>0</v>
      </c>
      <c r="H37" s="2932">
        <f t="shared" ref="H37" ca="1" si="28">+K37+N37</f>
        <v>0</v>
      </c>
      <c r="I37" s="2932">
        <f t="shared" ref="I37" ca="1" si="29">+L37+O37</f>
        <v>0</v>
      </c>
      <c r="J37" s="2932">
        <f t="shared" ref="J37" ca="1" si="30">+M37+P37</f>
        <v>0</v>
      </c>
      <c r="K37" s="72">
        <f ca="1">+Q37</f>
        <v>0</v>
      </c>
      <c r="L37" s="72">
        <f ca="1">+S37</f>
        <v>0</v>
      </c>
      <c r="M37" s="72">
        <f ca="1">+R37</f>
        <v>0</v>
      </c>
      <c r="N37" s="72">
        <f ca="1">+T37</f>
        <v>0</v>
      </c>
      <c r="O37" s="72">
        <f ca="1">+V37</f>
        <v>0</v>
      </c>
      <c r="P37" s="72">
        <f ca="1">+U37</f>
        <v>0</v>
      </c>
      <c r="Q37" s="2938">
        <f ca="1">+'DDJJ EPEC S-II'!S742</f>
        <v>0</v>
      </c>
      <c r="R37" s="2938">
        <f ca="1">+'DDJJ EPEC S-II'!T742</f>
        <v>0</v>
      </c>
      <c r="S37" s="2938">
        <f ca="1">+'DDJJ EPEC S-II'!U742</f>
        <v>0</v>
      </c>
      <c r="T37" s="2938">
        <f ca="1">+'DDJJ EPEC S-II'!V742</f>
        <v>0</v>
      </c>
      <c r="U37" s="2938">
        <f ca="1">+'DDJJ EPEC S-II'!W742</f>
        <v>0</v>
      </c>
      <c r="V37" s="2938">
        <f ca="1">+'DDJJ EPEC S-II'!X742</f>
        <v>0</v>
      </c>
      <c r="W37" s="2938">
        <f ca="1">+'DDJJ EPEC S-II'!Y742</f>
        <v>0</v>
      </c>
      <c r="X37" s="2938">
        <f ca="1">+'DDJJ EPEC S-II'!Z742</f>
        <v>0</v>
      </c>
      <c r="Y37" s="2938">
        <f ca="1">+'DDJJ EPEC S-II'!AA742</f>
        <v>0</v>
      </c>
    </row>
    <row r="38" spans="3:25" ht="20.85" customHeight="1" x14ac:dyDescent="0.2">
      <c r="D38" s="487" t="s">
        <v>260</v>
      </c>
      <c r="E38" s="525">
        <f t="shared" ref="E38:E43" si="31">+SUM(K38:M38)</f>
        <v>0</v>
      </c>
      <c r="F38" s="2941">
        <f>+'Compra -HOJA1'!F57+'Compra -HOJA1'!F58</f>
        <v>0</v>
      </c>
      <c r="G38" s="2940">
        <f>+F38</f>
        <v>0</v>
      </c>
      <c r="H38" s="2932">
        <f t="shared" ref="H38:H43" si="32">+K38+N38</f>
        <v>0</v>
      </c>
      <c r="I38" s="2932">
        <f t="shared" ref="I38:I43" si="33">+L38+O38</f>
        <v>0</v>
      </c>
      <c r="J38" s="2932">
        <f t="shared" ref="J38:J43" si="34">+M38+P38</f>
        <v>0</v>
      </c>
      <c r="K38" s="72">
        <f>+Q38</f>
        <v>0</v>
      </c>
      <c r="L38" s="72">
        <f>+S38</f>
        <v>0</v>
      </c>
      <c r="M38" s="72">
        <f>+R38</f>
        <v>0</v>
      </c>
      <c r="N38" s="72">
        <f>+T38</f>
        <v>0</v>
      </c>
      <c r="O38" s="72">
        <f>+V38</f>
        <v>0</v>
      </c>
      <c r="P38" s="72">
        <f>+U38</f>
        <v>0</v>
      </c>
      <c r="Q38" s="2938">
        <f>+'DDJJ EPEC S-II'!S720</f>
        <v>0</v>
      </c>
      <c r="R38" s="2938">
        <f>+'DDJJ EPEC S-II'!T720</f>
        <v>0</v>
      </c>
      <c r="S38" s="2938">
        <f>+'DDJJ EPEC S-II'!U720</f>
        <v>0</v>
      </c>
      <c r="T38" s="2938">
        <f>+'DDJJ EPEC S-II'!V720</f>
        <v>0</v>
      </c>
      <c r="U38" s="2938">
        <f>+'DDJJ EPEC S-II'!W720</f>
        <v>0</v>
      </c>
      <c r="V38" s="2938">
        <f>+'DDJJ EPEC S-II'!X720</f>
        <v>0</v>
      </c>
      <c r="W38" s="2938">
        <f>+'DDJJ EPEC S-II'!Y720</f>
        <v>0</v>
      </c>
      <c r="X38" s="2938">
        <f>+'DDJJ EPEC S-II'!Z720</f>
        <v>0</v>
      </c>
      <c r="Y38" s="2938">
        <f>+'DDJJ EPEC S-II'!AA720</f>
        <v>0</v>
      </c>
    </row>
    <row r="39" spans="3:25" ht="20.85" customHeight="1" x14ac:dyDescent="0.2">
      <c r="D39" s="487" t="s">
        <v>258</v>
      </c>
      <c r="E39" s="525">
        <f t="shared" si="31"/>
        <v>0</v>
      </c>
      <c r="F39" s="2696">
        <f>+'Compra -HOJA1'!F59</f>
        <v>0</v>
      </c>
      <c r="G39" s="2939">
        <f>+F39</f>
        <v>0</v>
      </c>
      <c r="H39" s="2932">
        <f t="shared" si="32"/>
        <v>0</v>
      </c>
      <c r="I39" s="2932">
        <f t="shared" si="33"/>
        <v>0</v>
      </c>
      <c r="J39" s="2932">
        <f t="shared" si="34"/>
        <v>0</v>
      </c>
      <c r="K39" s="72">
        <f t="shared" ref="K39:K43" si="35">+Q39</f>
        <v>0</v>
      </c>
      <c r="L39" s="72">
        <f t="shared" ref="L39:L40" si="36">+S39</f>
        <v>0</v>
      </c>
      <c r="M39" s="72">
        <f t="shared" ref="M39:M40" si="37">+R39</f>
        <v>0</v>
      </c>
      <c r="N39" s="72">
        <f t="shared" ref="N39:N40" si="38">+T39</f>
        <v>0</v>
      </c>
      <c r="O39" s="72">
        <f t="shared" ref="O39:O40" si="39">+V39</f>
        <v>0</v>
      </c>
      <c r="P39" s="72">
        <f t="shared" ref="P39:P40" si="40">+U39</f>
        <v>0</v>
      </c>
      <c r="Q39" s="2938">
        <f>+'DDJJ EPEC S-II'!S730</f>
        <v>0</v>
      </c>
      <c r="R39" s="2938">
        <f>+'DDJJ EPEC S-II'!T730</f>
        <v>0</v>
      </c>
      <c r="S39" s="2938">
        <f>+'DDJJ EPEC S-II'!U730</f>
        <v>0</v>
      </c>
      <c r="T39" s="2938">
        <f>+'DDJJ EPEC S-II'!V730</f>
        <v>0</v>
      </c>
      <c r="U39" s="2938">
        <f>+'DDJJ EPEC S-II'!W730</f>
        <v>0</v>
      </c>
      <c r="V39" s="2938">
        <f>+'DDJJ EPEC S-II'!X730</f>
        <v>0</v>
      </c>
      <c r="W39" s="2938">
        <f>+'DDJJ EPEC S-II'!Y730</f>
        <v>0</v>
      </c>
      <c r="X39" s="2938">
        <f>+'DDJJ EPEC S-II'!Z730</f>
        <v>0</v>
      </c>
      <c r="Y39" s="2938">
        <f>+'DDJJ EPEC S-II'!AA730</f>
        <v>0</v>
      </c>
    </row>
    <row r="40" spans="3:25" ht="20.85" customHeight="1" x14ac:dyDescent="0.2">
      <c r="D40" s="487" t="s">
        <v>840</v>
      </c>
      <c r="E40" s="525">
        <f t="shared" si="31"/>
        <v>0</v>
      </c>
      <c r="F40" s="2696">
        <f>+SUM('Compra -HOJA1'!F84:F165)</f>
        <v>0</v>
      </c>
      <c r="G40" s="2939">
        <f>+SUM('Compra -HOJA1'!F84:F165)</f>
        <v>0</v>
      </c>
      <c r="H40" s="2932">
        <f t="shared" ca="1" si="32"/>
        <v>0</v>
      </c>
      <c r="I40" s="2932">
        <f t="shared" ca="1" si="33"/>
        <v>0</v>
      </c>
      <c r="J40" s="2932">
        <f t="shared" ca="1" si="34"/>
        <v>0</v>
      </c>
      <c r="K40" s="72">
        <f t="shared" si="35"/>
        <v>0</v>
      </c>
      <c r="L40" s="72">
        <f t="shared" si="36"/>
        <v>0</v>
      </c>
      <c r="M40" s="72">
        <f t="shared" si="37"/>
        <v>0</v>
      </c>
      <c r="N40" s="72">
        <f t="shared" ca="1" si="38"/>
        <v>0</v>
      </c>
      <c r="O40" s="72">
        <f t="shared" ca="1" si="39"/>
        <v>0</v>
      </c>
      <c r="P40" s="72">
        <f t="shared" ca="1" si="40"/>
        <v>0</v>
      </c>
      <c r="Q40" s="2938">
        <f>+SUM('DDJJ EPEC S-II'!S598:S679)</f>
        <v>0</v>
      </c>
      <c r="R40" s="2938">
        <f>+SUM('DDJJ EPEC S-II'!T598:T679)</f>
        <v>0</v>
      </c>
      <c r="S40" s="2938">
        <f>+SUM('DDJJ EPEC S-II'!U598:U679)</f>
        <v>0</v>
      </c>
      <c r="T40" s="2938">
        <f ca="1">+SUM('DDJJ EPEC S-II'!V598:V679)</f>
        <v>0</v>
      </c>
      <c r="U40" s="2938">
        <f ca="1">+SUM('DDJJ EPEC S-II'!W598:W679)</f>
        <v>0</v>
      </c>
      <c r="V40" s="2938">
        <f ca="1">+SUM('DDJJ EPEC S-II'!X598:X679)</f>
        <v>0</v>
      </c>
      <c r="W40" s="2938">
        <f ca="1">+SUM('DDJJ EPEC S-II'!Y598:Y679)</f>
        <v>0</v>
      </c>
      <c r="X40" s="2938">
        <f ca="1">+SUM('DDJJ EPEC S-II'!Z598:Z679)</f>
        <v>0</v>
      </c>
      <c r="Y40" s="2938">
        <f ca="1">+SUM('DDJJ EPEC S-II'!AA598:AA679)</f>
        <v>0</v>
      </c>
    </row>
    <row r="41" spans="3:25" ht="20.85" customHeight="1" x14ac:dyDescent="0.2">
      <c r="D41" s="487" t="s">
        <v>841</v>
      </c>
      <c r="E41" s="525">
        <f t="shared" si="31"/>
        <v>0</v>
      </c>
      <c r="F41" s="2696">
        <f>+SUM('Compra -HOJA1'!F173:F175)</f>
        <v>0</v>
      </c>
      <c r="G41" s="2939">
        <f>+SUM('Compra -HOJA1'!F173:F175)</f>
        <v>0</v>
      </c>
      <c r="H41" s="2932">
        <f t="shared" ca="1" si="32"/>
        <v>0</v>
      </c>
      <c r="I41" s="2932">
        <f t="shared" ca="1" si="33"/>
        <v>0</v>
      </c>
      <c r="J41" s="2932">
        <f t="shared" ca="1" si="34"/>
        <v>0</v>
      </c>
      <c r="K41" s="72">
        <f t="shared" si="35"/>
        <v>0</v>
      </c>
      <c r="L41" s="72">
        <f t="shared" ref="L41:L43" si="41">+S41</f>
        <v>0</v>
      </c>
      <c r="M41" s="72">
        <f t="shared" ref="M41:M43" si="42">+R41</f>
        <v>0</v>
      </c>
      <c r="N41" s="72">
        <f t="shared" ref="N41:N43" ca="1" si="43">+T41</f>
        <v>0</v>
      </c>
      <c r="O41" s="72">
        <f t="shared" ref="O41:O43" ca="1" si="44">+V41</f>
        <v>0</v>
      </c>
      <c r="P41" s="72">
        <f t="shared" ref="P41:P43" ca="1" si="45">+U41</f>
        <v>0</v>
      </c>
      <c r="Q41" s="2938">
        <f>+SUM('DDJJ EPEC S-II'!S687:S690)</f>
        <v>0</v>
      </c>
      <c r="R41" s="2938">
        <f>+SUM('DDJJ EPEC S-II'!T687:T690)</f>
        <v>0</v>
      </c>
      <c r="S41" s="2938">
        <f>+SUM('DDJJ EPEC S-II'!U687:U690)</f>
        <v>0</v>
      </c>
      <c r="T41" s="2938">
        <f ca="1">+SUM('DDJJ EPEC S-II'!V687:V690)</f>
        <v>0</v>
      </c>
      <c r="U41" s="2938">
        <f ca="1">+SUM('DDJJ EPEC S-II'!W687:W690)</f>
        <v>0</v>
      </c>
      <c r="V41" s="2938">
        <f ca="1">+SUM('DDJJ EPEC S-II'!X687:X690)</f>
        <v>0</v>
      </c>
      <c r="W41" s="2938">
        <f ca="1">+SUM('DDJJ EPEC S-II'!Y687:Y690)</f>
        <v>0</v>
      </c>
      <c r="X41" s="2938">
        <f ca="1">+SUM('DDJJ EPEC S-II'!Z687:Z690)</f>
        <v>0</v>
      </c>
      <c r="Y41" s="2938">
        <f ca="1">+SUM('DDJJ EPEC S-II'!AA687:AA690)</f>
        <v>0</v>
      </c>
    </row>
    <row r="42" spans="3:25" ht="20.85" customHeight="1" x14ac:dyDescent="0.2">
      <c r="D42" s="487" t="s">
        <v>842</v>
      </c>
      <c r="E42" s="525">
        <f t="shared" ca="1" si="31"/>
        <v>0</v>
      </c>
      <c r="F42" s="2696">
        <f ca="1">+SUM('Compra -HOJA1'!F383:F391)</f>
        <v>0</v>
      </c>
      <c r="G42" s="2939">
        <f ca="1">+SUM('Compra -HOJA1'!F383:F391)</f>
        <v>0</v>
      </c>
      <c r="H42" s="2932">
        <f t="shared" ca="1" si="32"/>
        <v>0</v>
      </c>
      <c r="I42" s="2932">
        <f t="shared" ca="1" si="33"/>
        <v>0</v>
      </c>
      <c r="J42" s="2932">
        <f t="shared" ca="1" si="34"/>
        <v>0</v>
      </c>
      <c r="K42" s="72">
        <f t="shared" ca="1" si="35"/>
        <v>0</v>
      </c>
      <c r="L42" s="72">
        <f t="shared" ca="1" si="41"/>
        <v>0</v>
      </c>
      <c r="M42" s="72">
        <f t="shared" ca="1" si="42"/>
        <v>0</v>
      </c>
      <c r="N42" s="72">
        <f t="shared" ca="1" si="43"/>
        <v>0</v>
      </c>
      <c r="O42" s="72">
        <f t="shared" ca="1" si="44"/>
        <v>0</v>
      </c>
      <c r="P42" s="72">
        <f t="shared" ca="1" si="45"/>
        <v>0</v>
      </c>
      <c r="Q42" s="2938">
        <f ca="1">+SUM('DDJJ EPEC S-II'!S691:S699)</f>
        <v>0</v>
      </c>
      <c r="R42" s="2938">
        <f ca="1">+SUM('DDJJ EPEC S-II'!T691:T699)</f>
        <v>0</v>
      </c>
      <c r="S42" s="2938">
        <f ca="1">+SUM('DDJJ EPEC S-II'!U691:U699)</f>
        <v>0</v>
      </c>
      <c r="T42" s="2938">
        <f ca="1">+SUM('DDJJ EPEC S-II'!V691:V699)</f>
        <v>0</v>
      </c>
      <c r="U42" s="2938">
        <f ca="1">+SUM('DDJJ EPEC S-II'!W691:W699)</f>
        <v>0</v>
      </c>
      <c r="V42" s="2938">
        <f ca="1">+SUM('DDJJ EPEC S-II'!X691:X699)</f>
        <v>0</v>
      </c>
      <c r="W42" s="2938">
        <f ca="1">+SUM('DDJJ EPEC S-II'!Y691:Y699)</f>
        <v>0</v>
      </c>
      <c r="X42" s="2938">
        <f ca="1">+SUM('DDJJ EPEC S-II'!Z691:Z699)</f>
        <v>0</v>
      </c>
      <c r="Y42" s="2938">
        <f ca="1">+SUM('DDJJ EPEC S-II'!AA691:AA699)</f>
        <v>0</v>
      </c>
    </row>
    <row r="43" spans="3:25" ht="20.85" customHeight="1" x14ac:dyDescent="0.2">
      <c r="D43" s="487" t="s">
        <v>843</v>
      </c>
      <c r="E43" s="525">
        <f t="shared" si="31"/>
        <v>0</v>
      </c>
      <c r="F43" s="2696">
        <f>+'Compra -HOJA1'!F67</f>
        <v>0</v>
      </c>
      <c r="G43" s="2939">
        <f>+'Compra -HOJA1'!F67</f>
        <v>0</v>
      </c>
      <c r="H43" s="2932">
        <f t="shared" si="32"/>
        <v>0</v>
      </c>
      <c r="I43" s="2932">
        <f t="shared" si="33"/>
        <v>0</v>
      </c>
      <c r="J43" s="2932">
        <f t="shared" si="34"/>
        <v>0</v>
      </c>
      <c r="K43" s="72">
        <f t="shared" si="35"/>
        <v>0</v>
      </c>
      <c r="L43" s="72">
        <f t="shared" si="41"/>
        <v>0</v>
      </c>
      <c r="M43" s="72">
        <f t="shared" si="42"/>
        <v>0</v>
      </c>
      <c r="N43" s="72">
        <f t="shared" si="43"/>
        <v>0</v>
      </c>
      <c r="O43" s="72">
        <f t="shared" si="44"/>
        <v>0</v>
      </c>
      <c r="P43" s="72">
        <f t="shared" si="45"/>
        <v>0</v>
      </c>
      <c r="Q43" s="2938">
        <f>+'DDJJ EPEC S-II'!S704</f>
        <v>0</v>
      </c>
      <c r="R43" s="2938">
        <f>+'DDJJ EPEC S-II'!T704</f>
        <v>0</v>
      </c>
      <c r="S43" s="2938">
        <f>+'DDJJ EPEC S-II'!U704</f>
        <v>0</v>
      </c>
      <c r="T43" s="2938">
        <f>+'DDJJ EPEC S-II'!V704</f>
        <v>0</v>
      </c>
      <c r="U43" s="2938">
        <f>+'DDJJ EPEC S-II'!W704</f>
        <v>0</v>
      </c>
      <c r="V43" s="2938">
        <f>+'DDJJ EPEC S-II'!X704</f>
        <v>0</v>
      </c>
      <c r="W43" s="2938">
        <f>+'DDJJ EPEC S-II'!Y704</f>
        <v>0</v>
      </c>
      <c r="X43" s="2938">
        <f>+'DDJJ EPEC S-II'!Z704</f>
        <v>0</v>
      </c>
      <c r="Y43" s="2938">
        <f>+'DDJJ EPEC S-II'!AA704</f>
        <v>0</v>
      </c>
    </row>
    <row r="44" spans="3:25" ht="20.85" customHeight="1" x14ac:dyDescent="0.2">
      <c r="D44" s="487" t="s">
        <v>466</v>
      </c>
      <c r="H44" s="2934">
        <f ca="1">SUM(H37:H43)</f>
        <v>0</v>
      </c>
      <c r="I44" s="2934">
        <f t="shared" ref="I44:J44" ca="1" si="46">SUM(I37:I43)</f>
        <v>0</v>
      </c>
      <c r="J44" s="2934">
        <f t="shared" ca="1" si="46"/>
        <v>0</v>
      </c>
    </row>
    <row r="45" spans="3:25" ht="20.85" customHeight="1" x14ac:dyDescent="0.2">
      <c r="D45" s="487" t="s">
        <v>844</v>
      </c>
      <c r="E45" s="72"/>
      <c r="H45" s="2934">
        <f ca="1">+H36-H44</f>
        <v>0</v>
      </c>
      <c r="I45" s="2934">
        <f t="shared" ref="I45:J45" ca="1" si="47">+I36-I44</f>
        <v>0</v>
      </c>
      <c r="J45" s="2934">
        <f t="shared" ca="1" si="47"/>
        <v>0</v>
      </c>
    </row>
    <row r="46" spans="3:25" ht="20.85" customHeight="1" x14ac:dyDescent="0.2"/>
    <row r="47" spans="3:25" ht="29.45" customHeight="1" x14ac:dyDescent="0.2">
      <c r="C47" s="487" t="s">
        <v>838</v>
      </c>
      <c r="H47" s="2933" t="s">
        <v>5</v>
      </c>
      <c r="I47" s="2933" t="s">
        <v>6</v>
      </c>
      <c r="J47" s="2933" t="s">
        <v>7</v>
      </c>
      <c r="K47" s="2933" t="s">
        <v>5</v>
      </c>
      <c r="L47" s="2933" t="s">
        <v>6</v>
      </c>
      <c r="M47" s="2933" t="s">
        <v>7</v>
      </c>
      <c r="N47" s="2933" t="s">
        <v>5</v>
      </c>
      <c r="O47" s="2933" t="s">
        <v>6</v>
      </c>
      <c r="P47" s="2933" t="s">
        <v>7</v>
      </c>
      <c r="Q47" s="2894" t="s">
        <v>5</v>
      </c>
      <c r="R47" s="2894" t="s">
        <v>6</v>
      </c>
      <c r="S47" s="2894" t="s">
        <v>7</v>
      </c>
      <c r="T47" s="2768" t="s">
        <v>4</v>
      </c>
    </row>
    <row r="48" spans="3:25" ht="20.85" customHeight="1" x14ac:dyDescent="0.3">
      <c r="D48" s="487" t="s">
        <v>834</v>
      </c>
      <c r="E48" s="487" t="s">
        <v>839</v>
      </c>
      <c r="F48" s="487"/>
      <c r="H48" s="2944">
        <f>+H36</f>
        <v>0</v>
      </c>
      <c r="I48" s="2944">
        <f t="shared" ref="I48:J48" si="48">+I36</f>
        <v>0</v>
      </c>
      <c r="J48" s="2944">
        <f t="shared" si="48"/>
        <v>0</v>
      </c>
    </row>
    <row r="49" spans="4:25" ht="20.85" customHeight="1" x14ac:dyDescent="0.2">
      <c r="D49" s="487" t="s">
        <v>18</v>
      </c>
      <c r="E49" s="525">
        <f ca="1">+E37</f>
        <v>0</v>
      </c>
      <c r="F49" s="2941">
        <f ca="1">+SUM(K49:M49)</f>
        <v>0</v>
      </c>
      <c r="G49" s="2940"/>
      <c r="H49" s="2932">
        <f t="shared" ref="H49:H68" ca="1" si="49">+K49+N49</f>
        <v>0</v>
      </c>
      <c r="I49" s="2932">
        <f t="shared" ref="I49:I68" ca="1" si="50">+L49+O49</f>
        <v>0</v>
      </c>
      <c r="J49" s="2932">
        <f t="shared" ref="J49:J68" ca="1" si="51">+M49+P49</f>
        <v>0</v>
      </c>
      <c r="K49" s="72">
        <f ca="1">+Q49</f>
        <v>0</v>
      </c>
      <c r="L49" s="72">
        <f ca="1">+S49</f>
        <v>0</v>
      </c>
      <c r="M49" s="72">
        <f ca="1">+R49</f>
        <v>0</v>
      </c>
      <c r="N49" s="72">
        <f ca="1">+T49</f>
        <v>0</v>
      </c>
      <c r="O49" s="72">
        <f ca="1">+V49</f>
        <v>0</v>
      </c>
      <c r="P49" s="72">
        <f ca="1">+U49</f>
        <v>0</v>
      </c>
      <c r="Q49" s="2953">
        <f ca="1">+'DDJJ EPEC S-II'!G742</f>
        <v>0</v>
      </c>
      <c r="R49" s="2953">
        <f ca="1">+'DDJJ EPEC S-II'!H742</f>
        <v>0</v>
      </c>
      <c r="S49" s="2953">
        <f ca="1">+'DDJJ EPEC S-II'!I742</f>
        <v>0</v>
      </c>
      <c r="T49" s="2953">
        <f ca="1">+'DDJJ EPEC S-II'!J742</f>
        <v>0</v>
      </c>
      <c r="U49" s="2953">
        <f ca="1">+'DDJJ EPEC S-II'!K742</f>
        <v>0</v>
      </c>
      <c r="V49" s="2953">
        <f ca="1">+'DDJJ EPEC S-II'!L742</f>
        <v>0</v>
      </c>
      <c r="W49" s="2953">
        <f ca="1">+'DDJJ EPEC S-II'!M742</f>
        <v>0</v>
      </c>
      <c r="X49" s="2953">
        <f ca="1">+'DDJJ EPEC S-II'!N742</f>
        <v>0</v>
      </c>
      <c r="Y49" s="2953">
        <f ca="1">+'DDJJ EPEC S-II'!O742</f>
        <v>0</v>
      </c>
    </row>
    <row r="50" spans="4:25" ht="20.85" customHeight="1" x14ac:dyDescent="0.2">
      <c r="D50" s="487" t="s">
        <v>260</v>
      </c>
      <c r="E50" s="525">
        <f t="shared" ref="E50:E51" si="52">+E38</f>
        <v>0</v>
      </c>
      <c r="F50" s="2941">
        <f t="shared" ref="F50:F68" si="53">+SUM(K50:M50)</f>
        <v>0</v>
      </c>
      <c r="G50" s="2940"/>
      <c r="H50" s="2932">
        <f t="shared" si="49"/>
        <v>0</v>
      </c>
      <c r="I50" s="2932">
        <f t="shared" si="50"/>
        <v>0</v>
      </c>
      <c r="J50" s="2932">
        <f t="shared" si="51"/>
        <v>0</v>
      </c>
      <c r="K50" s="72">
        <f>+Q50</f>
        <v>0</v>
      </c>
      <c r="L50" s="72">
        <f>+S50</f>
        <v>0</v>
      </c>
      <c r="M50" s="72">
        <f>+R50</f>
        <v>0</v>
      </c>
      <c r="N50" s="72">
        <f>+T50</f>
        <v>0</v>
      </c>
      <c r="O50" s="72">
        <f>+V50</f>
        <v>0</v>
      </c>
      <c r="P50" s="72">
        <f>+U50</f>
        <v>0</v>
      </c>
      <c r="Q50" s="2954">
        <f>+'DDJJ EPEC S-II'!G720</f>
        <v>0</v>
      </c>
      <c r="R50" s="2954">
        <f>+'DDJJ EPEC S-II'!H720</f>
        <v>0</v>
      </c>
      <c r="S50" s="2954">
        <f>+'DDJJ EPEC S-II'!I720</f>
        <v>0</v>
      </c>
      <c r="T50" s="2954">
        <f>+'DDJJ EPEC S-II'!J720</f>
        <v>0</v>
      </c>
      <c r="U50" s="2954">
        <f>+'DDJJ EPEC S-II'!K720</f>
        <v>0</v>
      </c>
      <c r="V50" s="2954">
        <f>+'DDJJ EPEC S-II'!L720</f>
        <v>0</v>
      </c>
      <c r="W50" s="2954">
        <f>+'DDJJ EPEC S-II'!M720</f>
        <v>0</v>
      </c>
      <c r="X50" s="2954">
        <f>+'DDJJ EPEC S-II'!N720</f>
        <v>0</v>
      </c>
      <c r="Y50" s="2954">
        <f>+'DDJJ EPEC S-II'!O720</f>
        <v>0</v>
      </c>
    </row>
    <row r="51" spans="4:25" ht="20.85" customHeight="1" x14ac:dyDescent="0.2">
      <c r="D51" s="487" t="s">
        <v>258</v>
      </c>
      <c r="E51" s="525">
        <f t="shared" si="52"/>
        <v>0</v>
      </c>
      <c r="F51" s="2941">
        <f t="shared" si="53"/>
        <v>0</v>
      </c>
      <c r="G51" s="2939"/>
      <c r="H51" s="2932">
        <f t="shared" si="49"/>
        <v>0</v>
      </c>
      <c r="I51" s="2932">
        <f t="shared" si="50"/>
        <v>0</v>
      </c>
      <c r="J51" s="2932">
        <f t="shared" si="51"/>
        <v>0</v>
      </c>
      <c r="K51" s="72">
        <f t="shared" ref="K51:K68" si="54">+Q51</f>
        <v>0</v>
      </c>
      <c r="L51" s="72">
        <f t="shared" ref="L51:L68" si="55">+S51</f>
        <v>0</v>
      </c>
      <c r="M51" s="72">
        <f t="shared" ref="M51:M68" si="56">+R51</f>
        <v>0</v>
      </c>
      <c r="N51" s="72">
        <f t="shared" ref="N51:N68" si="57">+T51</f>
        <v>0</v>
      </c>
      <c r="O51" s="72">
        <f t="shared" ref="O51:O68" si="58">+V51</f>
        <v>0</v>
      </c>
      <c r="P51" s="72">
        <f t="shared" ref="P51:P68" si="59">+U51</f>
        <v>0</v>
      </c>
      <c r="Q51" s="2953">
        <f>+'DDJJ EPEC S-II'!G730</f>
        <v>0</v>
      </c>
      <c r="R51" s="2953">
        <f>+'DDJJ EPEC S-II'!H730</f>
        <v>0</v>
      </c>
      <c r="S51" s="2953">
        <f>+'DDJJ EPEC S-II'!I730</f>
        <v>0</v>
      </c>
      <c r="T51" s="2953">
        <f>+'DDJJ EPEC S-II'!J730</f>
        <v>0</v>
      </c>
      <c r="U51" s="2953">
        <f>+'DDJJ EPEC S-II'!K730</f>
        <v>0</v>
      </c>
      <c r="V51" s="2953">
        <f>+'DDJJ EPEC S-II'!L730</f>
        <v>0</v>
      </c>
      <c r="W51" s="2953">
        <f>+'DDJJ EPEC S-II'!M730</f>
        <v>0</v>
      </c>
      <c r="X51" s="2953">
        <f>+'DDJJ EPEC S-II'!N730</f>
        <v>0</v>
      </c>
      <c r="Y51" s="2953">
        <f>+'DDJJ EPEC S-II'!O730</f>
        <v>0</v>
      </c>
    </row>
    <row r="52" spans="4:25" ht="20.85" customHeight="1" x14ac:dyDescent="0.2">
      <c r="D52" s="487" t="s">
        <v>845</v>
      </c>
      <c r="E52" s="525">
        <f ca="1">+SUM(E65:E68)</f>
        <v>0</v>
      </c>
      <c r="F52" s="2941">
        <f t="shared" ca="1" si="53"/>
        <v>0</v>
      </c>
      <c r="G52" s="2939"/>
      <c r="H52" s="2932">
        <f t="shared" ref="H52" ca="1" si="60">+K52+N52</f>
        <v>0</v>
      </c>
      <c r="I52" s="2932">
        <f t="shared" ref="I52" ca="1" si="61">+L52+O52</f>
        <v>0</v>
      </c>
      <c r="J52" s="2932">
        <f t="shared" ref="J52" ca="1" si="62">+M52+P52</f>
        <v>0</v>
      </c>
      <c r="K52" s="72">
        <f t="shared" ref="K52" ca="1" si="63">+Q52</f>
        <v>0</v>
      </c>
      <c r="L52" s="72">
        <f t="shared" ref="L52" ca="1" si="64">+S52</f>
        <v>0</v>
      </c>
      <c r="M52" s="72">
        <f t="shared" ref="M52" ca="1" si="65">+R52</f>
        <v>0</v>
      </c>
      <c r="N52" s="72">
        <f t="shared" ref="N52" ca="1" si="66">+T52</f>
        <v>0</v>
      </c>
      <c r="O52" s="72">
        <f t="shared" ref="O52" ca="1" si="67">+V52</f>
        <v>0</v>
      </c>
      <c r="P52" s="72">
        <f t="shared" ref="P52" ca="1" si="68">+U52</f>
        <v>0</v>
      </c>
      <c r="Q52" s="2953">
        <f ca="1">+'DDJJ EPEC S-II'!F706</f>
        <v>0</v>
      </c>
      <c r="R52" s="2953">
        <f ca="1">+'DDJJ EPEC S-II'!G706</f>
        <v>0</v>
      </c>
      <c r="S52" s="2953">
        <f ca="1">+'DDJJ EPEC S-II'!H706</f>
        <v>0</v>
      </c>
      <c r="T52" s="2953">
        <f ca="1">+'DDJJ EPEC S-II'!I706</f>
        <v>0</v>
      </c>
      <c r="U52" s="2953">
        <f ca="1">+'DDJJ EPEC S-II'!J706</f>
        <v>0</v>
      </c>
      <c r="V52" s="2953">
        <f ca="1">+'DDJJ EPEC S-II'!K706</f>
        <v>0</v>
      </c>
      <c r="W52" s="2953">
        <f ca="1">+'DDJJ EPEC S-II'!L706</f>
        <v>0</v>
      </c>
      <c r="X52" s="2953">
        <f ca="1">+'DDJJ EPEC S-II'!M706</f>
        <v>0</v>
      </c>
      <c r="Y52" s="2953">
        <f ca="1">+'DDJJ EPEC S-II'!N706</f>
        <v>0</v>
      </c>
    </row>
    <row r="53" spans="4:25" ht="20.85" customHeight="1" x14ac:dyDescent="0.2">
      <c r="D53" s="487"/>
      <c r="E53" s="525"/>
      <c r="F53" s="2941"/>
      <c r="G53" s="2939"/>
      <c r="H53" s="2955">
        <f ca="1">SUM(H49:H52)</f>
        <v>0</v>
      </c>
      <c r="I53" s="2955">
        <f t="shared" ref="I53:J53" ca="1" si="69">SUM(I49:I52)</f>
        <v>0</v>
      </c>
      <c r="J53" s="2955">
        <f t="shared" ca="1" si="69"/>
        <v>0</v>
      </c>
      <c r="K53" s="72"/>
      <c r="L53" s="72"/>
      <c r="M53" s="72"/>
      <c r="N53" s="72"/>
      <c r="O53" s="72"/>
      <c r="P53" s="72"/>
      <c r="Q53" s="2953"/>
      <c r="R53" s="2953"/>
      <c r="S53" s="2953"/>
      <c r="T53" s="2953"/>
      <c r="U53" s="2953"/>
      <c r="V53" s="2953"/>
      <c r="W53" s="2953"/>
      <c r="X53" s="2953"/>
      <c r="Y53" s="2953"/>
    </row>
    <row r="54" spans="4:25" ht="20.85" customHeight="1" x14ac:dyDescent="0.2">
      <c r="D54" s="487"/>
      <c r="E54" s="525"/>
      <c r="F54" s="2941"/>
      <c r="G54" s="2939"/>
      <c r="H54" s="2956">
        <f ca="1">+H48-H53</f>
        <v>0</v>
      </c>
      <c r="I54" s="2956">
        <f t="shared" ref="I54:J54" ca="1" si="70">+I48-I53</f>
        <v>0</v>
      </c>
      <c r="J54" s="2956">
        <f t="shared" ca="1" si="70"/>
        <v>0</v>
      </c>
      <c r="K54" s="72"/>
      <c r="L54" s="72"/>
      <c r="M54" s="72"/>
      <c r="N54" s="72"/>
      <c r="O54" s="72"/>
      <c r="P54" s="72"/>
      <c r="Q54" s="2953"/>
      <c r="R54" s="2953"/>
      <c r="S54" s="2953"/>
      <c r="T54" s="2953"/>
      <c r="U54" s="2953"/>
      <c r="V54" s="2953"/>
      <c r="W54" s="2953"/>
      <c r="X54" s="2953"/>
      <c r="Y54" s="2953"/>
    </row>
    <row r="55" spans="4:25" ht="20.85" customHeight="1" x14ac:dyDescent="0.2">
      <c r="D55" s="487"/>
      <c r="E55" s="525"/>
      <c r="F55" s="2941"/>
      <c r="G55" s="2939"/>
      <c r="H55" s="2932"/>
      <c r="I55" s="2932"/>
      <c r="J55" s="2932"/>
      <c r="K55" s="72"/>
      <c r="L55" s="72"/>
      <c r="M55" s="72"/>
      <c r="N55" s="72"/>
      <c r="O55" s="72"/>
      <c r="P55" s="72"/>
      <c r="Q55" s="2953"/>
      <c r="R55" s="2953"/>
      <c r="S55" s="2953"/>
      <c r="T55" s="2953"/>
      <c r="U55" s="2953"/>
      <c r="V55" s="2953"/>
      <c r="W55" s="2953"/>
      <c r="X55" s="2953"/>
      <c r="Y55" s="2953"/>
    </row>
    <row r="56" spans="4:25" ht="20.85" customHeight="1" x14ac:dyDescent="0.2">
      <c r="D56" s="487" t="s">
        <v>18</v>
      </c>
      <c r="E56" s="525"/>
      <c r="F56" s="2941"/>
      <c r="G56" s="2939"/>
      <c r="H56" s="2932">
        <f ca="1">+H49-H37</f>
        <v>0</v>
      </c>
      <c r="I56" s="2932">
        <f t="shared" ref="I56:J56" ca="1" si="71">+I49-I37</f>
        <v>0</v>
      </c>
      <c r="J56" s="2932">
        <f t="shared" ca="1" si="71"/>
        <v>0</v>
      </c>
      <c r="K56" s="72"/>
      <c r="L56" s="72"/>
      <c r="M56" s="72"/>
      <c r="N56" s="72"/>
      <c r="O56" s="72"/>
      <c r="P56" s="72"/>
      <c r="Q56" s="2953"/>
      <c r="R56" s="2953"/>
      <c r="S56" s="2953"/>
      <c r="T56" s="2953"/>
      <c r="U56" s="2953"/>
      <c r="V56" s="2953"/>
      <c r="W56" s="2953"/>
      <c r="X56" s="2953"/>
      <c r="Y56" s="2953"/>
    </row>
    <row r="57" spans="4:25" ht="20.85" customHeight="1" x14ac:dyDescent="0.2">
      <c r="D57" s="487" t="s">
        <v>260</v>
      </c>
      <c r="E57" s="525"/>
      <c r="F57" s="2941"/>
      <c r="G57" s="2939"/>
      <c r="H57" s="2932">
        <f t="shared" ref="H57:J57" si="72">+H50-H38</f>
        <v>0</v>
      </c>
      <c r="I57" s="2932">
        <f t="shared" si="72"/>
        <v>0</v>
      </c>
      <c r="J57" s="2932">
        <f t="shared" si="72"/>
        <v>0</v>
      </c>
      <c r="K57" s="72"/>
      <c r="L57" s="72"/>
      <c r="M57" s="72"/>
      <c r="N57" s="72"/>
      <c r="O57" s="72"/>
      <c r="P57" s="72"/>
      <c r="Q57" s="2953"/>
      <c r="R57" s="2953"/>
      <c r="S57" s="2953"/>
      <c r="T57" s="2953"/>
      <c r="U57" s="2953"/>
      <c r="V57" s="2953"/>
      <c r="W57" s="2953"/>
      <c r="X57" s="2953"/>
      <c r="Y57" s="2953"/>
    </row>
    <row r="58" spans="4:25" ht="20.85" customHeight="1" x14ac:dyDescent="0.2">
      <c r="D58" s="487" t="s">
        <v>258</v>
      </c>
      <c r="E58" s="525"/>
      <c r="F58" s="2941"/>
      <c r="G58" s="2939"/>
      <c r="H58" s="2932">
        <f t="shared" ref="H58:J58" si="73">+H51-H39</f>
        <v>0</v>
      </c>
      <c r="I58" s="2932">
        <f t="shared" si="73"/>
        <v>0</v>
      </c>
      <c r="J58" s="2932">
        <f t="shared" si="73"/>
        <v>0</v>
      </c>
      <c r="K58" s="72"/>
      <c r="L58" s="72"/>
      <c r="M58" s="72"/>
      <c r="N58" s="72"/>
      <c r="O58" s="72"/>
      <c r="P58" s="72"/>
      <c r="Q58" s="2953"/>
      <c r="R58" s="2953"/>
      <c r="S58" s="2953"/>
      <c r="T58" s="2953"/>
      <c r="U58" s="2953"/>
      <c r="V58" s="2953"/>
      <c r="W58" s="2953"/>
      <c r="X58" s="2953"/>
      <c r="Y58" s="2953"/>
    </row>
    <row r="59" spans="4:25" ht="20.85" customHeight="1" x14ac:dyDescent="0.2">
      <c r="D59" s="487" t="s">
        <v>845</v>
      </c>
      <c r="E59" s="525"/>
      <c r="F59" s="2941"/>
      <c r="G59" s="2939"/>
      <c r="H59" s="2932">
        <f ca="1">+H52-SUM(H40:H43)</f>
        <v>0</v>
      </c>
      <c r="I59" s="2957">
        <f t="shared" ref="I59:J59" ca="1" si="74">+I52-SUM(I40:I43)</f>
        <v>0</v>
      </c>
      <c r="J59" s="2957">
        <f t="shared" ca="1" si="74"/>
        <v>0</v>
      </c>
      <c r="K59" s="72"/>
      <c r="L59" s="72"/>
      <c r="M59" s="72"/>
      <c r="N59" s="72"/>
      <c r="O59" s="72"/>
      <c r="P59" s="72"/>
      <c r="Q59" s="2953"/>
      <c r="R59" s="2953"/>
      <c r="S59" s="2953"/>
      <c r="T59" s="2953"/>
      <c r="U59" s="2953"/>
      <c r="V59" s="2953"/>
      <c r="W59" s="2953"/>
      <c r="X59" s="2953"/>
      <c r="Y59" s="2953"/>
    </row>
    <row r="60" spans="4:25" ht="20.85" customHeight="1" x14ac:dyDescent="0.2">
      <c r="D60" s="487"/>
      <c r="E60" s="525"/>
      <c r="F60" s="2941"/>
      <c r="G60" s="2939"/>
      <c r="H60" s="2932"/>
      <c r="I60" s="2932"/>
      <c r="J60" s="2932"/>
      <c r="K60" s="72"/>
      <c r="L60" s="72"/>
      <c r="M60" s="72"/>
      <c r="N60" s="72"/>
      <c r="O60" s="72"/>
      <c r="P60" s="72"/>
      <c r="Q60" s="2953"/>
      <c r="R60" s="2953"/>
      <c r="S60" s="2953"/>
      <c r="T60" s="2953"/>
      <c r="U60" s="2953"/>
      <c r="V60" s="2953"/>
      <c r="W60" s="2953"/>
      <c r="X60" s="2953"/>
      <c r="Y60" s="2953"/>
    </row>
    <row r="61" spans="4:25" ht="20.85" customHeight="1" x14ac:dyDescent="0.2">
      <c r="D61" s="487"/>
      <c r="E61" s="525"/>
      <c r="F61" s="2941"/>
      <c r="G61" s="2939"/>
      <c r="H61" s="2932"/>
      <c r="I61" s="2932"/>
      <c r="J61" s="2932"/>
      <c r="K61" s="72"/>
      <c r="L61" s="72"/>
      <c r="M61" s="72"/>
      <c r="N61" s="72"/>
      <c r="O61" s="72"/>
      <c r="P61" s="72"/>
      <c r="Q61" s="2953"/>
      <c r="R61" s="2953"/>
      <c r="S61" s="2953"/>
      <c r="T61" s="2953"/>
      <c r="U61" s="2953"/>
      <c r="V61" s="2953"/>
      <c r="W61" s="2953"/>
      <c r="X61" s="2953"/>
      <c r="Y61" s="2953"/>
    </row>
    <row r="62" spans="4:25" ht="20.85" customHeight="1" x14ac:dyDescent="0.2">
      <c r="D62" s="487"/>
      <c r="E62" s="525"/>
      <c r="F62" s="2941"/>
      <c r="G62" s="2939"/>
      <c r="H62" s="2932"/>
      <c r="I62" s="2932"/>
      <c r="J62" s="2932"/>
      <c r="K62" s="72"/>
      <c r="L62" s="72"/>
      <c r="M62" s="72"/>
      <c r="N62" s="72"/>
      <c r="O62" s="72"/>
      <c r="P62" s="72"/>
      <c r="Q62" s="2953"/>
      <c r="R62" s="2953"/>
      <c r="S62" s="2953"/>
      <c r="T62" s="2953"/>
      <c r="U62" s="2953"/>
      <c r="V62" s="2953"/>
      <c r="W62" s="2953"/>
      <c r="X62" s="2953"/>
      <c r="Y62" s="2953"/>
    </row>
    <row r="63" spans="4:25" ht="20.85" customHeight="1" x14ac:dyDescent="0.2">
      <c r="D63" s="487"/>
      <c r="E63" s="525"/>
      <c r="F63" s="2941"/>
      <c r="G63" s="2939"/>
      <c r="H63" s="2932"/>
      <c r="I63" s="2932"/>
      <c r="J63" s="2932"/>
      <c r="K63" s="72"/>
      <c r="L63" s="72"/>
      <c r="M63" s="72"/>
      <c r="N63" s="72"/>
      <c r="O63" s="72"/>
      <c r="P63" s="72"/>
      <c r="Q63" s="2953"/>
      <c r="R63" s="2953"/>
      <c r="S63" s="2953"/>
      <c r="T63" s="2953"/>
      <c r="U63" s="2953"/>
      <c r="V63" s="2953"/>
      <c r="W63" s="2953"/>
      <c r="X63" s="2953"/>
      <c r="Y63" s="2953"/>
    </row>
    <row r="64" spans="4:25" ht="20.85" customHeight="1" x14ac:dyDescent="0.2">
      <c r="D64" s="487"/>
      <c r="E64" s="525"/>
      <c r="F64" s="2941"/>
      <c r="G64" s="2939"/>
      <c r="H64" s="2932"/>
      <c r="I64" s="2932"/>
      <c r="J64" s="2932"/>
      <c r="K64" s="72"/>
      <c r="L64" s="72"/>
      <c r="M64" s="72"/>
      <c r="N64" s="72"/>
      <c r="O64" s="72"/>
      <c r="P64" s="72"/>
      <c r="Q64" s="2953"/>
      <c r="R64" s="2953"/>
      <c r="S64" s="2953"/>
      <c r="T64" s="2953"/>
      <c r="U64" s="2953"/>
      <c r="V64" s="2953"/>
      <c r="W64" s="2953"/>
      <c r="X64" s="2953"/>
      <c r="Y64" s="2953"/>
    </row>
    <row r="65" spans="3:25" ht="20.85" customHeight="1" x14ac:dyDescent="0.2">
      <c r="C65" s="72">
        <f>+E65-F65</f>
        <v>0</v>
      </c>
      <c r="D65" s="487" t="s">
        <v>840</v>
      </c>
      <c r="E65" s="525">
        <f>+E40</f>
        <v>0</v>
      </c>
      <c r="F65" s="2941">
        <f t="shared" si="53"/>
        <v>0</v>
      </c>
      <c r="G65" s="2939"/>
      <c r="H65" s="2932">
        <f t="shared" ca="1" si="49"/>
        <v>0</v>
      </c>
      <c r="I65" s="2932">
        <f t="shared" ca="1" si="50"/>
        <v>0</v>
      </c>
      <c r="J65" s="2932">
        <f t="shared" ca="1" si="51"/>
        <v>0</v>
      </c>
      <c r="K65" s="72">
        <f t="shared" si="54"/>
        <v>0</v>
      </c>
      <c r="L65" s="72">
        <f t="shared" si="55"/>
        <v>0</v>
      </c>
      <c r="M65" s="72">
        <f t="shared" si="56"/>
        <v>0</v>
      </c>
      <c r="N65" s="72">
        <f t="shared" ca="1" si="57"/>
        <v>0</v>
      </c>
      <c r="O65" s="72">
        <f t="shared" ca="1" si="58"/>
        <v>0</v>
      </c>
      <c r="P65" s="72">
        <f t="shared" ca="1" si="59"/>
        <v>0</v>
      </c>
      <c r="Q65" s="2958">
        <f>+SUM('DDJJ EPEC S-II'!F598:F679)</f>
        <v>0</v>
      </c>
      <c r="R65" s="2958">
        <f>+SUM('DDJJ EPEC S-II'!G598:G679)</f>
        <v>0</v>
      </c>
      <c r="S65" s="2958">
        <f>+SUM('DDJJ EPEC S-II'!H598:H679)</f>
        <v>0</v>
      </c>
      <c r="T65" s="2958">
        <f ca="1">+SUM('DDJJ EPEC S-II'!I598:I679)</f>
        <v>0</v>
      </c>
      <c r="U65" s="2958">
        <f ca="1">+SUM('DDJJ EPEC S-II'!J598:J679)</f>
        <v>0</v>
      </c>
      <c r="V65" s="2958">
        <f ca="1">+SUM('DDJJ EPEC S-II'!K598:K679)</f>
        <v>0</v>
      </c>
      <c r="W65" s="2958">
        <f ca="1">+SUM('DDJJ EPEC S-II'!L598:L679)</f>
        <v>0</v>
      </c>
      <c r="X65" s="2958">
        <f ca="1">+SUM('DDJJ EPEC S-II'!M598:M679)</f>
        <v>0</v>
      </c>
      <c r="Y65" s="2958">
        <f ca="1">+SUM('DDJJ EPEC S-II'!N598:N679)</f>
        <v>0</v>
      </c>
    </row>
    <row r="66" spans="3:25" ht="20.85" customHeight="1" x14ac:dyDescent="0.2">
      <c r="C66" s="72">
        <f t="shared" ref="C66:C68" si="75">+E66-F66</f>
        <v>0</v>
      </c>
      <c r="D66" s="487" t="s">
        <v>841</v>
      </c>
      <c r="E66" s="525">
        <f t="shared" ref="E66:E68" si="76">+E41</f>
        <v>0</v>
      </c>
      <c r="F66" s="2941">
        <f t="shared" si="53"/>
        <v>0</v>
      </c>
      <c r="G66" s="2939"/>
      <c r="H66" s="2932">
        <f t="shared" ca="1" si="49"/>
        <v>0</v>
      </c>
      <c r="I66" s="2932">
        <f t="shared" ca="1" si="50"/>
        <v>0</v>
      </c>
      <c r="J66" s="2932">
        <f t="shared" ca="1" si="51"/>
        <v>0</v>
      </c>
      <c r="K66" s="72">
        <f t="shared" si="54"/>
        <v>0</v>
      </c>
      <c r="L66" s="72">
        <f t="shared" si="55"/>
        <v>0</v>
      </c>
      <c r="M66" s="72">
        <f t="shared" si="56"/>
        <v>0</v>
      </c>
      <c r="N66" s="72">
        <f t="shared" ca="1" si="57"/>
        <v>0</v>
      </c>
      <c r="O66" s="72">
        <f t="shared" ca="1" si="58"/>
        <v>0</v>
      </c>
      <c r="P66" s="72">
        <f t="shared" ca="1" si="59"/>
        <v>0</v>
      </c>
      <c r="Q66" s="2958">
        <f>+SUM('DDJJ EPEC S-II'!F687:F690)</f>
        <v>0</v>
      </c>
      <c r="R66" s="2958">
        <f>+SUM('DDJJ EPEC S-II'!G687:G690)</f>
        <v>0</v>
      </c>
      <c r="S66" s="2958">
        <f>+SUM('DDJJ EPEC S-II'!H687:H690)</f>
        <v>0</v>
      </c>
      <c r="T66" s="2958">
        <f ca="1">+SUM('DDJJ EPEC S-II'!I687:I690)</f>
        <v>0</v>
      </c>
      <c r="U66" s="2958">
        <f ca="1">+SUM('DDJJ EPEC S-II'!J687:J690)</f>
        <v>0</v>
      </c>
      <c r="V66" s="2958">
        <f ca="1">+SUM('DDJJ EPEC S-II'!K687:K690)</f>
        <v>0</v>
      </c>
      <c r="W66" s="2958">
        <f ca="1">+SUM('DDJJ EPEC S-II'!L687:L690)</f>
        <v>0</v>
      </c>
      <c r="X66" s="2958">
        <f ca="1">+SUM('DDJJ EPEC S-II'!M687:M690)</f>
        <v>0</v>
      </c>
      <c r="Y66" s="2958">
        <f ca="1">+SUM('DDJJ EPEC S-II'!N687:N690)</f>
        <v>0</v>
      </c>
    </row>
    <row r="67" spans="3:25" ht="20.85" customHeight="1" x14ac:dyDescent="0.2">
      <c r="C67" s="72">
        <f t="shared" ca="1" si="75"/>
        <v>0</v>
      </c>
      <c r="D67" s="487" t="s">
        <v>842</v>
      </c>
      <c r="E67" s="525">
        <f t="shared" ca="1" si="76"/>
        <v>0</v>
      </c>
      <c r="F67" s="2941">
        <f t="shared" ca="1" si="53"/>
        <v>0</v>
      </c>
      <c r="G67" s="2939"/>
      <c r="H67" s="2932">
        <f t="shared" ca="1" si="49"/>
        <v>0</v>
      </c>
      <c r="I67" s="2932">
        <f t="shared" ca="1" si="50"/>
        <v>0</v>
      </c>
      <c r="J67" s="2932">
        <f t="shared" ca="1" si="51"/>
        <v>0</v>
      </c>
      <c r="K67" s="72">
        <f t="shared" ca="1" si="54"/>
        <v>0</v>
      </c>
      <c r="L67" s="72">
        <f t="shared" ca="1" si="55"/>
        <v>0</v>
      </c>
      <c r="M67" s="72">
        <f t="shared" ca="1" si="56"/>
        <v>0</v>
      </c>
      <c r="N67" s="72">
        <f t="shared" ca="1" si="57"/>
        <v>0</v>
      </c>
      <c r="O67" s="72">
        <f t="shared" ca="1" si="58"/>
        <v>0</v>
      </c>
      <c r="P67" s="72">
        <f t="shared" ca="1" si="59"/>
        <v>0</v>
      </c>
      <c r="Q67" s="2958">
        <f ca="1">+SUM('DDJJ EPEC S-II'!F691:F699)</f>
        <v>0</v>
      </c>
      <c r="R67" s="2958">
        <f ca="1">+SUM('DDJJ EPEC S-II'!G691:G699)</f>
        <v>0</v>
      </c>
      <c r="S67" s="2958">
        <f ca="1">+SUM('DDJJ EPEC S-II'!H691:H699)</f>
        <v>0</v>
      </c>
      <c r="T67" s="2958">
        <f ca="1">+SUM('DDJJ EPEC S-II'!I691:I699)</f>
        <v>0</v>
      </c>
      <c r="U67" s="2958">
        <f ca="1">+SUM('DDJJ EPEC S-II'!J691:J699)</f>
        <v>0</v>
      </c>
      <c r="V67" s="2958">
        <f ca="1">+SUM('DDJJ EPEC S-II'!K691:K699)</f>
        <v>0</v>
      </c>
      <c r="W67" s="2958">
        <f ca="1">+SUM('DDJJ EPEC S-II'!L691:L699)</f>
        <v>0</v>
      </c>
      <c r="X67" s="2958">
        <f ca="1">+SUM('DDJJ EPEC S-II'!M691:M699)</f>
        <v>0</v>
      </c>
      <c r="Y67" s="2958">
        <f ca="1">+SUM('DDJJ EPEC S-II'!N691:N699)</f>
        <v>0</v>
      </c>
    </row>
    <row r="68" spans="3:25" ht="20.85" customHeight="1" x14ac:dyDescent="0.2">
      <c r="C68" s="72">
        <f t="shared" si="75"/>
        <v>0</v>
      </c>
      <c r="D68" s="487" t="s">
        <v>843</v>
      </c>
      <c r="E68" s="525">
        <f t="shared" si="76"/>
        <v>0</v>
      </c>
      <c r="F68" s="2941">
        <f t="shared" si="53"/>
        <v>0</v>
      </c>
      <c r="G68" s="2939"/>
      <c r="H68" s="2932">
        <f t="shared" si="49"/>
        <v>0</v>
      </c>
      <c r="I68" s="2932">
        <f t="shared" si="50"/>
        <v>0</v>
      </c>
      <c r="J68" s="2932">
        <f t="shared" si="51"/>
        <v>0</v>
      </c>
      <c r="K68" s="72">
        <f t="shared" si="54"/>
        <v>0</v>
      </c>
      <c r="L68" s="72">
        <f t="shared" si="55"/>
        <v>0</v>
      </c>
      <c r="M68" s="72">
        <f t="shared" si="56"/>
        <v>0</v>
      </c>
      <c r="N68" s="72">
        <f t="shared" si="57"/>
        <v>0</v>
      </c>
      <c r="O68" s="72">
        <f t="shared" si="58"/>
        <v>0</v>
      </c>
      <c r="P68" s="72">
        <f t="shared" si="59"/>
        <v>0</v>
      </c>
      <c r="Q68" s="2958">
        <f>+'DDJJ EPEC S-II'!F704</f>
        <v>0</v>
      </c>
      <c r="R68" s="2958">
        <f>+'DDJJ EPEC S-II'!G704</f>
        <v>0</v>
      </c>
      <c r="S68" s="2958">
        <f>+'DDJJ EPEC S-II'!H704</f>
        <v>0</v>
      </c>
      <c r="T68" s="2958">
        <f>+'DDJJ EPEC S-II'!I704</f>
        <v>0</v>
      </c>
      <c r="U68" s="2958">
        <f>+'DDJJ EPEC S-II'!J704</f>
        <v>0</v>
      </c>
      <c r="V68" s="2958">
        <f>+'DDJJ EPEC S-II'!K704</f>
        <v>0</v>
      </c>
      <c r="W68" s="2958">
        <f>+'DDJJ EPEC S-II'!L704</f>
        <v>0</v>
      </c>
      <c r="X68" s="2958">
        <f>+'DDJJ EPEC S-II'!M704</f>
        <v>0</v>
      </c>
      <c r="Y68" s="2958">
        <f>+'DDJJ EPEC S-II'!N704</f>
        <v>0</v>
      </c>
    </row>
    <row r="69" spans="3:25" ht="20.85" customHeight="1" x14ac:dyDescent="0.2">
      <c r="D69" s="487" t="s">
        <v>466</v>
      </c>
      <c r="H69" s="2934"/>
      <c r="I69" s="2934"/>
      <c r="J69" s="2934"/>
    </row>
    <row r="70" spans="3:25" ht="20.85" customHeight="1" x14ac:dyDescent="0.2">
      <c r="D70" s="487" t="s">
        <v>840</v>
      </c>
      <c r="E70" s="72"/>
      <c r="H70" s="2959">
        <f ca="1">+H65-H40</f>
        <v>0</v>
      </c>
      <c r="I70" s="2959">
        <f t="shared" ref="I70:J70" ca="1" si="77">+I65-I40</f>
        <v>0</v>
      </c>
      <c r="J70" s="2959">
        <f t="shared" ca="1" si="77"/>
        <v>0</v>
      </c>
    </row>
    <row r="71" spans="3:25" x14ac:dyDescent="0.2">
      <c r="D71" s="487" t="s">
        <v>841</v>
      </c>
      <c r="H71" s="2934">
        <f t="shared" ref="H71:J73" ca="1" si="78">+H66-H41</f>
        <v>0</v>
      </c>
      <c r="I71" s="2934">
        <f t="shared" ca="1" si="78"/>
        <v>0</v>
      </c>
      <c r="J71" s="2934">
        <f t="shared" ca="1" si="78"/>
        <v>0</v>
      </c>
    </row>
    <row r="72" spans="3:25" x14ac:dyDescent="0.2">
      <c r="D72" s="487" t="s">
        <v>842</v>
      </c>
      <c r="H72" s="2934">
        <f t="shared" ca="1" si="78"/>
        <v>0</v>
      </c>
      <c r="I72" s="2934">
        <f t="shared" ca="1" si="78"/>
        <v>0</v>
      </c>
      <c r="J72" s="2934">
        <f t="shared" ca="1" si="78"/>
        <v>0</v>
      </c>
    </row>
    <row r="73" spans="3:25" x14ac:dyDescent="0.2">
      <c r="D73" s="487" t="s">
        <v>843</v>
      </c>
      <c r="H73" s="2934">
        <f t="shared" si="78"/>
        <v>0</v>
      </c>
      <c r="I73" s="2934">
        <f t="shared" si="78"/>
        <v>0</v>
      </c>
      <c r="J73" s="2934">
        <f t="shared" si="78"/>
        <v>0</v>
      </c>
    </row>
  </sheetData>
  <mergeCells count="14">
    <mergeCell ref="K28:M28"/>
    <mergeCell ref="N28:P28"/>
    <mergeCell ref="Q28:T28"/>
    <mergeCell ref="K34:M34"/>
    <mergeCell ref="N34:P34"/>
    <mergeCell ref="Q34:T34"/>
    <mergeCell ref="C3:F3"/>
    <mergeCell ref="H7:J7"/>
    <mergeCell ref="K7:M7"/>
    <mergeCell ref="N7:Q7"/>
    <mergeCell ref="H18:J18"/>
    <mergeCell ref="K18:M18"/>
    <mergeCell ref="N18:P18"/>
    <mergeCell ref="Q18:T18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Q1041"/>
  <sheetViews>
    <sheetView showGridLines="0" topLeftCell="A15" zoomScale="27" zoomScaleNormal="27" workbookViewId="0">
      <selection activeCell="B27" sqref="B27:D28"/>
    </sheetView>
  </sheetViews>
  <sheetFormatPr baseColWidth="10" defaultColWidth="24.42578125" defaultRowHeight="34.5" x14ac:dyDescent="0.45"/>
  <cols>
    <col min="1" max="1" width="36.140625" style="1489" customWidth="1"/>
    <col min="2" max="2" width="24.5703125" style="1489" bestFit="1" customWidth="1"/>
    <col min="3" max="3" width="34.140625" style="1491" customWidth="1"/>
    <col min="4" max="4" width="101.140625" style="1491" customWidth="1"/>
    <col min="5" max="8" width="38.140625" style="1491" customWidth="1"/>
    <col min="9" max="17" width="38.85546875" style="1491" hidden="1" customWidth="1"/>
    <col min="18" max="18" width="34.42578125" style="1489" hidden="1" customWidth="1"/>
    <col min="19" max="21" width="44.5703125" style="1489" customWidth="1"/>
    <col min="22" max="22" width="40.85546875" style="1489" customWidth="1"/>
    <col min="23" max="24" width="40.85546875" style="1489" hidden="1" customWidth="1"/>
    <col min="25" max="25" width="33.42578125" style="1489" hidden="1" customWidth="1"/>
    <col min="26" max="27" width="35.42578125" style="1489" hidden="1" customWidth="1"/>
    <col min="28" max="28" width="40.42578125" style="1489" hidden="1" customWidth="1"/>
    <col min="29" max="29" width="39.42578125" style="1489" hidden="1" customWidth="1"/>
    <col min="30" max="30" width="38.85546875" style="1489" hidden="1" customWidth="1"/>
    <col min="31" max="31" width="0" style="1489" hidden="1" customWidth="1"/>
    <col min="32" max="32" width="33.140625" style="1489" hidden="1" customWidth="1"/>
    <col min="33" max="33" width="26" style="1489" hidden="1" customWidth="1"/>
    <col min="34" max="115" width="0" style="1489" hidden="1" customWidth="1"/>
    <col min="116" max="116" width="33.85546875" style="1489" hidden="1" customWidth="1"/>
    <col min="117" max="117" width="33.140625" style="1489" hidden="1" customWidth="1"/>
    <col min="118" max="118" width="24.5703125" style="1489" hidden="1" customWidth="1"/>
    <col min="119" max="119" width="0" style="1489" hidden="1" customWidth="1"/>
    <col min="120" max="120" width="24.5703125" style="1489" hidden="1" customWidth="1"/>
    <col min="121" max="175" width="0" style="1489" hidden="1" customWidth="1"/>
    <col min="176" max="16384" width="24.42578125" style="1489"/>
  </cols>
  <sheetData>
    <row r="1" spans="1:120" ht="149.25" customHeight="1" x14ac:dyDescent="0.45">
      <c r="A1" s="3835" t="s">
        <v>846</v>
      </c>
      <c r="B1" s="3835"/>
      <c r="C1" s="3835"/>
      <c r="D1" s="3835"/>
      <c r="E1" s="3835"/>
      <c r="F1" s="3835"/>
      <c r="G1" s="3835"/>
      <c r="H1" s="3835"/>
      <c r="I1" s="3835"/>
      <c r="J1" s="3835"/>
      <c r="K1" s="3835"/>
      <c r="L1" s="3835"/>
      <c r="M1" s="3835"/>
      <c r="N1" s="3835"/>
      <c r="O1" s="3835"/>
      <c r="P1" s="3835"/>
      <c r="Q1" s="3835"/>
    </row>
    <row r="2" spans="1:120" ht="96.95" customHeight="1" x14ac:dyDescent="0.45">
      <c r="A2" s="4376" t="s">
        <v>847</v>
      </c>
      <c r="B2" s="4376"/>
      <c r="C2" s="4376"/>
      <c r="D2" s="4376"/>
      <c r="E2" s="4376"/>
      <c r="F2" s="4376"/>
      <c r="G2" s="4376"/>
      <c r="H2" s="4376"/>
      <c r="I2" s="4376"/>
      <c r="J2" s="4376"/>
      <c r="K2" s="4376"/>
    </row>
    <row r="3" spans="1:120" ht="36" hidden="1" thickBot="1" x14ac:dyDescent="0.5">
      <c r="A3" s="1493"/>
      <c r="B3" s="1494"/>
      <c r="C3" s="1494"/>
      <c r="Q3" s="1492"/>
    </row>
    <row r="4" spans="1:120" ht="32.85" hidden="1" customHeight="1" x14ac:dyDescent="0.5">
      <c r="A4" s="1495"/>
      <c r="B4" s="4380" t="s">
        <v>354</v>
      </c>
      <c r="C4" s="4381"/>
      <c r="D4" s="4382"/>
      <c r="E4" s="1984"/>
      <c r="F4" s="2254"/>
      <c r="G4" s="2254"/>
      <c r="H4" s="2254"/>
      <c r="Q4" s="1492"/>
    </row>
    <row r="5" spans="1:120" ht="32.85" hidden="1" customHeight="1" x14ac:dyDescent="0.45">
      <c r="A5" s="1496"/>
      <c r="B5" s="4383" t="s">
        <v>358</v>
      </c>
      <c r="C5" s="4384"/>
      <c r="D5" s="4385"/>
      <c r="E5" s="1985"/>
      <c r="F5" s="2254"/>
      <c r="G5" s="2254"/>
      <c r="H5" s="2254"/>
      <c r="I5" s="2281"/>
      <c r="J5" s="2281"/>
      <c r="K5" s="2281"/>
      <c r="Q5" s="1492"/>
    </row>
    <row r="6" spans="1:120" ht="32.85" hidden="1" customHeight="1" x14ac:dyDescent="0.5">
      <c r="A6" s="1497"/>
      <c r="B6" s="4386" t="s">
        <v>359</v>
      </c>
      <c r="C6" s="4387"/>
      <c r="D6" s="4388"/>
      <c r="E6" s="1985"/>
      <c r="F6" s="2254"/>
      <c r="G6" s="2254"/>
      <c r="H6" s="2254"/>
      <c r="Q6" s="1492"/>
    </row>
    <row r="7" spans="1:120" ht="32.85" hidden="1" customHeight="1" x14ac:dyDescent="0.5">
      <c r="A7" s="1499"/>
      <c r="B7" s="4386" t="s">
        <v>360</v>
      </c>
      <c r="C7" s="4387"/>
      <c r="D7" s="4388"/>
      <c r="E7" s="1985"/>
      <c r="F7" s="2254"/>
      <c r="G7" s="2254"/>
      <c r="H7" s="2254"/>
      <c r="Q7" s="1492"/>
    </row>
    <row r="8" spans="1:120" ht="32.85" hidden="1" customHeight="1" x14ac:dyDescent="0.5">
      <c r="A8" s="1499"/>
      <c r="B8" s="4386" t="s">
        <v>361</v>
      </c>
      <c r="C8" s="4387"/>
      <c r="D8" s="4388"/>
      <c r="E8" s="1985"/>
      <c r="F8" s="2254"/>
      <c r="G8" s="2254"/>
      <c r="H8" s="2254"/>
      <c r="Q8" s="1492"/>
    </row>
    <row r="9" spans="1:120" ht="32.85" hidden="1" customHeight="1" thickBot="1" x14ac:dyDescent="0.55000000000000004">
      <c r="A9" s="1499"/>
      <c r="B9" s="4514" t="s">
        <v>362</v>
      </c>
      <c r="C9" s="4515"/>
      <c r="D9" s="4516"/>
      <c r="E9" s="1986"/>
      <c r="F9" s="2254"/>
      <c r="G9" s="2254"/>
      <c r="H9" s="2254"/>
      <c r="Q9" s="1492"/>
    </row>
    <row r="10" spans="1:120" ht="45.6" customHeight="1" x14ac:dyDescent="0.45">
      <c r="A10" s="4196" t="s">
        <v>363</v>
      </c>
      <c r="B10" s="4197"/>
      <c r="C10" s="4197"/>
      <c r="D10" s="4377">
        <f>'Compra -HOJA1'!D2</f>
        <v>0</v>
      </c>
      <c r="E10" s="4377"/>
      <c r="F10" s="4377"/>
      <c r="G10" s="4377"/>
      <c r="H10" s="4377"/>
      <c r="I10" s="4377"/>
      <c r="J10" s="4377"/>
      <c r="K10" s="4377"/>
      <c r="L10" s="4377"/>
      <c r="M10" s="4377"/>
      <c r="N10" s="4377"/>
      <c r="Q10" s="1492"/>
    </row>
    <row r="11" spans="1:120" ht="56.45" customHeight="1" x14ac:dyDescent="0.45">
      <c r="A11" s="4196" t="s">
        <v>364</v>
      </c>
      <c r="B11" s="4197"/>
      <c r="C11" s="4197"/>
      <c r="D11" s="2282">
        <f>'Compra -HOJA1'!F4</f>
        <v>45536</v>
      </c>
      <c r="E11" s="2282"/>
      <c r="F11" s="2282"/>
      <c r="G11" s="2282"/>
      <c r="H11" s="2282"/>
      <c r="I11" s="1500"/>
      <c r="J11" s="1500"/>
      <c r="K11" s="1500"/>
      <c r="Q11" s="1492"/>
    </row>
    <row r="12" spans="1:120" ht="30.75" customHeight="1" x14ac:dyDescent="0.45">
      <c r="A12" s="1505"/>
      <c r="B12" s="1506"/>
      <c r="C12" s="1510"/>
      <c r="D12" s="4194" t="s">
        <v>848</v>
      </c>
      <c r="E12" s="4194"/>
      <c r="F12" s="4194"/>
      <c r="G12" s="4194"/>
      <c r="H12" s="4194"/>
      <c r="I12" s="4194"/>
      <c r="J12" s="4194"/>
      <c r="K12" s="4194"/>
      <c r="L12" s="4194"/>
      <c r="M12" s="4194"/>
      <c r="N12" s="4194"/>
      <c r="O12" s="4194"/>
      <c r="P12" s="4194"/>
      <c r="Q12" s="4195"/>
    </row>
    <row r="13" spans="1:120" ht="18" customHeight="1" x14ac:dyDescent="0.45">
      <c r="A13" s="4378" t="s">
        <v>366</v>
      </c>
      <c r="B13" s="4379"/>
      <c r="C13" s="4379"/>
      <c r="D13" s="4379"/>
      <c r="E13" s="4379"/>
      <c r="F13" s="4379"/>
      <c r="G13" s="4379"/>
      <c r="H13" s="4379"/>
      <c r="I13" s="4379"/>
      <c r="J13" s="4379"/>
      <c r="K13" s="4379"/>
      <c r="L13" s="4379"/>
      <c r="M13" s="4379"/>
      <c r="N13" s="4379"/>
      <c r="O13" s="1510"/>
      <c r="P13" s="1510"/>
      <c r="Q13" s="1511"/>
    </row>
    <row r="14" spans="1:120" ht="18" customHeight="1" thickBot="1" x14ac:dyDescent="0.5">
      <c r="A14" s="4378"/>
      <c r="B14" s="4379"/>
      <c r="C14" s="4379"/>
      <c r="D14" s="4379"/>
      <c r="E14" s="4379"/>
      <c r="F14" s="4379"/>
      <c r="G14" s="4379"/>
      <c r="H14" s="4379"/>
      <c r="I14" s="4379"/>
      <c r="J14" s="4379"/>
      <c r="K14" s="4379"/>
      <c r="L14" s="4379"/>
      <c r="M14" s="4379"/>
      <c r="N14" s="4379"/>
      <c r="Q14" s="1492"/>
    </row>
    <row r="15" spans="1:120" ht="78.95" customHeight="1" x14ac:dyDescent="0.5">
      <c r="A15" s="5209" t="s">
        <v>367</v>
      </c>
      <c r="B15" s="5189"/>
      <c r="C15" s="5189"/>
      <c r="D15" s="5190"/>
      <c r="E15" s="4243" t="s">
        <v>101</v>
      </c>
      <c r="F15" s="4234" t="s">
        <v>849</v>
      </c>
      <c r="G15" s="4235"/>
      <c r="H15" s="4244"/>
      <c r="I15" s="4234" t="s">
        <v>304</v>
      </c>
      <c r="J15" s="4235"/>
      <c r="K15" s="4244"/>
      <c r="L15" s="4234" t="s">
        <v>368</v>
      </c>
      <c r="M15" s="4235"/>
      <c r="N15" s="4244"/>
      <c r="O15" s="4237" t="s">
        <v>369</v>
      </c>
      <c r="P15" s="4238"/>
      <c r="Q15" s="4239"/>
      <c r="S15" s="5177" t="s">
        <v>241</v>
      </c>
      <c r="T15" s="4508"/>
      <c r="U15" s="4508"/>
      <c r="V15" s="4509"/>
      <c r="W15" s="2537"/>
      <c r="DL15" s="4253" t="s">
        <v>241</v>
      </c>
      <c r="DM15" s="4253"/>
      <c r="DN15" s="4253"/>
      <c r="DO15" s="4253"/>
      <c r="DP15" s="4253"/>
    </row>
    <row r="16" spans="1:120" ht="54.95" customHeight="1" thickBot="1" x14ac:dyDescent="0.5">
      <c r="A16" s="5209"/>
      <c r="B16" s="5189"/>
      <c r="C16" s="5189"/>
      <c r="D16" s="5190"/>
      <c r="E16" s="4242"/>
      <c r="F16" s="1515" t="s">
        <v>287</v>
      </c>
      <c r="G16" s="1515" t="s">
        <v>289</v>
      </c>
      <c r="H16" s="1516" t="s">
        <v>288</v>
      </c>
      <c r="I16" s="1515" t="s">
        <v>287</v>
      </c>
      <c r="J16" s="1515" t="s">
        <v>289</v>
      </c>
      <c r="K16" s="1516" t="s">
        <v>288</v>
      </c>
      <c r="L16" s="1515" t="s">
        <v>287</v>
      </c>
      <c r="M16" s="1515" t="s">
        <v>289</v>
      </c>
      <c r="N16" s="1516" t="s">
        <v>288</v>
      </c>
      <c r="O16" s="1515" t="s">
        <v>287</v>
      </c>
      <c r="P16" s="1515" t="s">
        <v>289</v>
      </c>
      <c r="Q16" s="1517" t="s">
        <v>288</v>
      </c>
      <c r="S16" s="979" t="s">
        <v>370</v>
      </c>
      <c r="T16" s="979" t="s">
        <v>25</v>
      </c>
      <c r="U16" s="979" t="s">
        <v>371</v>
      </c>
      <c r="V16" s="979" t="s">
        <v>241</v>
      </c>
      <c r="W16" s="979"/>
      <c r="DL16" s="979" t="s">
        <v>370</v>
      </c>
      <c r="DM16" s="979" t="s">
        <v>25</v>
      </c>
      <c r="DN16" s="979" t="s">
        <v>371</v>
      </c>
      <c r="DO16" s="979" t="s">
        <v>241</v>
      </c>
      <c r="DP16" s="979"/>
    </row>
    <row r="17" spans="1:120" ht="49.5" customHeight="1" x14ac:dyDescent="0.45">
      <c r="A17" s="3952" t="s">
        <v>41</v>
      </c>
      <c r="B17" s="1947">
        <v>5030</v>
      </c>
      <c r="C17" s="4617" t="s">
        <v>217</v>
      </c>
      <c r="D17" s="4618"/>
      <c r="E17" s="2283">
        <f>+E188</f>
        <v>0</v>
      </c>
      <c r="F17" s="2283" t="e">
        <f ca="1">+I17+L17</f>
        <v>#REF!</v>
      </c>
      <c r="G17" s="2283" t="e">
        <f t="shared" ref="G17:H17" ca="1" si="0">+J17+M17</f>
        <v>#REF!</v>
      </c>
      <c r="H17" s="2283" t="e">
        <f t="shared" ca="1" si="0"/>
        <v>#REF!</v>
      </c>
      <c r="I17" s="2283" t="e">
        <f ca="1">+I188+J312</f>
        <v>#REF!</v>
      </c>
      <c r="J17" s="2283" t="e">
        <f ca="1">+J188+K312</f>
        <v>#REF!</v>
      </c>
      <c r="K17" s="2283" t="e">
        <f ca="1">+K188+L312</f>
        <v>#REF!</v>
      </c>
      <c r="L17" s="2283" t="e">
        <f t="shared" ref="L17:N17" si="1">+L188</f>
        <v>#REF!</v>
      </c>
      <c r="M17" s="2283" t="e">
        <f t="shared" si="1"/>
        <v>#REF!</v>
      </c>
      <c r="N17" s="2283" t="e">
        <f t="shared" si="1"/>
        <v>#REF!</v>
      </c>
      <c r="O17" s="1524" t="e">
        <f t="shared" ref="O17:Q20" ca="1" si="2">+I17+L17</f>
        <v>#REF!</v>
      </c>
      <c r="P17" s="1524" t="e">
        <f t="shared" ca="1" si="2"/>
        <v>#REF!</v>
      </c>
      <c r="Q17" s="1545" t="e">
        <f t="shared" ca="1" si="2"/>
        <v>#REF!</v>
      </c>
      <c r="S17" s="2021" t="e">
        <f ca="1">+IF(H17=0,0,T17/U17)</f>
        <v>#REF!</v>
      </c>
      <c r="T17" s="1938" t="e">
        <f ca="1">+SUM(I17:K17)</f>
        <v>#REF!</v>
      </c>
      <c r="U17" s="1938">
        <f>+E17</f>
        <v>0</v>
      </c>
      <c r="V17" s="1569" t="str">
        <f>+IF(U17=0,"S.D.",IF((T17/U17)&lt;151,"O.K.","VERIFICAR"))</f>
        <v>S.D.</v>
      </c>
      <c r="W17" s="1659"/>
      <c r="DL17" s="2021">
        <f>+IF(E17=0,0,DM17/DN17)</f>
        <v>0</v>
      </c>
      <c r="DM17" s="1938" t="e">
        <f t="shared" ref="DM17:DM21" ca="1" si="3">+SUM(I17:K17)</f>
        <v>#REF!</v>
      </c>
      <c r="DN17" s="1938">
        <f>+E17</f>
        <v>0</v>
      </c>
      <c r="DO17" s="1569" t="str">
        <f>+IF(DN17=0,"S.D.",IF((DM17/DN17)&lt;151,"O.K.","VERIFICAR"))</f>
        <v>S.D.</v>
      </c>
      <c r="DP17" s="1659"/>
    </row>
    <row r="18" spans="1:120" ht="49.5" customHeight="1" x14ac:dyDescent="0.45">
      <c r="A18" s="3953"/>
      <c r="B18" s="1954">
        <v>5040</v>
      </c>
      <c r="C18" s="3743" t="s">
        <v>218</v>
      </c>
      <c r="D18" s="3744"/>
      <c r="E18" s="2283" t="e">
        <f>+E189</f>
        <v>#REF!</v>
      </c>
      <c r="F18" s="2283" t="e">
        <f t="shared" ref="F18:F20" si="4">+I18+L18</f>
        <v>#REF!</v>
      </c>
      <c r="G18" s="2283" t="e">
        <f t="shared" ref="G18:G20" si="5">+J18+M18</f>
        <v>#REF!</v>
      </c>
      <c r="H18" s="2283" t="e">
        <f t="shared" ref="H18:H20" si="6">+K18+N18</f>
        <v>#REF!</v>
      </c>
      <c r="I18" s="2283">
        <f t="shared" ref="I18:N20" si="7">+I189</f>
        <v>0</v>
      </c>
      <c r="J18" s="2283">
        <f t="shared" si="7"/>
        <v>0</v>
      </c>
      <c r="K18" s="2283">
        <f t="shared" si="7"/>
        <v>0</v>
      </c>
      <c r="L18" s="2283" t="e">
        <f t="shared" si="7"/>
        <v>#REF!</v>
      </c>
      <c r="M18" s="2283" t="e">
        <f t="shared" si="7"/>
        <v>#REF!</v>
      </c>
      <c r="N18" s="2283" t="e">
        <f t="shared" si="7"/>
        <v>#REF!</v>
      </c>
      <c r="O18" s="1524" t="e">
        <f t="shared" si="2"/>
        <v>#REF!</v>
      </c>
      <c r="P18" s="1524" t="e">
        <f t="shared" si="2"/>
        <v>#REF!</v>
      </c>
      <c r="Q18" s="1545" t="e">
        <f t="shared" si="2"/>
        <v>#REF!</v>
      </c>
      <c r="S18" s="2021" t="e">
        <f>+IF(H18=0,0,T18/U18)</f>
        <v>#REF!</v>
      </c>
      <c r="T18" s="1938">
        <f t="shared" ref="T18:T20" si="8">+SUM(I18:K18)</f>
        <v>0</v>
      </c>
      <c r="U18" s="1938" t="e">
        <f t="shared" ref="U18:U20" si="9">+E18</f>
        <v>#REF!</v>
      </c>
      <c r="V18" s="1569" t="e">
        <f t="shared" ref="V18:V20" si="10">+IF(U18=0,"S.D.",IF((T18/U18)&lt;151,"O.K.","VERIFICAR"))</f>
        <v>#REF!</v>
      </c>
      <c r="W18" s="1659"/>
      <c r="DL18" s="2021" t="e">
        <f>+IF(E18=0,0,DM18/DN18)</f>
        <v>#REF!</v>
      </c>
      <c r="DM18" s="1938">
        <f t="shared" si="3"/>
        <v>0</v>
      </c>
      <c r="DN18" s="1938" t="e">
        <f>+E18</f>
        <v>#REF!</v>
      </c>
      <c r="DO18" s="1569" t="e">
        <f>+IF(DN18=0,"S.D.",IF((DM18/DN18)&lt;151,"O.K.","VERIFICAR"))</f>
        <v>#REF!</v>
      </c>
      <c r="DP18" s="1659"/>
    </row>
    <row r="19" spans="1:120" ht="49.5" customHeight="1" x14ac:dyDescent="0.45">
      <c r="A19" s="3953"/>
      <c r="B19" s="1955">
        <v>5050</v>
      </c>
      <c r="C19" s="4314" t="s">
        <v>219</v>
      </c>
      <c r="D19" s="4616"/>
      <c r="E19" s="2283">
        <f>+E190</f>
        <v>0</v>
      </c>
      <c r="F19" s="2283" t="e">
        <f t="shared" si="4"/>
        <v>#REF!</v>
      </c>
      <c r="G19" s="2283" t="e">
        <f t="shared" si="5"/>
        <v>#REF!</v>
      </c>
      <c r="H19" s="2283" t="e">
        <f t="shared" si="6"/>
        <v>#REF!</v>
      </c>
      <c r="I19" s="2283">
        <f t="shared" si="7"/>
        <v>0</v>
      </c>
      <c r="J19" s="2283">
        <f t="shared" si="7"/>
        <v>0</v>
      </c>
      <c r="K19" s="2283">
        <f t="shared" si="7"/>
        <v>0</v>
      </c>
      <c r="L19" s="2283" t="e">
        <f t="shared" si="7"/>
        <v>#REF!</v>
      </c>
      <c r="M19" s="2283" t="e">
        <f t="shared" si="7"/>
        <v>#REF!</v>
      </c>
      <c r="N19" s="2283" t="e">
        <f t="shared" si="7"/>
        <v>#REF!</v>
      </c>
      <c r="O19" s="1524" t="e">
        <f t="shared" si="2"/>
        <v>#REF!</v>
      </c>
      <c r="P19" s="1524" t="e">
        <f t="shared" si="2"/>
        <v>#REF!</v>
      </c>
      <c r="Q19" s="1545" t="e">
        <f t="shared" si="2"/>
        <v>#REF!</v>
      </c>
      <c r="S19" s="2021" t="e">
        <f>+IF(H19=0,0,T19/U19)</f>
        <v>#REF!</v>
      </c>
      <c r="T19" s="1938">
        <f t="shared" si="8"/>
        <v>0</v>
      </c>
      <c r="U19" s="1938">
        <f t="shared" si="9"/>
        <v>0</v>
      </c>
      <c r="V19" s="1569" t="str">
        <f t="shared" si="10"/>
        <v>S.D.</v>
      </c>
      <c r="W19" s="1659"/>
      <c r="DL19" s="2021">
        <f>+IF(E19=0,0,DM19/DN19)</f>
        <v>0</v>
      </c>
      <c r="DM19" s="1938">
        <f t="shared" si="3"/>
        <v>0</v>
      </c>
      <c r="DN19" s="1938">
        <f>+E19</f>
        <v>0</v>
      </c>
      <c r="DO19" s="1569" t="str">
        <f>+IF(DN19=0,"S.D.",IF((DM19/DN19)&lt;151,"O.K.","VERIFICAR"))</f>
        <v>S.D.</v>
      </c>
      <c r="DP19" s="1659"/>
    </row>
    <row r="20" spans="1:120" ht="49.5" customHeight="1" thickBot="1" x14ac:dyDescent="0.5">
      <c r="A20" s="4611"/>
      <c r="B20" s="2077" t="s">
        <v>50</v>
      </c>
      <c r="C20" s="4613" t="s">
        <v>580</v>
      </c>
      <c r="D20" s="4614"/>
      <c r="E20" s="2283" t="e">
        <f>+E191</f>
        <v>#REF!</v>
      </c>
      <c r="F20" s="2283" t="e">
        <f t="shared" si="4"/>
        <v>#REF!</v>
      </c>
      <c r="G20" s="2283" t="e">
        <f t="shared" si="5"/>
        <v>#REF!</v>
      </c>
      <c r="H20" s="2283" t="e">
        <f t="shared" si="6"/>
        <v>#REF!</v>
      </c>
      <c r="I20" s="2283" t="e">
        <f t="shared" si="7"/>
        <v>#REF!</v>
      </c>
      <c r="J20" s="2283" t="e">
        <f t="shared" si="7"/>
        <v>#REF!</v>
      </c>
      <c r="K20" s="2283" t="e">
        <f t="shared" si="7"/>
        <v>#REF!</v>
      </c>
      <c r="L20" s="2283" t="e">
        <f t="shared" si="7"/>
        <v>#REF!</v>
      </c>
      <c r="M20" s="2283" t="e">
        <f t="shared" si="7"/>
        <v>#REF!</v>
      </c>
      <c r="N20" s="2283" t="e">
        <f t="shared" si="7"/>
        <v>#REF!</v>
      </c>
      <c r="O20" s="1524" t="e">
        <f t="shared" si="2"/>
        <v>#REF!</v>
      </c>
      <c r="P20" s="1524" t="e">
        <f t="shared" si="2"/>
        <v>#REF!</v>
      </c>
      <c r="Q20" s="1545" t="e">
        <f t="shared" si="2"/>
        <v>#REF!</v>
      </c>
      <c r="S20" s="2021" t="e">
        <f>+IF(H20=0,0,T20/U20)</f>
        <v>#REF!</v>
      </c>
      <c r="T20" s="1938" t="e">
        <f t="shared" si="8"/>
        <v>#REF!</v>
      </c>
      <c r="U20" s="1938" t="e">
        <f t="shared" si="9"/>
        <v>#REF!</v>
      </c>
      <c r="V20" s="1569" t="e">
        <f t="shared" si="10"/>
        <v>#REF!</v>
      </c>
      <c r="W20" s="1659"/>
      <c r="DL20" s="2021" t="e">
        <f>+IF(E20=0,0,DM20/DN20)</f>
        <v>#REF!</v>
      </c>
      <c r="DM20" s="1938" t="e">
        <f t="shared" si="3"/>
        <v>#REF!</v>
      </c>
      <c r="DN20" s="1938" t="e">
        <f>+E20</f>
        <v>#REF!</v>
      </c>
      <c r="DO20" s="1569" t="e">
        <f>+IF(DN20=0,"S.D.",IF((DM20/DN20)&lt;=120,"O.K.","VERIFICAR"))</f>
        <v>#REF!</v>
      </c>
      <c r="DP20" s="1659"/>
    </row>
    <row r="21" spans="1:120" ht="49.5" customHeight="1" thickBot="1" x14ac:dyDescent="0.5">
      <c r="A21" s="1533"/>
      <c r="B21" s="5200" t="s">
        <v>375</v>
      </c>
      <c r="C21" s="5201"/>
      <c r="D21" s="5202"/>
      <c r="E21" s="1534" t="e">
        <f>SUM(E17:E20)</f>
        <v>#REF!</v>
      </c>
      <c r="F21" s="1534" t="e">
        <f t="shared" ref="F21:H21" ca="1" si="11">SUM(F17:F20)</f>
        <v>#REF!</v>
      </c>
      <c r="G21" s="1534" t="e">
        <f t="shared" ca="1" si="11"/>
        <v>#REF!</v>
      </c>
      <c r="H21" s="1534" t="e">
        <f t="shared" ca="1" si="11"/>
        <v>#REF!</v>
      </c>
      <c r="I21" s="1534" t="e">
        <f t="shared" ref="I21:Q21" ca="1" si="12">SUM(I17:I20)</f>
        <v>#REF!</v>
      </c>
      <c r="J21" s="1534" t="e">
        <f t="shared" ca="1" si="12"/>
        <v>#REF!</v>
      </c>
      <c r="K21" s="1534" t="e">
        <f t="shared" ca="1" si="12"/>
        <v>#REF!</v>
      </c>
      <c r="L21" s="1534" t="e">
        <f t="shared" si="12"/>
        <v>#REF!</v>
      </c>
      <c r="M21" s="1534" t="e">
        <f t="shared" si="12"/>
        <v>#REF!</v>
      </c>
      <c r="N21" s="1534" t="e">
        <f t="shared" si="12"/>
        <v>#REF!</v>
      </c>
      <c r="O21" s="1537" t="e">
        <f t="shared" ca="1" si="12"/>
        <v>#REF!</v>
      </c>
      <c r="P21" s="1537" t="e">
        <f t="shared" ca="1" si="12"/>
        <v>#REF!</v>
      </c>
      <c r="Q21" s="1538" t="e">
        <f t="shared" ca="1" si="12"/>
        <v>#REF!</v>
      </c>
      <c r="R21" s="1539" t="e">
        <f ca="1">SUM(O21:Q21)</f>
        <v>#REF!</v>
      </c>
      <c r="S21" s="2021"/>
      <c r="T21" s="1938"/>
      <c r="U21" s="1938"/>
      <c r="V21" s="1569"/>
      <c r="W21" s="1659"/>
      <c r="DL21" s="2021" t="e">
        <f>+IF(E21=0,0,DM21/DN21)</f>
        <v>#REF!</v>
      </c>
      <c r="DM21" s="1938" t="e">
        <f t="shared" ca="1" si="3"/>
        <v>#REF!</v>
      </c>
      <c r="DN21" s="1938" t="e">
        <f>+E21</f>
        <v>#REF!</v>
      </c>
      <c r="DO21" s="1569"/>
      <c r="DP21" s="1659"/>
    </row>
    <row r="22" spans="1:120" s="1540" customFormat="1" ht="49.5" customHeight="1" x14ac:dyDescent="0.45">
      <c r="A22" s="5203"/>
      <c r="B22" s="5204"/>
      <c r="C22" s="5204"/>
      <c r="D22" s="5204"/>
      <c r="E22" s="5204"/>
      <c r="F22" s="5204"/>
      <c r="G22" s="5204"/>
      <c r="H22" s="5204"/>
      <c r="I22" s="5204"/>
      <c r="J22" s="5204"/>
      <c r="K22" s="5204"/>
      <c r="L22" s="5204"/>
      <c r="M22" s="5204"/>
      <c r="N22" s="5204"/>
      <c r="O22" s="5204"/>
      <c r="P22" s="5204"/>
      <c r="Q22" s="5205"/>
      <c r="DL22" s="1541"/>
    </row>
    <row r="23" spans="1:120" s="1540" customFormat="1" ht="49.5" customHeight="1" thickBot="1" x14ac:dyDescent="0.5">
      <c r="A23" s="5206"/>
      <c r="B23" s="5207"/>
      <c r="C23" s="5207"/>
      <c r="D23" s="5207"/>
      <c r="E23" s="5207"/>
      <c r="F23" s="5207"/>
      <c r="G23" s="5207"/>
      <c r="H23" s="5207"/>
      <c r="I23" s="5207"/>
      <c r="J23" s="5207"/>
      <c r="K23" s="5207"/>
      <c r="L23" s="5207"/>
      <c r="M23" s="5207"/>
      <c r="N23" s="5207"/>
      <c r="O23" s="5207"/>
      <c r="P23" s="5207"/>
      <c r="Q23" s="5208"/>
      <c r="DL23" s="1541"/>
    </row>
    <row r="24" spans="1:120" ht="49.5" customHeight="1" x14ac:dyDescent="0.5">
      <c r="A24" s="5178" t="s">
        <v>376</v>
      </c>
      <c r="B24" s="5179"/>
      <c r="C24" s="5179"/>
      <c r="D24" s="5180"/>
      <c r="E24" s="4243" t="s">
        <v>101</v>
      </c>
      <c r="F24" s="4234" t="s">
        <v>849</v>
      </c>
      <c r="G24" s="4235"/>
      <c r="H24" s="4244"/>
      <c r="I24" s="4234" t="s">
        <v>304</v>
      </c>
      <c r="J24" s="4235"/>
      <c r="K24" s="4244"/>
      <c r="L24" s="4234" t="s">
        <v>368</v>
      </c>
      <c r="M24" s="4235"/>
      <c r="N24" s="4244"/>
      <c r="O24" s="4234" t="s">
        <v>377</v>
      </c>
      <c r="P24" s="4235"/>
      <c r="Q24" s="4236"/>
      <c r="S24" s="5177" t="s">
        <v>241</v>
      </c>
      <c r="T24" s="4508"/>
      <c r="U24" s="4508"/>
      <c r="V24" s="4509"/>
      <c r="W24" s="2538"/>
      <c r="X24" s="4395" t="s">
        <v>368</v>
      </c>
      <c r="Y24" s="4323"/>
      <c r="Z24" s="4396"/>
      <c r="AA24" s="4510" t="s">
        <v>850</v>
      </c>
      <c r="AB24" s="4510"/>
      <c r="AC24" s="4510"/>
      <c r="AD24" s="4237" t="s">
        <v>851</v>
      </c>
      <c r="AE24" s="4238"/>
      <c r="AF24" s="4240"/>
      <c r="AG24" s="4237" t="s">
        <v>852</v>
      </c>
      <c r="AH24" s="4238"/>
      <c r="AI24" s="4240"/>
      <c r="AJ24" s="4237" t="s">
        <v>853</v>
      </c>
      <c r="AK24" s="4238"/>
      <c r="AL24" s="4240"/>
      <c r="AM24" s="4237" t="s">
        <v>377</v>
      </c>
      <c r="AN24" s="4238"/>
      <c r="AO24" s="4240"/>
      <c r="AP24" s="4237" t="s">
        <v>241</v>
      </c>
      <c r="AQ24" s="4238"/>
      <c r="AR24" s="4240"/>
      <c r="DL24" s="4253" t="s">
        <v>241</v>
      </c>
      <c r="DM24" s="4253"/>
      <c r="DN24" s="4253"/>
      <c r="DO24" s="4253"/>
      <c r="DP24" s="4253"/>
    </row>
    <row r="25" spans="1:120" ht="49.5" customHeight="1" thickBot="1" x14ac:dyDescent="0.5">
      <c r="A25" s="5181"/>
      <c r="B25" s="5182"/>
      <c r="C25" s="5182"/>
      <c r="D25" s="5183"/>
      <c r="E25" s="4242"/>
      <c r="F25" s="1515" t="s">
        <v>287</v>
      </c>
      <c r="G25" s="1515" t="s">
        <v>289</v>
      </c>
      <c r="H25" s="1516" t="s">
        <v>288</v>
      </c>
      <c r="I25" s="1515" t="s">
        <v>287</v>
      </c>
      <c r="J25" s="1515" t="s">
        <v>289</v>
      </c>
      <c r="K25" s="1516" t="s">
        <v>288</v>
      </c>
      <c r="L25" s="1515" t="s">
        <v>287</v>
      </c>
      <c r="M25" s="1515" t="s">
        <v>289</v>
      </c>
      <c r="N25" s="1516" t="s">
        <v>288</v>
      </c>
      <c r="O25" s="1515" t="s">
        <v>287</v>
      </c>
      <c r="P25" s="1515" t="s">
        <v>289</v>
      </c>
      <c r="Q25" s="1517" t="s">
        <v>288</v>
      </c>
      <c r="S25" s="979" t="s">
        <v>370</v>
      </c>
      <c r="T25" s="979" t="s">
        <v>25</v>
      </c>
      <c r="U25" s="979" t="s">
        <v>371</v>
      </c>
      <c r="V25" s="979" t="s">
        <v>241</v>
      </c>
      <c r="W25" s="1516" t="s">
        <v>288</v>
      </c>
      <c r="X25" s="1515" t="s">
        <v>287</v>
      </c>
      <c r="Y25" s="1515" t="s">
        <v>289</v>
      </c>
      <c r="Z25" s="1516" t="s">
        <v>288</v>
      </c>
      <c r="AA25" s="1515" t="s">
        <v>287</v>
      </c>
      <c r="AB25" s="1515" t="s">
        <v>289</v>
      </c>
      <c r="AC25" s="1516" t="s">
        <v>288</v>
      </c>
      <c r="AD25" s="1515" t="s">
        <v>287</v>
      </c>
      <c r="AE25" s="1515" t="s">
        <v>289</v>
      </c>
      <c r="AF25" s="1515" t="s">
        <v>288</v>
      </c>
      <c r="AG25" s="1515" t="s">
        <v>287</v>
      </c>
      <c r="AH25" s="1515" t="s">
        <v>289</v>
      </c>
      <c r="AI25" s="1515" t="s">
        <v>288</v>
      </c>
      <c r="AJ25" s="1515" t="s">
        <v>287</v>
      </c>
      <c r="AK25" s="1515" t="s">
        <v>289</v>
      </c>
      <c r="AL25" s="1515" t="s">
        <v>288</v>
      </c>
      <c r="AM25" s="1515" t="s">
        <v>287</v>
      </c>
      <c r="AN25" s="1515" t="s">
        <v>289</v>
      </c>
      <c r="AO25" s="1515" t="s">
        <v>288</v>
      </c>
      <c r="AP25" s="1515" t="s">
        <v>287</v>
      </c>
      <c r="AQ25" s="1515" t="s">
        <v>289</v>
      </c>
      <c r="AR25" s="1515" t="s">
        <v>288</v>
      </c>
      <c r="DL25" s="979" t="s">
        <v>370</v>
      </c>
      <c r="DM25" s="979" t="s">
        <v>25</v>
      </c>
      <c r="DN25" s="979" t="s">
        <v>371</v>
      </c>
      <c r="DO25" s="979" t="s">
        <v>241</v>
      </c>
      <c r="DP25" s="979"/>
    </row>
    <row r="26" spans="1:120" ht="49.5" customHeight="1" thickBot="1" x14ac:dyDescent="0.5">
      <c r="A26" s="4017" t="s">
        <v>52</v>
      </c>
      <c r="B26" s="2540">
        <v>5030</v>
      </c>
      <c r="C26" s="5192" t="s">
        <v>217</v>
      </c>
      <c r="D26" s="5193"/>
      <c r="E26" s="2284">
        <f>+E192</f>
        <v>0</v>
      </c>
      <c r="F26" s="2283" t="e">
        <f t="shared" ref="F26:F31" si="13">+I26+L26</f>
        <v>#REF!</v>
      </c>
      <c r="G26" s="2283" t="e">
        <f t="shared" ref="G26:G31" si="14">+J26+M26</f>
        <v>#REF!</v>
      </c>
      <c r="H26" s="2283" t="e">
        <f t="shared" ref="H26:H31" si="15">+K26+N26</f>
        <v>#REF!</v>
      </c>
      <c r="I26" s="2284">
        <f>+I192</f>
        <v>0</v>
      </c>
      <c r="J26" s="2284">
        <f t="shared" ref="J26:N26" si="16">+J192</f>
        <v>0</v>
      </c>
      <c r="K26" s="2284">
        <f t="shared" si="16"/>
        <v>0</v>
      </c>
      <c r="L26" s="2284" t="e">
        <f t="shared" si="16"/>
        <v>#REF!</v>
      </c>
      <c r="M26" s="2284" t="e">
        <f t="shared" si="16"/>
        <v>#REF!</v>
      </c>
      <c r="N26" s="2284" t="e">
        <f t="shared" si="16"/>
        <v>#REF!</v>
      </c>
      <c r="O26" s="1524" t="e">
        <f t="shared" ref="O26:Q31" si="17">+I26+L26</f>
        <v>#REF!</v>
      </c>
      <c r="P26" s="1524" t="e">
        <f t="shared" si="17"/>
        <v>#REF!</v>
      </c>
      <c r="Q26" s="1545" t="e">
        <f t="shared" si="17"/>
        <v>#REF!</v>
      </c>
      <c r="R26" s="1546"/>
      <c r="S26" s="2021" t="e">
        <f>+IF(H26=0,0,T26/U26)</f>
        <v>#REF!</v>
      </c>
      <c r="T26" s="1938">
        <f>+SUM(I26:K26)</f>
        <v>0</v>
      </c>
      <c r="U26" s="1938">
        <f>+E26</f>
        <v>0</v>
      </c>
      <c r="V26" s="1569" t="e">
        <f>+IF(S26=0,"S.D.",IF(AND((T26/U26)&gt;150,(T26/U26)&lt;=500),"O.K.","VERIFICAR"))</f>
        <v>#REF!</v>
      </c>
      <c r="W26" s="1544"/>
      <c r="X26" s="1544"/>
      <c r="Y26" s="1544"/>
      <c r="Z26" s="1544"/>
      <c r="AD26" s="1547"/>
      <c r="AE26" s="1547"/>
      <c r="AF26" s="1547"/>
      <c r="AG26" s="1521"/>
      <c r="AH26" s="1521"/>
      <c r="AI26" s="1521"/>
      <c r="AJ26" s="1521"/>
      <c r="AK26" s="1521"/>
      <c r="AL26" s="1521"/>
      <c r="AM26" s="1521"/>
      <c r="AN26" s="1521"/>
      <c r="AO26" s="1521"/>
      <c r="AP26" s="1548"/>
      <c r="AQ26" s="1549"/>
      <c r="AR26" s="1549"/>
      <c r="DL26" s="2021">
        <f>+IF(E26=0,0,DM26/DN26)</f>
        <v>0</v>
      </c>
      <c r="DM26" s="1938">
        <f t="shared" ref="DM26:DM32" si="18">+SUM(I26:K26)</f>
        <v>0</v>
      </c>
      <c r="DN26" s="1938">
        <f>+E26</f>
        <v>0</v>
      </c>
      <c r="DO26" s="1569" t="str">
        <f>+IF(DN26=0,"S.D.",IF(AND((DM26/DN26)&gt;150,(DM26/DN26)&lt;=500),"O.K.","VERIFICAR"))</f>
        <v>S.D.</v>
      </c>
      <c r="DP26" s="1659"/>
    </row>
    <row r="27" spans="1:120" ht="49.5" customHeight="1" x14ac:dyDescent="0.45">
      <c r="A27" s="4018"/>
      <c r="B27" s="2541">
        <v>5040</v>
      </c>
      <c r="C27" s="5194" t="s">
        <v>218</v>
      </c>
      <c r="D27" s="5195"/>
      <c r="E27" s="2284">
        <f>+E193</f>
        <v>0</v>
      </c>
      <c r="F27" s="2283" t="e">
        <f t="shared" si="13"/>
        <v>#REF!</v>
      </c>
      <c r="G27" s="2283" t="e">
        <f t="shared" si="14"/>
        <v>#REF!</v>
      </c>
      <c r="H27" s="2283" t="e">
        <f t="shared" si="15"/>
        <v>#REF!</v>
      </c>
      <c r="I27" s="2284">
        <f>+I193</f>
        <v>0</v>
      </c>
      <c r="J27" s="2284">
        <f>+J193</f>
        <v>0</v>
      </c>
      <c r="K27" s="2284">
        <f>+K193</f>
        <v>0</v>
      </c>
      <c r="L27" s="2284" t="e">
        <f>+L193</f>
        <v>#REF!</v>
      </c>
      <c r="M27" s="2284" t="e">
        <f>+M193</f>
        <v>#REF!</v>
      </c>
      <c r="N27" s="2284" t="e">
        <f>+N193</f>
        <v>#REF!</v>
      </c>
      <c r="O27" s="1524" t="e">
        <f t="shared" si="17"/>
        <v>#REF!</v>
      </c>
      <c r="P27" s="1524" t="e">
        <f t="shared" si="17"/>
        <v>#REF!</v>
      </c>
      <c r="Q27" s="1545" t="e">
        <f t="shared" si="17"/>
        <v>#REF!</v>
      </c>
      <c r="R27" s="1546"/>
      <c r="S27" s="2021" t="e">
        <f t="shared" ref="S27:S31" si="19">+IF(H27=0,0,T27/U27)</f>
        <v>#REF!</v>
      </c>
      <c r="T27" s="1938">
        <f t="shared" ref="T27:T31" si="20">+SUM(I27:K27)</f>
        <v>0</v>
      </c>
      <c r="U27" s="1938">
        <f t="shared" ref="U27:U31" si="21">+E27</f>
        <v>0</v>
      </c>
      <c r="V27" s="1569" t="e">
        <f>+IF(S27=0,"S.D.",IF(AND((T27/U27)&gt;150,(T27/U27)&lt;=350),"O.K.","VERIFICAR"))</f>
        <v>#REF!</v>
      </c>
      <c r="W27" s="1544"/>
      <c r="X27" s="1544"/>
      <c r="Y27" s="1544"/>
      <c r="Z27" s="1544"/>
      <c r="AD27" s="1547"/>
      <c r="AE27" s="1547"/>
      <c r="AF27" s="1547"/>
      <c r="AG27" s="1521"/>
      <c r="AH27" s="1521"/>
      <c r="AI27" s="1521"/>
      <c r="AJ27" s="1521"/>
      <c r="AK27" s="1521"/>
      <c r="AL27" s="1521"/>
      <c r="AM27" s="1521"/>
      <c r="AN27" s="1521"/>
      <c r="AO27" s="1521"/>
      <c r="AP27" s="1548"/>
      <c r="AQ27" s="1549"/>
      <c r="AR27" s="1549"/>
      <c r="DL27" s="2021">
        <f>+IF(E27=0,0,DM27/DN27)</f>
        <v>0</v>
      </c>
      <c r="DM27" s="1938">
        <f t="shared" si="18"/>
        <v>0</v>
      </c>
      <c r="DN27" s="1938">
        <f>+E27</f>
        <v>0</v>
      </c>
      <c r="DO27" s="1569" t="str">
        <f>+IF(DN27=0,"S.D.",IF(AND((DM27/DN27)&gt;150,(DM27/DN27)&lt;=500),"O.K.","VERIFICAR"))</f>
        <v>S.D.</v>
      </c>
      <c r="DP27" s="1659"/>
    </row>
    <row r="28" spans="1:120" ht="49.5" customHeight="1" thickBot="1" x14ac:dyDescent="0.5">
      <c r="A28" s="4018"/>
      <c r="B28" s="2542">
        <v>5045</v>
      </c>
      <c r="C28" s="4910" t="s">
        <v>820</v>
      </c>
      <c r="D28" s="4911"/>
      <c r="E28" s="2284">
        <f>+E195</f>
        <v>0</v>
      </c>
      <c r="F28" s="2283" t="e">
        <f t="shared" si="13"/>
        <v>#REF!</v>
      </c>
      <c r="G28" s="2283" t="e">
        <f t="shared" si="14"/>
        <v>#REF!</v>
      </c>
      <c r="H28" s="2283" t="e">
        <f t="shared" si="15"/>
        <v>#REF!</v>
      </c>
      <c r="I28" s="2284">
        <f t="shared" ref="I28:N29" si="22">+I195</f>
        <v>0</v>
      </c>
      <c r="J28" s="2284">
        <f t="shared" si="22"/>
        <v>0</v>
      </c>
      <c r="K28" s="2284">
        <f t="shared" si="22"/>
        <v>0</v>
      </c>
      <c r="L28" s="2284" t="e">
        <f t="shared" si="22"/>
        <v>#REF!</v>
      </c>
      <c r="M28" s="2284" t="e">
        <f t="shared" si="22"/>
        <v>#REF!</v>
      </c>
      <c r="N28" s="2284" t="e">
        <f t="shared" si="22"/>
        <v>#REF!</v>
      </c>
      <c r="O28" s="1524"/>
      <c r="P28" s="1524"/>
      <c r="Q28" s="1545"/>
      <c r="R28" s="1546"/>
      <c r="S28" s="2021" t="e">
        <f t="shared" si="19"/>
        <v>#REF!</v>
      </c>
      <c r="T28" s="1938">
        <f t="shared" si="20"/>
        <v>0</v>
      </c>
      <c r="U28" s="1938">
        <f t="shared" si="21"/>
        <v>0</v>
      </c>
      <c r="V28" s="1569" t="e">
        <f>+IF(S28=0,"S.D.",IF(AND((T28/U28)&gt;0,(T28/U28)&lt;=500),"O.K.","VERIFICAR"))</f>
        <v>#REF!</v>
      </c>
      <c r="W28" s="1544"/>
      <c r="X28" s="1544"/>
      <c r="Y28" s="1544"/>
      <c r="Z28" s="1544"/>
      <c r="AD28" s="1547"/>
      <c r="AE28" s="1547"/>
      <c r="AF28" s="1547"/>
      <c r="AG28" s="1521"/>
      <c r="AH28" s="1521"/>
      <c r="AI28" s="1521"/>
      <c r="AJ28" s="1521"/>
      <c r="AK28" s="1521"/>
      <c r="AL28" s="1521"/>
      <c r="AM28" s="1521"/>
      <c r="AN28" s="1521"/>
      <c r="AO28" s="1521"/>
      <c r="AP28" s="1548"/>
      <c r="AQ28" s="1549"/>
      <c r="AR28" s="1549"/>
      <c r="DL28" s="2021"/>
      <c r="DM28" s="1938"/>
      <c r="DN28" s="1938"/>
      <c r="DO28" s="1569"/>
      <c r="DP28" s="1659"/>
    </row>
    <row r="29" spans="1:120" ht="49.5" customHeight="1" x14ac:dyDescent="0.45">
      <c r="A29" s="4018"/>
      <c r="B29" s="2543">
        <v>5050</v>
      </c>
      <c r="C29" s="5196" t="s">
        <v>379</v>
      </c>
      <c r="D29" s="5197"/>
      <c r="E29" s="2284">
        <f>+E196</f>
        <v>0</v>
      </c>
      <c r="F29" s="2283" t="e">
        <f t="shared" si="13"/>
        <v>#REF!</v>
      </c>
      <c r="G29" s="2283" t="e">
        <f t="shared" si="14"/>
        <v>#REF!</v>
      </c>
      <c r="H29" s="2283" t="e">
        <f t="shared" si="15"/>
        <v>#REF!</v>
      </c>
      <c r="I29" s="2284">
        <f t="shared" si="22"/>
        <v>0</v>
      </c>
      <c r="J29" s="2284">
        <f t="shared" si="22"/>
        <v>0</v>
      </c>
      <c r="K29" s="2284">
        <f t="shared" si="22"/>
        <v>0</v>
      </c>
      <c r="L29" s="2284" t="e">
        <f t="shared" si="22"/>
        <v>#REF!</v>
      </c>
      <c r="M29" s="2284" t="e">
        <f t="shared" si="22"/>
        <v>#REF!</v>
      </c>
      <c r="N29" s="2284" t="e">
        <f t="shared" si="22"/>
        <v>#REF!</v>
      </c>
      <c r="O29" s="1524" t="e">
        <f t="shared" si="17"/>
        <v>#REF!</v>
      </c>
      <c r="P29" s="1524" t="e">
        <f t="shared" si="17"/>
        <v>#REF!</v>
      </c>
      <c r="Q29" s="1545" t="e">
        <f t="shared" si="17"/>
        <v>#REF!</v>
      </c>
      <c r="R29" s="1546"/>
      <c r="S29" s="2021" t="e">
        <f t="shared" si="19"/>
        <v>#REF!</v>
      </c>
      <c r="T29" s="1938">
        <f t="shared" si="20"/>
        <v>0</v>
      </c>
      <c r="U29" s="1938">
        <f t="shared" si="21"/>
        <v>0</v>
      </c>
      <c r="V29" s="1569" t="e">
        <f>+IF(S29=0,"S.D.",IF(AND((T29/U29)&gt;150,(T29/U29)&lt;=250),"O.K.","VERIFICAR"))</f>
        <v>#REF!</v>
      </c>
      <c r="W29" s="1544"/>
      <c r="X29" s="1544"/>
      <c r="Y29" s="1544"/>
      <c r="Z29" s="1544"/>
      <c r="AD29" s="1547"/>
      <c r="AE29" s="1547"/>
      <c r="AF29" s="1547"/>
      <c r="AG29" s="1521"/>
      <c r="AH29" s="1521"/>
      <c r="AI29" s="1521"/>
      <c r="AJ29" s="1521"/>
      <c r="AK29" s="1521"/>
      <c r="AL29" s="1521"/>
      <c r="AM29" s="1521"/>
      <c r="AN29" s="1521"/>
      <c r="AO29" s="1521"/>
      <c r="AP29" s="1548"/>
      <c r="AQ29" s="1549"/>
      <c r="AR29" s="1549"/>
      <c r="DL29" s="2021">
        <f>+IF(E29=0,0,DM29/DN29)</f>
        <v>0</v>
      </c>
      <c r="DM29" s="1938">
        <f t="shared" si="18"/>
        <v>0</v>
      </c>
      <c r="DN29" s="1938">
        <f>+E29</f>
        <v>0</v>
      </c>
      <c r="DO29" s="1569" t="str">
        <f>+IF(DN29=0,"S.D.",IF(AND((DM29/DN29)&gt;150,(DM29/DN29)&lt;=400),"O.K.","VERIFICAR"))</f>
        <v>S.D.</v>
      </c>
      <c r="DP29" s="1659"/>
    </row>
    <row r="30" spans="1:120" ht="49.5" customHeight="1" thickBot="1" x14ac:dyDescent="0.5">
      <c r="A30" s="4018"/>
      <c r="B30" s="2544">
        <v>5055</v>
      </c>
      <c r="C30" s="5184" t="s">
        <v>405</v>
      </c>
      <c r="D30" s="5185"/>
      <c r="E30" s="2284">
        <f>+E198</f>
        <v>0</v>
      </c>
      <c r="F30" s="2283" t="e">
        <f t="shared" si="13"/>
        <v>#REF!</v>
      </c>
      <c r="G30" s="2283" t="e">
        <f t="shared" si="14"/>
        <v>#REF!</v>
      </c>
      <c r="H30" s="2283" t="e">
        <f t="shared" si="15"/>
        <v>#REF!</v>
      </c>
      <c r="I30" s="2284">
        <f t="shared" ref="I30:N31" si="23">+I198</f>
        <v>0</v>
      </c>
      <c r="J30" s="2284">
        <f t="shared" si="23"/>
        <v>0</v>
      </c>
      <c r="K30" s="2284">
        <f t="shared" si="23"/>
        <v>0</v>
      </c>
      <c r="L30" s="2284" t="e">
        <f t="shared" si="23"/>
        <v>#REF!</v>
      </c>
      <c r="M30" s="2284" t="e">
        <f t="shared" si="23"/>
        <v>#REF!</v>
      </c>
      <c r="N30" s="2284" t="e">
        <f t="shared" si="23"/>
        <v>#REF!</v>
      </c>
      <c r="O30" s="1524"/>
      <c r="P30" s="1524"/>
      <c r="Q30" s="1545"/>
      <c r="R30" s="1546"/>
      <c r="S30" s="2021" t="e">
        <f t="shared" si="19"/>
        <v>#REF!</v>
      </c>
      <c r="T30" s="1938">
        <f t="shared" si="20"/>
        <v>0</v>
      </c>
      <c r="U30" s="1938">
        <f t="shared" si="21"/>
        <v>0</v>
      </c>
      <c r="V30" s="1569" t="e">
        <f>+IF(S30=0,"S.D.",IF(AND((T30/U30)&gt;0,(T30/U30)&lt;=500),"O.K.","VERIFICAR"))</f>
        <v>#REF!</v>
      </c>
      <c r="W30" s="1544"/>
      <c r="X30" s="1544"/>
      <c r="Y30" s="1544"/>
      <c r="Z30" s="1544"/>
      <c r="AD30" s="1547"/>
      <c r="AE30" s="1547"/>
      <c r="AF30" s="1547"/>
      <c r="AG30" s="1521"/>
      <c r="AH30" s="1521"/>
      <c r="AI30" s="1521"/>
      <c r="AJ30" s="1521"/>
      <c r="AK30" s="1521"/>
      <c r="AL30" s="1521"/>
      <c r="AM30" s="1521"/>
      <c r="AN30" s="1521"/>
      <c r="AO30" s="1521"/>
      <c r="AP30" s="1548"/>
      <c r="AQ30" s="1549"/>
      <c r="AR30" s="1549"/>
      <c r="DL30" s="2021"/>
      <c r="DM30" s="1938"/>
      <c r="DN30" s="1938"/>
      <c r="DO30" s="1569"/>
      <c r="DP30" s="1659"/>
    </row>
    <row r="31" spans="1:120" ht="49.5" customHeight="1" thickBot="1" x14ac:dyDescent="0.5">
      <c r="A31" s="4615"/>
      <c r="B31" s="2545">
        <v>6000</v>
      </c>
      <c r="C31" s="5198" t="s">
        <v>580</v>
      </c>
      <c r="D31" s="5199"/>
      <c r="E31" s="2284" t="e">
        <f>+E199</f>
        <v>#REF!</v>
      </c>
      <c r="F31" s="2283" t="e">
        <f t="shared" si="13"/>
        <v>#REF!</v>
      </c>
      <c r="G31" s="2283" t="e">
        <f t="shared" si="14"/>
        <v>#REF!</v>
      </c>
      <c r="H31" s="2283" t="e">
        <f t="shared" si="15"/>
        <v>#REF!</v>
      </c>
      <c r="I31" s="2284" t="e">
        <f t="shared" si="23"/>
        <v>#REF!</v>
      </c>
      <c r="J31" s="2284" t="e">
        <f t="shared" si="23"/>
        <v>#REF!</v>
      </c>
      <c r="K31" s="2284" t="e">
        <f t="shared" si="23"/>
        <v>#REF!</v>
      </c>
      <c r="L31" s="2284" t="e">
        <f t="shared" si="23"/>
        <v>#REF!</v>
      </c>
      <c r="M31" s="2284" t="e">
        <f t="shared" si="23"/>
        <v>#REF!</v>
      </c>
      <c r="N31" s="2284" t="e">
        <f t="shared" si="23"/>
        <v>#REF!</v>
      </c>
      <c r="O31" s="1524" t="e">
        <f t="shared" si="17"/>
        <v>#REF!</v>
      </c>
      <c r="P31" s="1524" t="e">
        <f t="shared" si="17"/>
        <v>#REF!</v>
      </c>
      <c r="Q31" s="1545" t="e">
        <f t="shared" si="17"/>
        <v>#REF!</v>
      </c>
      <c r="R31" s="1546"/>
      <c r="S31" s="2021" t="e">
        <f t="shared" si="19"/>
        <v>#REF!</v>
      </c>
      <c r="T31" s="1938" t="e">
        <f t="shared" si="20"/>
        <v>#REF!</v>
      </c>
      <c r="U31" s="1938" t="e">
        <f t="shared" si="21"/>
        <v>#REF!</v>
      </c>
      <c r="V31" s="1569" t="e">
        <f>+IF(S31=0,"S.D.",IF(AND((T31/U31)&gt;0,(T31/U31)&lt;=500),"O.K.","VERIFICAR"))</f>
        <v>#REF!</v>
      </c>
      <c r="W31" s="1544"/>
      <c r="X31" s="1544"/>
      <c r="Y31" s="1544"/>
      <c r="Z31" s="1544"/>
      <c r="AD31" s="1547"/>
      <c r="AE31" s="1547"/>
      <c r="AF31" s="1547"/>
      <c r="AG31" s="1521"/>
      <c r="AH31" s="1521"/>
      <c r="AI31" s="1521"/>
      <c r="AJ31" s="1521"/>
      <c r="AK31" s="1521"/>
      <c r="AL31" s="1521"/>
      <c r="AM31" s="1521"/>
      <c r="AN31" s="1521"/>
      <c r="AO31" s="1521"/>
      <c r="AP31" s="1548"/>
      <c r="AQ31" s="1549"/>
      <c r="AR31" s="1549"/>
      <c r="BQ31" s="1489" t="e">
        <f>+SUM(I31:K31)/E31</f>
        <v>#REF!</v>
      </c>
      <c r="DL31" s="2021" t="e">
        <f>+IF(E31=0,0,DM31/DN31)</f>
        <v>#REF!</v>
      </c>
      <c r="DM31" s="1938" t="e">
        <f t="shared" si="18"/>
        <v>#REF!</v>
      </c>
      <c r="DN31" s="1938" t="e">
        <f>+E31</f>
        <v>#REF!</v>
      </c>
      <c r="DO31" s="1569" t="e">
        <f>+IF(DN31=0,"S.D.",IF(AND((DM31/DN31)&gt;150,(DM31/DN31)&lt;=300),"O.K.","VERIFICAR"))</f>
        <v>#REF!</v>
      </c>
      <c r="DP31" s="1659"/>
    </row>
    <row r="32" spans="1:120" ht="49.5" customHeight="1" x14ac:dyDescent="0.45">
      <c r="A32" s="1556"/>
      <c r="B32" s="5186" t="s">
        <v>392</v>
      </c>
      <c r="C32" s="5187"/>
      <c r="D32" s="5188"/>
      <c r="E32" s="1557" t="e">
        <f t="shared" ref="E32:Q32" si="24">SUM(E26:E31)</f>
        <v>#REF!</v>
      </c>
      <c r="F32" s="1557" t="e">
        <f t="shared" si="24"/>
        <v>#REF!</v>
      </c>
      <c r="G32" s="1557" t="e">
        <f t="shared" si="24"/>
        <v>#REF!</v>
      </c>
      <c r="H32" s="1557" t="e">
        <f t="shared" si="24"/>
        <v>#REF!</v>
      </c>
      <c r="I32" s="1557" t="e">
        <f t="shared" si="24"/>
        <v>#REF!</v>
      </c>
      <c r="J32" s="1557" t="e">
        <f t="shared" si="24"/>
        <v>#REF!</v>
      </c>
      <c r="K32" s="1557" t="e">
        <f t="shared" si="24"/>
        <v>#REF!</v>
      </c>
      <c r="L32" s="1557" t="e">
        <f t="shared" si="24"/>
        <v>#REF!</v>
      </c>
      <c r="M32" s="1557" t="e">
        <f t="shared" si="24"/>
        <v>#REF!</v>
      </c>
      <c r="N32" s="1557" t="e">
        <f t="shared" si="24"/>
        <v>#REF!</v>
      </c>
      <c r="O32" s="1558" t="e">
        <f t="shared" si="24"/>
        <v>#REF!</v>
      </c>
      <c r="P32" s="1558" t="e">
        <f t="shared" si="24"/>
        <v>#REF!</v>
      </c>
      <c r="Q32" s="1559" t="e">
        <f t="shared" si="24"/>
        <v>#REF!</v>
      </c>
      <c r="R32" s="1560" t="e">
        <f>SUM(O32:Q32)</f>
        <v>#REF!</v>
      </c>
      <c r="S32" s="2539"/>
      <c r="T32" s="2539"/>
      <c r="U32" s="2539"/>
      <c r="V32" s="2539"/>
      <c r="W32" s="1557">
        <f t="shared" ref="W32:AO32" si="25">SUM(W26:W31)</f>
        <v>0</v>
      </c>
      <c r="X32" s="1557">
        <f t="shared" si="25"/>
        <v>0</v>
      </c>
      <c r="Y32" s="1557">
        <f t="shared" si="25"/>
        <v>0</v>
      </c>
      <c r="Z32" s="1557">
        <f t="shared" si="25"/>
        <v>0</v>
      </c>
      <c r="AA32" s="1557">
        <f t="shared" si="25"/>
        <v>0</v>
      </c>
      <c r="AB32" s="1557">
        <f t="shared" si="25"/>
        <v>0</v>
      </c>
      <c r="AC32" s="1557">
        <f t="shared" si="25"/>
        <v>0</v>
      </c>
      <c r="AD32" s="1557">
        <f t="shared" si="25"/>
        <v>0</v>
      </c>
      <c r="AE32" s="1557">
        <f t="shared" si="25"/>
        <v>0</v>
      </c>
      <c r="AF32" s="1557">
        <f t="shared" si="25"/>
        <v>0</v>
      </c>
      <c r="AG32" s="1557">
        <f t="shared" si="25"/>
        <v>0</v>
      </c>
      <c r="AH32" s="1557">
        <f t="shared" si="25"/>
        <v>0</v>
      </c>
      <c r="AI32" s="1557">
        <f t="shared" si="25"/>
        <v>0</v>
      </c>
      <c r="AJ32" s="1557">
        <f t="shared" si="25"/>
        <v>0</v>
      </c>
      <c r="AK32" s="1557">
        <f t="shared" si="25"/>
        <v>0</v>
      </c>
      <c r="AL32" s="1557">
        <f t="shared" si="25"/>
        <v>0</v>
      </c>
      <c r="AM32" s="1557">
        <f t="shared" si="25"/>
        <v>0</v>
      </c>
      <c r="AN32" s="1557">
        <f t="shared" si="25"/>
        <v>0</v>
      </c>
      <c r="AO32" s="1557">
        <f t="shared" si="25"/>
        <v>0</v>
      </c>
      <c r="AP32" s="1549"/>
      <c r="AQ32" s="1549"/>
      <c r="AR32" s="1549"/>
      <c r="DL32" s="2021" t="e">
        <f>+IF(E32=0,0,DM32/DN32)</f>
        <v>#REF!</v>
      </c>
      <c r="DM32" s="1938" t="e">
        <f t="shared" si="18"/>
        <v>#REF!</v>
      </c>
      <c r="DN32" s="1938" t="e">
        <f>+E32</f>
        <v>#REF!</v>
      </c>
      <c r="DO32" s="1569"/>
      <c r="DP32" s="1549"/>
    </row>
    <row r="33" spans="1:120" s="1540" customFormat="1" ht="49.5" customHeight="1" x14ac:dyDescent="0.45">
      <c r="A33" s="1561"/>
      <c r="B33" s="1562"/>
      <c r="C33" s="2187"/>
      <c r="D33" s="2187"/>
      <c r="E33" s="2187"/>
      <c r="F33" s="2187"/>
      <c r="G33" s="2187"/>
      <c r="H33" s="2187"/>
      <c r="I33" s="2187"/>
      <c r="J33" s="2187"/>
      <c r="K33" s="2187"/>
      <c r="L33" s="2187"/>
      <c r="M33" s="2187"/>
      <c r="N33" s="2187"/>
      <c r="O33" s="1562"/>
      <c r="P33" s="1562"/>
      <c r="Q33" s="1563"/>
      <c r="X33" s="1564"/>
      <c r="Y33" s="1564"/>
      <c r="Z33" s="1564"/>
      <c r="DL33" s="1541"/>
    </row>
    <row r="34" spans="1:120" s="1540" customFormat="1" ht="49.5" customHeight="1" thickBot="1" x14ac:dyDescent="0.5">
      <c r="A34" s="1565"/>
      <c r="B34" s="1566"/>
      <c r="C34" s="2188"/>
      <c r="D34" s="2188"/>
      <c r="E34" s="2188"/>
      <c r="F34" s="2188"/>
      <c r="G34" s="2188"/>
      <c r="H34" s="2188"/>
      <c r="I34" s="2188"/>
      <c r="J34" s="2188"/>
      <c r="K34" s="2188"/>
      <c r="L34" s="2188"/>
      <c r="M34" s="2188"/>
      <c r="N34" s="2188"/>
      <c r="O34" s="1566"/>
      <c r="P34" s="1566"/>
      <c r="Q34" s="1567"/>
      <c r="DL34" s="1541"/>
    </row>
    <row r="35" spans="1:120" ht="49.5" customHeight="1" x14ac:dyDescent="0.5">
      <c r="A35" s="5178" t="s">
        <v>393</v>
      </c>
      <c r="B35" s="5179"/>
      <c r="C35" s="5179"/>
      <c r="D35" s="5180"/>
      <c r="E35" s="4241" t="s">
        <v>101</v>
      </c>
      <c r="F35" s="4234" t="s">
        <v>849</v>
      </c>
      <c r="G35" s="4235"/>
      <c r="H35" s="4244"/>
      <c r="I35" s="4237" t="s">
        <v>304</v>
      </c>
      <c r="J35" s="4238"/>
      <c r="K35" s="4240"/>
      <c r="L35" s="4237" t="s">
        <v>368</v>
      </c>
      <c r="M35" s="4238"/>
      <c r="N35" s="4240"/>
      <c r="O35" s="4237" t="s">
        <v>377</v>
      </c>
      <c r="P35" s="4238"/>
      <c r="Q35" s="4239"/>
      <c r="S35" s="5177" t="s">
        <v>241</v>
      </c>
      <c r="T35" s="4508"/>
      <c r="U35" s="4508"/>
      <c r="V35" s="4509"/>
      <c r="W35" s="2538"/>
      <c r="X35" s="4395" t="s">
        <v>368</v>
      </c>
      <c r="Y35" s="4323"/>
      <c r="Z35" s="4396"/>
      <c r="AA35" s="4510" t="s">
        <v>850</v>
      </c>
      <c r="AB35" s="4510"/>
      <c r="AC35" s="4510"/>
      <c r="AD35" s="4237" t="s">
        <v>851</v>
      </c>
      <c r="AE35" s="4238"/>
      <c r="AF35" s="4240"/>
      <c r="AG35" s="4237" t="s">
        <v>852</v>
      </c>
      <c r="AH35" s="4238"/>
      <c r="AI35" s="4240"/>
      <c r="AJ35" s="4237" t="s">
        <v>853</v>
      </c>
      <c r="AK35" s="4238"/>
      <c r="AL35" s="4240"/>
      <c r="AM35" s="4237" t="s">
        <v>377</v>
      </c>
      <c r="AN35" s="4238"/>
      <c r="AO35" s="4240"/>
      <c r="AP35" s="4237" t="s">
        <v>241</v>
      </c>
      <c r="AQ35" s="4238"/>
      <c r="AR35" s="4240"/>
      <c r="DL35" s="4253" t="s">
        <v>241</v>
      </c>
      <c r="DM35" s="4253"/>
      <c r="DN35" s="4253"/>
      <c r="DO35" s="4253"/>
      <c r="DP35" s="4253"/>
    </row>
    <row r="36" spans="1:120" ht="49.5" customHeight="1" thickBot="1" x14ac:dyDescent="0.5">
      <c r="A36" s="5181"/>
      <c r="B36" s="5189"/>
      <c r="C36" s="5189"/>
      <c r="D36" s="5190"/>
      <c r="E36" s="5191"/>
      <c r="F36" s="1600" t="s">
        <v>287</v>
      </c>
      <c r="G36" s="1600" t="s">
        <v>289</v>
      </c>
      <c r="H36" s="3135" t="s">
        <v>288</v>
      </c>
      <c r="I36" s="1515" t="s">
        <v>287</v>
      </c>
      <c r="J36" s="1515" t="s">
        <v>289</v>
      </c>
      <c r="K36" s="1516" t="s">
        <v>288</v>
      </c>
      <c r="L36" s="1515" t="s">
        <v>287</v>
      </c>
      <c r="M36" s="1515" t="s">
        <v>289</v>
      </c>
      <c r="N36" s="1516" t="s">
        <v>288</v>
      </c>
      <c r="O36" s="1515" t="s">
        <v>287</v>
      </c>
      <c r="P36" s="1515" t="s">
        <v>289</v>
      </c>
      <c r="Q36" s="1517" t="s">
        <v>288</v>
      </c>
      <c r="S36" s="979" t="s">
        <v>370</v>
      </c>
      <c r="T36" s="979" t="s">
        <v>25</v>
      </c>
      <c r="U36" s="979" t="s">
        <v>371</v>
      </c>
      <c r="V36" s="979" t="s">
        <v>241</v>
      </c>
      <c r="W36" s="1516" t="s">
        <v>288</v>
      </c>
      <c r="X36" s="1515" t="s">
        <v>287</v>
      </c>
      <c r="Y36" s="1515" t="s">
        <v>289</v>
      </c>
      <c r="Z36" s="1516" t="s">
        <v>288</v>
      </c>
      <c r="AA36" s="1515" t="s">
        <v>287</v>
      </c>
      <c r="AB36" s="1515" t="s">
        <v>289</v>
      </c>
      <c r="AC36" s="1516" t="s">
        <v>288</v>
      </c>
      <c r="AD36" s="1515" t="s">
        <v>287</v>
      </c>
      <c r="AE36" s="1515" t="s">
        <v>289</v>
      </c>
      <c r="AF36" s="1515" t="s">
        <v>288</v>
      </c>
      <c r="AG36" s="1515" t="s">
        <v>287</v>
      </c>
      <c r="AH36" s="1515" t="s">
        <v>289</v>
      </c>
      <c r="AI36" s="1515" t="s">
        <v>288</v>
      </c>
      <c r="AJ36" s="1515" t="s">
        <v>287</v>
      </c>
      <c r="AK36" s="1515" t="s">
        <v>289</v>
      </c>
      <c r="AL36" s="1515" t="s">
        <v>288</v>
      </c>
      <c r="AM36" s="1515" t="s">
        <v>287</v>
      </c>
      <c r="AN36" s="1515" t="s">
        <v>289</v>
      </c>
      <c r="AO36" s="1515" t="s">
        <v>288</v>
      </c>
      <c r="AP36" s="1515" t="s">
        <v>287</v>
      </c>
      <c r="AQ36" s="1515" t="s">
        <v>289</v>
      </c>
      <c r="AR36" s="1515" t="s">
        <v>288</v>
      </c>
      <c r="DL36" s="979" t="s">
        <v>370</v>
      </c>
      <c r="DM36" s="979" t="s">
        <v>25</v>
      </c>
      <c r="DN36" s="979" t="s">
        <v>371</v>
      </c>
      <c r="DO36" s="979" t="s">
        <v>241</v>
      </c>
      <c r="DP36" s="979"/>
    </row>
    <row r="37" spans="1:120" ht="49.5" customHeight="1" x14ac:dyDescent="0.45">
      <c r="A37" s="5033" t="s">
        <v>57</v>
      </c>
      <c r="B37" s="1947">
        <v>5030</v>
      </c>
      <c r="C37" s="4597" t="s">
        <v>217</v>
      </c>
      <c r="D37" s="4597"/>
      <c r="E37" s="2288">
        <f>+E200</f>
        <v>0</v>
      </c>
      <c r="F37" s="2288" t="e">
        <f t="shared" ref="F37" si="26">+I37+L37</f>
        <v>#REF!</v>
      </c>
      <c r="G37" s="2288" t="e">
        <f t="shared" ref="G37" si="27">+J37+M37</f>
        <v>#REF!</v>
      </c>
      <c r="H37" s="2288" t="e">
        <f t="shared" ref="H37" si="28">+K37+N37</f>
        <v>#REF!</v>
      </c>
      <c r="I37" s="2284">
        <f>+I200</f>
        <v>0</v>
      </c>
      <c r="J37" s="2284">
        <f t="shared" ref="J37:N37" si="29">+J200</f>
        <v>0</v>
      </c>
      <c r="K37" s="2284">
        <f t="shared" si="29"/>
        <v>0</v>
      </c>
      <c r="L37" s="2284" t="e">
        <f t="shared" si="29"/>
        <v>#REF!</v>
      </c>
      <c r="M37" s="2284" t="e">
        <f t="shared" si="29"/>
        <v>#REF!</v>
      </c>
      <c r="N37" s="2284" t="e">
        <f t="shared" si="29"/>
        <v>#REF!</v>
      </c>
      <c r="O37" s="1524" t="e">
        <f t="shared" ref="O37:Q42" si="30">+I37+L37</f>
        <v>#REF!</v>
      </c>
      <c r="P37" s="1524" t="e">
        <f t="shared" si="30"/>
        <v>#REF!</v>
      </c>
      <c r="Q37" s="1545" t="e">
        <f t="shared" si="30"/>
        <v>#REF!</v>
      </c>
      <c r="R37" s="1568" t="s">
        <v>394</v>
      </c>
      <c r="S37" s="2021" t="e">
        <f>+IF(H37=0,0,T37/U37)</f>
        <v>#REF!</v>
      </c>
      <c r="T37" s="1938">
        <f>+SUM(I37:K37)</f>
        <v>0</v>
      </c>
      <c r="U37" s="1938">
        <f>+E37</f>
        <v>0</v>
      </c>
      <c r="V37" s="1569" t="e">
        <f>+IF(S37=0,"S.D.",IF(AND((T37/U37)&gt;500,(T37/U37)&lt;=700),"O.K.","VERIFICAR"))</f>
        <v>#REF!</v>
      </c>
      <c r="W37" s="1544"/>
      <c r="X37" s="1544"/>
      <c r="Y37" s="1544"/>
      <c r="Z37" s="1544"/>
      <c r="AD37" s="1547"/>
      <c r="AE37" s="1547"/>
      <c r="AF37" s="1547"/>
      <c r="AG37" s="1521"/>
      <c r="AH37" s="1521"/>
      <c r="AI37" s="1521"/>
      <c r="AJ37" s="1521"/>
      <c r="AK37" s="1521"/>
      <c r="AL37" s="1521"/>
      <c r="AM37" s="1521"/>
      <c r="AN37" s="1521"/>
      <c r="AO37" s="1521"/>
      <c r="AP37" s="1548"/>
      <c r="AQ37" s="1549"/>
      <c r="AR37" s="1549"/>
      <c r="DL37" s="1659">
        <f>+IF(E37=0,0,DM37/DN37)</f>
        <v>0</v>
      </c>
      <c r="DM37" s="1938">
        <f t="shared" ref="DM37:DM43" si="31">+SUM(I37:K37)</f>
        <v>0</v>
      </c>
      <c r="DN37" s="1938">
        <f>+E37</f>
        <v>0</v>
      </c>
      <c r="DO37" s="1569" t="str">
        <f t="shared" ref="DO37:DO42" si="32">IF(DN37=0,"S.D.",+IF(AND((DM37/DN37)&gt;500,(DM37/DN37)&lt;=700),"O.K.","VERIFICAR"))</f>
        <v>S.D.</v>
      </c>
      <c r="DP37" s="1659"/>
    </row>
    <row r="38" spans="1:120" ht="49.5" customHeight="1" x14ac:dyDescent="0.45">
      <c r="A38" s="5034"/>
      <c r="B38" s="2842">
        <v>5040</v>
      </c>
      <c r="C38" s="5046" t="s">
        <v>218</v>
      </c>
      <c r="D38" s="5046"/>
      <c r="E38" s="2288">
        <f>+E201</f>
        <v>0</v>
      </c>
      <c r="F38" s="2288" t="e">
        <f t="shared" ref="F38:F42" si="33">+I38+L38</f>
        <v>#REF!</v>
      </c>
      <c r="G38" s="2288" t="e">
        <f t="shared" ref="G38:G42" si="34">+J38+M38</f>
        <v>#REF!</v>
      </c>
      <c r="H38" s="2288" t="e">
        <f t="shared" ref="H38:H42" si="35">+K38+N38</f>
        <v>#REF!</v>
      </c>
      <c r="I38" s="2284">
        <f>+I201</f>
        <v>0</v>
      </c>
      <c r="J38" s="2284">
        <f>+J201</f>
        <v>0</v>
      </c>
      <c r="K38" s="2284">
        <f>+K201</f>
        <v>0</v>
      </c>
      <c r="L38" s="2284" t="e">
        <f>+L201</f>
        <v>#REF!</v>
      </c>
      <c r="M38" s="2284" t="e">
        <f>+M201</f>
        <v>#REF!</v>
      </c>
      <c r="N38" s="2284" t="e">
        <f>+N201</f>
        <v>#REF!</v>
      </c>
      <c r="O38" s="1524" t="e">
        <f t="shared" si="30"/>
        <v>#REF!</v>
      </c>
      <c r="P38" s="1524" t="e">
        <f t="shared" si="30"/>
        <v>#REF!</v>
      </c>
      <c r="Q38" s="1545" t="e">
        <f t="shared" si="30"/>
        <v>#REF!</v>
      </c>
      <c r="R38" s="1570"/>
      <c r="S38" s="2021" t="e">
        <f t="shared" ref="S38:S42" si="36">+IF(H38=0,0,T38/U38)</f>
        <v>#REF!</v>
      </c>
      <c r="T38" s="1938">
        <f t="shared" ref="T38:T42" si="37">+SUM(I38:K38)</f>
        <v>0</v>
      </c>
      <c r="U38" s="1938">
        <f t="shared" ref="U38:U42" si="38">+E38</f>
        <v>0</v>
      </c>
      <c r="V38" s="1569" t="e">
        <f>+IF(S38=0,"S.D.",IF(AND((T38/U38)&gt;0,(T38/U38)&lt;=350),"O.K.","VERIFICAR"))</f>
        <v>#REF!</v>
      </c>
      <c r="W38" s="1544"/>
      <c r="X38" s="1544"/>
      <c r="Y38" s="1544"/>
      <c r="Z38" s="1544"/>
      <c r="AD38" s="1547"/>
      <c r="AE38" s="1547"/>
      <c r="AF38" s="1547"/>
      <c r="AG38" s="1521"/>
      <c r="AH38" s="1521"/>
      <c r="AI38" s="1521"/>
      <c r="AJ38" s="1521"/>
      <c r="AK38" s="1521"/>
      <c r="AL38" s="1521"/>
      <c r="AM38" s="1521"/>
      <c r="AN38" s="1521"/>
      <c r="AO38" s="1521"/>
      <c r="AP38" s="1548"/>
      <c r="AQ38" s="1549"/>
      <c r="AR38" s="1549"/>
      <c r="DL38" s="1659">
        <f>+IF(E38=0,0,DM38/DN38)</f>
        <v>0</v>
      </c>
      <c r="DM38" s="1938">
        <f t="shared" si="31"/>
        <v>0</v>
      </c>
      <c r="DN38" s="1938">
        <f>+E38</f>
        <v>0</v>
      </c>
      <c r="DO38" s="1569" t="str">
        <f t="shared" si="32"/>
        <v>S.D.</v>
      </c>
      <c r="DP38" s="1659"/>
    </row>
    <row r="39" spans="1:120" ht="49.5" customHeight="1" x14ac:dyDescent="0.45">
      <c r="A39" s="5034"/>
      <c r="B39" s="2842">
        <v>5045</v>
      </c>
      <c r="C39" s="5046" t="s">
        <v>820</v>
      </c>
      <c r="D39" s="5046"/>
      <c r="E39" s="2288">
        <f>+E203</f>
        <v>0</v>
      </c>
      <c r="F39" s="2288" t="e">
        <f t="shared" si="33"/>
        <v>#REF!</v>
      </c>
      <c r="G39" s="2288" t="e">
        <f t="shared" si="34"/>
        <v>#REF!</v>
      </c>
      <c r="H39" s="2288" t="e">
        <f t="shared" si="35"/>
        <v>#REF!</v>
      </c>
      <c r="I39" s="2284">
        <f t="shared" ref="I39:N40" si="39">+I203</f>
        <v>0</v>
      </c>
      <c r="J39" s="2284">
        <f t="shared" si="39"/>
        <v>0</v>
      </c>
      <c r="K39" s="2284">
        <f t="shared" si="39"/>
        <v>0</v>
      </c>
      <c r="L39" s="2284" t="e">
        <f t="shared" si="39"/>
        <v>#REF!</v>
      </c>
      <c r="M39" s="2284" t="e">
        <f t="shared" si="39"/>
        <v>#REF!</v>
      </c>
      <c r="N39" s="2284" t="e">
        <f t="shared" si="39"/>
        <v>#REF!</v>
      </c>
      <c r="O39" s="1524" t="e">
        <f t="shared" si="30"/>
        <v>#REF!</v>
      </c>
      <c r="P39" s="1524" t="e">
        <f t="shared" si="30"/>
        <v>#REF!</v>
      </c>
      <c r="Q39" s="1545" t="e">
        <f t="shared" si="30"/>
        <v>#REF!</v>
      </c>
      <c r="R39" s="1570"/>
      <c r="S39" s="2021" t="e">
        <f t="shared" si="36"/>
        <v>#REF!</v>
      </c>
      <c r="T39" s="1938">
        <f t="shared" si="37"/>
        <v>0</v>
      </c>
      <c r="U39" s="1938">
        <f t="shared" si="38"/>
        <v>0</v>
      </c>
      <c r="V39" s="1569" t="e">
        <f>+IF(S39=0,"S.D.",IF(AND((T39/U39)&gt;0,(T39/U39)&lt;=700),"O.K.","VERIFICAR"))</f>
        <v>#REF!</v>
      </c>
      <c r="W39" s="1544"/>
      <c r="X39" s="1544"/>
      <c r="Y39" s="1544"/>
      <c r="Z39" s="1544"/>
      <c r="AD39" s="1547"/>
      <c r="AE39" s="1547"/>
      <c r="AF39" s="1547"/>
      <c r="AG39" s="1521"/>
      <c r="AH39" s="1521"/>
      <c r="AI39" s="1521"/>
      <c r="AJ39" s="1521"/>
      <c r="AK39" s="1521"/>
      <c r="AL39" s="1521"/>
      <c r="AM39" s="1521"/>
      <c r="AN39" s="1521"/>
      <c r="AO39" s="1521"/>
      <c r="AP39" s="1548"/>
      <c r="AQ39" s="1549"/>
      <c r="AR39" s="1549"/>
      <c r="DL39" s="1659">
        <f>+IF(E39=0,0,DM39/DN39)</f>
        <v>0</v>
      </c>
      <c r="DM39" s="1938">
        <f t="shared" si="31"/>
        <v>0</v>
      </c>
      <c r="DN39" s="1938">
        <f>+E39</f>
        <v>0</v>
      </c>
      <c r="DO39" s="1569" t="str">
        <f>+IF(DN39=0,"S.D.",IF(AND((DM39/DN39)&gt;150,(DM39/DN39)&lt;=400),"O.K.","VERIFICAR"))</f>
        <v>S.D.</v>
      </c>
      <c r="DP39" s="1659"/>
    </row>
    <row r="40" spans="1:120" ht="49.5" customHeight="1" x14ac:dyDescent="0.45">
      <c r="A40" s="5034"/>
      <c r="B40" s="1955">
        <v>5050</v>
      </c>
      <c r="C40" s="3742" t="s">
        <v>379</v>
      </c>
      <c r="D40" s="3742"/>
      <c r="E40" s="2288">
        <f>+E204</f>
        <v>0</v>
      </c>
      <c r="F40" s="2288" t="e">
        <f t="shared" si="33"/>
        <v>#REF!</v>
      </c>
      <c r="G40" s="2288" t="e">
        <f t="shared" si="34"/>
        <v>#REF!</v>
      </c>
      <c r="H40" s="2288" t="e">
        <f t="shared" si="35"/>
        <v>#REF!</v>
      </c>
      <c r="I40" s="2284">
        <f t="shared" si="39"/>
        <v>0</v>
      </c>
      <c r="J40" s="2284">
        <f t="shared" si="39"/>
        <v>0</v>
      </c>
      <c r="K40" s="2284">
        <f t="shared" si="39"/>
        <v>0</v>
      </c>
      <c r="L40" s="2284" t="e">
        <f t="shared" si="39"/>
        <v>#REF!</v>
      </c>
      <c r="M40" s="2284" t="e">
        <f t="shared" si="39"/>
        <v>#REF!</v>
      </c>
      <c r="N40" s="2284" t="e">
        <f t="shared" si="39"/>
        <v>#REF!</v>
      </c>
      <c r="O40" s="1524" t="e">
        <f t="shared" si="30"/>
        <v>#REF!</v>
      </c>
      <c r="P40" s="1524" t="e">
        <f t="shared" si="30"/>
        <v>#REF!</v>
      </c>
      <c r="Q40" s="1545" t="e">
        <f t="shared" si="30"/>
        <v>#REF!</v>
      </c>
      <c r="R40" s="1570"/>
      <c r="S40" s="2021" t="e">
        <f t="shared" si="36"/>
        <v>#REF!</v>
      </c>
      <c r="T40" s="1938">
        <f t="shared" si="37"/>
        <v>0</v>
      </c>
      <c r="U40" s="1938">
        <f t="shared" si="38"/>
        <v>0</v>
      </c>
      <c r="V40" s="1569" t="e">
        <f>+IF(S40=0,"S.D.",IF(AND((T40/U40)&gt;0,(T40/U40)&lt;=250),"O.K.","VERIFICAR"))</f>
        <v>#REF!</v>
      </c>
      <c r="W40" s="1544"/>
      <c r="X40" s="1544"/>
      <c r="Y40" s="1544"/>
      <c r="Z40" s="1544"/>
      <c r="AD40" s="1547"/>
      <c r="AE40" s="1547"/>
      <c r="AF40" s="1547"/>
      <c r="AG40" s="1521"/>
      <c r="AH40" s="1521"/>
      <c r="AI40" s="1521"/>
      <c r="AJ40" s="1521"/>
      <c r="AK40" s="1521"/>
      <c r="AL40" s="1521"/>
      <c r="AM40" s="1521"/>
      <c r="AN40" s="1521"/>
      <c r="AO40" s="1521"/>
      <c r="AP40" s="1548"/>
      <c r="AQ40" s="1549"/>
      <c r="AR40" s="1549"/>
      <c r="DL40" s="1659">
        <f>+IF(E40=0,0,DM40/DN40)</f>
        <v>0</v>
      </c>
      <c r="DM40" s="1938">
        <f t="shared" si="31"/>
        <v>0</v>
      </c>
      <c r="DN40" s="1938">
        <f>+E40</f>
        <v>0</v>
      </c>
      <c r="DO40" s="1569" t="str">
        <f>IF(DN40=0,"S.D.",+IF(AND((DM40/DN40)&gt;0,(DM40/DN40)&lt;=300),"O.K.","VERIFICAR"))</f>
        <v>S.D.</v>
      </c>
      <c r="DP40" s="1659"/>
    </row>
    <row r="41" spans="1:120" ht="49.5" customHeight="1" x14ac:dyDescent="0.45">
      <c r="A41" s="5034"/>
      <c r="B41" s="1955">
        <v>5055</v>
      </c>
      <c r="C41" s="3742" t="s">
        <v>405</v>
      </c>
      <c r="D41" s="3742"/>
      <c r="E41" s="2288" t="e">
        <f>+E206</f>
        <v>#REF!</v>
      </c>
      <c r="F41" s="2288" t="e">
        <f t="shared" si="33"/>
        <v>#REF!</v>
      </c>
      <c r="G41" s="2288" t="e">
        <f t="shared" si="34"/>
        <v>#REF!</v>
      </c>
      <c r="H41" s="2288" t="e">
        <f t="shared" si="35"/>
        <v>#REF!</v>
      </c>
      <c r="I41" s="2284" t="e">
        <f t="shared" ref="I41:N42" si="40">+I206</f>
        <v>#REF!</v>
      </c>
      <c r="J41" s="2284" t="e">
        <f t="shared" si="40"/>
        <v>#REF!</v>
      </c>
      <c r="K41" s="2284" t="e">
        <f t="shared" si="40"/>
        <v>#REF!</v>
      </c>
      <c r="L41" s="2284" t="e">
        <f t="shared" si="40"/>
        <v>#REF!</v>
      </c>
      <c r="M41" s="2284" t="e">
        <f t="shared" si="40"/>
        <v>#REF!</v>
      </c>
      <c r="N41" s="2284" t="e">
        <f t="shared" si="40"/>
        <v>#REF!</v>
      </c>
      <c r="O41" s="1524"/>
      <c r="P41" s="1524"/>
      <c r="Q41" s="1545"/>
      <c r="R41" s="1570"/>
      <c r="S41" s="2021" t="e">
        <f t="shared" si="36"/>
        <v>#REF!</v>
      </c>
      <c r="T41" s="1938" t="e">
        <f t="shared" si="37"/>
        <v>#REF!</v>
      </c>
      <c r="U41" s="1938" t="e">
        <f t="shared" si="38"/>
        <v>#REF!</v>
      </c>
      <c r="V41" s="1569" t="e">
        <f>+IF(S41=0,"S.D.",IF(AND((T41/U41)&gt;0,(T41/U41)&lt;=700),"O.K.","VERIFICAR"))</f>
        <v>#REF!</v>
      </c>
      <c r="W41" s="1544"/>
      <c r="X41" s="1544"/>
      <c r="Y41" s="1544"/>
      <c r="Z41" s="1544"/>
      <c r="AD41" s="1547"/>
      <c r="AE41" s="1547"/>
      <c r="AF41" s="1547"/>
      <c r="AG41" s="1521"/>
      <c r="AH41" s="1521"/>
      <c r="AI41" s="1521"/>
      <c r="AJ41" s="1521"/>
      <c r="AK41" s="1521"/>
      <c r="AL41" s="1521"/>
      <c r="AM41" s="1521"/>
      <c r="AN41" s="1521"/>
      <c r="AO41" s="1521"/>
      <c r="AP41" s="1548"/>
      <c r="AQ41" s="1549"/>
      <c r="AR41" s="1549"/>
      <c r="DL41" s="1659"/>
      <c r="DM41" s="1938"/>
      <c r="DN41" s="1938"/>
      <c r="DO41" s="1569"/>
      <c r="DP41" s="1659"/>
    </row>
    <row r="42" spans="1:120" ht="49.5" customHeight="1" thickBot="1" x14ac:dyDescent="0.5">
      <c r="A42" s="5035"/>
      <c r="B42" s="845">
        <v>6000</v>
      </c>
      <c r="C42" s="4649" t="s">
        <v>580</v>
      </c>
      <c r="D42" s="4649"/>
      <c r="E42" s="2288" t="e">
        <f>+E207</f>
        <v>#REF!</v>
      </c>
      <c r="F42" s="2288" t="e">
        <f t="shared" si="33"/>
        <v>#REF!</v>
      </c>
      <c r="G42" s="2288" t="e">
        <f t="shared" si="34"/>
        <v>#REF!</v>
      </c>
      <c r="H42" s="2288" t="e">
        <f t="shared" si="35"/>
        <v>#REF!</v>
      </c>
      <c r="I42" s="2284" t="e">
        <f t="shared" si="40"/>
        <v>#REF!</v>
      </c>
      <c r="J42" s="2284" t="e">
        <f t="shared" si="40"/>
        <v>#REF!</v>
      </c>
      <c r="K42" s="2284" t="e">
        <f t="shared" si="40"/>
        <v>#REF!</v>
      </c>
      <c r="L42" s="2284" t="e">
        <f t="shared" si="40"/>
        <v>#REF!</v>
      </c>
      <c r="M42" s="2284" t="e">
        <f t="shared" si="40"/>
        <v>#REF!</v>
      </c>
      <c r="N42" s="2284" t="e">
        <f t="shared" si="40"/>
        <v>#REF!</v>
      </c>
      <c r="O42" s="1524" t="e">
        <f t="shared" si="30"/>
        <v>#REF!</v>
      </c>
      <c r="P42" s="1524" t="e">
        <f t="shared" si="30"/>
        <v>#REF!</v>
      </c>
      <c r="Q42" s="1545" t="e">
        <f t="shared" si="30"/>
        <v>#REF!</v>
      </c>
      <c r="R42" s="1570"/>
      <c r="S42" s="2021" t="e">
        <f t="shared" si="36"/>
        <v>#REF!</v>
      </c>
      <c r="T42" s="1938" t="e">
        <f t="shared" si="37"/>
        <v>#REF!</v>
      </c>
      <c r="U42" s="1938" t="e">
        <f t="shared" si="38"/>
        <v>#REF!</v>
      </c>
      <c r="V42" s="1569" t="e">
        <f t="shared" ref="V42" si="41">+IF(S42=0,"S.D.",IF(AND((T42/U42)&gt;500,(T42/U42)&lt;=700),"O.K.","VERIFICAR"))</f>
        <v>#REF!</v>
      </c>
      <c r="W42" s="1544"/>
      <c r="X42" s="1544"/>
      <c r="Y42" s="1544"/>
      <c r="Z42" s="1544"/>
      <c r="AD42" s="1547"/>
      <c r="AE42" s="1547"/>
      <c r="AF42" s="1547"/>
      <c r="AG42" s="1521"/>
      <c r="AH42" s="1521"/>
      <c r="AI42" s="1521"/>
      <c r="AJ42" s="1521"/>
      <c r="AK42" s="1521"/>
      <c r="AL42" s="1521"/>
      <c r="AM42" s="1521"/>
      <c r="AN42" s="1521"/>
      <c r="AO42" s="1521"/>
      <c r="AP42" s="1548"/>
      <c r="AQ42" s="1549"/>
      <c r="AR42" s="1549"/>
      <c r="DL42" s="1659" t="e">
        <f>+IF(E42=0,0,DM42/DN42)</f>
        <v>#REF!</v>
      </c>
      <c r="DM42" s="1938" t="e">
        <f t="shared" si="31"/>
        <v>#REF!</v>
      </c>
      <c r="DN42" s="1938" t="e">
        <f>+E42</f>
        <v>#REF!</v>
      </c>
      <c r="DO42" s="1569" t="e">
        <f t="shared" si="32"/>
        <v>#REF!</v>
      </c>
      <c r="DP42" s="1659"/>
    </row>
    <row r="43" spans="1:120" ht="49.5" customHeight="1" x14ac:dyDescent="0.45">
      <c r="A43" s="1572"/>
      <c r="B43" s="5043" t="s">
        <v>395</v>
      </c>
      <c r="C43" s="5044"/>
      <c r="D43" s="5045"/>
      <c r="E43" s="3136" t="e">
        <f t="shared" ref="E43:Q43" si="42">SUM(E37:E42)</f>
        <v>#REF!</v>
      </c>
      <c r="F43" s="3136" t="e">
        <f t="shared" si="42"/>
        <v>#REF!</v>
      </c>
      <c r="G43" s="3136" t="e">
        <f t="shared" si="42"/>
        <v>#REF!</v>
      </c>
      <c r="H43" s="3136" t="e">
        <f t="shared" si="42"/>
        <v>#REF!</v>
      </c>
      <c r="I43" s="1557" t="e">
        <f t="shared" si="42"/>
        <v>#REF!</v>
      </c>
      <c r="J43" s="1557" t="e">
        <f t="shared" si="42"/>
        <v>#REF!</v>
      </c>
      <c r="K43" s="1557" t="e">
        <f t="shared" si="42"/>
        <v>#REF!</v>
      </c>
      <c r="L43" s="1557" t="e">
        <f t="shared" si="42"/>
        <v>#REF!</v>
      </c>
      <c r="M43" s="1557" t="e">
        <f t="shared" si="42"/>
        <v>#REF!</v>
      </c>
      <c r="N43" s="1557" t="e">
        <f t="shared" si="42"/>
        <v>#REF!</v>
      </c>
      <c r="O43" s="1558" t="e">
        <f t="shared" si="42"/>
        <v>#REF!</v>
      </c>
      <c r="P43" s="1558" t="e">
        <f t="shared" si="42"/>
        <v>#REF!</v>
      </c>
      <c r="Q43" s="1559" t="e">
        <f t="shared" si="42"/>
        <v>#REF!</v>
      </c>
      <c r="R43" s="1560" t="e">
        <f>SUM(O43:Q43)</f>
        <v>#REF!</v>
      </c>
      <c r="S43" s="2539"/>
      <c r="T43" s="2539"/>
      <c r="U43" s="2539"/>
      <c r="V43" s="2539"/>
      <c r="W43" s="1557">
        <f t="shared" ref="W43:AR43" si="43">SUM(W37:W42)</f>
        <v>0</v>
      </c>
      <c r="X43" s="1557">
        <f t="shared" si="43"/>
        <v>0</v>
      </c>
      <c r="Y43" s="1557">
        <f t="shared" si="43"/>
        <v>0</v>
      </c>
      <c r="Z43" s="1557">
        <f t="shared" si="43"/>
        <v>0</v>
      </c>
      <c r="AA43" s="1557">
        <f t="shared" si="43"/>
        <v>0</v>
      </c>
      <c r="AB43" s="1557">
        <f t="shared" si="43"/>
        <v>0</v>
      </c>
      <c r="AC43" s="1557">
        <f t="shared" si="43"/>
        <v>0</v>
      </c>
      <c r="AD43" s="1557">
        <f t="shared" si="43"/>
        <v>0</v>
      </c>
      <c r="AE43" s="1557">
        <f t="shared" si="43"/>
        <v>0</v>
      </c>
      <c r="AF43" s="1557">
        <f t="shared" si="43"/>
        <v>0</v>
      </c>
      <c r="AG43" s="1557">
        <f t="shared" si="43"/>
        <v>0</v>
      </c>
      <c r="AH43" s="1557">
        <f t="shared" si="43"/>
        <v>0</v>
      </c>
      <c r="AI43" s="1557">
        <f t="shared" si="43"/>
        <v>0</v>
      </c>
      <c r="AJ43" s="1557">
        <f t="shared" si="43"/>
        <v>0</v>
      </c>
      <c r="AK43" s="1557">
        <f t="shared" si="43"/>
        <v>0</v>
      </c>
      <c r="AL43" s="1557">
        <f t="shared" si="43"/>
        <v>0</v>
      </c>
      <c r="AM43" s="1557">
        <f t="shared" si="43"/>
        <v>0</v>
      </c>
      <c r="AN43" s="1557">
        <f t="shared" si="43"/>
        <v>0</v>
      </c>
      <c r="AO43" s="1557">
        <f t="shared" si="43"/>
        <v>0</v>
      </c>
      <c r="AP43" s="1557">
        <f t="shared" si="43"/>
        <v>0</v>
      </c>
      <c r="AQ43" s="1557">
        <f t="shared" si="43"/>
        <v>0</v>
      </c>
      <c r="AR43" s="1557">
        <f t="shared" si="43"/>
        <v>0</v>
      </c>
      <c r="DL43" s="1659" t="e">
        <f>+IF(E43=0,0,DM43/DN43)</f>
        <v>#REF!</v>
      </c>
      <c r="DM43" s="1938" t="e">
        <f t="shared" si="31"/>
        <v>#REF!</v>
      </c>
      <c r="DN43" s="1938" t="e">
        <f>+E43</f>
        <v>#REF!</v>
      </c>
      <c r="DO43" s="1569"/>
      <c r="DP43" s="1549"/>
    </row>
    <row r="44" spans="1:120" ht="49.5" customHeight="1" x14ac:dyDescent="0.45">
      <c r="A44" s="5039"/>
      <c r="B44" s="5040"/>
      <c r="C44" s="5040"/>
      <c r="D44" s="5040"/>
      <c r="E44" s="5040"/>
      <c r="F44" s="5040"/>
      <c r="G44" s="5040"/>
      <c r="H44" s="5040"/>
      <c r="I44" s="5040"/>
      <c r="J44" s="5040"/>
      <c r="K44" s="5040"/>
      <c r="L44" s="5040"/>
      <c r="M44" s="5040"/>
      <c r="N44" s="5040"/>
      <c r="O44" s="5040"/>
      <c r="P44" s="5040"/>
      <c r="Q44" s="5041"/>
      <c r="R44" s="1573"/>
      <c r="S44" s="1573"/>
      <c r="T44" s="1573"/>
      <c r="U44" s="1573"/>
      <c r="DL44" s="1490"/>
    </row>
    <row r="45" spans="1:120" ht="49.5" customHeight="1" thickBot="1" x14ac:dyDescent="0.5">
      <c r="A45" s="4399"/>
      <c r="B45" s="4400"/>
      <c r="C45" s="4400"/>
      <c r="D45" s="4400"/>
      <c r="E45" s="4400"/>
      <c r="F45" s="4400"/>
      <c r="G45" s="4400"/>
      <c r="H45" s="4400"/>
      <c r="I45" s="4400"/>
      <c r="J45" s="4400"/>
      <c r="K45" s="4400"/>
      <c r="L45" s="4400"/>
      <c r="M45" s="4400"/>
      <c r="N45" s="4400"/>
      <c r="O45" s="4400"/>
      <c r="P45" s="4400"/>
      <c r="Q45" s="5042"/>
      <c r="R45" s="1573"/>
      <c r="S45" s="1573"/>
      <c r="T45" s="1573"/>
      <c r="U45" s="1573"/>
      <c r="DL45" s="1490"/>
    </row>
    <row r="46" spans="1:120" s="1540" customFormat="1" ht="49.5" customHeight="1" x14ac:dyDescent="0.5">
      <c r="A46" s="5178" t="s">
        <v>396</v>
      </c>
      <c r="B46" s="5179"/>
      <c r="C46" s="5179"/>
      <c r="D46" s="5180"/>
      <c r="E46" s="4256" t="s">
        <v>101</v>
      </c>
      <c r="F46" s="4234" t="s">
        <v>849</v>
      </c>
      <c r="G46" s="4235"/>
      <c r="H46" s="4244"/>
      <c r="I46" s="4258" t="s">
        <v>304</v>
      </c>
      <c r="J46" s="4259"/>
      <c r="K46" s="4260"/>
      <c r="L46" s="4258" t="s">
        <v>368</v>
      </c>
      <c r="M46" s="4259"/>
      <c r="N46" s="4260"/>
      <c r="O46" s="4237" t="s">
        <v>377</v>
      </c>
      <c r="P46" s="4238"/>
      <c r="Q46" s="4239"/>
      <c r="R46" s="1574"/>
      <c r="S46" s="5177" t="s">
        <v>241</v>
      </c>
      <c r="T46" s="4508"/>
      <c r="U46" s="4508"/>
      <c r="V46" s="4509"/>
      <c r="W46" s="2538"/>
      <c r="X46" s="4395" t="s">
        <v>368</v>
      </c>
      <c r="Y46" s="4323"/>
      <c r="Z46" s="4396"/>
      <c r="AA46" s="4510" t="s">
        <v>850</v>
      </c>
      <c r="AB46" s="4510"/>
      <c r="AC46" s="4510"/>
      <c r="AD46" s="4237" t="s">
        <v>851</v>
      </c>
      <c r="AE46" s="4238"/>
      <c r="AF46" s="4240"/>
      <c r="AG46" s="4237" t="s">
        <v>852</v>
      </c>
      <c r="AH46" s="4238"/>
      <c r="AI46" s="4240"/>
      <c r="AJ46" s="4237" t="s">
        <v>853</v>
      </c>
      <c r="AK46" s="4238"/>
      <c r="AL46" s="4240"/>
      <c r="AM46" s="4237" t="s">
        <v>377</v>
      </c>
      <c r="AN46" s="4238"/>
      <c r="AO46" s="4240"/>
      <c r="AP46" s="4237" t="s">
        <v>241</v>
      </c>
      <c r="AQ46" s="4238"/>
      <c r="AR46" s="4240"/>
      <c r="DL46" s="4253" t="s">
        <v>241</v>
      </c>
      <c r="DM46" s="4253"/>
      <c r="DN46" s="4253"/>
      <c r="DO46" s="4253"/>
      <c r="DP46" s="4253"/>
    </row>
    <row r="47" spans="1:120" s="1540" customFormat="1" ht="49.5" customHeight="1" thickBot="1" x14ac:dyDescent="0.5">
      <c r="A47" s="5181"/>
      <c r="B47" s="5182"/>
      <c r="C47" s="5182"/>
      <c r="D47" s="5183"/>
      <c r="E47" s="4257"/>
      <c r="F47" s="1515" t="s">
        <v>287</v>
      </c>
      <c r="G47" s="1515" t="s">
        <v>289</v>
      </c>
      <c r="H47" s="1516" t="s">
        <v>288</v>
      </c>
      <c r="I47" s="1575" t="s">
        <v>287</v>
      </c>
      <c r="J47" s="1575" t="s">
        <v>289</v>
      </c>
      <c r="K47" s="1576" t="s">
        <v>288</v>
      </c>
      <c r="L47" s="1575" t="s">
        <v>287</v>
      </c>
      <c r="M47" s="1575" t="s">
        <v>289</v>
      </c>
      <c r="N47" s="1576" t="s">
        <v>288</v>
      </c>
      <c r="O47" s="1515" t="s">
        <v>287</v>
      </c>
      <c r="P47" s="1515" t="s">
        <v>289</v>
      </c>
      <c r="Q47" s="1517" t="s">
        <v>288</v>
      </c>
      <c r="R47" s="1574"/>
      <c r="S47" s="979" t="s">
        <v>370</v>
      </c>
      <c r="T47" s="979" t="s">
        <v>25</v>
      </c>
      <c r="U47" s="979" t="s">
        <v>371</v>
      </c>
      <c r="V47" s="979" t="s">
        <v>241</v>
      </c>
      <c r="W47" s="1516" t="s">
        <v>288</v>
      </c>
      <c r="X47" s="1515" t="s">
        <v>287</v>
      </c>
      <c r="Y47" s="1515" t="s">
        <v>289</v>
      </c>
      <c r="Z47" s="1516" t="s">
        <v>288</v>
      </c>
      <c r="AA47" s="1515" t="s">
        <v>287</v>
      </c>
      <c r="AB47" s="1515" t="s">
        <v>289</v>
      </c>
      <c r="AC47" s="1516" t="s">
        <v>288</v>
      </c>
      <c r="AD47" s="1515" t="s">
        <v>287</v>
      </c>
      <c r="AE47" s="1515" t="s">
        <v>289</v>
      </c>
      <c r="AF47" s="1515" t="s">
        <v>288</v>
      </c>
      <c r="AG47" s="1515" t="s">
        <v>287</v>
      </c>
      <c r="AH47" s="1515" t="s">
        <v>289</v>
      </c>
      <c r="AI47" s="1515" t="s">
        <v>288</v>
      </c>
      <c r="AJ47" s="1515" t="s">
        <v>287</v>
      </c>
      <c r="AK47" s="1515" t="s">
        <v>289</v>
      </c>
      <c r="AL47" s="1515" t="s">
        <v>288</v>
      </c>
      <c r="AM47" s="1515" t="s">
        <v>287</v>
      </c>
      <c r="AN47" s="1515" t="s">
        <v>289</v>
      </c>
      <c r="AO47" s="1515" t="s">
        <v>288</v>
      </c>
      <c r="AP47" s="1515" t="s">
        <v>287</v>
      </c>
      <c r="AQ47" s="1515" t="s">
        <v>289</v>
      </c>
      <c r="AR47" s="1515" t="s">
        <v>288</v>
      </c>
      <c r="DL47" s="979" t="s">
        <v>370</v>
      </c>
      <c r="DM47" s="979" t="s">
        <v>25</v>
      </c>
      <c r="DN47" s="979" t="s">
        <v>371</v>
      </c>
      <c r="DO47" s="979" t="s">
        <v>241</v>
      </c>
      <c r="DP47" s="979"/>
    </row>
    <row r="48" spans="1:120" ht="49.5" customHeight="1" x14ac:dyDescent="0.45">
      <c r="A48" s="3963" t="s">
        <v>62</v>
      </c>
      <c r="B48" s="1947">
        <v>5030</v>
      </c>
      <c r="C48" s="4308" t="s">
        <v>217</v>
      </c>
      <c r="D48" s="4612"/>
      <c r="E48" s="2284">
        <f>+E208</f>
        <v>0</v>
      </c>
      <c r="F48" s="2283" t="e">
        <f t="shared" ref="F48:F53" si="44">+I48+L48</f>
        <v>#REF!</v>
      </c>
      <c r="G48" s="2283" t="e">
        <f t="shared" ref="G48:G53" si="45">+J48+M48</f>
        <v>#REF!</v>
      </c>
      <c r="H48" s="2283" t="e">
        <f t="shared" ref="H48:H53" si="46">+K48+N48</f>
        <v>#REF!</v>
      </c>
      <c r="I48" s="2284">
        <f>+I208</f>
        <v>0</v>
      </c>
      <c r="J48" s="2284">
        <f t="shared" ref="J48:N48" si="47">+J208</f>
        <v>0</v>
      </c>
      <c r="K48" s="2284">
        <f t="shared" si="47"/>
        <v>0</v>
      </c>
      <c r="L48" s="2284" t="e">
        <f t="shared" si="47"/>
        <v>#REF!</v>
      </c>
      <c r="M48" s="2284" t="e">
        <f t="shared" si="47"/>
        <v>#REF!</v>
      </c>
      <c r="N48" s="2284" t="e">
        <f t="shared" si="47"/>
        <v>#REF!</v>
      </c>
      <c r="O48" s="1524" t="e">
        <f t="shared" ref="O48:Q53" si="48">+I48+L48</f>
        <v>#REF!</v>
      </c>
      <c r="P48" s="1524" t="e">
        <f t="shared" si="48"/>
        <v>#REF!</v>
      </c>
      <c r="Q48" s="1545" t="e">
        <f t="shared" si="48"/>
        <v>#REF!</v>
      </c>
      <c r="R48" s="1577" t="s">
        <v>396</v>
      </c>
      <c r="S48" s="2021" t="e">
        <f>+IF(H48=0,0,T48/U48)</f>
        <v>#REF!</v>
      </c>
      <c r="T48" s="1938">
        <f>+SUM(I48:K48)</f>
        <v>0</v>
      </c>
      <c r="U48" s="1938">
        <f>+E48</f>
        <v>0</v>
      </c>
      <c r="V48" s="1569" t="e">
        <f>+IF(S48=0,"S.D.",IF(AND((T48/U48)&gt;700,(T48/U48)&lt;=1400),"O.K.","VERIFICAR"))</f>
        <v>#REF!</v>
      </c>
      <c r="W48" s="1544"/>
      <c r="X48" s="1544"/>
      <c r="Y48" s="1544"/>
      <c r="Z48" s="1544"/>
      <c r="AD48" s="1547"/>
      <c r="AE48" s="1547"/>
      <c r="AF48" s="1547"/>
      <c r="AG48" s="1521"/>
      <c r="AH48" s="1521"/>
      <c r="AI48" s="1521"/>
      <c r="AJ48" s="1521"/>
      <c r="AK48" s="1521"/>
      <c r="AL48" s="1521"/>
      <c r="AM48" s="1521"/>
      <c r="AN48" s="1521"/>
      <c r="AO48" s="1521"/>
      <c r="AP48" s="1548"/>
      <c r="AQ48" s="1549"/>
      <c r="AR48" s="1549"/>
      <c r="DL48" s="1659">
        <f>+IF(E48=0,0,DM48/DN48)</f>
        <v>0</v>
      </c>
      <c r="DM48" s="1938">
        <f t="shared" ref="DM48:DM54" si="49">+SUM(I48:K48)</f>
        <v>0</v>
      </c>
      <c r="DN48" s="1938">
        <f>+E48</f>
        <v>0</v>
      </c>
      <c r="DO48" s="1569" t="str">
        <f t="shared" ref="DO48:DO53" si="50">IF(DN48=0,"S.D.",+IF(AND((DM48/DN48)&gt;700,(DM48/DN48)&lt;=1400),"O.K.","VERIFICAR"))</f>
        <v>S.D.</v>
      </c>
      <c r="DP48" s="1659"/>
    </row>
    <row r="49" spans="1:120" ht="49.5" customHeight="1" x14ac:dyDescent="0.45">
      <c r="A49" s="3964"/>
      <c r="B49" s="1954">
        <v>5040</v>
      </c>
      <c r="C49" s="3743" t="s">
        <v>218</v>
      </c>
      <c r="D49" s="3744"/>
      <c r="E49" s="2284">
        <f>+E209</f>
        <v>0</v>
      </c>
      <c r="F49" s="2283" t="e">
        <f t="shared" si="44"/>
        <v>#REF!</v>
      </c>
      <c r="G49" s="2283" t="e">
        <f t="shared" si="45"/>
        <v>#REF!</v>
      </c>
      <c r="H49" s="2283" t="e">
        <f t="shared" si="46"/>
        <v>#REF!</v>
      </c>
      <c r="I49" s="2284">
        <f>+I209</f>
        <v>0</v>
      </c>
      <c r="J49" s="2284">
        <f>+J209</f>
        <v>0</v>
      </c>
      <c r="K49" s="2284">
        <f>+K209</f>
        <v>0</v>
      </c>
      <c r="L49" s="2284" t="e">
        <f>+L209</f>
        <v>#REF!</v>
      </c>
      <c r="M49" s="2284" t="e">
        <f>+M209</f>
        <v>#REF!</v>
      </c>
      <c r="N49" s="2284" t="e">
        <f>+N209</f>
        <v>#REF!</v>
      </c>
      <c r="O49" s="1524" t="e">
        <f t="shared" si="48"/>
        <v>#REF!</v>
      </c>
      <c r="P49" s="1524" t="e">
        <f t="shared" si="48"/>
        <v>#REF!</v>
      </c>
      <c r="Q49" s="1545" t="e">
        <f t="shared" si="48"/>
        <v>#REF!</v>
      </c>
      <c r="R49" s="1579"/>
      <c r="S49" s="2021" t="e">
        <f t="shared" ref="S49:S53" si="51">+IF(H49=0,0,T49/U49)</f>
        <v>#REF!</v>
      </c>
      <c r="T49" s="1938">
        <f t="shared" ref="T49:T53" si="52">+SUM(I49:K49)</f>
        <v>0</v>
      </c>
      <c r="U49" s="1938">
        <f t="shared" ref="U49:U53" si="53">+E49</f>
        <v>0</v>
      </c>
      <c r="V49" s="1569" t="e">
        <f>+IF(S49=0,"S.D.",IF(AND((T49/U49)&gt;0,(T49/U49)&lt;=350),"O.K.","VERIFICAR"))</f>
        <v>#REF!</v>
      </c>
      <c r="W49" s="1544"/>
      <c r="X49" s="1544"/>
      <c r="Y49" s="1544"/>
      <c r="Z49" s="1544"/>
      <c r="AD49" s="1547"/>
      <c r="AE49" s="1547"/>
      <c r="AF49" s="1547"/>
      <c r="AG49" s="1521"/>
      <c r="AH49" s="1521"/>
      <c r="AI49" s="1521"/>
      <c r="AJ49" s="1521"/>
      <c r="AK49" s="1521"/>
      <c r="AL49" s="1521"/>
      <c r="AM49" s="1521"/>
      <c r="AN49" s="1521"/>
      <c r="AO49" s="1521"/>
      <c r="AP49" s="1548"/>
      <c r="AQ49" s="1549"/>
      <c r="AR49" s="1549"/>
      <c r="DL49" s="1659">
        <f>+IF(E49=0,0,DM49/DN49)</f>
        <v>0</v>
      </c>
      <c r="DM49" s="1938">
        <f t="shared" si="49"/>
        <v>0</v>
      </c>
      <c r="DN49" s="1938">
        <f>+E49</f>
        <v>0</v>
      </c>
      <c r="DO49" s="1569" t="str">
        <f t="shared" si="50"/>
        <v>S.D.</v>
      </c>
      <c r="DP49" s="1659"/>
    </row>
    <row r="50" spans="1:120" ht="49.5" customHeight="1" x14ac:dyDescent="0.45">
      <c r="A50" s="3964"/>
      <c r="B50" s="1954">
        <v>5045</v>
      </c>
      <c r="C50" s="3743" t="s">
        <v>820</v>
      </c>
      <c r="D50" s="3744"/>
      <c r="E50" s="2284" t="e">
        <f>+E211</f>
        <v>#REF!</v>
      </c>
      <c r="F50" s="2283" t="e">
        <f t="shared" si="44"/>
        <v>#REF!</v>
      </c>
      <c r="G50" s="2283" t="e">
        <f t="shared" si="45"/>
        <v>#REF!</v>
      </c>
      <c r="H50" s="2283" t="e">
        <f t="shared" si="46"/>
        <v>#REF!</v>
      </c>
      <c r="I50" s="2284" t="e">
        <f t="shared" ref="I50:N51" si="54">+I211</f>
        <v>#REF!</v>
      </c>
      <c r="J50" s="2284" t="e">
        <f t="shared" si="54"/>
        <v>#REF!</v>
      </c>
      <c r="K50" s="2284" t="e">
        <f t="shared" si="54"/>
        <v>#REF!</v>
      </c>
      <c r="L50" s="2284" t="e">
        <f t="shared" si="54"/>
        <v>#REF!</v>
      </c>
      <c r="M50" s="2284" t="e">
        <f t="shared" si="54"/>
        <v>#REF!</v>
      </c>
      <c r="N50" s="2284" t="e">
        <f t="shared" si="54"/>
        <v>#REF!</v>
      </c>
      <c r="O50" s="1524"/>
      <c r="P50" s="1524"/>
      <c r="Q50" s="1545"/>
      <c r="R50" s="1579"/>
      <c r="S50" s="2021" t="e">
        <f t="shared" si="51"/>
        <v>#REF!</v>
      </c>
      <c r="T50" s="1938" t="e">
        <f t="shared" si="52"/>
        <v>#REF!</v>
      </c>
      <c r="U50" s="1938" t="e">
        <f t="shared" si="53"/>
        <v>#REF!</v>
      </c>
      <c r="V50" s="1569" t="e">
        <f>+IF(S50=0,"S.D.",IF(AND((T50/U50)&gt;0,(T50/U50)&lt;=1400),"O.K.","VERIFICAR"))</f>
        <v>#REF!</v>
      </c>
      <c r="W50" s="1544"/>
      <c r="X50" s="1544"/>
      <c r="Y50" s="1544"/>
      <c r="Z50" s="1544"/>
      <c r="AD50" s="1547"/>
      <c r="AE50" s="1547"/>
      <c r="AF50" s="1547"/>
      <c r="AG50" s="1521"/>
      <c r="AH50" s="1521"/>
      <c r="AI50" s="1521"/>
      <c r="AJ50" s="1521"/>
      <c r="AK50" s="1521"/>
      <c r="AL50" s="1521"/>
      <c r="AM50" s="1521"/>
      <c r="AN50" s="1521"/>
      <c r="AO50" s="1521"/>
      <c r="AP50" s="1548"/>
      <c r="AQ50" s="1549"/>
      <c r="AR50" s="1549"/>
      <c r="DL50" s="1659"/>
      <c r="DM50" s="1938"/>
      <c r="DN50" s="1938"/>
      <c r="DO50" s="1569"/>
      <c r="DP50" s="1659"/>
    </row>
    <row r="51" spans="1:120" ht="49.5" customHeight="1" x14ac:dyDescent="0.45">
      <c r="A51" s="3964"/>
      <c r="B51" s="1955">
        <v>5050</v>
      </c>
      <c r="C51" s="4314" t="s">
        <v>379</v>
      </c>
      <c r="D51" s="4616"/>
      <c r="E51" s="2284">
        <f>+E212</f>
        <v>0</v>
      </c>
      <c r="F51" s="2283" t="e">
        <f t="shared" si="44"/>
        <v>#REF!</v>
      </c>
      <c r="G51" s="2283" t="e">
        <f t="shared" si="45"/>
        <v>#REF!</v>
      </c>
      <c r="H51" s="2283" t="e">
        <f t="shared" si="46"/>
        <v>#REF!</v>
      </c>
      <c r="I51" s="2284">
        <f t="shared" si="54"/>
        <v>0</v>
      </c>
      <c r="J51" s="2284">
        <f t="shared" si="54"/>
        <v>0</v>
      </c>
      <c r="K51" s="2284">
        <f t="shared" si="54"/>
        <v>0</v>
      </c>
      <c r="L51" s="2284" t="e">
        <f t="shared" si="54"/>
        <v>#REF!</v>
      </c>
      <c r="M51" s="2284" t="e">
        <f t="shared" si="54"/>
        <v>#REF!</v>
      </c>
      <c r="N51" s="2284" t="e">
        <f t="shared" si="54"/>
        <v>#REF!</v>
      </c>
      <c r="O51" s="1524" t="e">
        <f t="shared" si="48"/>
        <v>#REF!</v>
      </c>
      <c r="P51" s="1524" t="e">
        <f t="shared" si="48"/>
        <v>#REF!</v>
      </c>
      <c r="Q51" s="1545" t="e">
        <f t="shared" si="48"/>
        <v>#REF!</v>
      </c>
      <c r="R51" s="1579"/>
      <c r="S51" s="2021" t="e">
        <f t="shared" si="51"/>
        <v>#REF!</v>
      </c>
      <c r="T51" s="1938">
        <f t="shared" si="52"/>
        <v>0</v>
      </c>
      <c r="U51" s="1938">
        <f t="shared" si="53"/>
        <v>0</v>
      </c>
      <c r="V51" s="1569" t="e">
        <f>+IF(S51=0,"S.D.",IF(AND((T51/U51)&gt;0,(T51/U51)&lt;=250),"O.K.","VERIFICAR"))</f>
        <v>#REF!</v>
      </c>
      <c r="W51" s="1544"/>
      <c r="X51" s="1544"/>
      <c r="Y51" s="1544"/>
      <c r="Z51" s="1544"/>
      <c r="AD51" s="1547"/>
      <c r="AE51" s="1547"/>
      <c r="AF51" s="1547"/>
      <c r="AG51" s="1521"/>
      <c r="AH51" s="1521"/>
      <c r="AI51" s="1521"/>
      <c r="AJ51" s="1521"/>
      <c r="AK51" s="1521"/>
      <c r="AL51" s="1521"/>
      <c r="AM51" s="1521"/>
      <c r="AN51" s="1521"/>
      <c r="AO51" s="1521"/>
      <c r="AP51" s="1548"/>
      <c r="AQ51" s="1549"/>
      <c r="AR51" s="1549"/>
      <c r="DL51" s="1659">
        <f>+IF(E51=0,0,DM51/DN51)</f>
        <v>0</v>
      </c>
      <c r="DM51" s="1938">
        <f t="shared" si="49"/>
        <v>0</v>
      </c>
      <c r="DN51" s="1938">
        <f>+E51</f>
        <v>0</v>
      </c>
      <c r="DO51" s="1569" t="str">
        <f>+IF(DN51=0,"S.D.",IF(AND((DM51/DN51)&gt;150,(DM51/DN51)&lt;=400),"O.K.","VERIFICAR"))</f>
        <v>S.D.</v>
      </c>
      <c r="DP51" s="1659"/>
    </row>
    <row r="52" spans="1:120" ht="49.5" customHeight="1" x14ac:dyDescent="0.45">
      <c r="A52" s="3964"/>
      <c r="B52" s="1955">
        <v>5055</v>
      </c>
      <c r="C52" s="4314" t="s">
        <v>405</v>
      </c>
      <c r="D52" s="4616"/>
      <c r="E52" s="2284" t="e">
        <f>+E214</f>
        <v>#REF!</v>
      </c>
      <c r="F52" s="2283" t="e">
        <f t="shared" si="44"/>
        <v>#REF!</v>
      </c>
      <c r="G52" s="2283" t="e">
        <f t="shared" si="45"/>
        <v>#REF!</v>
      </c>
      <c r="H52" s="2283" t="e">
        <f t="shared" si="46"/>
        <v>#REF!</v>
      </c>
      <c r="I52" s="2284" t="e">
        <f t="shared" ref="I52:N53" si="55">+I214</f>
        <v>#REF!</v>
      </c>
      <c r="J52" s="2284" t="e">
        <f t="shared" si="55"/>
        <v>#REF!</v>
      </c>
      <c r="K52" s="2284" t="e">
        <f t="shared" si="55"/>
        <v>#REF!</v>
      </c>
      <c r="L52" s="2284" t="e">
        <f t="shared" si="55"/>
        <v>#REF!</v>
      </c>
      <c r="M52" s="2284" t="e">
        <f t="shared" si="55"/>
        <v>#REF!</v>
      </c>
      <c r="N52" s="2284" t="e">
        <f t="shared" si="55"/>
        <v>#REF!</v>
      </c>
      <c r="O52" s="1524"/>
      <c r="P52" s="1524"/>
      <c r="Q52" s="1545"/>
      <c r="R52" s="1579"/>
      <c r="S52" s="2021" t="e">
        <f t="shared" si="51"/>
        <v>#REF!</v>
      </c>
      <c r="T52" s="1938" t="e">
        <f t="shared" si="52"/>
        <v>#REF!</v>
      </c>
      <c r="U52" s="1938" t="e">
        <f t="shared" si="53"/>
        <v>#REF!</v>
      </c>
      <c r="V52" s="1569" t="e">
        <f>+IF(S52=0,"S.D.",IF(AND((T52/U52)&gt;0,(T52/U52)&lt;=1400),"O.K.","VERIFICAR"))</f>
        <v>#REF!</v>
      </c>
      <c r="W52" s="1544"/>
      <c r="X52" s="1544"/>
      <c r="Y52" s="1544"/>
      <c r="Z52" s="1544"/>
      <c r="AD52" s="1547"/>
      <c r="AE52" s="1547"/>
      <c r="AF52" s="1547"/>
      <c r="AG52" s="1521"/>
      <c r="AH52" s="1521"/>
      <c r="AI52" s="1521"/>
      <c r="AJ52" s="1521"/>
      <c r="AK52" s="1521"/>
      <c r="AL52" s="1521"/>
      <c r="AM52" s="1521"/>
      <c r="AN52" s="1521"/>
      <c r="AO52" s="1521"/>
      <c r="AP52" s="1548"/>
      <c r="AQ52" s="1549"/>
      <c r="AR52" s="1549"/>
      <c r="DL52" s="1659"/>
      <c r="DM52" s="1938"/>
      <c r="DN52" s="1938"/>
      <c r="DO52" s="1569"/>
      <c r="DP52" s="1659"/>
    </row>
    <row r="53" spans="1:120" ht="49.5" customHeight="1" thickBot="1" x14ac:dyDescent="0.5">
      <c r="A53" s="4619"/>
      <c r="B53" s="2414" t="s">
        <v>50</v>
      </c>
      <c r="C53" s="4631" t="s">
        <v>580</v>
      </c>
      <c r="D53" s="4632"/>
      <c r="E53" s="2284" t="e">
        <f>+E215</f>
        <v>#REF!</v>
      </c>
      <c r="F53" s="2283" t="e">
        <f t="shared" si="44"/>
        <v>#REF!</v>
      </c>
      <c r="G53" s="2283" t="e">
        <f t="shared" si="45"/>
        <v>#REF!</v>
      </c>
      <c r="H53" s="2283" t="e">
        <f t="shared" si="46"/>
        <v>#REF!</v>
      </c>
      <c r="I53" s="2284" t="e">
        <f t="shared" si="55"/>
        <v>#REF!</v>
      </c>
      <c r="J53" s="2284" t="e">
        <f t="shared" si="55"/>
        <v>#REF!</v>
      </c>
      <c r="K53" s="2284" t="e">
        <f t="shared" si="55"/>
        <v>#REF!</v>
      </c>
      <c r="L53" s="2284" t="e">
        <f t="shared" si="55"/>
        <v>#REF!</v>
      </c>
      <c r="M53" s="2284" t="e">
        <f t="shared" si="55"/>
        <v>#REF!</v>
      </c>
      <c r="N53" s="2284" t="e">
        <f t="shared" si="55"/>
        <v>#REF!</v>
      </c>
      <c r="O53" s="1524" t="e">
        <f t="shared" si="48"/>
        <v>#REF!</v>
      </c>
      <c r="P53" s="1524" t="e">
        <f t="shared" si="48"/>
        <v>#REF!</v>
      </c>
      <c r="Q53" s="1545" t="e">
        <f t="shared" si="48"/>
        <v>#REF!</v>
      </c>
      <c r="R53" s="1579"/>
      <c r="S53" s="2021" t="e">
        <f t="shared" si="51"/>
        <v>#REF!</v>
      </c>
      <c r="T53" s="1938" t="e">
        <f t="shared" si="52"/>
        <v>#REF!</v>
      </c>
      <c r="U53" s="1938" t="e">
        <f t="shared" si="53"/>
        <v>#REF!</v>
      </c>
      <c r="V53" s="1569" t="e">
        <f>+IF(S53=0,"S.D.",IF(AND((T53/U53)&gt;700,(T53/U53)&lt;=1400),"O.K.","VERIFICAR"))</f>
        <v>#REF!</v>
      </c>
      <c r="W53" s="1544"/>
      <c r="X53" s="1544"/>
      <c r="Y53" s="1544"/>
      <c r="Z53" s="1544"/>
      <c r="AD53" s="1547"/>
      <c r="AE53" s="1547"/>
      <c r="AF53" s="1547"/>
      <c r="AG53" s="1521"/>
      <c r="AH53" s="1521"/>
      <c r="AI53" s="1521"/>
      <c r="AJ53" s="1521"/>
      <c r="AK53" s="1521"/>
      <c r="AL53" s="1521"/>
      <c r="AM53" s="1521"/>
      <c r="AN53" s="1521"/>
      <c r="AO53" s="1521"/>
      <c r="AP53" s="1548"/>
      <c r="AQ53" s="1549"/>
      <c r="AR53" s="1549"/>
      <c r="DL53" s="1659" t="e">
        <f>+IF(E53=0,0,DM53/DN53)</f>
        <v>#REF!</v>
      </c>
      <c r="DM53" s="1938" t="e">
        <f t="shared" si="49"/>
        <v>#REF!</v>
      </c>
      <c r="DN53" s="1938" t="e">
        <f>+E53</f>
        <v>#REF!</v>
      </c>
      <c r="DO53" s="1569" t="e">
        <f t="shared" si="50"/>
        <v>#REF!</v>
      </c>
      <c r="DP53" s="1659"/>
    </row>
    <row r="54" spans="1:120" ht="49.5" customHeight="1" x14ac:dyDescent="0.45">
      <c r="A54" s="1580"/>
      <c r="B54" s="5036" t="s">
        <v>400</v>
      </c>
      <c r="C54" s="5037"/>
      <c r="D54" s="5038"/>
      <c r="E54" s="1557" t="e">
        <f t="shared" ref="E54:Q54" si="56">SUM(E48:E53)</f>
        <v>#REF!</v>
      </c>
      <c r="F54" s="1557" t="e">
        <f t="shared" si="56"/>
        <v>#REF!</v>
      </c>
      <c r="G54" s="1557" t="e">
        <f t="shared" si="56"/>
        <v>#REF!</v>
      </c>
      <c r="H54" s="1557" t="e">
        <f t="shared" si="56"/>
        <v>#REF!</v>
      </c>
      <c r="I54" s="1557" t="e">
        <f t="shared" si="56"/>
        <v>#REF!</v>
      </c>
      <c r="J54" s="1557" t="e">
        <f t="shared" si="56"/>
        <v>#REF!</v>
      </c>
      <c r="K54" s="1557" t="e">
        <f t="shared" si="56"/>
        <v>#REF!</v>
      </c>
      <c r="L54" s="1557" t="e">
        <f t="shared" si="56"/>
        <v>#REF!</v>
      </c>
      <c r="M54" s="1557" t="e">
        <f t="shared" si="56"/>
        <v>#REF!</v>
      </c>
      <c r="N54" s="1557" t="e">
        <f t="shared" si="56"/>
        <v>#REF!</v>
      </c>
      <c r="O54" s="1558" t="e">
        <f t="shared" si="56"/>
        <v>#REF!</v>
      </c>
      <c r="P54" s="1558" t="e">
        <f t="shared" si="56"/>
        <v>#REF!</v>
      </c>
      <c r="Q54" s="1559" t="e">
        <f t="shared" si="56"/>
        <v>#REF!</v>
      </c>
      <c r="R54" s="1560" t="e">
        <f>SUM(O54:Q54)</f>
        <v>#REF!</v>
      </c>
      <c r="S54" s="2539"/>
      <c r="T54" s="2539"/>
      <c r="U54" s="2539"/>
      <c r="V54" s="2539"/>
      <c r="W54" s="1557">
        <f t="shared" ref="W54:AR54" si="57">SUM(W48:W53)</f>
        <v>0</v>
      </c>
      <c r="X54" s="1557">
        <f t="shared" si="57"/>
        <v>0</v>
      </c>
      <c r="Y54" s="1557">
        <f t="shared" si="57"/>
        <v>0</v>
      </c>
      <c r="Z54" s="1557">
        <f t="shared" si="57"/>
        <v>0</v>
      </c>
      <c r="AA54" s="1557">
        <f t="shared" si="57"/>
        <v>0</v>
      </c>
      <c r="AB54" s="1557">
        <f t="shared" si="57"/>
        <v>0</v>
      </c>
      <c r="AC54" s="1557">
        <f t="shared" si="57"/>
        <v>0</v>
      </c>
      <c r="AD54" s="1557">
        <f t="shared" si="57"/>
        <v>0</v>
      </c>
      <c r="AE54" s="1557">
        <f t="shared" si="57"/>
        <v>0</v>
      </c>
      <c r="AF54" s="1557">
        <f t="shared" si="57"/>
        <v>0</v>
      </c>
      <c r="AG54" s="1557">
        <f t="shared" si="57"/>
        <v>0</v>
      </c>
      <c r="AH54" s="1557">
        <f t="shared" si="57"/>
        <v>0</v>
      </c>
      <c r="AI54" s="1557">
        <f t="shared" si="57"/>
        <v>0</v>
      </c>
      <c r="AJ54" s="1557">
        <f t="shared" si="57"/>
        <v>0</v>
      </c>
      <c r="AK54" s="1557">
        <f t="shared" si="57"/>
        <v>0</v>
      </c>
      <c r="AL54" s="1557">
        <f t="shared" si="57"/>
        <v>0</v>
      </c>
      <c r="AM54" s="1557">
        <f t="shared" si="57"/>
        <v>0</v>
      </c>
      <c r="AN54" s="1557">
        <f t="shared" si="57"/>
        <v>0</v>
      </c>
      <c r="AO54" s="1557">
        <f t="shared" si="57"/>
        <v>0</v>
      </c>
      <c r="AP54" s="1557">
        <f t="shared" si="57"/>
        <v>0</v>
      </c>
      <c r="AQ54" s="1557">
        <f t="shared" si="57"/>
        <v>0</v>
      </c>
      <c r="AR54" s="1557">
        <f t="shared" si="57"/>
        <v>0</v>
      </c>
      <c r="DL54" s="1659" t="e">
        <f>+IF(E54=0,0,DM54/DN54)</f>
        <v>#REF!</v>
      </c>
      <c r="DM54" s="1938" t="e">
        <f t="shared" si="49"/>
        <v>#REF!</v>
      </c>
      <c r="DN54" s="1938" t="e">
        <f>+E54</f>
        <v>#REF!</v>
      </c>
      <c r="DO54" s="1569"/>
      <c r="DP54" s="1549"/>
    </row>
    <row r="55" spans="1:120" ht="49.5" customHeight="1" x14ac:dyDescent="0.45">
      <c r="A55" s="5039"/>
      <c r="B55" s="5040"/>
      <c r="C55" s="5040"/>
      <c r="D55" s="5040"/>
      <c r="E55" s="5040"/>
      <c r="F55" s="5040"/>
      <c r="G55" s="5040"/>
      <c r="H55" s="5040"/>
      <c r="I55" s="5040"/>
      <c r="J55" s="5040"/>
      <c r="K55" s="5040"/>
      <c r="L55" s="5040"/>
      <c r="M55" s="5040"/>
      <c r="N55" s="5040"/>
      <c r="O55" s="5040"/>
      <c r="P55" s="5040"/>
      <c r="Q55" s="5041"/>
      <c r="V55" s="1503"/>
      <c r="W55" s="1503"/>
      <c r="DL55" s="1490"/>
    </row>
    <row r="56" spans="1:120" ht="49.5" customHeight="1" thickBot="1" x14ac:dyDescent="0.5">
      <c r="A56" s="4399"/>
      <c r="B56" s="4400"/>
      <c r="C56" s="4400"/>
      <c r="D56" s="4400"/>
      <c r="E56" s="4400"/>
      <c r="F56" s="4400"/>
      <c r="G56" s="4400"/>
      <c r="H56" s="4400"/>
      <c r="I56" s="4400"/>
      <c r="J56" s="4400"/>
      <c r="K56" s="4400"/>
      <c r="L56" s="4400"/>
      <c r="M56" s="4400"/>
      <c r="N56" s="4400"/>
      <c r="O56" s="4400"/>
      <c r="P56" s="4400"/>
      <c r="Q56" s="5042"/>
      <c r="V56" s="1503"/>
      <c r="W56" s="1503"/>
      <c r="DL56" s="1490"/>
    </row>
    <row r="57" spans="1:120" s="1540" customFormat="1" ht="49.5" customHeight="1" x14ac:dyDescent="0.5">
      <c r="A57" s="5178" t="s">
        <v>401</v>
      </c>
      <c r="B57" s="5179"/>
      <c r="C57" s="5179"/>
      <c r="D57" s="5180"/>
      <c r="E57" s="4256" t="s">
        <v>101</v>
      </c>
      <c r="F57" s="4234" t="s">
        <v>849</v>
      </c>
      <c r="G57" s="4235"/>
      <c r="H57" s="4244"/>
      <c r="I57" s="4258" t="s">
        <v>304</v>
      </c>
      <c r="J57" s="4259"/>
      <c r="K57" s="4260"/>
      <c r="L57" s="4258" t="s">
        <v>368</v>
      </c>
      <c r="M57" s="4259"/>
      <c r="N57" s="4260"/>
      <c r="O57" s="4237" t="s">
        <v>377</v>
      </c>
      <c r="P57" s="4238"/>
      <c r="Q57" s="4239"/>
      <c r="S57" s="5177" t="s">
        <v>241</v>
      </c>
      <c r="T57" s="4508"/>
      <c r="U57" s="4508"/>
      <c r="V57" s="4509"/>
      <c r="W57" s="2538"/>
      <c r="X57" s="4395" t="s">
        <v>368</v>
      </c>
      <c r="Y57" s="4323"/>
      <c r="Z57" s="4396"/>
      <c r="AA57" s="4510" t="s">
        <v>850</v>
      </c>
      <c r="AB57" s="4510"/>
      <c r="AC57" s="4510"/>
      <c r="AD57" s="4237" t="s">
        <v>851</v>
      </c>
      <c r="AE57" s="4238"/>
      <c r="AF57" s="4240"/>
      <c r="AG57" s="4237" t="s">
        <v>852</v>
      </c>
      <c r="AH57" s="4238"/>
      <c r="AI57" s="4240"/>
      <c r="AJ57" s="4237" t="s">
        <v>853</v>
      </c>
      <c r="AK57" s="4238"/>
      <c r="AL57" s="4240"/>
      <c r="AM57" s="4237" t="s">
        <v>377</v>
      </c>
      <c r="AN57" s="4238"/>
      <c r="AO57" s="4240"/>
      <c r="AP57" s="4237" t="s">
        <v>241</v>
      </c>
      <c r="AQ57" s="4238"/>
      <c r="AR57" s="4240"/>
      <c r="DL57" s="4253" t="s">
        <v>241</v>
      </c>
      <c r="DM57" s="4253"/>
      <c r="DN57" s="4253"/>
      <c r="DO57" s="4253"/>
      <c r="DP57" s="4253"/>
    </row>
    <row r="58" spans="1:120" s="1540" customFormat="1" ht="49.5" customHeight="1" thickBot="1" x14ac:dyDescent="0.5">
      <c r="A58" s="5181"/>
      <c r="B58" s="5182"/>
      <c r="C58" s="5182"/>
      <c r="D58" s="5183"/>
      <c r="E58" s="4257"/>
      <c r="F58" s="1515" t="s">
        <v>287</v>
      </c>
      <c r="G58" s="1515" t="s">
        <v>289</v>
      </c>
      <c r="H58" s="1516" t="s">
        <v>288</v>
      </c>
      <c r="I58" s="1575" t="s">
        <v>287</v>
      </c>
      <c r="J58" s="1575" t="s">
        <v>289</v>
      </c>
      <c r="K58" s="1575" t="s">
        <v>288</v>
      </c>
      <c r="L58" s="1575" t="s">
        <v>287</v>
      </c>
      <c r="M58" s="1575" t="s">
        <v>289</v>
      </c>
      <c r="N58" s="1575" t="s">
        <v>288</v>
      </c>
      <c r="O58" s="1582" t="s">
        <v>287</v>
      </c>
      <c r="P58" s="1515" t="s">
        <v>289</v>
      </c>
      <c r="Q58" s="1517" t="s">
        <v>288</v>
      </c>
      <c r="S58" s="979" t="s">
        <v>370</v>
      </c>
      <c r="T58" s="979" t="s">
        <v>25</v>
      </c>
      <c r="U58" s="979" t="s">
        <v>371</v>
      </c>
      <c r="V58" s="979" t="s">
        <v>241</v>
      </c>
      <c r="W58" s="1516" t="s">
        <v>288</v>
      </c>
      <c r="X58" s="1515" t="s">
        <v>287</v>
      </c>
      <c r="Y58" s="1515" t="s">
        <v>289</v>
      </c>
      <c r="Z58" s="1516" t="s">
        <v>288</v>
      </c>
      <c r="AA58" s="1515" t="s">
        <v>287</v>
      </c>
      <c r="AB58" s="1515" t="s">
        <v>289</v>
      </c>
      <c r="AC58" s="1516" t="s">
        <v>288</v>
      </c>
      <c r="AD58" s="1515" t="s">
        <v>287</v>
      </c>
      <c r="AE58" s="1515" t="s">
        <v>289</v>
      </c>
      <c r="AF58" s="1515" t="s">
        <v>288</v>
      </c>
      <c r="AG58" s="1515" t="s">
        <v>287</v>
      </c>
      <c r="AH58" s="1515" t="s">
        <v>289</v>
      </c>
      <c r="AI58" s="1515" t="s">
        <v>288</v>
      </c>
      <c r="AJ58" s="1515" t="s">
        <v>287</v>
      </c>
      <c r="AK58" s="1515" t="s">
        <v>289</v>
      </c>
      <c r="AL58" s="1515" t="s">
        <v>288</v>
      </c>
      <c r="AM58" s="1515" t="s">
        <v>287</v>
      </c>
      <c r="AN58" s="1515" t="s">
        <v>289</v>
      </c>
      <c r="AO58" s="1515" t="s">
        <v>288</v>
      </c>
      <c r="AP58" s="1515" t="s">
        <v>287</v>
      </c>
      <c r="AQ58" s="1515" t="s">
        <v>289</v>
      </c>
      <c r="AR58" s="1515" t="s">
        <v>288</v>
      </c>
      <c r="DL58" s="979" t="s">
        <v>370</v>
      </c>
      <c r="DM58" s="979" t="s">
        <v>25</v>
      </c>
      <c r="DN58" s="979" t="s">
        <v>371</v>
      </c>
      <c r="DO58" s="979" t="s">
        <v>241</v>
      </c>
      <c r="DP58" s="979"/>
    </row>
    <row r="59" spans="1:120" ht="49.5" customHeight="1" x14ac:dyDescent="0.45">
      <c r="A59" s="3963" t="s">
        <v>631</v>
      </c>
      <c r="B59" s="1947">
        <v>5030</v>
      </c>
      <c r="C59" s="4308" t="s">
        <v>217</v>
      </c>
      <c r="D59" s="4612"/>
      <c r="E59" s="2284">
        <f>+E216</f>
        <v>0</v>
      </c>
      <c r="F59" s="2283" t="e">
        <f t="shared" ref="F59" si="58">+I59+L59</f>
        <v>#REF!</v>
      </c>
      <c r="G59" s="2283" t="e">
        <f t="shared" ref="G59" si="59">+J59+M59</f>
        <v>#REF!</v>
      </c>
      <c r="H59" s="2283" t="e">
        <f t="shared" ref="H59" si="60">+K59+N59</f>
        <v>#REF!</v>
      </c>
      <c r="I59" s="2284">
        <f>+I216</f>
        <v>0</v>
      </c>
      <c r="J59" s="2284">
        <f t="shared" ref="J59:N59" si="61">+J216</f>
        <v>0</v>
      </c>
      <c r="K59" s="2284">
        <f t="shared" si="61"/>
        <v>0</v>
      </c>
      <c r="L59" s="2284" t="e">
        <f t="shared" si="61"/>
        <v>#REF!</v>
      </c>
      <c r="M59" s="2284" t="e">
        <f t="shared" si="61"/>
        <v>#REF!</v>
      </c>
      <c r="N59" s="2284" t="e">
        <f t="shared" si="61"/>
        <v>#REF!</v>
      </c>
      <c r="O59" s="1583" t="e">
        <f t="shared" ref="O59:Q64" si="62">+I59+L59</f>
        <v>#REF!</v>
      </c>
      <c r="P59" s="1524" t="e">
        <f t="shared" si="62"/>
        <v>#REF!</v>
      </c>
      <c r="Q59" s="1545" t="e">
        <f t="shared" si="62"/>
        <v>#REF!</v>
      </c>
      <c r="R59" s="1584" t="s">
        <v>402</v>
      </c>
      <c r="S59" s="2021" t="e">
        <f>+IF(H59=0,0,T59/U59)</f>
        <v>#REF!</v>
      </c>
      <c r="T59" s="1938">
        <f>+SUM(I59:K59)</f>
        <v>0</v>
      </c>
      <c r="U59" s="1938">
        <f>+E59</f>
        <v>0</v>
      </c>
      <c r="V59" s="1569" t="e">
        <f>+IF(S59=0,"S.D.",IF(AND((T59/U59)&gt;1400,(T59/U59)&lt;=2999),"O.K.","VERIFICAR"))</f>
        <v>#REF!</v>
      </c>
      <c r="W59" s="1544"/>
      <c r="X59" s="1544"/>
      <c r="Y59" s="1544"/>
      <c r="Z59" s="1544"/>
      <c r="AD59" s="1547"/>
      <c r="AE59" s="1547"/>
      <c r="AF59" s="1547"/>
      <c r="AG59" s="1521"/>
      <c r="AH59" s="1521"/>
      <c r="AI59" s="1521"/>
      <c r="AJ59" s="1521"/>
      <c r="AK59" s="1521"/>
      <c r="AL59" s="1521"/>
      <c r="AM59" s="1521"/>
      <c r="AN59" s="1521"/>
      <c r="AO59" s="1521"/>
      <c r="AP59" s="1548"/>
      <c r="AQ59" s="1549"/>
      <c r="AR59" s="1549"/>
      <c r="DL59" s="2021">
        <f>+IF(E59=0,0,DM59/DN59)</f>
        <v>0</v>
      </c>
      <c r="DM59" s="1938">
        <f t="shared" ref="DM59:DM65" si="63">+SUM(I59:K59)</f>
        <v>0</v>
      </c>
      <c r="DN59" s="1938">
        <f>+E59</f>
        <v>0</v>
      </c>
      <c r="DO59" s="1569" t="str">
        <f t="shared" ref="DO59:DO65" si="64">IF(DN59=0,"S.D.",+IF(AND((DM59/DN59)&gt;1400,(DM59/DN59)&lt;=2999),"O.K.","VERIFICAR"))</f>
        <v>S.D.</v>
      </c>
      <c r="DP59" s="1659"/>
    </row>
    <row r="60" spans="1:120" ht="49.5" customHeight="1" x14ac:dyDescent="0.45">
      <c r="A60" s="3964"/>
      <c r="B60" s="1954">
        <v>5040</v>
      </c>
      <c r="C60" s="3743" t="s">
        <v>218</v>
      </c>
      <c r="D60" s="3744"/>
      <c r="E60" s="2284">
        <f>+E217</f>
        <v>0</v>
      </c>
      <c r="F60" s="2283" t="e">
        <f t="shared" ref="F60:F64" si="65">+I60+L60</f>
        <v>#REF!</v>
      </c>
      <c r="G60" s="2283" t="e">
        <f t="shared" ref="G60:G64" si="66">+J60+M60</f>
        <v>#REF!</v>
      </c>
      <c r="H60" s="2283" t="e">
        <f t="shared" ref="H60:H64" si="67">+K60+N60</f>
        <v>#REF!</v>
      </c>
      <c r="I60" s="2284">
        <f>+I217</f>
        <v>0</v>
      </c>
      <c r="J60" s="2284">
        <f>+J217</f>
        <v>0</v>
      </c>
      <c r="K60" s="2284">
        <f>+K217</f>
        <v>0</v>
      </c>
      <c r="L60" s="2284" t="e">
        <f>+L217</f>
        <v>#REF!</v>
      </c>
      <c r="M60" s="2284" t="e">
        <f>+M217</f>
        <v>#REF!</v>
      </c>
      <c r="N60" s="2284" t="e">
        <f>+N217</f>
        <v>#REF!</v>
      </c>
      <c r="O60" s="1583" t="e">
        <f t="shared" si="62"/>
        <v>#REF!</v>
      </c>
      <c r="P60" s="1524" t="e">
        <f t="shared" si="62"/>
        <v>#REF!</v>
      </c>
      <c r="Q60" s="1545" t="e">
        <f t="shared" si="62"/>
        <v>#REF!</v>
      </c>
      <c r="R60" s="1585"/>
      <c r="S60" s="2021" t="e">
        <f t="shared" ref="S60:S64" si="68">+IF(H60=0,0,T60/U60)</f>
        <v>#REF!</v>
      </c>
      <c r="T60" s="1938">
        <f t="shared" ref="T60:T64" si="69">+SUM(I60:K60)</f>
        <v>0</v>
      </c>
      <c r="U60" s="1938">
        <f t="shared" ref="U60:U64" si="70">+E60</f>
        <v>0</v>
      </c>
      <c r="V60" s="1569" t="e">
        <f>+IF(S60=0,"S.D.",IF(AND((T60/U60)&gt;0,(T60/U60)&lt;=350),"O.K.","VERIFICAR"))</f>
        <v>#REF!</v>
      </c>
      <c r="W60" s="1544"/>
      <c r="X60" s="1544"/>
      <c r="Y60" s="1544"/>
      <c r="Z60" s="1544"/>
      <c r="AD60" s="1547"/>
      <c r="AE60" s="1547"/>
      <c r="AF60" s="1547"/>
      <c r="AG60" s="1521"/>
      <c r="AH60" s="1521"/>
      <c r="AI60" s="1521"/>
      <c r="AJ60" s="1521"/>
      <c r="AK60" s="1521"/>
      <c r="AL60" s="1521"/>
      <c r="AM60" s="1521"/>
      <c r="AN60" s="1521"/>
      <c r="AO60" s="1521"/>
      <c r="AP60" s="1548"/>
      <c r="AQ60" s="1549"/>
      <c r="AR60" s="1549"/>
      <c r="DL60" s="2021">
        <f>+IF(E60=0,0,DM60/DN60)</f>
        <v>0</v>
      </c>
      <c r="DM60" s="1938">
        <f t="shared" si="63"/>
        <v>0</v>
      </c>
      <c r="DN60" s="1938">
        <f>+E60</f>
        <v>0</v>
      </c>
      <c r="DO60" s="1569" t="str">
        <f t="shared" si="64"/>
        <v>S.D.</v>
      </c>
      <c r="DP60" s="1659"/>
    </row>
    <row r="61" spans="1:120" ht="49.5" customHeight="1" x14ac:dyDescent="0.45">
      <c r="A61" s="3964"/>
      <c r="B61" s="1954">
        <v>5045</v>
      </c>
      <c r="C61" s="3743" t="s">
        <v>820</v>
      </c>
      <c r="D61" s="3744"/>
      <c r="E61" s="2284" t="e">
        <f>+E219</f>
        <v>#REF!</v>
      </c>
      <c r="F61" s="2283" t="e">
        <f t="shared" si="65"/>
        <v>#REF!</v>
      </c>
      <c r="G61" s="2283" t="e">
        <f t="shared" si="66"/>
        <v>#REF!</v>
      </c>
      <c r="H61" s="2283" t="e">
        <f t="shared" si="67"/>
        <v>#REF!</v>
      </c>
      <c r="I61" s="2284" t="e">
        <f t="shared" ref="I61:N62" si="71">+I219</f>
        <v>#REF!</v>
      </c>
      <c r="J61" s="2284" t="e">
        <f t="shared" si="71"/>
        <v>#REF!</v>
      </c>
      <c r="K61" s="2284" t="e">
        <f t="shared" si="71"/>
        <v>#REF!</v>
      </c>
      <c r="L61" s="2284" t="e">
        <f t="shared" si="71"/>
        <v>#REF!</v>
      </c>
      <c r="M61" s="2284" t="e">
        <f t="shared" si="71"/>
        <v>#REF!</v>
      </c>
      <c r="N61" s="2284" t="e">
        <f t="shared" si="71"/>
        <v>#REF!</v>
      </c>
      <c r="O61" s="1583"/>
      <c r="P61" s="1524"/>
      <c r="Q61" s="1545"/>
      <c r="R61" s="1585"/>
      <c r="S61" s="2021" t="e">
        <f t="shared" si="68"/>
        <v>#REF!</v>
      </c>
      <c r="T61" s="1938" t="e">
        <f t="shared" si="69"/>
        <v>#REF!</v>
      </c>
      <c r="U61" s="1938" t="e">
        <f t="shared" si="70"/>
        <v>#REF!</v>
      </c>
      <c r="V61" s="1569" t="e">
        <f>+IF(S61=0,"S.D.",IF(AND((T61/U61)&gt;0,(T61/U61)&lt;=2999),"O.K.","VERIFICAR"))</f>
        <v>#REF!</v>
      </c>
      <c r="W61" s="1544"/>
      <c r="X61" s="1544"/>
      <c r="Y61" s="1544"/>
      <c r="Z61" s="1544"/>
      <c r="AD61" s="1547"/>
      <c r="AE61" s="1547"/>
      <c r="AF61" s="1547"/>
      <c r="AG61" s="1521"/>
      <c r="AH61" s="1521"/>
      <c r="AI61" s="1521"/>
      <c r="AJ61" s="1521"/>
      <c r="AK61" s="1521"/>
      <c r="AL61" s="1521"/>
      <c r="AM61" s="1521"/>
      <c r="AN61" s="1521"/>
      <c r="AO61" s="1521"/>
      <c r="AP61" s="1548"/>
      <c r="AQ61" s="1549"/>
      <c r="AR61" s="1549"/>
      <c r="DL61" s="2021"/>
      <c r="DM61" s="1938"/>
      <c r="DN61" s="1938"/>
      <c r="DO61" s="1569"/>
      <c r="DP61" s="1659"/>
    </row>
    <row r="62" spans="1:120" ht="49.5" customHeight="1" x14ac:dyDescent="0.45">
      <c r="A62" s="3964"/>
      <c r="B62" s="1955">
        <v>5050</v>
      </c>
      <c r="C62" s="4314" t="s">
        <v>379</v>
      </c>
      <c r="D62" s="4616"/>
      <c r="E62" s="2284">
        <f>+E220</f>
        <v>0</v>
      </c>
      <c r="F62" s="2283" t="e">
        <f t="shared" si="65"/>
        <v>#REF!</v>
      </c>
      <c r="G62" s="2283" t="e">
        <f t="shared" si="66"/>
        <v>#REF!</v>
      </c>
      <c r="H62" s="2283" t="e">
        <f t="shared" si="67"/>
        <v>#REF!</v>
      </c>
      <c r="I62" s="2284">
        <f t="shared" si="71"/>
        <v>0</v>
      </c>
      <c r="J62" s="2284">
        <f t="shared" si="71"/>
        <v>0</v>
      </c>
      <c r="K62" s="2284">
        <f t="shared" si="71"/>
        <v>0</v>
      </c>
      <c r="L62" s="2284" t="e">
        <f t="shared" si="71"/>
        <v>#REF!</v>
      </c>
      <c r="M62" s="2284" t="e">
        <f t="shared" si="71"/>
        <v>#REF!</v>
      </c>
      <c r="N62" s="2284" t="e">
        <f t="shared" si="71"/>
        <v>#REF!</v>
      </c>
      <c r="O62" s="1583" t="e">
        <f t="shared" si="62"/>
        <v>#REF!</v>
      </c>
      <c r="P62" s="1524" t="e">
        <f t="shared" si="62"/>
        <v>#REF!</v>
      </c>
      <c r="Q62" s="1545" t="e">
        <f t="shared" si="62"/>
        <v>#REF!</v>
      </c>
      <c r="R62" s="1585"/>
      <c r="S62" s="2021" t="e">
        <f t="shared" si="68"/>
        <v>#REF!</v>
      </c>
      <c r="T62" s="1938">
        <f t="shared" si="69"/>
        <v>0</v>
      </c>
      <c r="U62" s="1938">
        <f t="shared" si="70"/>
        <v>0</v>
      </c>
      <c r="V62" s="1569" t="e">
        <f>+IF(S62=0,"S.D.",IF(AND((T62/U62)&gt;0,(T62/U62)&lt;=250),"O.K.","VERIFICAR"))</f>
        <v>#REF!</v>
      </c>
      <c r="W62" s="1544"/>
      <c r="X62" s="1544"/>
      <c r="Y62" s="1544"/>
      <c r="Z62" s="1544"/>
      <c r="AD62" s="1547"/>
      <c r="AE62" s="1547"/>
      <c r="AF62" s="1547"/>
      <c r="AG62" s="1521"/>
      <c r="AH62" s="1521"/>
      <c r="AI62" s="1521"/>
      <c r="AJ62" s="1521"/>
      <c r="AK62" s="1521"/>
      <c r="AL62" s="1521"/>
      <c r="AM62" s="1521"/>
      <c r="AN62" s="1521"/>
      <c r="AO62" s="1521"/>
      <c r="AP62" s="1548"/>
      <c r="AQ62" s="1549"/>
      <c r="AR62" s="1549"/>
      <c r="DL62" s="2021">
        <f>+IF(E62=0,0,DM62/DN62)</f>
        <v>0</v>
      </c>
      <c r="DM62" s="1938">
        <f t="shared" si="63"/>
        <v>0</v>
      </c>
      <c r="DN62" s="1938">
        <f>+E62</f>
        <v>0</v>
      </c>
      <c r="DO62" s="1569" t="str">
        <f>+IF(DN62=0,"S.D.",IF(AND((DM62/DN62)&gt;150,(DM62/DN62)&lt;=400),"O.K.","VERIFICAR"))</f>
        <v>S.D.</v>
      </c>
      <c r="DP62" s="1659"/>
    </row>
    <row r="63" spans="1:120" ht="49.5" customHeight="1" x14ac:dyDescent="0.45">
      <c r="A63" s="3964"/>
      <c r="B63" s="1955">
        <v>5055</v>
      </c>
      <c r="C63" s="4314" t="s">
        <v>405</v>
      </c>
      <c r="D63" s="4616"/>
      <c r="E63" s="2284" t="e">
        <f>+E222</f>
        <v>#REF!</v>
      </c>
      <c r="F63" s="2283" t="e">
        <f t="shared" si="65"/>
        <v>#REF!</v>
      </c>
      <c r="G63" s="2283" t="e">
        <f t="shared" si="66"/>
        <v>#REF!</v>
      </c>
      <c r="H63" s="2283" t="e">
        <f t="shared" si="67"/>
        <v>#REF!</v>
      </c>
      <c r="I63" s="2284" t="e">
        <f t="shared" ref="I63:N64" si="72">+I222</f>
        <v>#REF!</v>
      </c>
      <c r="J63" s="2284" t="e">
        <f t="shared" si="72"/>
        <v>#REF!</v>
      </c>
      <c r="K63" s="2284" t="e">
        <f t="shared" si="72"/>
        <v>#REF!</v>
      </c>
      <c r="L63" s="2284" t="e">
        <f t="shared" si="72"/>
        <v>#REF!</v>
      </c>
      <c r="M63" s="2284" t="e">
        <f t="shared" si="72"/>
        <v>#REF!</v>
      </c>
      <c r="N63" s="2284" t="e">
        <f t="shared" si="72"/>
        <v>#REF!</v>
      </c>
      <c r="O63" s="1583"/>
      <c r="P63" s="1524"/>
      <c r="Q63" s="1545"/>
      <c r="R63" s="1585"/>
      <c r="S63" s="2021" t="e">
        <f t="shared" si="68"/>
        <v>#REF!</v>
      </c>
      <c r="T63" s="1938" t="e">
        <f t="shared" si="69"/>
        <v>#REF!</v>
      </c>
      <c r="U63" s="1938" t="e">
        <f t="shared" si="70"/>
        <v>#REF!</v>
      </c>
      <c r="V63" s="1569" t="e">
        <f>+IF(S63=0,"S.D.",IF(AND((T63/U63)&gt;0,(T63/U63)&lt;=2999),"O.K.","VERIFICAR"))</f>
        <v>#REF!</v>
      </c>
      <c r="W63" s="1544"/>
      <c r="X63" s="1544"/>
      <c r="Y63" s="1544"/>
      <c r="Z63" s="1544"/>
      <c r="AD63" s="1547"/>
      <c r="AE63" s="1547"/>
      <c r="AF63" s="1547"/>
      <c r="AG63" s="1521"/>
      <c r="AH63" s="1521"/>
      <c r="AI63" s="1521"/>
      <c r="AJ63" s="1521"/>
      <c r="AK63" s="1521"/>
      <c r="AL63" s="1521"/>
      <c r="AM63" s="1521"/>
      <c r="AN63" s="1521"/>
      <c r="AO63" s="1521"/>
      <c r="AP63" s="1548"/>
      <c r="AQ63" s="1549"/>
      <c r="AR63" s="1549"/>
      <c r="DL63" s="2021"/>
      <c r="DM63" s="1938"/>
      <c r="DN63" s="1938"/>
      <c r="DO63" s="1569"/>
      <c r="DP63" s="1659"/>
    </row>
    <row r="64" spans="1:120" ht="49.5" customHeight="1" thickBot="1" x14ac:dyDescent="0.5">
      <c r="A64" s="4619"/>
      <c r="B64" s="2414" t="s">
        <v>50</v>
      </c>
      <c r="C64" s="4631" t="s">
        <v>580</v>
      </c>
      <c r="D64" s="4632"/>
      <c r="E64" s="2284" t="e">
        <f>+E223</f>
        <v>#REF!</v>
      </c>
      <c r="F64" s="2283" t="e">
        <f t="shared" si="65"/>
        <v>#REF!</v>
      </c>
      <c r="G64" s="2283" t="e">
        <f t="shared" si="66"/>
        <v>#REF!</v>
      </c>
      <c r="H64" s="2283" t="e">
        <f t="shared" si="67"/>
        <v>#REF!</v>
      </c>
      <c r="I64" s="2284" t="e">
        <f t="shared" si="72"/>
        <v>#REF!</v>
      </c>
      <c r="J64" s="2284" t="e">
        <f t="shared" si="72"/>
        <v>#REF!</v>
      </c>
      <c r="K64" s="2284" t="e">
        <f t="shared" si="72"/>
        <v>#REF!</v>
      </c>
      <c r="L64" s="2284" t="e">
        <f t="shared" si="72"/>
        <v>#REF!</v>
      </c>
      <c r="M64" s="2284" t="e">
        <f t="shared" si="72"/>
        <v>#REF!</v>
      </c>
      <c r="N64" s="2284" t="e">
        <f t="shared" si="72"/>
        <v>#REF!</v>
      </c>
      <c r="O64" s="1583" t="e">
        <f t="shared" si="62"/>
        <v>#REF!</v>
      </c>
      <c r="P64" s="1524" t="e">
        <f t="shared" si="62"/>
        <v>#REF!</v>
      </c>
      <c r="Q64" s="1545" t="e">
        <f t="shared" si="62"/>
        <v>#REF!</v>
      </c>
      <c r="R64" s="1585"/>
      <c r="S64" s="2021" t="e">
        <f t="shared" si="68"/>
        <v>#REF!</v>
      </c>
      <c r="T64" s="1938" t="e">
        <f t="shared" si="69"/>
        <v>#REF!</v>
      </c>
      <c r="U64" s="1938" t="e">
        <f t="shared" si="70"/>
        <v>#REF!</v>
      </c>
      <c r="V64" s="1569" t="e">
        <f>+IF(S64=0,"S.D.",IF(AND((T64/U64)&gt;700,(T64/U64)&lt;=2999),"O.K.","VERIFICAR"))</f>
        <v>#REF!</v>
      </c>
      <c r="W64" s="1544"/>
      <c r="X64" s="1544"/>
      <c r="Y64" s="1544"/>
      <c r="Z64" s="1544"/>
      <c r="AD64" s="1547"/>
      <c r="AE64" s="1547"/>
      <c r="AF64" s="1547"/>
      <c r="AG64" s="1521"/>
      <c r="AH64" s="1521"/>
      <c r="AI64" s="1521"/>
      <c r="AJ64" s="1521"/>
      <c r="AK64" s="1521"/>
      <c r="AL64" s="1521"/>
      <c r="AM64" s="1521"/>
      <c r="AN64" s="1521"/>
      <c r="AO64" s="1521"/>
      <c r="AP64" s="1548"/>
      <c r="AQ64" s="1549"/>
      <c r="AR64" s="1549"/>
      <c r="DL64" s="2021" t="e">
        <f>+IF(E64=0,0,DM64/DN64)</f>
        <v>#REF!</v>
      </c>
      <c r="DM64" s="1938" t="e">
        <f t="shared" si="63"/>
        <v>#REF!</v>
      </c>
      <c r="DN64" s="1938" t="e">
        <f>+E64</f>
        <v>#REF!</v>
      </c>
      <c r="DO64" s="1569" t="e">
        <f t="shared" si="64"/>
        <v>#REF!</v>
      </c>
      <c r="DP64" s="1659"/>
    </row>
    <row r="65" spans="1:120" ht="49.5" customHeight="1" x14ac:dyDescent="0.45">
      <c r="A65" s="1586"/>
      <c r="B65" s="5164" t="s">
        <v>403</v>
      </c>
      <c r="C65" s="5164"/>
      <c r="D65" s="5165"/>
      <c r="E65" s="1557" t="e">
        <f t="shared" ref="E65:Q65" si="73">SUM(E59:E64)</f>
        <v>#REF!</v>
      </c>
      <c r="F65" s="1557" t="e">
        <f t="shared" si="73"/>
        <v>#REF!</v>
      </c>
      <c r="G65" s="1557" t="e">
        <f t="shared" si="73"/>
        <v>#REF!</v>
      </c>
      <c r="H65" s="1557" t="e">
        <f t="shared" si="73"/>
        <v>#REF!</v>
      </c>
      <c r="I65" s="1557" t="e">
        <f t="shared" si="73"/>
        <v>#REF!</v>
      </c>
      <c r="J65" s="1557" t="e">
        <f t="shared" si="73"/>
        <v>#REF!</v>
      </c>
      <c r="K65" s="1557" t="e">
        <f t="shared" si="73"/>
        <v>#REF!</v>
      </c>
      <c r="L65" s="1557" t="e">
        <f t="shared" si="73"/>
        <v>#REF!</v>
      </c>
      <c r="M65" s="1557" t="e">
        <f t="shared" si="73"/>
        <v>#REF!</v>
      </c>
      <c r="N65" s="1557" t="e">
        <f t="shared" si="73"/>
        <v>#REF!</v>
      </c>
      <c r="O65" s="1558" t="e">
        <f t="shared" si="73"/>
        <v>#REF!</v>
      </c>
      <c r="P65" s="1558" t="e">
        <f t="shared" si="73"/>
        <v>#REF!</v>
      </c>
      <c r="Q65" s="1559" t="e">
        <f t="shared" si="73"/>
        <v>#REF!</v>
      </c>
      <c r="R65" s="1587" t="e">
        <f>SUM(O65:Q65)</f>
        <v>#REF!</v>
      </c>
      <c r="S65" s="1557" t="e">
        <f>SUM(S59:S64)</f>
        <v>#REF!</v>
      </c>
      <c r="T65" s="1557"/>
      <c r="U65" s="1557"/>
      <c r="V65" s="1557" t="e">
        <f t="shared" ref="V65:AR65" si="74">SUM(V59:V64)</f>
        <v>#REF!</v>
      </c>
      <c r="W65" s="1557">
        <f t="shared" si="74"/>
        <v>0</v>
      </c>
      <c r="X65" s="1557">
        <f t="shared" si="74"/>
        <v>0</v>
      </c>
      <c r="Y65" s="1557">
        <f t="shared" si="74"/>
        <v>0</v>
      </c>
      <c r="Z65" s="1557">
        <f t="shared" si="74"/>
        <v>0</v>
      </c>
      <c r="AA65" s="1557">
        <f t="shared" si="74"/>
        <v>0</v>
      </c>
      <c r="AB65" s="1557">
        <f t="shared" si="74"/>
        <v>0</v>
      </c>
      <c r="AC65" s="1557">
        <f t="shared" si="74"/>
        <v>0</v>
      </c>
      <c r="AD65" s="1557">
        <f t="shared" si="74"/>
        <v>0</v>
      </c>
      <c r="AE65" s="1557">
        <f t="shared" si="74"/>
        <v>0</v>
      </c>
      <c r="AF65" s="1557">
        <f t="shared" si="74"/>
        <v>0</v>
      </c>
      <c r="AG65" s="1557">
        <f t="shared" si="74"/>
        <v>0</v>
      </c>
      <c r="AH65" s="1557">
        <f t="shared" si="74"/>
        <v>0</v>
      </c>
      <c r="AI65" s="1557">
        <f t="shared" si="74"/>
        <v>0</v>
      </c>
      <c r="AJ65" s="1557">
        <f t="shared" si="74"/>
        <v>0</v>
      </c>
      <c r="AK65" s="1557">
        <f t="shared" si="74"/>
        <v>0</v>
      </c>
      <c r="AL65" s="1557">
        <f t="shared" si="74"/>
        <v>0</v>
      </c>
      <c r="AM65" s="1557">
        <f t="shared" si="74"/>
        <v>0</v>
      </c>
      <c r="AN65" s="1557">
        <f t="shared" si="74"/>
        <v>0</v>
      </c>
      <c r="AO65" s="1557">
        <f t="shared" si="74"/>
        <v>0</v>
      </c>
      <c r="AP65" s="1557">
        <f t="shared" si="74"/>
        <v>0</v>
      </c>
      <c r="AQ65" s="1557">
        <f t="shared" si="74"/>
        <v>0</v>
      </c>
      <c r="AR65" s="1557">
        <f t="shared" si="74"/>
        <v>0</v>
      </c>
      <c r="DL65" s="2021" t="e">
        <f>+IF(E65=0,0,DM65/DN65)</f>
        <v>#REF!</v>
      </c>
      <c r="DM65" s="1938" t="e">
        <f t="shared" si="63"/>
        <v>#REF!</v>
      </c>
      <c r="DN65" s="1938" t="e">
        <f>+E65</f>
        <v>#REF!</v>
      </c>
      <c r="DO65" s="1569" t="e">
        <f t="shared" si="64"/>
        <v>#REF!</v>
      </c>
      <c r="DP65" s="1549"/>
    </row>
    <row r="66" spans="1:120" ht="49.5" customHeight="1" x14ac:dyDescent="0.45">
      <c r="A66" s="4399"/>
      <c r="B66" s="4400"/>
      <c r="C66" s="4400"/>
      <c r="D66" s="4400"/>
      <c r="E66" s="4400"/>
      <c r="F66" s="4400"/>
      <c r="G66" s="4400"/>
      <c r="H66" s="4400"/>
      <c r="I66" s="4400"/>
      <c r="J66" s="4400"/>
      <c r="K66" s="4400"/>
      <c r="L66" s="4400"/>
      <c r="M66" s="4400"/>
      <c r="N66" s="4400"/>
      <c r="O66" s="4400"/>
      <c r="P66" s="4400"/>
      <c r="Q66" s="5042"/>
      <c r="V66" s="1503"/>
      <c r="W66" s="1503"/>
      <c r="DL66" s="1490"/>
    </row>
    <row r="67" spans="1:120" ht="49.5" customHeight="1" thickBot="1" x14ac:dyDescent="0.5">
      <c r="A67" s="4399"/>
      <c r="B67" s="4400"/>
      <c r="C67" s="4400"/>
      <c r="D67" s="4400"/>
      <c r="E67" s="4400"/>
      <c r="F67" s="4400"/>
      <c r="G67" s="4400"/>
      <c r="H67" s="4400"/>
      <c r="I67" s="4400"/>
      <c r="J67" s="4400"/>
      <c r="K67" s="4400"/>
      <c r="L67" s="4400"/>
      <c r="M67" s="4400"/>
      <c r="N67" s="4400"/>
      <c r="O67" s="4400"/>
      <c r="P67" s="4400"/>
      <c r="Q67" s="5042"/>
      <c r="V67" s="1503"/>
      <c r="W67" s="1503"/>
      <c r="DL67" s="1490"/>
    </row>
    <row r="68" spans="1:120" s="1540" customFormat="1" ht="49.5" customHeight="1" x14ac:dyDescent="0.45">
      <c r="A68" s="4399"/>
      <c r="B68" s="4400"/>
      <c r="C68" s="4400"/>
      <c r="D68" s="4401"/>
      <c r="E68" s="5169" t="s">
        <v>101</v>
      </c>
      <c r="F68" s="5098" t="s">
        <v>849</v>
      </c>
      <c r="G68" s="4235"/>
      <c r="H68" s="4236"/>
      <c r="I68" s="4259" t="s">
        <v>304</v>
      </c>
      <c r="J68" s="4259"/>
      <c r="K68" s="4260"/>
      <c r="L68" s="4258" t="s">
        <v>368</v>
      </c>
      <c r="M68" s="4259"/>
      <c r="N68" s="4260"/>
      <c r="O68" s="4237" t="s">
        <v>377</v>
      </c>
      <c r="P68" s="4238"/>
      <c r="Q68" s="4239"/>
      <c r="S68" s="4252"/>
      <c r="T68" s="4252"/>
      <c r="U68" s="4252"/>
      <c r="V68" s="4252"/>
      <c r="W68" s="4252"/>
      <c r="X68" s="4323" t="s">
        <v>368</v>
      </c>
      <c r="Y68" s="4323"/>
      <c r="Z68" s="4396"/>
      <c r="AA68" s="4510" t="s">
        <v>850</v>
      </c>
      <c r="AB68" s="4510"/>
      <c r="AC68" s="4510"/>
      <c r="AD68" s="4237" t="s">
        <v>851</v>
      </c>
      <c r="AE68" s="4238"/>
      <c r="AF68" s="4240"/>
      <c r="AG68" s="4237" t="s">
        <v>852</v>
      </c>
      <c r="AH68" s="4238"/>
      <c r="AI68" s="4240"/>
      <c r="AJ68" s="4237" t="s">
        <v>853</v>
      </c>
      <c r="AK68" s="4238"/>
      <c r="AL68" s="4240"/>
      <c r="AM68" s="4237" t="s">
        <v>377</v>
      </c>
      <c r="AN68" s="4238"/>
      <c r="AO68" s="4240"/>
      <c r="AP68" s="4237" t="s">
        <v>241</v>
      </c>
      <c r="AQ68" s="4238"/>
      <c r="AR68" s="4240"/>
      <c r="DL68" s="1541"/>
    </row>
    <row r="69" spans="1:120" s="1540" customFormat="1" ht="49.5" customHeight="1" x14ac:dyDescent="0.45">
      <c r="A69" s="5166"/>
      <c r="B69" s="5167"/>
      <c r="C69" s="5167"/>
      <c r="D69" s="5168"/>
      <c r="E69" s="5170"/>
      <c r="F69" s="2548" t="s">
        <v>287</v>
      </c>
      <c r="G69" s="1515" t="s">
        <v>289</v>
      </c>
      <c r="H69" s="1517" t="s">
        <v>288</v>
      </c>
      <c r="I69" s="2511" t="s">
        <v>287</v>
      </c>
      <c r="J69" s="1575" t="s">
        <v>289</v>
      </c>
      <c r="K69" s="1576" t="s">
        <v>288</v>
      </c>
      <c r="L69" s="1575" t="s">
        <v>287</v>
      </c>
      <c r="M69" s="1575" t="s">
        <v>289</v>
      </c>
      <c r="N69" s="1576" t="s">
        <v>288</v>
      </c>
      <c r="O69" s="1515" t="s">
        <v>287</v>
      </c>
      <c r="P69" s="1515" t="s">
        <v>289</v>
      </c>
      <c r="Q69" s="1517" t="s">
        <v>288</v>
      </c>
      <c r="S69" s="1638"/>
      <c r="T69" s="1638"/>
      <c r="U69" s="1638"/>
      <c r="V69" s="1638"/>
      <c r="W69" s="1638"/>
      <c r="X69" s="1582" t="s">
        <v>287</v>
      </c>
      <c r="Y69" s="1515" t="s">
        <v>289</v>
      </c>
      <c r="Z69" s="1516" t="s">
        <v>288</v>
      </c>
      <c r="AA69" s="1515" t="s">
        <v>287</v>
      </c>
      <c r="AB69" s="1515" t="s">
        <v>289</v>
      </c>
      <c r="AC69" s="1516" t="s">
        <v>288</v>
      </c>
      <c r="AD69" s="1515" t="s">
        <v>287</v>
      </c>
      <c r="AE69" s="1515" t="s">
        <v>289</v>
      </c>
      <c r="AF69" s="1515" t="s">
        <v>288</v>
      </c>
      <c r="AG69" s="1515" t="s">
        <v>287</v>
      </c>
      <c r="AH69" s="1515" t="s">
        <v>289</v>
      </c>
      <c r="AI69" s="1515" t="s">
        <v>288</v>
      </c>
      <c r="AJ69" s="1515" t="s">
        <v>287</v>
      </c>
      <c r="AK69" s="1515" t="s">
        <v>289</v>
      </c>
      <c r="AL69" s="1515" t="s">
        <v>288</v>
      </c>
      <c r="AM69" s="1515" t="s">
        <v>287</v>
      </c>
      <c r="AN69" s="1515" t="s">
        <v>289</v>
      </c>
      <c r="AO69" s="1515" t="s">
        <v>288</v>
      </c>
      <c r="AP69" s="1515" t="s">
        <v>287</v>
      </c>
      <c r="AQ69" s="1515" t="s">
        <v>289</v>
      </c>
      <c r="AR69" s="1515" t="s">
        <v>288</v>
      </c>
      <c r="DL69" s="1541"/>
    </row>
    <row r="70" spans="1:120" s="1540" customFormat="1" ht="49.5" customHeight="1" x14ac:dyDescent="0.45">
      <c r="A70" s="5171" t="s">
        <v>404</v>
      </c>
      <c r="B70" s="1947">
        <v>5030</v>
      </c>
      <c r="C70" s="4617" t="s">
        <v>217</v>
      </c>
      <c r="D70" s="5174"/>
      <c r="E70" s="2546">
        <f t="shared" ref="E70:Q70" si="75">+E17+E26+E37+E48+E59</f>
        <v>0</v>
      </c>
      <c r="F70" s="2549" t="e">
        <f t="shared" ca="1" si="75"/>
        <v>#REF!</v>
      </c>
      <c r="G70" s="1564" t="e">
        <f t="shared" ca="1" si="75"/>
        <v>#REF!</v>
      </c>
      <c r="H70" s="2550" t="e">
        <f t="shared" ca="1" si="75"/>
        <v>#REF!</v>
      </c>
      <c r="I70" s="2547" t="e">
        <f t="shared" ca="1" si="75"/>
        <v>#REF!</v>
      </c>
      <c r="J70" s="1564" t="e">
        <f t="shared" ca="1" si="75"/>
        <v>#REF!</v>
      </c>
      <c r="K70" s="1564" t="e">
        <f t="shared" ca="1" si="75"/>
        <v>#REF!</v>
      </c>
      <c r="L70" s="1564" t="e">
        <f t="shared" si="75"/>
        <v>#REF!</v>
      </c>
      <c r="M70" s="1564" t="e">
        <f t="shared" si="75"/>
        <v>#REF!</v>
      </c>
      <c r="N70" s="1564" t="e">
        <f t="shared" si="75"/>
        <v>#REF!</v>
      </c>
      <c r="O70" s="1564" t="e">
        <f t="shared" ca="1" si="75"/>
        <v>#REF!</v>
      </c>
      <c r="P70" s="1564" t="e">
        <f t="shared" ca="1" si="75"/>
        <v>#REF!</v>
      </c>
      <c r="Q70" s="1564" t="e">
        <f t="shared" ca="1" si="75"/>
        <v>#REF!</v>
      </c>
      <c r="S70" s="2179"/>
      <c r="T70" s="2179"/>
      <c r="U70" s="2179"/>
      <c r="V70" s="2179"/>
      <c r="W70" s="2179"/>
      <c r="X70" s="1544"/>
      <c r="Y70" s="1544"/>
      <c r="Z70" s="1544"/>
      <c r="AA70" s="1489"/>
      <c r="AB70" s="1489"/>
      <c r="AC70" s="1489"/>
      <c r="AD70" s="1547"/>
      <c r="AE70" s="1547"/>
      <c r="AF70" s="1547"/>
      <c r="AG70" s="1521"/>
      <c r="AH70" s="1521"/>
      <c r="AI70" s="1521"/>
      <c r="AJ70" s="1521"/>
      <c r="AK70" s="1521"/>
      <c r="AL70" s="1521"/>
      <c r="AM70" s="1521"/>
      <c r="AN70" s="1521"/>
      <c r="AO70" s="1521"/>
      <c r="AP70" s="1548"/>
      <c r="AQ70" s="1549"/>
      <c r="AR70" s="1549"/>
      <c r="DL70" s="1541"/>
    </row>
    <row r="71" spans="1:120" s="1540" customFormat="1" ht="49.5" customHeight="1" x14ac:dyDescent="0.45">
      <c r="A71" s="5172"/>
      <c r="B71" s="1954">
        <v>5040</v>
      </c>
      <c r="C71" s="3743" t="s">
        <v>218</v>
      </c>
      <c r="D71" s="5175"/>
      <c r="E71" s="2546" t="e">
        <f t="shared" ref="E71:Q71" si="76">+E18+E27+E38+E49+E60</f>
        <v>#REF!</v>
      </c>
      <c r="F71" s="2549" t="e">
        <f t="shared" si="76"/>
        <v>#REF!</v>
      </c>
      <c r="G71" s="1564" t="e">
        <f t="shared" si="76"/>
        <v>#REF!</v>
      </c>
      <c r="H71" s="2550" t="e">
        <f t="shared" si="76"/>
        <v>#REF!</v>
      </c>
      <c r="I71" s="2547">
        <f t="shared" si="76"/>
        <v>0</v>
      </c>
      <c r="J71" s="1564">
        <f t="shared" si="76"/>
        <v>0</v>
      </c>
      <c r="K71" s="1564">
        <f t="shared" si="76"/>
        <v>0</v>
      </c>
      <c r="L71" s="1564" t="e">
        <f t="shared" si="76"/>
        <v>#REF!</v>
      </c>
      <c r="M71" s="1564" t="e">
        <f t="shared" si="76"/>
        <v>#REF!</v>
      </c>
      <c r="N71" s="1564" t="e">
        <f t="shared" si="76"/>
        <v>#REF!</v>
      </c>
      <c r="O71" s="1564" t="e">
        <f t="shared" si="76"/>
        <v>#REF!</v>
      </c>
      <c r="P71" s="1564" t="e">
        <f t="shared" si="76"/>
        <v>#REF!</v>
      </c>
      <c r="Q71" s="1564" t="e">
        <f t="shared" si="76"/>
        <v>#REF!</v>
      </c>
      <c r="S71" s="2179"/>
      <c r="T71" s="2179"/>
      <c r="U71" s="2179"/>
      <c r="V71" s="2179"/>
      <c r="W71" s="2179"/>
      <c r="X71" s="1544"/>
      <c r="Y71" s="1544"/>
      <c r="Z71" s="1544"/>
      <c r="AA71" s="1489"/>
      <c r="AB71" s="1489"/>
      <c r="AC71" s="1489"/>
      <c r="AD71" s="1547"/>
      <c r="AE71" s="1547"/>
      <c r="AF71" s="1547"/>
      <c r="AG71" s="1521"/>
      <c r="AH71" s="1521"/>
      <c r="AI71" s="1521"/>
      <c r="AJ71" s="1521"/>
      <c r="AK71" s="1521"/>
      <c r="AL71" s="1521"/>
      <c r="AM71" s="1521"/>
      <c r="AN71" s="1521"/>
      <c r="AO71" s="1521"/>
      <c r="AP71" s="1548"/>
      <c r="AQ71" s="1549"/>
      <c r="AR71" s="1549"/>
      <c r="DL71" s="1541"/>
    </row>
    <row r="72" spans="1:120" s="1540" customFormat="1" ht="49.5" customHeight="1" x14ac:dyDescent="0.45">
      <c r="A72" s="5172"/>
      <c r="B72" s="1954">
        <v>5045</v>
      </c>
      <c r="C72" s="3743" t="s">
        <v>820</v>
      </c>
      <c r="D72" s="5175"/>
      <c r="E72" s="2546" t="e">
        <f t="shared" ref="E72:Q72" si="77">+E28+E39+E50+E61</f>
        <v>#REF!</v>
      </c>
      <c r="F72" s="2549" t="e">
        <f t="shared" si="77"/>
        <v>#REF!</v>
      </c>
      <c r="G72" s="1564" t="e">
        <f t="shared" si="77"/>
        <v>#REF!</v>
      </c>
      <c r="H72" s="2550" t="e">
        <f t="shared" si="77"/>
        <v>#REF!</v>
      </c>
      <c r="I72" s="2547" t="e">
        <f t="shared" si="77"/>
        <v>#REF!</v>
      </c>
      <c r="J72" s="1564" t="e">
        <f t="shared" si="77"/>
        <v>#REF!</v>
      </c>
      <c r="K72" s="1564" t="e">
        <f t="shared" si="77"/>
        <v>#REF!</v>
      </c>
      <c r="L72" s="1564" t="e">
        <f t="shared" si="77"/>
        <v>#REF!</v>
      </c>
      <c r="M72" s="1564" t="e">
        <f t="shared" si="77"/>
        <v>#REF!</v>
      </c>
      <c r="N72" s="1564" t="e">
        <f t="shared" si="77"/>
        <v>#REF!</v>
      </c>
      <c r="O72" s="1564" t="e">
        <f t="shared" si="77"/>
        <v>#REF!</v>
      </c>
      <c r="P72" s="1564" t="e">
        <f t="shared" si="77"/>
        <v>#REF!</v>
      </c>
      <c r="Q72" s="1564" t="e">
        <f t="shared" si="77"/>
        <v>#REF!</v>
      </c>
      <c r="S72" s="2179"/>
      <c r="T72" s="2179"/>
      <c r="U72" s="2179"/>
      <c r="V72" s="2179"/>
      <c r="W72" s="2179"/>
      <c r="X72" s="1544"/>
      <c r="Y72" s="1544"/>
      <c r="Z72" s="1544"/>
      <c r="AA72" s="1489"/>
      <c r="AB72" s="1489"/>
      <c r="AC72" s="1489"/>
      <c r="AD72" s="1547"/>
      <c r="AE72" s="1547"/>
      <c r="AF72" s="1547"/>
      <c r="AG72" s="1521"/>
      <c r="AH72" s="1521"/>
      <c r="AI72" s="1521"/>
      <c r="AJ72" s="1521"/>
      <c r="AK72" s="1521"/>
      <c r="AL72" s="1521"/>
      <c r="AM72" s="1521"/>
      <c r="AN72" s="1521"/>
      <c r="AO72" s="1521"/>
      <c r="AP72" s="1548"/>
      <c r="AQ72" s="1549"/>
      <c r="AR72" s="1549"/>
      <c r="DL72" s="1541"/>
    </row>
    <row r="73" spans="1:120" s="1540" customFormat="1" ht="49.5" customHeight="1" x14ac:dyDescent="0.45">
      <c r="A73" s="5172"/>
      <c r="B73" s="1955">
        <v>5050</v>
      </c>
      <c r="C73" s="4314" t="s">
        <v>379</v>
      </c>
      <c r="D73" s="5176"/>
      <c r="E73" s="2546">
        <f t="shared" ref="E73:Q73" si="78">+E19+E29+E40+E51+E62</f>
        <v>0</v>
      </c>
      <c r="F73" s="2549" t="e">
        <f t="shared" si="78"/>
        <v>#REF!</v>
      </c>
      <c r="G73" s="1564" t="e">
        <f t="shared" si="78"/>
        <v>#REF!</v>
      </c>
      <c r="H73" s="2550" t="e">
        <f t="shared" si="78"/>
        <v>#REF!</v>
      </c>
      <c r="I73" s="2547">
        <f t="shared" si="78"/>
        <v>0</v>
      </c>
      <c r="J73" s="1564">
        <f t="shared" si="78"/>
        <v>0</v>
      </c>
      <c r="K73" s="1564">
        <f t="shared" si="78"/>
        <v>0</v>
      </c>
      <c r="L73" s="1564" t="e">
        <f t="shared" si="78"/>
        <v>#REF!</v>
      </c>
      <c r="M73" s="1564" t="e">
        <f t="shared" si="78"/>
        <v>#REF!</v>
      </c>
      <c r="N73" s="1564" t="e">
        <f t="shared" si="78"/>
        <v>#REF!</v>
      </c>
      <c r="O73" s="1564" t="e">
        <f t="shared" si="78"/>
        <v>#REF!</v>
      </c>
      <c r="P73" s="1564" t="e">
        <f t="shared" si="78"/>
        <v>#REF!</v>
      </c>
      <c r="Q73" s="1564" t="e">
        <f t="shared" si="78"/>
        <v>#REF!</v>
      </c>
      <c r="S73" s="2179"/>
      <c r="T73" s="2179"/>
      <c r="U73" s="2179"/>
      <c r="V73" s="2179"/>
      <c r="W73" s="2179"/>
      <c r="X73" s="1544"/>
      <c r="Y73" s="1544"/>
      <c r="Z73" s="1544"/>
      <c r="AA73" s="1489"/>
      <c r="AB73" s="1489"/>
      <c r="AC73" s="1489"/>
      <c r="AD73" s="1547"/>
      <c r="AE73" s="1547"/>
      <c r="AF73" s="1547"/>
      <c r="AG73" s="1521"/>
      <c r="AH73" s="1521"/>
      <c r="AI73" s="1521"/>
      <c r="AJ73" s="1521"/>
      <c r="AK73" s="1521"/>
      <c r="AL73" s="1521"/>
      <c r="AM73" s="1521"/>
      <c r="AN73" s="1521"/>
      <c r="AO73" s="1521"/>
      <c r="AP73" s="1548"/>
      <c r="AQ73" s="1549"/>
      <c r="AR73" s="1549"/>
      <c r="DL73" s="1541"/>
    </row>
    <row r="74" spans="1:120" s="1540" customFormat="1" ht="49.5" customHeight="1" x14ac:dyDescent="0.45">
      <c r="A74" s="5172"/>
      <c r="B74" s="1955">
        <v>5055</v>
      </c>
      <c r="C74" s="4314" t="s">
        <v>405</v>
      </c>
      <c r="D74" s="5176"/>
      <c r="E74" s="2546" t="e">
        <f t="shared" ref="E74:Q74" si="79">+E30+E41+E52+E63</f>
        <v>#REF!</v>
      </c>
      <c r="F74" s="2549" t="e">
        <f t="shared" si="79"/>
        <v>#REF!</v>
      </c>
      <c r="G74" s="1564" t="e">
        <f t="shared" si="79"/>
        <v>#REF!</v>
      </c>
      <c r="H74" s="2550" t="e">
        <f t="shared" si="79"/>
        <v>#REF!</v>
      </c>
      <c r="I74" s="2547" t="e">
        <f t="shared" si="79"/>
        <v>#REF!</v>
      </c>
      <c r="J74" s="1564" t="e">
        <f t="shared" si="79"/>
        <v>#REF!</v>
      </c>
      <c r="K74" s="1564" t="e">
        <f t="shared" si="79"/>
        <v>#REF!</v>
      </c>
      <c r="L74" s="1564" t="e">
        <f t="shared" si="79"/>
        <v>#REF!</v>
      </c>
      <c r="M74" s="1564" t="e">
        <f t="shared" si="79"/>
        <v>#REF!</v>
      </c>
      <c r="N74" s="1564" t="e">
        <f t="shared" si="79"/>
        <v>#REF!</v>
      </c>
      <c r="O74" s="1564">
        <f t="shared" si="79"/>
        <v>0</v>
      </c>
      <c r="P74" s="1564">
        <f t="shared" si="79"/>
        <v>0</v>
      </c>
      <c r="Q74" s="1564">
        <f t="shared" si="79"/>
        <v>0</v>
      </c>
      <c r="S74" s="2179"/>
      <c r="T74" s="2179"/>
      <c r="U74" s="2179"/>
      <c r="V74" s="2179"/>
      <c r="W74" s="2179"/>
      <c r="X74" s="1544"/>
      <c r="Y74" s="1544"/>
      <c r="Z74" s="1544"/>
      <c r="AA74" s="1489"/>
      <c r="AB74" s="1489"/>
      <c r="AC74" s="1489"/>
      <c r="AD74" s="1547"/>
      <c r="AE74" s="1547"/>
      <c r="AF74" s="1547"/>
      <c r="AG74" s="1521"/>
      <c r="AH74" s="1521"/>
      <c r="AI74" s="1521"/>
      <c r="AJ74" s="1521"/>
      <c r="AK74" s="1521"/>
      <c r="AL74" s="1521"/>
      <c r="AM74" s="1521"/>
      <c r="AN74" s="1521"/>
      <c r="AO74" s="1521"/>
      <c r="AP74" s="1548"/>
      <c r="AQ74" s="1549"/>
      <c r="AR74" s="1549"/>
      <c r="DL74" s="1541"/>
    </row>
    <row r="75" spans="1:120" s="1540" customFormat="1" ht="49.5" customHeight="1" x14ac:dyDescent="0.5">
      <c r="A75" s="5173"/>
      <c r="B75" s="1959">
        <v>6000</v>
      </c>
      <c r="C75" s="1901" t="s">
        <v>66</v>
      </c>
      <c r="D75" s="1961" t="s">
        <v>854</v>
      </c>
      <c r="E75" s="2546" t="e">
        <f t="shared" ref="E75:Q75" si="80">+E20+E31+E42+E53+E64</f>
        <v>#REF!</v>
      </c>
      <c r="F75" s="2549" t="e">
        <f t="shared" si="80"/>
        <v>#REF!</v>
      </c>
      <c r="G75" s="1564" t="e">
        <f t="shared" si="80"/>
        <v>#REF!</v>
      </c>
      <c r="H75" s="2550" t="e">
        <f t="shared" si="80"/>
        <v>#REF!</v>
      </c>
      <c r="I75" s="2547" t="e">
        <f t="shared" si="80"/>
        <v>#REF!</v>
      </c>
      <c r="J75" s="1564" t="e">
        <f t="shared" si="80"/>
        <v>#REF!</v>
      </c>
      <c r="K75" s="1564" t="e">
        <f t="shared" si="80"/>
        <v>#REF!</v>
      </c>
      <c r="L75" s="1564" t="e">
        <f t="shared" si="80"/>
        <v>#REF!</v>
      </c>
      <c r="M75" s="1564" t="e">
        <f t="shared" si="80"/>
        <v>#REF!</v>
      </c>
      <c r="N75" s="1564" t="e">
        <f t="shared" si="80"/>
        <v>#REF!</v>
      </c>
      <c r="O75" s="1564" t="e">
        <f t="shared" si="80"/>
        <v>#REF!</v>
      </c>
      <c r="P75" s="1564" t="e">
        <f t="shared" si="80"/>
        <v>#REF!</v>
      </c>
      <c r="Q75" s="1564" t="e">
        <f t="shared" si="80"/>
        <v>#REF!</v>
      </c>
      <c r="S75" s="2179"/>
      <c r="T75" s="2179"/>
      <c r="U75" s="2179"/>
      <c r="V75" s="2179"/>
      <c r="W75" s="2179"/>
      <c r="X75" s="1543"/>
      <c r="Y75" s="1543"/>
      <c r="Z75" s="1543"/>
      <c r="AA75" s="1543"/>
      <c r="AB75" s="1543"/>
      <c r="AC75" s="1543"/>
      <c r="AD75" s="1553"/>
      <c r="AE75" s="1553"/>
      <c r="AF75" s="1553"/>
      <c r="AG75" s="1553"/>
      <c r="AH75" s="1553"/>
      <c r="AI75" s="1553"/>
      <c r="AJ75" s="1553"/>
      <c r="AK75" s="1553"/>
      <c r="AL75" s="1553"/>
      <c r="AM75" s="1554"/>
      <c r="AN75" s="1554"/>
      <c r="AO75" s="1554"/>
      <c r="AP75" s="1555"/>
      <c r="AQ75" s="1555"/>
      <c r="AR75" s="1555"/>
      <c r="DL75" s="1541"/>
    </row>
    <row r="76" spans="1:120" s="1540" customFormat="1" ht="80.45" customHeight="1" thickBot="1" x14ac:dyDescent="0.5">
      <c r="A76" s="5155" t="s">
        <v>409</v>
      </c>
      <c r="B76" s="5156"/>
      <c r="C76" s="5156"/>
      <c r="D76" s="5157"/>
      <c r="E76" s="2050" t="e">
        <f t="shared" ref="E76:Q76" si="81">SUM(E70:E75)</f>
        <v>#REF!</v>
      </c>
      <c r="F76" s="1534" t="e">
        <f t="shared" ca="1" si="81"/>
        <v>#REF!</v>
      </c>
      <c r="G76" s="1535" t="e">
        <f t="shared" ca="1" si="81"/>
        <v>#REF!</v>
      </c>
      <c r="H76" s="1536" t="e">
        <f t="shared" ca="1" si="81"/>
        <v>#REF!</v>
      </c>
      <c r="I76" s="2031" t="e">
        <f t="shared" ca="1" si="81"/>
        <v>#REF!</v>
      </c>
      <c r="J76" s="1557" t="e">
        <f t="shared" ca="1" si="81"/>
        <v>#REF!</v>
      </c>
      <c r="K76" s="1557" t="e">
        <f t="shared" ca="1" si="81"/>
        <v>#REF!</v>
      </c>
      <c r="L76" s="1557" t="e">
        <f t="shared" si="81"/>
        <v>#REF!</v>
      </c>
      <c r="M76" s="1557" t="e">
        <f t="shared" si="81"/>
        <v>#REF!</v>
      </c>
      <c r="N76" s="1557" t="e">
        <f t="shared" si="81"/>
        <v>#REF!</v>
      </c>
      <c r="O76" s="1558" t="e">
        <f t="shared" ca="1" si="81"/>
        <v>#REF!</v>
      </c>
      <c r="P76" s="1558" t="e">
        <f t="shared" ca="1" si="81"/>
        <v>#REF!</v>
      </c>
      <c r="Q76" s="1559" t="e">
        <f t="shared" ca="1" si="81"/>
        <v>#REF!</v>
      </c>
      <c r="R76" s="1592" t="e">
        <f ca="1">SUM(O76:Q76)</f>
        <v>#REF!</v>
      </c>
      <c r="S76" s="1605"/>
      <c r="T76" s="1605"/>
      <c r="U76" s="1605"/>
      <c r="V76" s="1605"/>
      <c r="W76" s="1605"/>
      <c r="X76" s="2031">
        <f t="shared" ref="X76:AO76" si="82">SUM(X70:X74)</f>
        <v>0</v>
      </c>
      <c r="Y76" s="1557">
        <f t="shared" si="82"/>
        <v>0</v>
      </c>
      <c r="Z76" s="1557">
        <f t="shared" si="82"/>
        <v>0</v>
      </c>
      <c r="AA76" s="1557">
        <f t="shared" si="82"/>
        <v>0</v>
      </c>
      <c r="AB76" s="1557">
        <f t="shared" si="82"/>
        <v>0</v>
      </c>
      <c r="AC76" s="1557">
        <f t="shared" si="82"/>
        <v>0</v>
      </c>
      <c r="AD76" s="1557">
        <f t="shared" si="82"/>
        <v>0</v>
      </c>
      <c r="AE76" s="1557">
        <f t="shared" si="82"/>
        <v>0</v>
      </c>
      <c r="AF76" s="1557">
        <f t="shared" si="82"/>
        <v>0</v>
      </c>
      <c r="AG76" s="1557">
        <f t="shared" si="82"/>
        <v>0</v>
      </c>
      <c r="AH76" s="1557">
        <f t="shared" si="82"/>
        <v>0</v>
      </c>
      <c r="AI76" s="1557">
        <f t="shared" si="82"/>
        <v>0</v>
      </c>
      <c r="AJ76" s="1557">
        <f t="shared" si="82"/>
        <v>0</v>
      </c>
      <c r="AK76" s="1557">
        <f t="shared" si="82"/>
        <v>0</v>
      </c>
      <c r="AL76" s="1557">
        <f t="shared" si="82"/>
        <v>0</v>
      </c>
      <c r="AM76" s="1557">
        <f t="shared" si="82"/>
        <v>0</v>
      </c>
      <c r="AN76" s="1557">
        <f t="shared" si="82"/>
        <v>0</v>
      </c>
      <c r="AO76" s="1557">
        <f t="shared" si="82"/>
        <v>0</v>
      </c>
      <c r="AP76" s="1549"/>
      <c r="AQ76" s="1549"/>
      <c r="AR76" s="1549"/>
      <c r="BQ76" s="1574" t="e">
        <f ca="1">SUM(O76:Q76)</f>
        <v>#REF!</v>
      </c>
      <c r="DL76" s="1541"/>
    </row>
    <row r="77" spans="1:120" ht="80.45" customHeight="1" x14ac:dyDescent="0.45">
      <c r="A77" s="2531"/>
      <c r="B77" s="2532"/>
      <c r="C77" s="2532"/>
      <c r="D77" s="2532"/>
      <c r="E77" s="2533"/>
      <c r="F77" s="1605"/>
      <c r="G77" s="1605"/>
      <c r="H77" s="1605"/>
      <c r="I77" s="2534"/>
      <c r="J77" s="2534"/>
      <c r="K77" s="2534"/>
      <c r="L77" s="1605"/>
      <c r="M77" s="1605"/>
      <c r="N77" s="1605"/>
      <c r="O77" s="2535"/>
      <c r="P77" s="2535"/>
      <c r="Q77" s="2536"/>
      <c r="R77" s="1573"/>
      <c r="S77" s="1605"/>
      <c r="T77" s="1605"/>
      <c r="U77" s="1605"/>
      <c r="V77" s="1605"/>
      <c r="W77" s="1605"/>
      <c r="X77" s="1605"/>
      <c r="Y77" s="1605"/>
      <c r="Z77" s="1605"/>
      <c r="AA77" s="1605"/>
      <c r="AB77" s="1605"/>
      <c r="AC77" s="1605"/>
      <c r="AD77" s="1605"/>
      <c r="AE77" s="1605"/>
      <c r="AF77" s="1605"/>
      <c r="AG77" s="1605"/>
      <c r="AH77" s="1605"/>
      <c r="AI77" s="1605"/>
      <c r="AJ77" s="1605"/>
      <c r="AK77" s="1605"/>
      <c r="AL77" s="1605"/>
      <c r="AM77" s="1605"/>
      <c r="AN77" s="1605"/>
      <c r="AO77" s="1605"/>
      <c r="BQ77" s="1573"/>
      <c r="DL77" s="1490"/>
    </row>
    <row r="78" spans="1:120" s="1724" customFormat="1" ht="24" hidden="1" customHeight="1" x14ac:dyDescent="0.4">
      <c r="A78" s="5158" t="s">
        <v>409</v>
      </c>
      <c r="B78" s="5159"/>
      <c r="C78" s="5159"/>
      <c r="D78" s="5159"/>
      <c r="E78" s="5160"/>
      <c r="F78" s="2189"/>
      <c r="G78" s="2189"/>
      <c r="H78" s="2189"/>
      <c r="I78" s="4375" t="s">
        <v>377</v>
      </c>
      <c r="J78" s="4217"/>
      <c r="K78" s="4218"/>
      <c r="L78" s="1723"/>
      <c r="M78" s="1726"/>
      <c r="N78" s="1726"/>
      <c r="O78" s="1726"/>
      <c r="P78" s="1726"/>
      <c r="Q78" s="1727"/>
      <c r="V78" s="1728"/>
      <c r="W78" s="1728"/>
      <c r="DL78" s="1725"/>
    </row>
    <row r="79" spans="1:120" s="1724" customFormat="1" ht="24" hidden="1" customHeight="1" x14ac:dyDescent="0.4">
      <c r="A79" s="5161"/>
      <c r="B79" s="5162"/>
      <c r="C79" s="5162"/>
      <c r="D79" s="5162"/>
      <c r="E79" s="5163"/>
      <c r="F79" s="2189"/>
      <c r="G79" s="2189"/>
      <c r="H79" s="2189"/>
      <c r="I79" s="1729" t="s">
        <v>287</v>
      </c>
      <c r="J79" s="1730" t="s">
        <v>289</v>
      </c>
      <c r="K79" s="1731" t="s">
        <v>288</v>
      </c>
      <c r="L79" s="1723"/>
      <c r="M79" s="1726"/>
      <c r="N79" s="1726"/>
      <c r="O79" s="1726"/>
      <c r="P79" s="1726"/>
      <c r="Q79" s="1727"/>
      <c r="V79" s="1728"/>
      <c r="W79" s="1728"/>
      <c r="DL79" s="1725"/>
    </row>
    <row r="80" spans="1:120" s="1724" customFormat="1" ht="42" hidden="1" customHeight="1" thickBot="1" x14ac:dyDescent="0.55000000000000004">
      <c r="A80" s="5161"/>
      <c r="B80" s="5162"/>
      <c r="C80" s="5162"/>
      <c r="D80" s="5162"/>
      <c r="E80" s="5163"/>
      <c r="F80" s="2189"/>
      <c r="G80" s="2189"/>
      <c r="H80" s="2189"/>
      <c r="I80" s="2026" t="e">
        <f ca="1">+I76+L76</f>
        <v>#REF!</v>
      </c>
      <c r="J80" s="2027" t="e">
        <f ca="1">+J76+M76</f>
        <v>#REF!</v>
      </c>
      <c r="K80" s="2028" t="e">
        <f ca="1">+K76+N76</f>
        <v>#REF!</v>
      </c>
      <c r="L80" s="1723" t="e">
        <f ca="1">SUM(I80:K80)</f>
        <v>#REF!</v>
      </c>
      <c r="M80" s="2285"/>
      <c r="N80" s="2285"/>
      <c r="O80" s="1726"/>
      <c r="P80" s="1726"/>
      <c r="Q80" s="1727"/>
      <c r="V80" s="1728"/>
      <c r="W80" s="1728"/>
      <c r="DL80" s="1725"/>
    </row>
    <row r="81" spans="1:120" s="250" customFormat="1" ht="24" customHeight="1" thickBot="1" x14ac:dyDescent="0.4">
      <c r="A81" s="4361"/>
      <c r="B81" s="4362"/>
      <c r="C81" s="4362"/>
      <c r="D81" s="4362"/>
      <c r="E81" s="4362"/>
      <c r="F81" s="4362"/>
      <c r="G81" s="4362"/>
      <c r="H81" s="4362"/>
      <c r="I81" s="4362"/>
      <c r="J81" s="4362"/>
      <c r="K81" s="4362"/>
      <c r="L81" s="4362"/>
      <c r="M81" s="4362"/>
      <c r="N81" s="4362"/>
      <c r="O81" s="4362"/>
      <c r="P81" s="4362"/>
      <c r="Q81" s="4363"/>
      <c r="V81" s="1736"/>
      <c r="W81" s="1736"/>
      <c r="DL81" s="1737"/>
    </row>
    <row r="82" spans="1:120" s="250" customFormat="1" ht="39.950000000000003" customHeight="1" x14ac:dyDescent="0.4">
      <c r="A82" s="4423" t="s">
        <v>410</v>
      </c>
      <c r="B82" s="4424"/>
      <c r="C82" s="2191"/>
      <c r="D82" s="2191"/>
      <c r="E82" s="4210" t="s">
        <v>101</v>
      </c>
      <c r="F82" s="5098" t="s">
        <v>849</v>
      </c>
      <c r="G82" s="4235"/>
      <c r="H82" s="4236"/>
      <c r="I82" s="4294" t="s">
        <v>304</v>
      </c>
      <c r="J82" s="4294"/>
      <c r="K82" s="4295"/>
      <c r="L82" s="4293" t="s">
        <v>368</v>
      </c>
      <c r="M82" s="4294"/>
      <c r="N82" s="4295"/>
      <c r="O82" s="4296" t="s">
        <v>377</v>
      </c>
      <c r="P82" s="4297"/>
      <c r="Q82" s="4316"/>
      <c r="V82" s="1736"/>
      <c r="W82" s="1736"/>
      <c r="DL82" s="4481" t="s">
        <v>241</v>
      </c>
      <c r="DM82" s="4482"/>
      <c r="DN82" s="4482"/>
      <c r="DO82" s="4483"/>
      <c r="DP82" s="537"/>
    </row>
    <row r="83" spans="1:120" s="1724" customFormat="1" ht="40.5" customHeight="1" thickBot="1" x14ac:dyDescent="0.4">
      <c r="A83" s="4425"/>
      <c r="B83" s="4426"/>
      <c r="C83" s="2192"/>
      <c r="D83" s="2192"/>
      <c r="E83" s="4211"/>
      <c r="F83" s="2548" t="s">
        <v>287</v>
      </c>
      <c r="G83" s="1515" t="s">
        <v>289</v>
      </c>
      <c r="H83" s="1517" t="s">
        <v>288</v>
      </c>
      <c r="I83" s="1740" t="s">
        <v>287</v>
      </c>
      <c r="J83" s="1738" t="s">
        <v>289</v>
      </c>
      <c r="K83" s="1738" t="s">
        <v>288</v>
      </c>
      <c r="L83" s="1738" t="s">
        <v>287</v>
      </c>
      <c r="M83" s="1738" t="s">
        <v>289</v>
      </c>
      <c r="N83" s="1738" t="s">
        <v>288</v>
      </c>
      <c r="O83" s="1730" t="s">
        <v>287</v>
      </c>
      <c r="P83" s="1730" t="s">
        <v>289</v>
      </c>
      <c r="Q83" s="1731" t="s">
        <v>288</v>
      </c>
      <c r="V83" s="1728"/>
      <c r="W83" s="1728"/>
      <c r="DL83" s="1996" t="s">
        <v>370</v>
      </c>
      <c r="DM83" s="980" t="s">
        <v>25</v>
      </c>
      <c r="DN83" s="980" t="s">
        <v>371</v>
      </c>
      <c r="DO83" s="980" t="s">
        <v>241</v>
      </c>
      <c r="DP83" s="1176"/>
    </row>
    <row r="84" spans="1:120" s="1724" customFormat="1" ht="63.75" customHeight="1" thickBot="1" x14ac:dyDescent="0.5">
      <c r="A84" s="4425"/>
      <c r="B84" s="4426"/>
      <c r="C84" s="5154" t="s">
        <v>411</v>
      </c>
      <c r="D84" s="4440"/>
      <c r="E84" s="2286">
        <f>+E224</f>
        <v>0</v>
      </c>
      <c r="F84" s="2552" t="e">
        <f t="shared" ref="F84:N84" si="83">+F224</f>
        <v>#REF!</v>
      </c>
      <c r="G84" s="2286" t="e">
        <f t="shared" si="83"/>
        <v>#REF!</v>
      </c>
      <c r="H84" s="2286" t="e">
        <f t="shared" si="83"/>
        <v>#REF!</v>
      </c>
      <c r="I84" s="2551">
        <f t="shared" si="83"/>
        <v>0</v>
      </c>
      <c r="J84" s="2286">
        <f t="shared" si="83"/>
        <v>0</v>
      </c>
      <c r="K84" s="2286">
        <f t="shared" si="83"/>
        <v>0</v>
      </c>
      <c r="L84" s="2286" t="e">
        <f t="shared" si="83"/>
        <v>#REF!</v>
      </c>
      <c r="M84" s="2286" t="e">
        <f t="shared" si="83"/>
        <v>#REF!</v>
      </c>
      <c r="N84" s="2286" t="e">
        <f t="shared" si="83"/>
        <v>#REF!</v>
      </c>
      <c r="O84" s="1558" t="e">
        <f t="shared" ref="O84:Q85" si="84">+I84+L84</f>
        <v>#REF!</v>
      </c>
      <c r="P84" s="1558" t="e">
        <f t="shared" si="84"/>
        <v>#REF!</v>
      </c>
      <c r="Q84" s="1559" t="e">
        <f t="shared" si="84"/>
        <v>#REF!</v>
      </c>
      <c r="R84" s="1746" t="e">
        <f>SUM(O84:Q84)</f>
        <v>#REF!</v>
      </c>
      <c r="V84" s="1728"/>
      <c r="W84" s="1728"/>
      <c r="DL84" s="2022">
        <f>+IF(E84=0,0,DM84/DN84)</f>
        <v>0</v>
      </c>
      <c r="DM84" s="2023">
        <f>+SUM(I84:K84)</f>
        <v>0</v>
      </c>
      <c r="DN84" s="2023">
        <f>+E84</f>
        <v>0</v>
      </c>
      <c r="DO84" s="2024" t="str">
        <f>IF(DN84=0,"S.D.",+IF((DM84/DN84)&lt;=800,"O.K.","VERIFICAR"))</f>
        <v>S.D.</v>
      </c>
    </row>
    <row r="85" spans="1:120" s="1724" customFormat="1" ht="63.75" customHeight="1" thickBot="1" x14ac:dyDescent="0.5">
      <c r="A85" s="4425"/>
      <c r="B85" s="4426"/>
      <c r="C85" s="5154" t="s">
        <v>412</v>
      </c>
      <c r="D85" s="4440"/>
      <c r="E85" s="2286">
        <f>+E225</f>
        <v>0</v>
      </c>
      <c r="F85" s="2553" t="e">
        <f t="shared" ref="F85:N85" si="85">+F225</f>
        <v>#REF!</v>
      </c>
      <c r="G85" s="2554" t="e">
        <f t="shared" si="85"/>
        <v>#REF!</v>
      </c>
      <c r="H85" s="2554" t="e">
        <f t="shared" si="85"/>
        <v>#REF!</v>
      </c>
      <c r="I85" s="2551">
        <f t="shared" si="85"/>
        <v>0</v>
      </c>
      <c r="J85" s="2286">
        <f t="shared" si="85"/>
        <v>0</v>
      </c>
      <c r="K85" s="2286">
        <f t="shared" si="85"/>
        <v>0</v>
      </c>
      <c r="L85" s="2286" t="e">
        <f t="shared" si="85"/>
        <v>#REF!</v>
      </c>
      <c r="M85" s="2286" t="e">
        <f t="shared" si="85"/>
        <v>#REF!</v>
      </c>
      <c r="N85" s="2286" t="e">
        <f t="shared" si="85"/>
        <v>#REF!</v>
      </c>
      <c r="O85" s="1558" t="e">
        <f t="shared" si="84"/>
        <v>#REF!</v>
      </c>
      <c r="P85" s="1558" t="e">
        <f t="shared" si="84"/>
        <v>#REF!</v>
      </c>
      <c r="Q85" s="1559" t="e">
        <f t="shared" si="84"/>
        <v>#REF!</v>
      </c>
      <c r="R85" s="1746" t="e">
        <f>SUM(O85:Q85)</f>
        <v>#REF!</v>
      </c>
      <c r="V85" s="1728"/>
      <c r="W85" s="1728"/>
      <c r="DL85" s="2022">
        <f>+IF(E85=0,0,DM85/DN85)</f>
        <v>0</v>
      </c>
      <c r="DM85" s="2023">
        <f>+SUM(I85:K85)</f>
        <v>0</v>
      </c>
      <c r="DN85" s="2023">
        <f>+E85</f>
        <v>0</v>
      </c>
      <c r="DO85" s="2024" t="str">
        <f>IF(DN85=0,"S.D.",+IF(AND(((DM85+800*DN85)/DN85)&gt;800,((DM85+800*DN85)/DN85)&lt;2000),"O.K.","VERIFICAR"))</f>
        <v>S.D.</v>
      </c>
    </row>
    <row r="86" spans="1:120" s="1724" customFormat="1" ht="48.6" customHeight="1" x14ac:dyDescent="0.4">
      <c r="A86" s="4425"/>
      <c r="B86" s="4426"/>
      <c r="C86" s="2192"/>
      <c r="D86" s="2192"/>
      <c r="E86" s="4402"/>
      <c r="F86" s="5098" t="s">
        <v>849</v>
      </c>
      <c r="G86" s="4235"/>
      <c r="H86" s="4236"/>
      <c r="I86" s="4405" t="s">
        <v>377</v>
      </c>
      <c r="J86" s="4406"/>
      <c r="K86" s="4407"/>
      <c r="L86" s="2287"/>
      <c r="M86" s="2287"/>
      <c r="N86" s="2287"/>
      <c r="O86" s="1749"/>
      <c r="P86" s="1749"/>
      <c r="Q86" s="1750"/>
      <c r="V86" s="1728"/>
      <c r="W86" s="1728"/>
      <c r="DL86" s="1725"/>
    </row>
    <row r="87" spans="1:120" s="250" customFormat="1" ht="42" customHeight="1" x14ac:dyDescent="0.4">
      <c r="A87" s="4425"/>
      <c r="B87" s="4426"/>
      <c r="C87" s="2192"/>
      <c r="D87" s="2192"/>
      <c r="E87" s="4403"/>
      <c r="F87" s="2548" t="s">
        <v>287</v>
      </c>
      <c r="G87" s="1515" t="s">
        <v>289</v>
      </c>
      <c r="H87" s="1517" t="s">
        <v>288</v>
      </c>
      <c r="I87" s="1751" t="s">
        <v>287</v>
      </c>
      <c r="J87" s="1730" t="s">
        <v>289</v>
      </c>
      <c r="K87" s="1731" t="s">
        <v>288</v>
      </c>
      <c r="L87" s="1791"/>
      <c r="M87" s="1791"/>
      <c r="N87" s="1791"/>
      <c r="O87" s="1752"/>
      <c r="P87" s="1752"/>
      <c r="Q87" s="1753"/>
      <c r="V87" s="1736"/>
      <c r="W87" s="1736"/>
      <c r="DL87" s="1737"/>
    </row>
    <row r="88" spans="1:120" s="250" customFormat="1" ht="39.75" customHeight="1" thickBot="1" x14ac:dyDescent="0.45">
      <c r="A88" s="4427"/>
      <c r="B88" s="4428"/>
      <c r="C88" s="2193"/>
      <c r="D88" s="2193"/>
      <c r="E88" s="4404"/>
      <c r="F88" s="1534" t="e">
        <f>+F84+F85</f>
        <v>#REF!</v>
      </c>
      <c r="G88" s="1534" t="e">
        <f t="shared" ref="G88:H88" si="86">+G84+G85</f>
        <v>#REF!</v>
      </c>
      <c r="H88" s="1534" t="e">
        <f t="shared" si="86"/>
        <v>#REF!</v>
      </c>
      <c r="I88" s="2037" t="e">
        <f>+I84+L84+I85+L85</f>
        <v>#REF!</v>
      </c>
      <c r="J88" s="2038" t="e">
        <f>+J84+M84+J85+M85</f>
        <v>#REF!</v>
      </c>
      <c r="K88" s="2038" t="e">
        <f>+K84+N84+K85+N85</f>
        <v>#REF!</v>
      </c>
      <c r="L88" s="1723" t="e">
        <f>SUM(I88:K88)</f>
        <v>#REF!</v>
      </c>
      <c r="M88" s="1791"/>
      <c r="N88" s="1791"/>
      <c r="O88" s="1752"/>
      <c r="P88" s="1752"/>
      <c r="Q88" s="1753"/>
      <c r="R88" s="1425"/>
      <c r="S88" s="1425"/>
      <c r="T88" s="1425"/>
      <c r="U88" s="1425"/>
      <c r="V88" s="1736"/>
      <c r="W88" s="1736"/>
      <c r="DL88" s="1737"/>
    </row>
    <row r="89" spans="1:120" s="250" customFormat="1" ht="27" customHeight="1" x14ac:dyDescent="0.35">
      <c r="A89" s="4408"/>
      <c r="B89" s="4409"/>
      <c r="C89" s="4409"/>
      <c r="D89" s="4409"/>
      <c r="E89" s="4409"/>
      <c r="F89" s="4409"/>
      <c r="G89" s="4409"/>
      <c r="H89" s="4409"/>
      <c r="I89" s="4409"/>
      <c r="J89" s="4409"/>
      <c r="K89" s="4409"/>
      <c r="L89" s="4409"/>
      <c r="M89" s="4409"/>
      <c r="N89" s="4409"/>
      <c r="O89" s="4409"/>
      <c r="P89" s="4409"/>
      <c r="Q89" s="4410"/>
      <c r="R89" s="1425"/>
      <c r="S89" s="1425"/>
      <c r="T89" s="1425"/>
      <c r="U89" s="1425"/>
      <c r="V89" s="1736"/>
      <c r="W89" s="1736"/>
      <c r="DL89" s="1737"/>
    </row>
    <row r="90" spans="1:120" s="250" customFormat="1" ht="27" customHeight="1" thickBot="1" x14ac:dyDescent="0.4">
      <c r="A90" s="4408"/>
      <c r="B90" s="4409"/>
      <c r="C90" s="4409"/>
      <c r="D90" s="4409"/>
      <c r="E90" s="4409"/>
      <c r="F90" s="4409"/>
      <c r="G90" s="4409"/>
      <c r="H90" s="4409"/>
      <c r="I90" s="4409"/>
      <c r="J90" s="4409"/>
      <c r="K90" s="4409"/>
      <c r="L90" s="4409"/>
      <c r="M90" s="4409"/>
      <c r="N90" s="4409"/>
      <c r="O90" s="4409"/>
      <c r="P90" s="4409"/>
      <c r="Q90" s="4410"/>
      <c r="R90" s="1425"/>
      <c r="S90" s="1425"/>
      <c r="T90" s="1425"/>
      <c r="U90" s="1425"/>
      <c r="V90" s="1736"/>
      <c r="W90" s="1736"/>
      <c r="DL90" s="1737"/>
    </row>
    <row r="91" spans="1:120" s="250" customFormat="1" ht="44.45" customHeight="1" x14ac:dyDescent="0.4">
      <c r="A91" s="5140" t="s">
        <v>413</v>
      </c>
      <c r="B91" s="5141"/>
      <c r="C91" s="4437" t="s">
        <v>71</v>
      </c>
      <c r="D91" s="4437"/>
      <c r="E91" s="5144" t="s">
        <v>101</v>
      </c>
      <c r="F91" s="4234" t="s">
        <v>849</v>
      </c>
      <c r="G91" s="4235"/>
      <c r="H91" s="4244"/>
      <c r="I91" s="4293" t="s">
        <v>304</v>
      </c>
      <c r="J91" s="4294"/>
      <c r="K91" s="4295"/>
      <c r="L91" s="4293" t="s">
        <v>368</v>
      </c>
      <c r="M91" s="4294"/>
      <c r="N91" s="4295"/>
      <c r="O91" s="4296" t="s">
        <v>377</v>
      </c>
      <c r="P91" s="4297"/>
      <c r="Q91" s="4316"/>
      <c r="R91" s="1425"/>
      <c r="S91" s="1425"/>
      <c r="T91" s="1425"/>
      <c r="U91" s="1425"/>
      <c r="V91" s="1736"/>
      <c r="W91" s="1736"/>
      <c r="DL91" s="4473" t="s">
        <v>241</v>
      </c>
      <c r="DM91" s="4474"/>
      <c r="DN91" s="4474"/>
      <c r="DO91" s="4475"/>
    </row>
    <row r="92" spans="1:120" s="250" customFormat="1" ht="44.45" customHeight="1" thickBot="1" x14ac:dyDescent="0.45">
      <c r="A92" s="4419"/>
      <c r="B92" s="4420"/>
      <c r="C92" s="4438"/>
      <c r="D92" s="4438"/>
      <c r="E92" s="4442"/>
      <c r="F92" s="1515" t="s">
        <v>287</v>
      </c>
      <c r="G92" s="1515" t="s">
        <v>289</v>
      </c>
      <c r="H92" s="1516" t="s">
        <v>288</v>
      </c>
      <c r="I92" s="1740" t="s">
        <v>287</v>
      </c>
      <c r="J92" s="1738" t="s">
        <v>289</v>
      </c>
      <c r="K92" s="1738" t="s">
        <v>288</v>
      </c>
      <c r="L92" s="1738" t="s">
        <v>287</v>
      </c>
      <c r="M92" s="1738" t="s">
        <v>289</v>
      </c>
      <c r="N92" s="1738" t="s">
        <v>288</v>
      </c>
      <c r="O92" s="1730" t="s">
        <v>287</v>
      </c>
      <c r="P92" s="1730" t="s">
        <v>289</v>
      </c>
      <c r="Q92" s="1731" t="s">
        <v>288</v>
      </c>
      <c r="R92" s="1425"/>
      <c r="S92" s="1425"/>
      <c r="T92" s="1425"/>
      <c r="U92" s="1425"/>
      <c r="V92" s="1736"/>
      <c r="W92" s="1736"/>
      <c r="DL92" s="1997" t="s">
        <v>414</v>
      </c>
      <c r="DM92" s="807" t="s">
        <v>25</v>
      </c>
      <c r="DN92" s="807" t="s">
        <v>371</v>
      </c>
      <c r="DO92" s="1998" t="s">
        <v>241</v>
      </c>
    </row>
    <row r="93" spans="1:120" s="250" customFormat="1" ht="65.25" customHeight="1" thickBot="1" x14ac:dyDescent="0.5">
      <c r="A93" s="4419"/>
      <c r="B93" s="4420"/>
      <c r="C93" s="4329" t="s">
        <v>415</v>
      </c>
      <c r="D93" s="4330"/>
      <c r="E93" s="2288">
        <f>+E226</f>
        <v>0</v>
      </c>
      <c r="F93" s="2288" t="e">
        <f t="shared" ref="F93:N93" si="87">+F226</f>
        <v>#REF!</v>
      </c>
      <c r="G93" s="2288" t="e">
        <f t="shared" si="87"/>
        <v>#REF!</v>
      </c>
      <c r="H93" s="2288" t="e">
        <f t="shared" si="87"/>
        <v>#REF!</v>
      </c>
      <c r="I93" s="2288">
        <f t="shared" si="87"/>
        <v>0</v>
      </c>
      <c r="J93" s="2288">
        <f t="shared" si="87"/>
        <v>0</v>
      </c>
      <c r="K93" s="2288">
        <f t="shared" si="87"/>
        <v>0</v>
      </c>
      <c r="L93" s="2288" t="e">
        <f t="shared" si="87"/>
        <v>#REF!</v>
      </c>
      <c r="M93" s="2288" t="e">
        <f t="shared" si="87"/>
        <v>#REF!</v>
      </c>
      <c r="N93" s="2288" t="e">
        <f t="shared" si="87"/>
        <v>#REF!</v>
      </c>
      <c r="O93" s="1558" t="e">
        <f t="shared" ref="O93:Q94" si="88">+I93+L93</f>
        <v>#REF!</v>
      </c>
      <c r="P93" s="1558" t="e">
        <f t="shared" si="88"/>
        <v>#REF!</v>
      </c>
      <c r="Q93" s="1559" t="e">
        <f t="shared" si="88"/>
        <v>#REF!</v>
      </c>
      <c r="R93" s="1746" t="e">
        <f>SUM(O93:Q93)</f>
        <v>#REF!</v>
      </c>
      <c r="S93" s="1425"/>
      <c r="T93" s="1425"/>
      <c r="U93" s="1425"/>
      <c r="V93" s="1736"/>
      <c r="W93" s="1736"/>
      <c r="DL93" s="2022">
        <f>+IF(E93=0,0,DM93/DN93)</f>
        <v>0</v>
      </c>
      <c r="DM93" s="2023">
        <f>+SUM(I93:K93)</f>
        <v>0</v>
      </c>
      <c r="DN93" s="2023">
        <f>+E93</f>
        <v>0</v>
      </c>
      <c r="DO93" s="2024" t="str">
        <f>IF(DN93=0,"S.D.",+IF((DM93/DN93)&lt;=800,"O.K.","VERIFICAR"))</f>
        <v>S.D.</v>
      </c>
    </row>
    <row r="94" spans="1:120" s="250" customFormat="1" ht="57" customHeight="1" thickBot="1" x14ac:dyDescent="0.5">
      <c r="A94" s="4419"/>
      <c r="B94" s="4420"/>
      <c r="C94" s="4331" t="s">
        <v>416</v>
      </c>
      <c r="D94" s="4332"/>
      <c r="E94" s="2288">
        <f>+E227</f>
        <v>0</v>
      </c>
      <c r="F94" s="2288" t="e">
        <f t="shared" ref="F94:N94" si="89">+F227</f>
        <v>#REF!</v>
      </c>
      <c r="G94" s="2288" t="e">
        <f t="shared" si="89"/>
        <v>#REF!</v>
      </c>
      <c r="H94" s="2288" t="e">
        <f t="shared" si="89"/>
        <v>#REF!</v>
      </c>
      <c r="I94" s="2288">
        <f t="shared" si="89"/>
        <v>0</v>
      </c>
      <c r="J94" s="2288">
        <f t="shared" si="89"/>
        <v>0</v>
      </c>
      <c r="K94" s="2288">
        <f t="shared" si="89"/>
        <v>0</v>
      </c>
      <c r="L94" s="2288" t="e">
        <f t="shared" si="89"/>
        <v>#REF!</v>
      </c>
      <c r="M94" s="2288" t="e">
        <f t="shared" si="89"/>
        <v>#REF!</v>
      </c>
      <c r="N94" s="2288" t="e">
        <f t="shared" si="89"/>
        <v>#REF!</v>
      </c>
      <c r="O94" s="1558" t="e">
        <f t="shared" si="88"/>
        <v>#REF!</v>
      </c>
      <c r="P94" s="1558" t="e">
        <f t="shared" si="88"/>
        <v>#REF!</v>
      </c>
      <c r="Q94" s="1559" t="e">
        <f t="shared" si="88"/>
        <v>#REF!</v>
      </c>
      <c r="R94" s="1746" t="e">
        <f>SUM(O94:Q94)</f>
        <v>#REF!</v>
      </c>
      <c r="S94" s="1425"/>
      <c r="T94" s="1425"/>
      <c r="U94" s="1425"/>
      <c r="V94" s="1736"/>
      <c r="W94" s="1736"/>
      <c r="DL94" s="2022">
        <f>+IF(E94=0,0,DM94/DN94)</f>
        <v>0</v>
      </c>
      <c r="DM94" s="2023">
        <f>+SUM(I94:K94)</f>
        <v>0</v>
      </c>
      <c r="DN94" s="2023">
        <f>+E94</f>
        <v>0</v>
      </c>
      <c r="DO94" s="2024" t="str">
        <f>IF(DN94=0,"S.D.",+IF(AND((DM94/DN94)&gt;800,(DM94/DN94)&lt;=3000),"O.K.","VERIFICAR"))</f>
        <v>S.D.</v>
      </c>
    </row>
    <row r="95" spans="1:120" s="250" customFormat="1" ht="51" customHeight="1" x14ac:dyDescent="0.4">
      <c r="A95" s="4419"/>
      <c r="B95" s="4420"/>
      <c r="C95" s="4219"/>
      <c r="D95" s="4220"/>
      <c r="E95" s="4221"/>
      <c r="F95" s="5098" t="s">
        <v>849</v>
      </c>
      <c r="G95" s="4235"/>
      <c r="H95" s="4236"/>
      <c r="I95" s="4357" t="s">
        <v>377</v>
      </c>
      <c r="J95" s="4297"/>
      <c r="K95" s="4316"/>
      <c r="L95" s="2287"/>
      <c r="M95" s="2287"/>
      <c r="N95" s="2287"/>
      <c r="O95" s="1749"/>
      <c r="P95" s="1749"/>
      <c r="Q95" s="1750"/>
      <c r="R95" s="1425"/>
      <c r="S95" s="1425"/>
      <c r="T95" s="1425"/>
      <c r="U95" s="1425"/>
      <c r="V95" s="1736"/>
      <c r="W95" s="1736"/>
    </row>
    <row r="96" spans="1:120" s="250" customFormat="1" ht="32.25" customHeight="1" x14ac:dyDescent="0.4">
      <c r="A96" s="4419"/>
      <c r="B96" s="4420"/>
      <c r="C96" s="4222"/>
      <c r="D96" s="4223"/>
      <c r="E96" s="4224"/>
      <c r="F96" s="2548" t="s">
        <v>287</v>
      </c>
      <c r="G96" s="1515" t="s">
        <v>289</v>
      </c>
      <c r="H96" s="1517" t="s">
        <v>288</v>
      </c>
      <c r="I96" s="1751" t="s">
        <v>287</v>
      </c>
      <c r="J96" s="1730" t="s">
        <v>289</v>
      </c>
      <c r="K96" s="1731" t="s">
        <v>288</v>
      </c>
      <c r="L96" s="1791"/>
      <c r="M96" s="1791"/>
      <c r="N96" s="1791"/>
      <c r="O96" s="1752"/>
      <c r="P96" s="1752"/>
      <c r="Q96" s="1753"/>
      <c r="V96" s="1736"/>
      <c r="W96" s="1736"/>
    </row>
    <row r="97" spans="1:69" s="250" customFormat="1" ht="40.5" customHeight="1" thickBot="1" x14ac:dyDescent="0.45">
      <c r="A97" s="5142"/>
      <c r="B97" s="5143"/>
      <c r="C97" s="4225"/>
      <c r="D97" s="4226"/>
      <c r="E97" s="4227"/>
      <c r="F97" s="1534" t="e">
        <f>+F93+F94</f>
        <v>#REF!</v>
      </c>
      <c r="G97" s="1534" t="e">
        <f t="shared" ref="G97:H97" si="90">+G93+G94</f>
        <v>#REF!</v>
      </c>
      <c r="H97" s="1534" t="e">
        <f t="shared" si="90"/>
        <v>#REF!</v>
      </c>
      <c r="I97" s="2039" t="e">
        <f>+I93+L93+I94+L94</f>
        <v>#REF!</v>
      </c>
      <c r="J97" s="2040" t="e">
        <f>+J93+M93+J94+M94</f>
        <v>#REF!</v>
      </c>
      <c r="K97" s="2040" t="e">
        <f>+K93+N93+K94+N94</f>
        <v>#REF!</v>
      </c>
      <c r="L97" s="1723" t="e">
        <f>SUM(I97:K97)</f>
        <v>#REF!</v>
      </c>
      <c r="M97" s="1791"/>
      <c r="N97" s="1791"/>
      <c r="O97" s="1752"/>
      <c r="P97" s="1752"/>
      <c r="Q97" s="1753"/>
      <c r="V97" s="1736"/>
      <c r="W97" s="1736"/>
    </row>
    <row r="98" spans="1:69" s="250" customFormat="1" ht="59.1" customHeight="1" x14ac:dyDescent="0.35">
      <c r="A98" s="4198"/>
      <c r="B98" s="4199"/>
      <c r="C98" s="4199"/>
      <c r="D98" s="4199"/>
      <c r="E98" s="4199"/>
      <c r="F98" s="4199"/>
      <c r="G98" s="4199"/>
      <c r="H98" s="4199"/>
      <c r="I98" s="4199"/>
      <c r="J98" s="4199"/>
      <c r="K98" s="4199"/>
      <c r="L98" s="4199"/>
      <c r="M98" s="4199"/>
      <c r="N98" s="4199"/>
      <c r="O98" s="4199"/>
      <c r="P98" s="4199"/>
      <c r="Q98" s="4200"/>
      <c r="V98" s="1736"/>
      <c r="W98" s="1736"/>
    </row>
    <row r="99" spans="1:69" s="250" customFormat="1" ht="59.1" customHeight="1" thickBot="1" x14ac:dyDescent="0.4">
      <c r="A99" s="4198"/>
      <c r="B99" s="4199"/>
      <c r="C99" s="4199"/>
      <c r="D99" s="4199"/>
      <c r="E99" s="4199"/>
      <c r="F99" s="4199"/>
      <c r="G99" s="4199"/>
      <c r="H99" s="4199"/>
      <c r="I99" s="4199"/>
      <c r="J99" s="4199"/>
      <c r="K99" s="4199"/>
      <c r="L99" s="4199"/>
      <c r="M99" s="4199"/>
      <c r="N99" s="4199"/>
      <c r="O99" s="4199"/>
      <c r="P99" s="4199"/>
      <c r="Q99" s="4200"/>
      <c r="V99" s="1736"/>
      <c r="W99" s="1736"/>
    </row>
    <row r="100" spans="1:69" s="250" customFormat="1" ht="59.1" customHeight="1" x14ac:dyDescent="0.35">
      <c r="A100" s="5145" t="s">
        <v>417</v>
      </c>
      <c r="B100" s="5146"/>
      <c r="C100" s="5146"/>
      <c r="D100" s="5147"/>
      <c r="E100" s="4210" t="s">
        <v>101</v>
      </c>
      <c r="F100" s="4234" t="s">
        <v>849</v>
      </c>
      <c r="G100" s="4235"/>
      <c r="H100" s="4236"/>
      <c r="I100" s="4294" t="s">
        <v>304</v>
      </c>
      <c r="J100" s="4294"/>
      <c r="K100" s="4295"/>
      <c r="L100" s="4293" t="s">
        <v>368</v>
      </c>
      <c r="M100" s="4294"/>
      <c r="N100" s="4295"/>
      <c r="O100" s="4296" t="s">
        <v>377</v>
      </c>
      <c r="P100" s="4297"/>
      <c r="Q100" s="4316"/>
      <c r="V100" s="1736"/>
      <c r="W100" s="1736"/>
    </row>
    <row r="101" spans="1:69" s="250" customFormat="1" ht="59.1" customHeight="1" x14ac:dyDescent="0.35">
      <c r="A101" s="5148"/>
      <c r="B101" s="5149"/>
      <c r="C101" s="5149"/>
      <c r="D101" s="5150"/>
      <c r="E101" s="4211"/>
      <c r="F101" s="1515" t="s">
        <v>287</v>
      </c>
      <c r="G101" s="1515" t="s">
        <v>289</v>
      </c>
      <c r="H101" s="1517" t="s">
        <v>288</v>
      </c>
      <c r="I101" s="1740" t="s">
        <v>287</v>
      </c>
      <c r="J101" s="1738" t="s">
        <v>289</v>
      </c>
      <c r="K101" s="1738" t="s">
        <v>288</v>
      </c>
      <c r="L101" s="1738" t="s">
        <v>287</v>
      </c>
      <c r="M101" s="1738" t="s">
        <v>289</v>
      </c>
      <c r="N101" s="1738" t="s">
        <v>288</v>
      </c>
      <c r="O101" s="1730" t="s">
        <v>287</v>
      </c>
      <c r="P101" s="1730" t="s">
        <v>289</v>
      </c>
      <c r="Q101" s="1731" t="s">
        <v>288</v>
      </c>
      <c r="V101" s="1736"/>
      <c r="W101" s="1736"/>
    </row>
    <row r="102" spans="1:69" s="250" customFormat="1" ht="59.1" customHeight="1" thickBot="1" x14ac:dyDescent="0.4">
      <c r="A102" s="5151"/>
      <c r="B102" s="5152"/>
      <c r="C102" s="5152"/>
      <c r="D102" s="5153"/>
      <c r="E102" s="2554" t="e">
        <f>+E249</f>
        <v>#REF!</v>
      </c>
      <c r="F102" s="2554">
        <f>+I102+L102</f>
        <v>0</v>
      </c>
      <c r="G102" s="2554">
        <f t="shared" ref="G102:H102" si="91">+J102+M102</f>
        <v>0</v>
      </c>
      <c r="H102" s="2554">
        <f t="shared" si="91"/>
        <v>0</v>
      </c>
      <c r="I102" s="2566">
        <f t="shared" ref="I102:N102" si="92">+I249</f>
        <v>0</v>
      </c>
      <c r="J102" s="2289">
        <f t="shared" si="92"/>
        <v>0</v>
      </c>
      <c r="K102" s="2289">
        <f t="shared" si="92"/>
        <v>0</v>
      </c>
      <c r="L102" s="2289">
        <f t="shared" si="92"/>
        <v>0</v>
      </c>
      <c r="M102" s="2289">
        <f t="shared" si="92"/>
        <v>0</v>
      </c>
      <c r="N102" s="2289">
        <f t="shared" si="92"/>
        <v>0</v>
      </c>
      <c r="O102" s="1558">
        <f>+I102+L102</f>
        <v>0</v>
      </c>
      <c r="P102" s="1558">
        <f>+J102+M102</f>
        <v>0</v>
      </c>
      <c r="Q102" s="1559">
        <f>+K102+N102</f>
        <v>0</v>
      </c>
      <c r="R102" s="1746">
        <f>SUM(O102:Q102)</f>
        <v>0</v>
      </c>
      <c r="V102" s="1736"/>
      <c r="W102" s="1736"/>
    </row>
    <row r="103" spans="1:69" s="250" customFormat="1" ht="59.1" hidden="1" customHeight="1" x14ac:dyDescent="0.4">
      <c r="A103" s="2555"/>
      <c r="B103" s="2556"/>
      <c r="C103" s="2556"/>
      <c r="D103" s="2557"/>
      <c r="E103" s="4355"/>
      <c r="F103" s="1764"/>
      <c r="G103" s="1764"/>
      <c r="H103" s="1764"/>
      <c r="I103" s="4357" t="s">
        <v>377</v>
      </c>
      <c r="J103" s="4297"/>
      <c r="K103" s="4316"/>
      <c r="L103" s="2287"/>
      <c r="M103" s="2287"/>
      <c r="N103" s="2287"/>
      <c r="O103" s="1749"/>
      <c r="P103" s="1749"/>
      <c r="Q103" s="1750"/>
      <c r="V103" s="1736"/>
      <c r="W103" s="1736"/>
    </row>
    <row r="104" spans="1:69" s="250" customFormat="1" ht="59.1" hidden="1" customHeight="1" x14ac:dyDescent="0.4">
      <c r="A104" s="2555"/>
      <c r="B104" s="2556"/>
      <c r="C104" s="2556"/>
      <c r="D104" s="2557"/>
      <c r="E104" s="4355"/>
      <c r="F104" s="1764"/>
      <c r="G104" s="1764"/>
      <c r="H104" s="1764"/>
      <c r="I104" s="1751" t="s">
        <v>287</v>
      </c>
      <c r="J104" s="1730" t="s">
        <v>289</v>
      </c>
      <c r="K104" s="1731" t="s">
        <v>288</v>
      </c>
      <c r="L104" s="1791"/>
      <c r="M104" s="1791"/>
      <c r="N104" s="1791"/>
      <c r="O104" s="1752"/>
      <c r="P104" s="1752"/>
      <c r="Q104" s="1753"/>
      <c r="V104" s="1736"/>
      <c r="W104" s="1736"/>
    </row>
    <row r="105" spans="1:69" s="250" customFormat="1" ht="59.1" hidden="1" customHeight="1" thickBot="1" x14ac:dyDescent="0.45">
      <c r="A105" s="2558"/>
      <c r="B105" s="2559"/>
      <c r="C105" s="2559"/>
      <c r="D105" s="2560"/>
      <c r="E105" s="4356"/>
      <c r="F105" s="2438"/>
      <c r="G105" s="2438"/>
      <c r="H105" s="2438"/>
      <c r="I105" s="2065">
        <f>+I102+L102</f>
        <v>0</v>
      </c>
      <c r="J105" s="2065">
        <f>+J102+M102</f>
        <v>0</v>
      </c>
      <c r="K105" s="2065">
        <f>+K102+N102</f>
        <v>0</v>
      </c>
      <c r="L105" s="1723">
        <f>SUM(I105:K105)</f>
        <v>0</v>
      </c>
      <c r="M105" s="1791"/>
      <c r="N105" s="1791"/>
      <c r="O105" s="1752"/>
      <c r="P105" s="1752"/>
      <c r="Q105" s="1753"/>
      <c r="V105" s="1736"/>
      <c r="W105" s="1736"/>
    </row>
    <row r="106" spans="1:69" s="1724" customFormat="1" ht="59.1" customHeight="1" thickBot="1" x14ac:dyDescent="0.45">
      <c r="A106" s="1762"/>
      <c r="B106" s="1763"/>
      <c r="C106" s="1763"/>
      <c r="D106" s="1763"/>
      <c r="E106" s="1764"/>
      <c r="F106" s="1764"/>
      <c r="G106" s="1764"/>
      <c r="H106" s="1764"/>
      <c r="I106" s="2290"/>
      <c r="J106" s="2290"/>
      <c r="K106" s="2290"/>
      <c r="L106" s="1723"/>
      <c r="M106" s="1723"/>
      <c r="N106" s="1723"/>
      <c r="O106" s="1723"/>
      <c r="P106" s="1723"/>
      <c r="Q106" s="1767"/>
      <c r="V106" s="1728"/>
      <c r="W106" s="1728"/>
    </row>
    <row r="107" spans="1:69" s="1724" customFormat="1" ht="59.1" customHeight="1" x14ac:dyDescent="0.4">
      <c r="A107" s="5129" t="s">
        <v>855</v>
      </c>
      <c r="B107" s="5130"/>
      <c r="C107" s="5130"/>
      <c r="D107" s="5131"/>
      <c r="E107" s="2561" t="s">
        <v>101</v>
      </c>
      <c r="F107" s="4234" t="s">
        <v>849</v>
      </c>
      <c r="G107" s="4235"/>
      <c r="H107" s="4236"/>
      <c r="I107" s="4213" t="s">
        <v>304</v>
      </c>
      <c r="J107" s="4213"/>
      <c r="K107" s="4303"/>
      <c r="L107" s="4212" t="s">
        <v>368</v>
      </c>
      <c r="M107" s="4213"/>
      <c r="N107" s="4214"/>
      <c r="O107" s="4216" t="s">
        <v>377</v>
      </c>
      <c r="P107" s="4217"/>
      <c r="Q107" s="4218"/>
      <c r="V107" s="1728"/>
      <c r="W107" s="1728"/>
    </row>
    <row r="108" spans="1:69" s="1724" customFormat="1" ht="59.1" customHeight="1" x14ac:dyDescent="0.4">
      <c r="A108" s="5132"/>
      <c r="B108" s="5133"/>
      <c r="C108" s="5133"/>
      <c r="D108" s="5134"/>
      <c r="E108" s="2562"/>
      <c r="F108" s="1515" t="s">
        <v>287</v>
      </c>
      <c r="G108" s="1515" t="s">
        <v>289</v>
      </c>
      <c r="H108" s="1517" t="s">
        <v>288</v>
      </c>
      <c r="I108" s="1740" t="s">
        <v>287</v>
      </c>
      <c r="J108" s="1738" t="s">
        <v>289</v>
      </c>
      <c r="K108" s="1772" t="s">
        <v>288</v>
      </c>
      <c r="L108" s="1740" t="s">
        <v>287</v>
      </c>
      <c r="M108" s="1738" t="s">
        <v>289</v>
      </c>
      <c r="N108" s="1738" t="s">
        <v>288</v>
      </c>
      <c r="O108" s="1730" t="s">
        <v>287</v>
      </c>
      <c r="P108" s="1730" t="s">
        <v>289</v>
      </c>
      <c r="Q108" s="1731" t="s">
        <v>288</v>
      </c>
      <c r="V108" s="1728"/>
      <c r="W108" s="1728"/>
    </row>
    <row r="109" spans="1:69" s="1724" customFormat="1" ht="59.1" customHeight="1" thickBot="1" x14ac:dyDescent="0.4">
      <c r="A109" s="5132"/>
      <c r="B109" s="5133"/>
      <c r="C109" s="5133"/>
      <c r="D109" s="5134"/>
      <c r="E109" s="2563" t="e">
        <f>+E76+E84+E93+E102</f>
        <v>#REF!</v>
      </c>
      <c r="F109" s="2032" t="e">
        <f ca="1">+I109+L109</f>
        <v>#REF!</v>
      </c>
      <c r="G109" s="2032" t="e">
        <f t="shared" ref="G109:H109" ca="1" si="93">+J109+M109</f>
        <v>#REF!</v>
      </c>
      <c r="H109" s="2033" t="e">
        <f t="shared" ca="1" si="93"/>
        <v>#REF!</v>
      </c>
      <c r="I109" s="2032" t="e">
        <f t="shared" ref="I109:N109" ca="1" si="94">+I76+I84+I93+I102+I85+I94</f>
        <v>#REF!</v>
      </c>
      <c r="J109" s="2032" t="e">
        <f t="shared" ca="1" si="94"/>
        <v>#REF!</v>
      </c>
      <c r="K109" s="2033" t="e">
        <f t="shared" ca="1" si="94"/>
        <v>#REF!</v>
      </c>
      <c r="L109" s="2034" t="e">
        <f t="shared" si="94"/>
        <v>#REF!</v>
      </c>
      <c r="M109" s="2034" t="e">
        <f t="shared" si="94"/>
        <v>#REF!</v>
      </c>
      <c r="N109" s="2034" t="e">
        <f t="shared" si="94"/>
        <v>#REF!</v>
      </c>
      <c r="O109" s="2035" t="e">
        <f ca="1">+O76+O84+O93+O102</f>
        <v>#REF!</v>
      </c>
      <c r="P109" s="2035" t="e">
        <f ca="1">+P76+P84+P93+P102</f>
        <v>#REF!</v>
      </c>
      <c r="Q109" s="2036" t="e">
        <f ca="1">+Q76+Q84+Q93+Q102</f>
        <v>#REF!</v>
      </c>
      <c r="R109" s="1746" t="e">
        <f ca="1">SUM(O109:Q109)</f>
        <v>#REF!</v>
      </c>
      <c r="V109" s="1728"/>
      <c r="W109" s="1728"/>
      <c r="BQ109" s="1735" t="e">
        <f ca="1">SUM(O109:BP109)</f>
        <v>#REF!</v>
      </c>
    </row>
    <row r="110" spans="1:69" s="1724" customFormat="1" ht="59.1" customHeight="1" x14ac:dyDescent="0.4">
      <c r="A110" s="5132"/>
      <c r="B110" s="5133"/>
      <c r="C110" s="5133"/>
      <c r="D110" s="5134"/>
      <c r="E110" s="5138"/>
      <c r="F110" s="2437"/>
      <c r="G110" s="2437"/>
      <c r="H110" s="2564"/>
      <c r="I110" s="4297" t="s">
        <v>377</v>
      </c>
      <c r="J110" s="4297"/>
      <c r="K110" s="4316"/>
      <c r="L110" s="1783"/>
      <c r="M110" s="1783"/>
      <c r="N110" s="1783"/>
      <c r="O110" s="1783"/>
      <c r="P110" s="1783"/>
      <c r="Q110" s="1784"/>
      <c r="V110" s="1728"/>
      <c r="W110" s="1728"/>
    </row>
    <row r="111" spans="1:69" s="1724" customFormat="1" ht="59.1" customHeight="1" thickBot="1" x14ac:dyDescent="0.45">
      <c r="A111" s="5135"/>
      <c r="B111" s="5136"/>
      <c r="C111" s="5136"/>
      <c r="D111" s="5137"/>
      <c r="E111" s="5139"/>
      <c r="F111" s="2565"/>
      <c r="G111" s="2565"/>
      <c r="H111" s="2513"/>
      <c r="I111" s="2041" t="e">
        <f ca="1">+I109+L109</f>
        <v>#REF!</v>
      </c>
      <c r="J111" s="2042" t="e">
        <f ca="1">+J109+M109</f>
        <v>#REF!</v>
      </c>
      <c r="K111" s="2043" t="e">
        <f ca="1">+K109+N109</f>
        <v>#REF!</v>
      </c>
      <c r="L111" s="1723" t="e">
        <f ca="1">SUM(I111:K111)</f>
        <v>#REF!</v>
      </c>
      <c r="M111" s="2292"/>
      <c r="N111" s="2292"/>
      <c r="O111" s="1791"/>
      <c r="P111" s="1791"/>
      <c r="Q111" s="1792"/>
      <c r="V111" s="1728"/>
      <c r="W111" s="1728"/>
    </row>
    <row r="112" spans="1:69" s="250" customFormat="1" ht="59.1" customHeight="1" x14ac:dyDescent="0.4">
      <c r="A112" s="2165"/>
      <c r="B112" s="1806"/>
      <c r="C112" s="1806"/>
      <c r="D112" s="1806"/>
      <c r="E112" s="2156"/>
      <c r="F112" s="2156"/>
      <c r="G112" s="2156"/>
      <c r="H112" s="2156"/>
      <c r="I112" s="2166"/>
      <c r="J112" s="2166"/>
      <c r="K112" s="2166"/>
      <c r="L112" s="1791"/>
      <c r="M112" s="2292"/>
      <c r="N112" s="2292"/>
      <c r="O112" s="1791"/>
      <c r="P112" s="1791"/>
      <c r="Q112" s="1792"/>
      <c r="V112" s="1736"/>
      <c r="W112" s="1736"/>
    </row>
    <row r="113" spans="1:121" s="1724" customFormat="1" ht="58.5" customHeight="1" thickBot="1" x14ac:dyDescent="0.4">
      <c r="A113" s="5124" t="s">
        <v>856</v>
      </c>
      <c r="B113" s="5125"/>
      <c r="C113" s="5125"/>
      <c r="D113" s="5125"/>
      <c r="E113" s="5125"/>
      <c r="F113" s="5125"/>
      <c r="G113" s="5125"/>
      <c r="H113" s="5125"/>
      <c r="I113" s="5125"/>
      <c r="J113" s="5125"/>
      <c r="K113" s="5125"/>
      <c r="L113" s="5125"/>
      <c r="M113" s="5125"/>
      <c r="N113" s="5125"/>
      <c r="O113" s="5125"/>
      <c r="P113" s="5125"/>
      <c r="Q113" s="5126"/>
      <c r="V113" s="1728"/>
      <c r="W113" s="1728"/>
    </row>
    <row r="114" spans="1:121" s="1724" customFormat="1" ht="58.5" customHeight="1" x14ac:dyDescent="0.5">
      <c r="A114" s="2163"/>
      <c r="B114" s="2163"/>
      <c r="C114" s="2163"/>
      <c r="D114" s="2163"/>
      <c r="E114" s="5127" t="s">
        <v>101</v>
      </c>
      <c r="F114" s="4234" t="s">
        <v>849</v>
      </c>
      <c r="G114" s="4235"/>
      <c r="H114" s="4244"/>
      <c r="I114" s="5076" t="s">
        <v>304</v>
      </c>
      <c r="J114" s="4294"/>
      <c r="K114" s="4295"/>
      <c r="L114" s="4293" t="s">
        <v>368</v>
      </c>
      <c r="M114" s="4294"/>
      <c r="N114" s="4295"/>
      <c r="O114" s="4296" t="s">
        <v>377</v>
      </c>
      <c r="P114" s="4297"/>
      <c r="Q114" s="4316"/>
      <c r="V114" s="1728"/>
      <c r="W114" s="1728"/>
      <c r="DL114" s="4253" t="s">
        <v>241</v>
      </c>
      <c r="DM114" s="4253"/>
      <c r="DN114" s="4253"/>
      <c r="DO114" s="4253"/>
      <c r="DP114" s="4253"/>
    </row>
    <row r="115" spans="1:121" s="1724" customFormat="1" ht="58.5" customHeight="1" x14ac:dyDescent="0.35">
      <c r="A115" s="5087" t="s">
        <v>163</v>
      </c>
      <c r="B115" s="5088"/>
      <c r="C115" s="5088"/>
      <c r="D115" s="5128"/>
      <c r="E115" s="5075"/>
      <c r="F115" s="1515" t="s">
        <v>287</v>
      </c>
      <c r="G115" s="1515" t="s">
        <v>289</v>
      </c>
      <c r="H115" s="1516" t="s">
        <v>288</v>
      </c>
      <c r="I115" s="1740" t="s">
        <v>287</v>
      </c>
      <c r="J115" s="1738" t="s">
        <v>289</v>
      </c>
      <c r="K115" s="1738" t="s">
        <v>288</v>
      </c>
      <c r="L115" s="1738" t="s">
        <v>287</v>
      </c>
      <c r="M115" s="1738" t="s">
        <v>289</v>
      </c>
      <c r="N115" s="1738" t="s">
        <v>288</v>
      </c>
      <c r="O115" s="1730" t="s">
        <v>287</v>
      </c>
      <c r="P115" s="1730" t="s">
        <v>289</v>
      </c>
      <c r="Q115" s="1731" t="s">
        <v>288</v>
      </c>
      <c r="V115" s="1728"/>
      <c r="W115" s="1728"/>
      <c r="DL115" s="979" t="s">
        <v>370</v>
      </c>
      <c r="DM115" s="979" t="s">
        <v>25</v>
      </c>
      <c r="DN115" s="979" t="s">
        <v>371</v>
      </c>
      <c r="DO115" s="979" t="s">
        <v>241</v>
      </c>
      <c r="DP115" s="979"/>
    </row>
    <row r="116" spans="1:121" s="1724" customFormat="1" ht="58.5" customHeight="1" thickBot="1" x14ac:dyDescent="0.5">
      <c r="A116" s="5121" t="s">
        <v>857</v>
      </c>
      <c r="B116" s="5122"/>
      <c r="C116" s="5122"/>
      <c r="D116" s="5123"/>
      <c r="E116" s="2289" t="e">
        <f>+E257</f>
        <v>#REF!</v>
      </c>
      <c r="F116" s="2289" t="e">
        <f>+I116+L116</f>
        <v>#REF!</v>
      </c>
      <c r="G116" s="2289" t="e">
        <f t="shared" ref="G116:H116" si="95">+J116+M116</f>
        <v>#REF!</v>
      </c>
      <c r="H116" s="2289" t="e">
        <f t="shared" si="95"/>
        <v>#REF!</v>
      </c>
      <c r="I116" s="2289" t="e">
        <f t="shared" ref="I116:N116" si="96">+I257</f>
        <v>#REF!</v>
      </c>
      <c r="J116" s="2289" t="e">
        <f t="shared" si="96"/>
        <v>#REF!</v>
      </c>
      <c r="K116" s="2289" t="e">
        <f t="shared" si="96"/>
        <v>#REF!</v>
      </c>
      <c r="L116" s="2289" t="e">
        <f t="shared" si="96"/>
        <v>#REF!</v>
      </c>
      <c r="M116" s="2289" t="e">
        <f t="shared" si="96"/>
        <v>#REF!</v>
      </c>
      <c r="N116" s="2289" t="e">
        <f t="shared" si="96"/>
        <v>#REF!</v>
      </c>
      <c r="O116" s="2164" t="e">
        <f>+O257</f>
        <v>#REF!</v>
      </c>
      <c r="P116" s="2164" t="e">
        <f t="shared" ref="P116:Q116" si="97">+P257</f>
        <v>#REF!</v>
      </c>
      <c r="Q116" s="2164" t="e">
        <f t="shared" si="97"/>
        <v>#REF!</v>
      </c>
      <c r="V116" s="1728"/>
      <c r="W116" s="1728"/>
      <c r="DL116" s="2021" t="e">
        <f t="shared" ref="DL116:DL120" si="98">+IF(E116=0,0,DM116/DN116)</f>
        <v>#REF!</v>
      </c>
      <c r="DM116" s="1938" t="e">
        <f t="shared" ref="DM116:DM120" si="99">+SUM(I116:K116)</f>
        <v>#REF!</v>
      </c>
      <c r="DN116" s="1938" t="e">
        <f t="shared" ref="DN116:DN120" si="100">+E116</f>
        <v>#REF!</v>
      </c>
      <c r="DO116" s="1569" t="e">
        <f>+IF(DN116=0,"S.D.",IF((DM116/DN116)&lt;151,"O.K.","VERIFICAR"))</f>
        <v>#REF!</v>
      </c>
      <c r="DP116" s="1659"/>
    </row>
    <row r="117" spans="1:121" s="1724" customFormat="1" ht="58.5" customHeight="1" thickBot="1" x14ac:dyDescent="0.5">
      <c r="A117" s="5121" t="s">
        <v>858</v>
      </c>
      <c r="B117" s="5122"/>
      <c r="C117" s="5122"/>
      <c r="D117" s="5123"/>
      <c r="E117" s="2289" t="e">
        <f t="shared" ref="E117:Q120" si="101">+E258</f>
        <v>#REF!</v>
      </c>
      <c r="F117" s="2289" t="e">
        <f t="shared" ref="F117:F120" si="102">+I117+L117</f>
        <v>#REF!</v>
      </c>
      <c r="G117" s="2289" t="e">
        <f t="shared" ref="G117:G120" si="103">+J117+M117</f>
        <v>#REF!</v>
      </c>
      <c r="H117" s="2289" t="e">
        <f t="shared" ref="H117:H120" si="104">+K117+N117</f>
        <v>#REF!</v>
      </c>
      <c r="I117" s="2289" t="e">
        <f t="shared" si="101"/>
        <v>#REF!</v>
      </c>
      <c r="J117" s="2289" t="e">
        <f t="shared" si="101"/>
        <v>#REF!</v>
      </c>
      <c r="K117" s="2289" t="e">
        <f t="shared" si="101"/>
        <v>#REF!</v>
      </c>
      <c r="L117" s="2289" t="e">
        <f t="shared" si="101"/>
        <v>#REF!</v>
      </c>
      <c r="M117" s="2289" t="e">
        <f t="shared" si="101"/>
        <v>#REF!</v>
      </c>
      <c r="N117" s="2289" t="e">
        <f t="shared" si="101"/>
        <v>#REF!</v>
      </c>
      <c r="O117" s="2164" t="e">
        <f t="shared" si="101"/>
        <v>#REF!</v>
      </c>
      <c r="P117" s="2164" t="e">
        <f t="shared" si="101"/>
        <v>#REF!</v>
      </c>
      <c r="Q117" s="2164" t="e">
        <f t="shared" si="101"/>
        <v>#REF!</v>
      </c>
      <c r="V117" s="1728"/>
      <c r="W117" s="1728"/>
      <c r="DL117" s="2021" t="e">
        <f t="shared" si="98"/>
        <v>#REF!</v>
      </c>
      <c r="DM117" s="1938" t="e">
        <f t="shared" si="99"/>
        <v>#REF!</v>
      </c>
      <c r="DN117" s="1938" t="e">
        <f t="shared" si="100"/>
        <v>#REF!</v>
      </c>
      <c r="DO117" s="1569" t="e">
        <f>+IF(DN117=0,"S.D.",IF(AND((DM117/DN117)&gt;150,(DM117/DN117)&lt;=500),"O.K.","VERIFICAR"))</f>
        <v>#REF!</v>
      </c>
    </row>
    <row r="118" spans="1:121" s="1724" customFormat="1" ht="58.5" customHeight="1" thickBot="1" x14ac:dyDescent="0.5">
      <c r="A118" s="5121" t="s">
        <v>859</v>
      </c>
      <c r="B118" s="5122"/>
      <c r="C118" s="5122"/>
      <c r="D118" s="5123"/>
      <c r="E118" s="2289" t="e">
        <f t="shared" si="101"/>
        <v>#REF!</v>
      </c>
      <c r="F118" s="2289" t="e">
        <f t="shared" si="102"/>
        <v>#REF!</v>
      </c>
      <c r="G118" s="2289" t="e">
        <f t="shared" si="103"/>
        <v>#REF!</v>
      </c>
      <c r="H118" s="2289" t="e">
        <f t="shared" si="104"/>
        <v>#REF!</v>
      </c>
      <c r="I118" s="2289" t="e">
        <f t="shared" si="101"/>
        <v>#REF!</v>
      </c>
      <c r="J118" s="2289" t="e">
        <f t="shared" si="101"/>
        <v>#REF!</v>
      </c>
      <c r="K118" s="2289" t="e">
        <f t="shared" si="101"/>
        <v>#REF!</v>
      </c>
      <c r="L118" s="2289" t="e">
        <f t="shared" si="101"/>
        <v>#REF!</v>
      </c>
      <c r="M118" s="2289" t="e">
        <f t="shared" si="101"/>
        <v>#REF!</v>
      </c>
      <c r="N118" s="2289" t="e">
        <f t="shared" si="101"/>
        <v>#REF!</v>
      </c>
      <c r="O118" s="2164" t="e">
        <f t="shared" si="101"/>
        <v>#REF!</v>
      </c>
      <c r="P118" s="2164" t="e">
        <f t="shared" si="101"/>
        <v>#REF!</v>
      </c>
      <c r="Q118" s="2164" t="e">
        <f t="shared" si="101"/>
        <v>#REF!</v>
      </c>
      <c r="V118" s="1728"/>
      <c r="W118" s="1728"/>
      <c r="DL118" s="2021" t="e">
        <f t="shared" si="98"/>
        <v>#REF!</v>
      </c>
      <c r="DM118" s="1938" t="e">
        <f t="shared" si="99"/>
        <v>#REF!</v>
      </c>
      <c r="DN118" s="1938" t="e">
        <f t="shared" si="100"/>
        <v>#REF!</v>
      </c>
      <c r="DO118" s="1569" t="e">
        <f t="shared" ref="DO118" si="105">IF(DN118=0,"S.D.",+IF(AND((DM118/DN118)&gt;500,(DM118/DN118)&lt;=700),"O.K.","VERIFICAR"))</f>
        <v>#REF!</v>
      </c>
    </row>
    <row r="119" spans="1:121" s="1724" customFormat="1" ht="58.5" customHeight="1" thickBot="1" x14ac:dyDescent="0.5">
      <c r="A119" s="5121" t="s">
        <v>860</v>
      </c>
      <c r="B119" s="5122"/>
      <c r="C119" s="5122"/>
      <c r="D119" s="5123"/>
      <c r="E119" s="2289" t="e">
        <f t="shared" si="101"/>
        <v>#REF!</v>
      </c>
      <c r="F119" s="2289" t="e">
        <f t="shared" si="102"/>
        <v>#REF!</v>
      </c>
      <c r="G119" s="2289" t="e">
        <f t="shared" si="103"/>
        <v>#REF!</v>
      </c>
      <c r="H119" s="2289" t="e">
        <f t="shared" si="104"/>
        <v>#REF!</v>
      </c>
      <c r="I119" s="2289" t="e">
        <f t="shared" si="101"/>
        <v>#REF!</v>
      </c>
      <c r="J119" s="2289" t="e">
        <f t="shared" si="101"/>
        <v>#REF!</v>
      </c>
      <c r="K119" s="2289" t="e">
        <f t="shared" si="101"/>
        <v>#REF!</v>
      </c>
      <c r="L119" s="2289" t="e">
        <f t="shared" si="101"/>
        <v>#REF!</v>
      </c>
      <c r="M119" s="2289" t="e">
        <f t="shared" si="101"/>
        <v>#REF!</v>
      </c>
      <c r="N119" s="2289" t="e">
        <f t="shared" si="101"/>
        <v>#REF!</v>
      </c>
      <c r="O119" s="2164" t="e">
        <f t="shared" si="101"/>
        <v>#REF!</v>
      </c>
      <c r="P119" s="2164" t="e">
        <f t="shared" si="101"/>
        <v>#REF!</v>
      </c>
      <c r="Q119" s="2164" t="e">
        <f t="shared" si="101"/>
        <v>#REF!</v>
      </c>
      <c r="V119" s="1728"/>
      <c r="W119" s="1728"/>
      <c r="DL119" s="2021" t="e">
        <f t="shared" si="98"/>
        <v>#REF!</v>
      </c>
      <c r="DM119" s="1938" t="e">
        <f t="shared" si="99"/>
        <v>#REF!</v>
      </c>
      <c r="DN119" s="1938" t="e">
        <f t="shared" si="100"/>
        <v>#REF!</v>
      </c>
      <c r="DO119" s="1569" t="e">
        <f t="shared" ref="DO119" si="106">IF(DN119=0,"S.D.",+IF(AND((DM119/DN119)&gt;700,(DM119/DN119)&lt;=1400),"O.K.","VERIFICAR"))</f>
        <v>#REF!</v>
      </c>
    </row>
    <row r="120" spans="1:121" s="1724" customFormat="1" ht="58.5" customHeight="1" thickBot="1" x14ac:dyDescent="0.5">
      <c r="A120" s="5121" t="s">
        <v>861</v>
      </c>
      <c r="B120" s="5122"/>
      <c r="C120" s="5122"/>
      <c r="D120" s="5123"/>
      <c r="E120" s="2289" t="e">
        <f t="shared" si="101"/>
        <v>#REF!</v>
      </c>
      <c r="F120" s="2289" t="e">
        <f t="shared" si="102"/>
        <v>#REF!</v>
      </c>
      <c r="G120" s="2289" t="e">
        <f t="shared" si="103"/>
        <v>#REF!</v>
      </c>
      <c r="H120" s="2289" t="e">
        <f t="shared" si="104"/>
        <v>#REF!</v>
      </c>
      <c r="I120" s="2289" t="e">
        <f t="shared" si="101"/>
        <v>#REF!</v>
      </c>
      <c r="J120" s="2289" t="e">
        <f t="shared" si="101"/>
        <v>#REF!</v>
      </c>
      <c r="K120" s="2289" t="e">
        <f t="shared" si="101"/>
        <v>#REF!</v>
      </c>
      <c r="L120" s="2289" t="e">
        <f t="shared" si="101"/>
        <v>#REF!</v>
      </c>
      <c r="M120" s="2289" t="e">
        <f t="shared" si="101"/>
        <v>#REF!</v>
      </c>
      <c r="N120" s="2289" t="e">
        <f t="shared" si="101"/>
        <v>#REF!</v>
      </c>
      <c r="O120" s="2164" t="e">
        <f t="shared" si="101"/>
        <v>#REF!</v>
      </c>
      <c r="P120" s="2164" t="e">
        <f t="shared" si="101"/>
        <v>#REF!</v>
      </c>
      <c r="Q120" s="2164" t="e">
        <f t="shared" si="101"/>
        <v>#REF!</v>
      </c>
      <c r="V120" s="1728"/>
      <c r="W120" s="1728"/>
      <c r="DL120" s="2021" t="e">
        <f t="shared" si="98"/>
        <v>#REF!</v>
      </c>
      <c r="DM120" s="1938" t="e">
        <f t="shared" si="99"/>
        <v>#REF!</v>
      </c>
      <c r="DN120" s="1938" t="e">
        <f t="shared" si="100"/>
        <v>#REF!</v>
      </c>
      <c r="DO120" s="1569" t="e">
        <f t="shared" ref="DO120" si="107">IF(DN120=0,"S.D.",+IF(AND((DM120/DN120)&gt;1400,(DM120/DN120)&lt;=2999),"O.K.","VERIFICAR"))</f>
        <v>#REF!</v>
      </c>
    </row>
    <row r="121" spans="1:121" s="1724" customFormat="1" ht="58.5" customHeight="1" x14ac:dyDescent="0.5">
      <c r="A121" s="5083"/>
      <c r="B121" s="5084"/>
      <c r="C121" s="5084"/>
      <c r="D121" s="5084"/>
      <c r="E121" s="5117" t="s">
        <v>101</v>
      </c>
      <c r="F121" s="4234" t="s">
        <v>849</v>
      </c>
      <c r="G121" s="4235"/>
      <c r="H121" s="4236"/>
      <c r="I121" s="4294" t="s">
        <v>304</v>
      </c>
      <c r="J121" s="4294"/>
      <c r="K121" s="4295"/>
      <c r="L121" s="4293" t="s">
        <v>368</v>
      </c>
      <c r="M121" s="4294"/>
      <c r="N121" s="4295"/>
      <c r="O121" s="5119" t="s">
        <v>377</v>
      </c>
      <c r="P121" s="5072"/>
      <c r="Q121" s="5120"/>
      <c r="V121" s="1728"/>
      <c r="W121" s="1728"/>
      <c r="DL121" s="4253" t="s">
        <v>241</v>
      </c>
      <c r="DM121" s="4253"/>
      <c r="DN121" s="4253"/>
      <c r="DO121" s="4253"/>
      <c r="DP121" s="4253"/>
    </row>
    <row r="122" spans="1:121" s="1724" customFormat="1" ht="58.5" customHeight="1" thickBot="1" x14ac:dyDescent="0.4">
      <c r="A122" s="5077" t="s">
        <v>186</v>
      </c>
      <c r="B122" s="5078"/>
      <c r="C122" s="5078"/>
      <c r="D122" s="5078"/>
      <c r="E122" s="5118"/>
      <c r="F122" s="1515" t="s">
        <v>287</v>
      </c>
      <c r="G122" s="1515" t="s">
        <v>289</v>
      </c>
      <c r="H122" s="1517" t="s">
        <v>288</v>
      </c>
      <c r="I122" s="1740" t="s">
        <v>287</v>
      </c>
      <c r="J122" s="1738" t="s">
        <v>289</v>
      </c>
      <c r="K122" s="1738" t="s">
        <v>288</v>
      </c>
      <c r="L122" s="1738" t="s">
        <v>287</v>
      </c>
      <c r="M122" s="1738" t="s">
        <v>289</v>
      </c>
      <c r="N122" s="1738" t="s">
        <v>288</v>
      </c>
      <c r="O122" s="1730" t="s">
        <v>287</v>
      </c>
      <c r="P122" s="1730" t="s">
        <v>289</v>
      </c>
      <c r="Q122" s="1731" t="s">
        <v>288</v>
      </c>
      <c r="V122" s="1728"/>
      <c r="W122" s="1728"/>
      <c r="DL122" s="979" t="s">
        <v>370</v>
      </c>
      <c r="DM122" s="979" t="s">
        <v>25</v>
      </c>
      <c r="DN122" s="979" t="s">
        <v>371</v>
      </c>
      <c r="DO122" s="979" t="s">
        <v>241</v>
      </c>
      <c r="DP122" s="979"/>
    </row>
    <row r="123" spans="1:121" s="1724" customFormat="1" ht="58.5" customHeight="1" thickBot="1" x14ac:dyDescent="0.5">
      <c r="A123" s="5105" t="s">
        <v>862</v>
      </c>
      <c r="B123" s="5106"/>
      <c r="C123" s="5106"/>
      <c r="D123" s="5106"/>
      <c r="E123" s="2568" t="e">
        <f>+E264</f>
        <v>#REF!</v>
      </c>
      <c r="F123" s="2289" t="e">
        <f t="shared" ref="F123" si="108">+I123+L123</f>
        <v>#REF!</v>
      </c>
      <c r="G123" s="2289" t="e">
        <f t="shared" ref="G123" si="109">+J123+M123</f>
        <v>#REF!</v>
      </c>
      <c r="H123" s="2289" t="e">
        <f t="shared" ref="H123" si="110">+K123+N123</f>
        <v>#REF!</v>
      </c>
      <c r="I123" s="2566" t="e">
        <f t="shared" ref="I123:Q123" si="111">+I264</f>
        <v>#REF!</v>
      </c>
      <c r="J123" s="2289" t="e">
        <f t="shared" si="111"/>
        <v>#REF!</v>
      </c>
      <c r="K123" s="2289" t="e">
        <f t="shared" si="111"/>
        <v>#REF!</v>
      </c>
      <c r="L123" s="2289" t="e">
        <f t="shared" si="111"/>
        <v>#REF!</v>
      </c>
      <c r="M123" s="2289" t="e">
        <f t="shared" si="111"/>
        <v>#REF!</v>
      </c>
      <c r="N123" s="2289" t="e">
        <f t="shared" si="111"/>
        <v>#REF!</v>
      </c>
      <c r="O123" s="2164" t="e">
        <f t="shared" si="111"/>
        <v>#REF!</v>
      </c>
      <c r="P123" s="2164" t="e">
        <f t="shared" si="111"/>
        <v>#REF!</v>
      </c>
      <c r="Q123" s="2164" t="e">
        <f t="shared" si="111"/>
        <v>#REF!</v>
      </c>
      <c r="V123" s="1728"/>
      <c r="W123" s="1728"/>
      <c r="DL123" s="2022" t="e">
        <f>+IF(E123=0,0,DM123/DN123)</f>
        <v>#REF!</v>
      </c>
      <c r="DM123" s="2023" t="e">
        <f>+SUM(I123:K123)</f>
        <v>#REF!</v>
      </c>
      <c r="DN123" s="2023" t="e">
        <f>+E123</f>
        <v>#REF!</v>
      </c>
      <c r="DO123" s="2024" t="e">
        <f>IF(DN123=0,"S.D.",+IF((DM123/DN123)&lt;2000,"O.K.","VERIFICAR"))</f>
        <v>#REF!</v>
      </c>
      <c r="DQ123" s="1726" t="e">
        <f>+IF(DL123&lt;=500,"S1",IF(AND(DL123&gt;500,DL123&lt;=700),"S2",IF(AND(DL100&gt;700,DL100&lt;=1400),"S3",IF(DL123&gt;1400,"S4",0))))</f>
        <v>#REF!</v>
      </c>
    </row>
    <row r="124" spans="1:121" s="1724" customFormat="1" ht="58.5" customHeight="1" thickBot="1" x14ac:dyDescent="0.5">
      <c r="A124" s="5105" t="s">
        <v>863</v>
      </c>
      <c r="B124" s="5106"/>
      <c r="C124" s="5106"/>
      <c r="D124" s="5106"/>
      <c r="E124" s="2568" t="e">
        <f t="shared" ref="E124:Q126" si="112">+E265</f>
        <v>#REF!</v>
      </c>
      <c r="F124" s="2289" t="e">
        <f t="shared" ref="F124:F126" si="113">+I124+L124</f>
        <v>#REF!</v>
      </c>
      <c r="G124" s="2289" t="e">
        <f t="shared" ref="G124:G126" si="114">+J124+M124</f>
        <v>#REF!</v>
      </c>
      <c r="H124" s="2289" t="e">
        <f t="shared" ref="H124:H126" si="115">+K124+N124</f>
        <v>#REF!</v>
      </c>
      <c r="I124" s="2566" t="e">
        <f t="shared" si="112"/>
        <v>#REF!</v>
      </c>
      <c r="J124" s="2289" t="e">
        <f t="shared" si="112"/>
        <v>#REF!</v>
      </c>
      <c r="K124" s="2289" t="e">
        <f t="shared" si="112"/>
        <v>#REF!</v>
      </c>
      <c r="L124" s="2289" t="e">
        <f t="shared" si="112"/>
        <v>#REF!</v>
      </c>
      <c r="M124" s="2289" t="e">
        <f t="shared" si="112"/>
        <v>#REF!</v>
      </c>
      <c r="N124" s="2289" t="e">
        <f t="shared" si="112"/>
        <v>#REF!</v>
      </c>
      <c r="O124" s="2164" t="e">
        <f t="shared" si="112"/>
        <v>#REF!</v>
      </c>
      <c r="P124" s="2164" t="e">
        <f t="shared" si="112"/>
        <v>#REF!</v>
      </c>
      <c r="Q124" s="2164" t="e">
        <f t="shared" si="112"/>
        <v>#REF!</v>
      </c>
      <c r="V124" s="1728"/>
      <c r="W124" s="1728"/>
      <c r="DL124" s="2022" t="e">
        <f>+IF(E124=0,0,DM124/DN124)</f>
        <v>#REF!</v>
      </c>
      <c r="DM124" s="2023" t="e">
        <f>+SUM(I124:K124)</f>
        <v>#REF!</v>
      </c>
      <c r="DN124" s="2023" t="e">
        <f>+E124</f>
        <v>#REF!</v>
      </c>
      <c r="DO124" s="2024" t="e">
        <f>IF(DN124=0,"S.D.",+IF(AND((DM124/DN124)&gt;=2000,(DM124/DN124)&lt;=3000),"O.K.","VERIFICAR"))</f>
        <v>#REF!</v>
      </c>
      <c r="DQ124" s="1726" t="s">
        <v>802</v>
      </c>
    </row>
    <row r="125" spans="1:121" s="1724" customFormat="1" ht="58.5" customHeight="1" thickBot="1" x14ac:dyDescent="0.5">
      <c r="A125" s="5105" t="s">
        <v>864</v>
      </c>
      <c r="B125" s="5106"/>
      <c r="C125" s="5106"/>
      <c r="D125" s="5106"/>
      <c r="E125" s="2568" t="e">
        <f t="shared" si="112"/>
        <v>#REF!</v>
      </c>
      <c r="F125" s="2289" t="e">
        <f t="shared" si="113"/>
        <v>#REF!</v>
      </c>
      <c r="G125" s="2289" t="e">
        <f t="shared" si="114"/>
        <v>#REF!</v>
      </c>
      <c r="H125" s="2289" t="e">
        <f t="shared" si="115"/>
        <v>#REF!</v>
      </c>
      <c r="I125" s="2566" t="e">
        <f t="shared" si="112"/>
        <v>#REF!</v>
      </c>
      <c r="J125" s="2289" t="e">
        <f t="shared" si="112"/>
        <v>#REF!</v>
      </c>
      <c r="K125" s="2289" t="e">
        <f t="shared" si="112"/>
        <v>#REF!</v>
      </c>
      <c r="L125" s="2289" t="e">
        <f t="shared" si="112"/>
        <v>#REF!</v>
      </c>
      <c r="M125" s="2289" t="e">
        <f t="shared" si="112"/>
        <v>#REF!</v>
      </c>
      <c r="N125" s="2289" t="e">
        <f t="shared" si="112"/>
        <v>#REF!</v>
      </c>
      <c r="O125" s="2164" t="e">
        <f t="shared" si="112"/>
        <v>#REF!</v>
      </c>
      <c r="P125" s="2164" t="e">
        <f t="shared" si="112"/>
        <v>#REF!</v>
      </c>
      <c r="Q125" s="2164" t="e">
        <f t="shared" si="112"/>
        <v>#REF!</v>
      </c>
      <c r="V125" s="1728"/>
      <c r="W125" s="1728"/>
      <c r="DL125" s="2022" t="e">
        <f t="shared" ref="DL125:DL126" si="116">+IF(E125=0,0,DM125/DN125)</f>
        <v>#REF!</v>
      </c>
      <c r="DM125" s="2023" t="e">
        <f t="shared" ref="DM125:DM126" si="117">+SUM(I125:K125)</f>
        <v>#REF!</v>
      </c>
      <c r="DN125" s="2023" t="e">
        <f t="shared" ref="DN125:DN126" si="118">+E125</f>
        <v>#REF!</v>
      </c>
      <c r="DO125" s="2024" t="e">
        <f>IF(DN125=0,"S.D.",+IF(AND((DM125/DN125)&gt;3000,(DM125/DN125)&lt;9000),"O.K.","VERIFICAR"))</f>
        <v>#REF!</v>
      </c>
      <c r="DQ125" s="1726" t="s">
        <v>802</v>
      </c>
    </row>
    <row r="126" spans="1:121" s="1724" customFormat="1" ht="58.5" customHeight="1" thickBot="1" x14ac:dyDescent="0.5">
      <c r="A126" s="5107" t="s">
        <v>865</v>
      </c>
      <c r="B126" s="5108"/>
      <c r="C126" s="5108"/>
      <c r="D126" s="5108"/>
      <c r="E126" s="2552" t="e">
        <f t="shared" si="112"/>
        <v>#REF!</v>
      </c>
      <c r="F126" s="2289" t="e">
        <f t="shared" si="113"/>
        <v>#REF!</v>
      </c>
      <c r="G126" s="2289" t="e">
        <f t="shared" si="114"/>
        <v>#REF!</v>
      </c>
      <c r="H126" s="2289" t="e">
        <f t="shared" si="115"/>
        <v>#REF!</v>
      </c>
      <c r="I126" s="2551" t="e">
        <f t="shared" si="112"/>
        <v>#REF!</v>
      </c>
      <c r="J126" s="2286" t="e">
        <f t="shared" si="112"/>
        <v>#REF!</v>
      </c>
      <c r="K126" s="2286" t="e">
        <f t="shared" si="112"/>
        <v>#REF!</v>
      </c>
      <c r="L126" s="2286" t="e">
        <f t="shared" si="112"/>
        <v>#REF!</v>
      </c>
      <c r="M126" s="2286" t="e">
        <f t="shared" si="112"/>
        <v>#REF!</v>
      </c>
      <c r="N126" s="2286" t="e">
        <f t="shared" si="112"/>
        <v>#REF!</v>
      </c>
      <c r="O126" s="2182" t="e">
        <f t="shared" si="112"/>
        <v>#REF!</v>
      </c>
      <c r="P126" s="2182" t="e">
        <f t="shared" si="112"/>
        <v>#REF!</v>
      </c>
      <c r="Q126" s="2182" t="e">
        <f t="shared" si="112"/>
        <v>#REF!</v>
      </c>
      <c r="V126" s="1728"/>
      <c r="W126" s="1728"/>
      <c r="DL126" s="2022" t="e">
        <f t="shared" si="116"/>
        <v>#REF!</v>
      </c>
      <c r="DM126" s="2023" t="e">
        <f t="shared" si="117"/>
        <v>#REF!</v>
      </c>
      <c r="DN126" s="2023" t="e">
        <f t="shared" si="118"/>
        <v>#REF!</v>
      </c>
      <c r="DO126" s="2024" t="e">
        <f>IF(DN126=0,"S.D.",+IF(AND((DM126/DN126)&gt;=9000,(DM126/DN126)&lt;=9999000),"O.K.","VERIFICAR"))</f>
        <v>#REF!</v>
      </c>
      <c r="DQ126" s="1726" t="s">
        <v>802</v>
      </c>
    </row>
    <row r="127" spans="1:121" s="1724" customFormat="1" ht="58.5" customHeight="1" x14ac:dyDescent="0.35">
      <c r="A127" s="5109" t="s">
        <v>856</v>
      </c>
      <c r="B127" s="5110"/>
      <c r="C127" s="5110"/>
      <c r="D127" s="5110"/>
      <c r="E127" s="5115" t="s">
        <v>101</v>
      </c>
      <c r="F127" s="4234" t="s">
        <v>849</v>
      </c>
      <c r="G127" s="4235"/>
      <c r="H127" s="4236"/>
      <c r="I127" s="4294" t="s">
        <v>304</v>
      </c>
      <c r="J127" s="4294"/>
      <c r="K127" s="4295"/>
      <c r="L127" s="4293" t="s">
        <v>368</v>
      </c>
      <c r="M127" s="4294"/>
      <c r="N127" s="4295"/>
      <c r="O127" s="4296" t="s">
        <v>377</v>
      </c>
      <c r="P127" s="4297"/>
      <c r="Q127" s="4298"/>
      <c r="V127" s="1728"/>
      <c r="W127" s="1728"/>
    </row>
    <row r="128" spans="1:121" s="1724" customFormat="1" ht="58.5" customHeight="1" x14ac:dyDescent="0.35">
      <c r="A128" s="5111"/>
      <c r="B128" s="5112"/>
      <c r="C128" s="5112"/>
      <c r="D128" s="5112"/>
      <c r="E128" s="5116"/>
      <c r="F128" s="1515" t="s">
        <v>287</v>
      </c>
      <c r="G128" s="1515" t="s">
        <v>289</v>
      </c>
      <c r="H128" s="1517" t="s">
        <v>288</v>
      </c>
      <c r="I128" s="1740" t="s">
        <v>287</v>
      </c>
      <c r="J128" s="1738" t="s">
        <v>289</v>
      </c>
      <c r="K128" s="1738" t="s">
        <v>288</v>
      </c>
      <c r="L128" s="1738" t="s">
        <v>287</v>
      </c>
      <c r="M128" s="1738" t="s">
        <v>289</v>
      </c>
      <c r="N128" s="1738" t="s">
        <v>288</v>
      </c>
      <c r="O128" s="1738" t="s">
        <v>287</v>
      </c>
      <c r="P128" s="1738" t="s">
        <v>289</v>
      </c>
      <c r="Q128" s="1738" t="s">
        <v>288</v>
      </c>
      <c r="V128" s="1728"/>
      <c r="W128" s="1728"/>
    </row>
    <row r="129" spans="1:23" s="1724" customFormat="1" ht="58.5" customHeight="1" thickBot="1" x14ac:dyDescent="0.45">
      <c r="A129" s="5113"/>
      <c r="B129" s="5114"/>
      <c r="C129" s="5114"/>
      <c r="D129" s="5114"/>
      <c r="E129" s="1534" t="e">
        <f>+SUM(E123:E126)+SUM(E116:E120)</f>
        <v>#REF!</v>
      </c>
      <c r="F129" s="2034" t="e">
        <f>+I129+L129</f>
        <v>#REF!</v>
      </c>
      <c r="G129" s="2034" t="e">
        <f t="shared" ref="G129:H129" si="119">+J129+M129</f>
        <v>#REF!</v>
      </c>
      <c r="H129" s="2569" t="e">
        <f t="shared" si="119"/>
        <v>#REF!</v>
      </c>
      <c r="I129" s="2567" t="e">
        <f>SUM(I116:I120)+SUM(I123:I126)</f>
        <v>#REF!</v>
      </c>
      <c r="J129" s="2329" t="e">
        <f t="shared" ref="J129:N129" si="120">SUM(J116:J120)+SUM(J123:J126)</f>
        <v>#REF!</v>
      </c>
      <c r="K129" s="2329" t="e">
        <f t="shared" si="120"/>
        <v>#REF!</v>
      </c>
      <c r="L129" s="2329" t="e">
        <f t="shared" si="120"/>
        <v>#REF!</v>
      </c>
      <c r="M129" s="2329" t="e">
        <f t="shared" si="120"/>
        <v>#REF!</v>
      </c>
      <c r="N129" s="2329" t="e">
        <f t="shared" si="120"/>
        <v>#REF!</v>
      </c>
      <c r="O129" s="2183" t="e">
        <f>+SUM(O116:O120)+SUM(O123:O126)</f>
        <v>#REF!</v>
      </c>
      <c r="P129" s="2183" t="e">
        <f>+SUM(P116:P120)+SUM(P123:P126)</f>
        <v>#REF!</v>
      </c>
      <c r="Q129" s="2183" t="e">
        <f>+SUM(Q116:Q120)+SUM(Q123:Q126)</f>
        <v>#REF!</v>
      </c>
      <c r="V129" s="1728"/>
      <c r="W129" s="1728"/>
    </row>
    <row r="130" spans="1:23" s="1724" customFormat="1" ht="58.5" customHeight="1" x14ac:dyDescent="0.4">
      <c r="A130" s="1793"/>
      <c r="B130" s="1794"/>
      <c r="C130" s="1794"/>
      <c r="D130" s="1794"/>
      <c r="E130" s="1764"/>
      <c r="F130" s="1764"/>
      <c r="G130" s="1764"/>
      <c r="H130" s="1764"/>
      <c r="I130" s="1795"/>
      <c r="J130" s="1795"/>
      <c r="K130" s="1795"/>
      <c r="L130" s="1791"/>
      <c r="M130" s="1791"/>
      <c r="N130" s="1791"/>
      <c r="O130" s="1791"/>
      <c r="P130" s="1791"/>
      <c r="Q130" s="1792"/>
      <c r="V130" s="1728"/>
      <c r="W130" s="1728"/>
    </row>
    <row r="131" spans="1:23" s="1724" customFormat="1" ht="30" customHeight="1" thickBot="1" x14ac:dyDescent="0.45">
      <c r="A131" s="1793"/>
      <c r="B131" s="1794"/>
      <c r="C131" s="1794"/>
      <c r="D131" s="1794"/>
      <c r="E131" s="1764"/>
      <c r="F131" s="1764"/>
      <c r="G131" s="1764"/>
      <c r="H131" s="1764"/>
      <c r="I131" s="1795"/>
      <c r="J131" s="1795"/>
      <c r="K131" s="1795"/>
      <c r="L131" s="1791"/>
      <c r="M131" s="1791"/>
      <c r="N131" s="1791"/>
      <c r="O131" s="1791"/>
      <c r="P131" s="1791"/>
      <c r="Q131" s="1792"/>
      <c r="V131" s="1728"/>
      <c r="W131" s="1728"/>
    </row>
    <row r="132" spans="1:23" s="250" customFormat="1" ht="54.95" customHeight="1" thickBot="1" x14ac:dyDescent="0.4">
      <c r="A132" s="5099" t="s">
        <v>420</v>
      </c>
      <c r="B132" s="5100"/>
      <c r="C132" s="5100"/>
      <c r="D132" s="5100"/>
      <c r="E132" s="5100"/>
      <c r="F132" s="5100"/>
      <c r="G132" s="5100"/>
      <c r="H132" s="5100"/>
      <c r="I132" s="5100"/>
      <c r="J132" s="5100"/>
      <c r="K132" s="5100"/>
      <c r="L132" s="5100"/>
      <c r="M132" s="5100"/>
      <c r="N132" s="5101"/>
      <c r="O132" s="1797"/>
      <c r="P132" s="1797"/>
      <c r="Q132" s="1799"/>
      <c r="V132" s="1736"/>
      <c r="W132" s="1736"/>
    </row>
    <row r="133" spans="1:23" s="250" customFormat="1" ht="87.75" customHeight="1" x14ac:dyDescent="0.4">
      <c r="A133" s="4351" t="s">
        <v>421</v>
      </c>
      <c r="B133" s="1800" t="s">
        <v>29</v>
      </c>
      <c r="C133" s="1801" t="s">
        <v>101</v>
      </c>
      <c r="D133" s="1802" t="s">
        <v>422</v>
      </c>
      <c r="E133" s="2190"/>
      <c r="F133" s="4234" t="s">
        <v>849</v>
      </c>
      <c r="G133" s="4235"/>
      <c r="H133" s="4244"/>
      <c r="I133" s="4212" t="s">
        <v>304</v>
      </c>
      <c r="J133" s="4213"/>
      <c r="K133" s="4214"/>
      <c r="L133" s="4215" t="s">
        <v>368</v>
      </c>
      <c r="M133" s="4213"/>
      <c r="N133" s="4303"/>
      <c r="O133" s="4297" t="s">
        <v>377</v>
      </c>
      <c r="P133" s="4297"/>
      <c r="Q133" s="4316"/>
      <c r="V133" s="1736"/>
      <c r="W133" s="1736"/>
    </row>
    <row r="134" spans="1:23" s="250" customFormat="1" ht="30" customHeight="1" x14ac:dyDescent="0.35">
      <c r="A134" s="4352"/>
      <c r="C134" s="1806"/>
      <c r="D134" s="1806"/>
      <c r="E134" s="2190"/>
      <c r="F134" s="1515" t="s">
        <v>287</v>
      </c>
      <c r="G134" s="1515" t="s">
        <v>289</v>
      </c>
      <c r="H134" s="1516" t="s">
        <v>288</v>
      </c>
      <c r="I134" s="1740" t="s">
        <v>287</v>
      </c>
      <c r="J134" s="1738" t="s">
        <v>289</v>
      </c>
      <c r="K134" s="1738" t="s">
        <v>288</v>
      </c>
      <c r="L134" s="1738" t="s">
        <v>287</v>
      </c>
      <c r="M134" s="1738" t="s">
        <v>289</v>
      </c>
      <c r="N134" s="1772" t="s">
        <v>288</v>
      </c>
      <c r="O134" s="1751" t="s">
        <v>287</v>
      </c>
      <c r="P134" s="1730" t="s">
        <v>289</v>
      </c>
      <c r="Q134" s="1731" t="s">
        <v>288</v>
      </c>
      <c r="V134" s="1736"/>
      <c r="W134" s="1736"/>
    </row>
    <row r="135" spans="1:23" s="250" customFormat="1" ht="76.5" customHeight="1" thickBot="1" x14ac:dyDescent="0.4">
      <c r="A135" s="4352"/>
      <c r="B135" s="1807" t="s">
        <v>423</v>
      </c>
      <c r="C135" s="2295">
        <f>+D286</f>
        <v>0</v>
      </c>
      <c r="D135" s="2295">
        <f>+I286</f>
        <v>0</v>
      </c>
      <c r="E135" s="2293"/>
      <c r="F135" s="2294">
        <f>+I135+L135</f>
        <v>0</v>
      </c>
      <c r="G135" s="2295">
        <f t="shared" ref="G135:H135" si="121">+J135+M135</f>
        <v>0</v>
      </c>
      <c r="H135" s="2295">
        <f t="shared" si="121"/>
        <v>0</v>
      </c>
      <c r="I135" s="2294">
        <f t="shared" ref="I135:N135" si="122">+J286</f>
        <v>0</v>
      </c>
      <c r="J135" s="2295">
        <f t="shared" si="122"/>
        <v>0</v>
      </c>
      <c r="K135" s="2295">
        <f t="shared" si="122"/>
        <v>0</v>
      </c>
      <c r="L135" s="2295">
        <f t="shared" si="122"/>
        <v>0</v>
      </c>
      <c r="M135" s="2295">
        <f t="shared" si="122"/>
        <v>0</v>
      </c>
      <c r="N135" s="2584">
        <f t="shared" si="122"/>
        <v>0</v>
      </c>
      <c r="O135" s="2035">
        <f>+I135+L135</f>
        <v>0</v>
      </c>
      <c r="P135" s="2035">
        <f>+J135+M135</f>
        <v>0</v>
      </c>
      <c r="Q135" s="2036">
        <f>+K135+N135</f>
        <v>0</v>
      </c>
      <c r="R135" s="1746">
        <f>SUM(O135:Q135)</f>
        <v>0</v>
      </c>
      <c r="V135" s="1736"/>
      <c r="W135" s="1736"/>
    </row>
    <row r="136" spans="1:23" s="250" customFormat="1" ht="76.5" customHeight="1" x14ac:dyDescent="0.4">
      <c r="A136" s="4352"/>
      <c r="B136" s="4338"/>
      <c r="C136" s="4339"/>
      <c r="D136" s="4339"/>
      <c r="E136" s="4340"/>
      <c r="F136" s="1806"/>
      <c r="G136" s="1806"/>
      <c r="H136" s="1806"/>
      <c r="I136" s="4357" t="s">
        <v>377</v>
      </c>
      <c r="J136" s="4297"/>
      <c r="K136" s="4316"/>
      <c r="L136" s="1791"/>
      <c r="M136" s="1791"/>
      <c r="N136" s="1792"/>
      <c r="O136" s="1791"/>
      <c r="P136" s="1791"/>
      <c r="Q136" s="1792"/>
      <c r="V136" s="1736"/>
      <c r="W136" s="1736"/>
    </row>
    <row r="137" spans="1:23" s="250" customFormat="1" ht="76.5" customHeight="1" thickBot="1" x14ac:dyDescent="0.45">
      <c r="A137" s="4527"/>
      <c r="B137" s="4341"/>
      <c r="C137" s="4342"/>
      <c r="D137" s="4342"/>
      <c r="E137" s="4343"/>
      <c r="F137" s="2197"/>
      <c r="G137" s="2197"/>
      <c r="H137" s="2197"/>
      <c r="I137" s="2041">
        <f>+I135+L135</f>
        <v>0</v>
      </c>
      <c r="J137" s="2041">
        <f>+J135+M135</f>
        <v>0</v>
      </c>
      <c r="K137" s="2041">
        <f>+K135+N135</f>
        <v>0</v>
      </c>
      <c r="L137" s="2592">
        <f>SUM(I137:K137)</f>
        <v>0</v>
      </c>
      <c r="M137" s="2595"/>
      <c r="N137" s="2596"/>
      <c r="O137" s="1791"/>
      <c r="P137" s="1791"/>
      <c r="Q137" s="1792"/>
      <c r="V137" s="1736"/>
      <c r="W137" s="1736"/>
    </row>
    <row r="138" spans="1:23" s="250" customFormat="1" ht="76.5" customHeight="1" thickBot="1" x14ac:dyDescent="0.45">
      <c r="A138" s="1793"/>
      <c r="B138" s="1794"/>
      <c r="C138" s="1794"/>
      <c r="D138" s="1794"/>
      <c r="E138" s="1794"/>
      <c r="F138" s="1794"/>
      <c r="G138" s="1794"/>
      <c r="H138" s="1794"/>
      <c r="I138" s="1795"/>
      <c r="J138" s="1795"/>
      <c r="K138" s="1795"/>
      <c r="L138" s="2296"/>
      <c r="M138" s="2296"/>
      <c r="N138" s="2296"/>
      <c r="O138" s="1723"/>
      <c r="P138" s="1723"/>
      <c r="Q138" s="1767"/>
      <c r="R138" s="1724"/>
      <c r="S138" s="1724"/>
      <c r="T138" s="1724"/>
      <c r="U138" s="1724"/>
      <c r="V138" s="1728"/>
      <c r="W138" s="1728"/>
    </row>
    <row r="139" spans="1:23" s="250" customFormat="1" ht="76.5" customHeight="1" thickBot="1" x14ac:dyDescent="0.4">
      <c r="A139" s="4443" t="s">
        <v>424</v>
      </c>
      <c r="B139" s="4444"/>
      <c r="C139" s="4444"/>
      <c r="D139" s="4444"/>
      <c r="E139" s="4444"/>
      <c r="F139" s="4444"/>
      <c r="G139" s="4444"/>
      <c r="H139" s="4444"/>
      <c r="I139" s="4444"/>
      <c r="J139" s="4444"/>
      <c r="K139" s="4444"/>
      <c r="L139" s="4444"/>
      <c r="M139" s="4444"/>
      <c r="N139" s="4445"/>
      <c r="O139" s="1806"/>
      <c r="P139" s="1806"/>
      <c r="Q139" s="1815"/>
      <c r="R139" s="1816"/>
      <c r="S139" s="1816"/>
      <c r="T139" s="1816"/>
      <c r="U139" s="1816"/>
      <c r="V139" s="1816"/>
      <c r="W139" s="1816"/>
    </row>
    <row r="140" spans="1:23" s="250" customFormat="1" ht="85.5" customHeight="1" thickBot="1" x14ac:dyDescent="0.45">
      <c r="A140" s="2586" t="s">
        <v>425</v>
      </c>
      <c r="B140" s="1800" t="s">
        <v>29</v>
      </c>
      <c r="C140" s="1801" t="s">
        <v>101</v>
      </c>
      <c r="D140" s="1802" t="s">
        <v>422</v>
      </c>
      <c r="E140" s="2190"/>
      <c r="F140" s="5102" t="s">
        <v>849</v>
      </c>
      <c r="G140" s="5103"/>
      <c r="H140" s="5104"/>
      <c r="I140" s="4212" t="s">
        <v>304</v>
      </c>
      <c r="J140" s="4213"/>
      <c r="K140" s="4214"/>
      <c r="L140" s="4215" t="s">
        <v>368</v>
      </c>
      <c r="M140" s="4213"/>
      <c r="N140" s="4303"/>
      <c r="O140" s="4297" t="s">
        <v>377</v>
      </c>
      <c r="P140" s="4297"/>
      <c r="Q140" s="4316"/>
      <c r="V140" s="1736"/>
      <c r="W140" s="1736"/>
    </row>
    <row r="141" spans="1:23" s="250" customFormat="1" ht="76.5" customHeight="1" x14ac:dyDescent="0.35">
      <c r="A141" s="2587"/>
      <c r="C141" s="1806"/>
      <c r="D141" s="1806"/>
      <c r="E141" s="2190"/>
      <c r="F141" s="2512" t="s">
        <v>287</v>
      </c>
      <c r="G141" s="2512" t="s">
        <v>289</v>
      </c>
      <c r="H141" s="2508" t="s">
        <v>288</v>
      </c>
      <c r="I141" s="1740" t="s">
        <v>287</v>
      </c>
      <c r="J141" s="1738" t="s">
        <v>289</v>
      </c>
      <c r="K141" s="1738" t="s">
        <v>288</v>
      </c>
      <c r="L141" s="1738" t="s">
        <v>287</v>
      </c>
      <c r="M141" s="1738" t="s">
        <v>289</v>
      </c>
      <c r="N141" s="1772" t="s">
        <v>288</v>
      </c>
      <c r="O141" s="1751" t="s">
        <v>287</v>
      </c>
      <c r="P141" s="1730" t="s">
        <v>289</v>
      </c>
      <c r="Q141" s="1731" t="s">
        <v>288</v>
      </c>
      <c r="V141" s="1736"/>
      <c r="W141" s="1736"/>
    </row>
    <row r="142" spans="1:23" s="250" customFormat="1" ht="76.5" customHeight="1" x14ac:dyDescent="0.35">
      <c r="A142" s="2587"/>
      <c r="B142" s="2046" t="s">
        <v>426</v>
      </c>
      <c r="C142" s="2295">
        <f>+D276</f>
        <v>0</v>
      </c>
      <c r="D142" s="2295">
        <f>+I276</f>
        <v>0</v>
      </c>
      <c r="E142" s="2293"/>
      <c r="F142" s="2295">
        <f>+I142+L142</f>
        <v>0</v>
      </c>
      <c r="G142" s="2295">
        <f t="shared" ref="G142:H143" si="123">+J142+M142</f>
        <v>0</v>
      </c>
      <c r="H142" s="2295">
        <f t="shared" si="123"/>
        <v>0</v>
      </c>
      <c r="I142" s="2295">
        <f>+J276</f>
        <v>0</v>
      </c>
      <c r="J142" s="2295">
        <f t="shared" ref="J142:M143" si="124">+K276</f>
        <v>0</v>
      </c>
      <c r="K142" s="2295">
        <f t="shared" si="124"/>
        <v>0</v>
      </c>
      <c r="L142" s="2295">
        <f t="shared" si="124"/>
        <v>0</v>
      </c>
      <c r="M142" s="2295">
        <f t="shared" si="124"/>
        <v>0</v>
      </c>
      <c r="N142" s="2584">
        <f>+O276</f>
        <v>0</v>
      </c>
      <c r="O142" s="2590">
        <f t="shared" ref="O142:Q143" si="125">+I142+L142</f>
        <v>0</v>
      </c>
      <c r="P142" s="1558">
        <f t="shared" si="125"/>
        <v>0</v>
      </c>
      <c r="Q142" s="1559">
        <f t="shared" si="125"/>
        <v>0</v>
      </c>
      <c r="V142" s="1736"/>
      <c r="W142" s="1736"/>
    </row>
    <row r="143" spans="1:23" s="250" customFormat="1" ht="76.5" customHeight="1" x14ac:dyDescent="0.35">
      <c r="A143" s="2587"/>
      <c r="B143" s="2046" t="s">
        <v>423</v>
      </c>
      <c r="C143" s="2295">
        <f>+D277</f>
        <v>0</v>
      </c>
      <c r="D143" s="2295">
        <f>+I277</f>
        <v>0</v>
      </c>
      <c r="E143" s="2297"/>
      <c r="F143" s="2295">
        <f>+I143+L143</f>
        <v>0</v>
      </c>
      <c r="G143" s="2295">
        <f t="shared" si="123"/>
        <v>0</v>
      </c>
      <c r="H143" s="2295">
        <f t="shared" si="123"/>
        <v>0</v>
      </c>
      <c r="I143" s="2295">
        <f>+J277</f>
        <v>0</v>
      </c>
      <c r="J143" s="2295">
        <f t="shared" si="124"/>
        <v>0</v>
      </c>
      <c r="K143" s="2295">
        <f t="shared" si="124"/>
        <v>0</v>
      </c>
      <c r="L143" s="2295">
        <f t="shared" si="124"/>
        <v>0</v>
      </c>
      <c r="M143" s="2295">
        <f t="shared" si="124"/>
        <v>0</v>
      </c>
      <c r="N143" s="2584">
        <f>+O277</f>
        <v>0</v>
      </c>
      <c r="O143" s="2590">
        <f t="shared" si="125"/>
        <v>0</v>
      </c>
      <c r="P143" s="1558">
        <f t="shared" si="125"/>
        <v>0</v>
      </c>
      <c r="Q143" s="1559">
        <f t="shared" si="125"/>
        <v>0</v>
      </c>
      <c r="V143" s="1736"/>
      <c r="W143" s="1736"/>
    </row>
    <row r="144" spans="1:23" s="1724" customFormat="1" ht="76.5" customHeight="1" thickBot="1" x14ac:dyDescent="0.4">
      <c r="A144" s="2587"/>
      <c r="B144" s="2577"/>
      <c r="C144" s="2578"/>
      <c r="D144" s="2578"/>
      <c r="E144" s="2588"/>
      <c r="F144" s="2041">
        <f>SUM(F142:F143)</f>
        <v>0</v>
      </c>
      <c r="G144" s="2041">
        <f t="shared" ref="G144:H144" si="126">SUM(G142:G143)</f>
        <v>0</v>
      </c>
      <c r="H144" s="2041">
        <f t="shared" si="126"/>
        <v>0</v>
      </c>
      <c r="I144" s="2041">
        <f>SUM(I142:I143)</f>
        <v>0</v>
      </c>
      <c r="J144" s="2041">
        <f t="shared" ref="J144:Q144" si="127">SUM(J142:J143)</f>
        <v>0</v>
      </c>
      <c r="K144" s="2041">
        <f t="shared" si="127"/>
        <v>0</v>
      </c>
      <c r="L144" s="2041">
        <f t="shared" si="127"/>
        <v>0</v>
      </c>
      <c r="M144" s="2041">
        <f t="shared" si="127"/>
        <v>0</v>
      </c>
      <c r="N144" s="2056">
        <f t="shared" si="127"/>
        <v>0</v>
      </c>
      <c r="O144" s="2041">
        <f t="shared" si="127"/>
        <v>0</v>
      </c>
      <c r="P144" s="2041">
        <f t="shared" si="127"/>
        <v>0</v>
      </c>
      <c r="Q144" s="2056">
        <f t="shared" si="127"/>
        <v>0</v>
      </c>
      <c r="R144" s="1746">
        <f>SUM(O144:Q144)</f>
        <v>0</v>
      </c>
      <c r="V144" s="1728"/>
      <c r="W144" s="1728"/>
    </row>
    <row r="145" spans="1:23" s="250" customFormat="1" ht="76.5" customHeight="1" x14ac:dyDescent="0.5">
      <c r="A145" s="2587"/>
      <c r="B145" s="2577"/>
      <c r="C145" s="2578"/>
      <c r="D145" s="2578"/>
      <c r="E145" s="2588"/>
      <c r="F145" s="2236"/>
      <c r="G145" s="2236"/>
      <c r="H145" s="2236"/>
      <c r="I145" s="4335" t="s">
        <v>377</v>
      </c>
      <c r="J145" s="4336"/>
      <c r="K145" s="4337"/>
      <c r="L145" s="2058"/>
      <c r="M145" s="2058"/>
      <c r="N145" s="2059"/>
      <c r="O145" s="2058"/>
      <c r="P145" s="2058"/>
      <c r="Q145" s="2059"/>
      <c r="V145" s="1736"/>
      <c r="W145" s="1736"/>
    </row>
    <row r="146" spans="1:23" s="250" customFormat="1" ht="76.5" customHeight="1" thickBot="1" x14ac:dyDescent="0.55000000000000004">
      <c r="A146" s="2591"/>
      <c r="B146" s="2579"/>
      <c r="C146" s="2580"/>
      <c r="D146" s="2580"/>
      <c r="E146" s="2589"/>
      <c r="F146" s="2406"/>
      <c r="G146" s="2406"/>
      <c r="H146" s="2406"/>
      <c r="I146" s="2041">
        <f>+I144+L144</f>
        <v>0</v>
      </c>
      <c r="J146" s="2041">
        <f>+J144+M144</f>
        <v>0</v>
      </c>
      <c r="K146" s="2041">
        <f>+K144+N144</f>
        <v>0</v>
      </c>
      <c r="L146" s="2592">
        <f>SUM(I146:K146)</f>
        <v>0</v>
      </c>
      <c r="M146" s="2593"/>
      <c r="N146" s="2594"/>
      <c r="O146" s="2058"/>
      <c r="P146" s="2058"/>
      <c r="Q146" s="2059"/>
      <c r="V146" s="1736"/>
      <c r="W146" s="1736"/>
    </row>
    <row r="147" spans="1:23" s="250" customFormat="1" ht="76.5" customHeight="1" thickBot="1" x14ac:dyDescent="0.45">
      <c r="A147" s="1793"/>
      <c r="B147" s="1794"/>
      <c r="C147" s="1794"/>
      <c r="D147" s="1794"/>
      <c r="E147" s="1794"/>
      <c r="F147" s="1794"/>
      <c r="G147" s="1794"/>
      <c r="H147" s="1794"/>
      <c r="I147" s="1795"/>
      <c r="J147" s="1795"/>
      <c r="K147" s="1795"/>
      <c r="L147" s="2296"/>
      <c r="M147" s="2296"/>
      <c r="N147" s="2296"/>
      <c r="O147" s="1723"/>
      <c r="P147" s="1723"/>
      <c r="Q147" s="1767"/>
      <c r="V147" s="1736"/>
      <c r="W147" s="1736"/>
    </row>
    <row r="148" spans="1:23" s="250" customFormat="1" ht="76.5" customHeight="1" thickBot="1" x14ac:dyDescent="0.4">
      <c r="A148" s="4443" t="s">
        <v>427</v>
      </c>
      <c r="B148" s="4444"/>
      <c r="C148" s="4444"/>
      <c r="D148" s="4444"/>
      <c r="E148" s="4444"/>
      <c r="F148" s="4444"/>
      <c r="G148" s="4444"/>
      <c r="H148" s="4445"/>
      <c r="I148" s="2581"/>
      <c r="J148" s="2581"/>
      <c r="K148" s="2581"/>
      <c r="L148" s="2581"/>
      <c r="M148" s="2581"/>
      <c r="N148" s="2582"/>
      <c r="O148" s="1806"/>
      <c r="P148" s="1806"/>
      <c r="Q148" s="1815"/>
      <c r="V148" s="1736"/>
      <c r="W148" s="1736"/>
    </row>
    <row r="149" spans="1:23" s="250" customFormat="1" ht="76.5" customHeight="1" x14ac:dyDescent="0.4">
      <c r="A149" s="4351" t="s">
        <v>428</v>
      </c>
      <c r="B149" s="1821" t="s">
        <v>29</v>
      </c>
      <c r="C149" s="1822" t="s">
        <v>101</v>
      </c>
      <c r="D149" s="1823" t="s">
        <v>422</v>
      </c>
      <c r="E149" s="2507"/>
      <c r="F149" s="5098" t="s">
        <v>849</v>
      </c>
      <c r="G149" s="4235"/>
      <c r="H149" s="4236"/>
      <c r="I149" s="4213" t="s">
        <v>304</v>
      </c>
      <c r="J149" s="4213"/>
      <c r="K149" s="4214"/>
      <c r="L149" s="4215" t="s">
        <v>368</v>
      </c>
      <c r="M149" s="4213"/>
      <c r="N149" s="4214"/>
      <c r="O149" s="4296" t="s">
        <v>377</v>
      </c>
      <c r="P149" s="4297"/>
      <c r="Q149" s="4316"/>
      <c r="V149" s="1736"/>
      <c r="W149" s="1736"/>
    </row>
    <row r="150" spans="1:23" s="250" customFormat="1" ht="76.5" customHeight="1" x14ac:dyDescent="0.35">
      <c r="A150" s="4352"/>
      <c r="C150" s="1806"/>
      <c r="D150" s="1806"/>
      <c r="E150" s="2156"/>
      <c r="F150" s="2548" t="s">
        <v>287</v>
      </c>
      <c r="G150" s="1515" t="s">
        <v>289</v>
      </c>
      <c r="H150" s="1517" t="s">
        <v>288</v>
      </c>
      <c r="I150" s="1740" t="s">
        <v>287</v>
      </c>
      <c r="J150" s="1738" t="s">
        <v>289</v>
      </c>
      <c r="K150" s="1738" t="s">
        <v>288</v>
      </c>
      <c r="L150" s="1738" t="s">
        <v>287</v>
      </c>
      <c r="M150" s="1738" t="s">
        <v>289</v>
      </c>
      <c r="N150" s="1738" t="s">
        <v>288</v>
      </c>
      <c r="O150" s="1730" t="s">
        <v>287</v>
      </c>
      <c r="P150" s="1730" t="s">
        <v>289</v>
      </c>
      <c r="Q150" s="1731" t="s">
        <v>288</v>
      </c>
      <c r="V150" s="1736"/>
      <c r="W150" s="1736"/>
    </row>
    <row r="151" spans="1:23" s="250" customFormat="1" ht="76.5" customHeight="1" x14ac:dyDescent="0.35">
      <c r="A151" s="4352"/>
      <c r="B151" s="2046" t="s">
        <v>426</v>
      </c>
      <c r="C151" s="2295">
        <f>+D298</f>
        <v>0</v>
      </c>
      <c r="D151" s="2295">
        <f ca="1">+I298</f>
        <v>0</v>
      </c>
      <c r="E151" s="1628"/>
      <c r="F151" s="2583">
        <f ca="1">+I151+L151</f>
        <v>0</v>
      </c>
      <c r="G151" s="2295">
        <f t="shared" ref="G151:H152" ca="1" si="128">+J151+M151</f>
        <v>0</v>
      </c>
      <c r="H151" s="2584">
        <f t="shared" ca="1" si="128"/>
        <v>0</v>
      </c>
      <c r="I151" s="2294">
        <f t="shared" ref="I151:M152" ca="1" si="129">+J298</f>
        <v>0</v>
      </c>
      <c r="J151" s="2295">
        <f t="shared" ca="1" si="129"/>
        <v>0</v>
      </c>
      <c r="K151" s="2295">
        <f t="shared" ca="1" si="129"/>
        <v>0</v>
      </c>
      <c r="L151" s="2295">
        <f t="shared" ca="1" si="129"/>
        <v>0</v>
      </c>
      <c r="M151" s="2295">
        <f t="shared" ca="1" si="129"/>
        <v>0</v>
      </c>
      <c r="N151" s="2295">
        <f ca="1">+O298</f>
        <v>0</v>
      </c>
      <c r="O151" s="1558">
        <f t="shared" ref="O151:Q152" ca="1" si="130">+I151+L151</f>
        <v>0</v>
      </c>
      <c r="P151" s="1558">
        <f t="shared" ca="1" si="130"/>
        <v>0</v>
      </c>
      <c r="Q151" s="1559">
        <f t="shared" ca="1" si="130"/>
        <v>0</v>
      </c>
      <c r="V151" s="1736"/>
      <c r="W151" s="1736"/>
    </row>
    <row r="152" spans="1:23" s="250" customFormat="1" ht="76.5" customHeight="1" x14ac:dyDescent="0.35">
      <c r="A152" s="4352"/>
      <c r="B152" s="2046" t="s">
        <v>423</v>
      </c>
      <c r="C152" s="2295">
        <f>+D299</f>
        <v>0</v>
      </c>
      <c r="D152" s="2295">
        <f ca="1">+I299</f>
        <v>0</v>
      </c>
      <c r="E152" s="2704"/>
      <c r="F152" s="2583">
        <f ca="1">+I152+L152</f>
        <v>0</v>
      </c>
      <c r="G152" s="2295">
        <f t="shared" ca="1" si="128"/>
        <v>0</v>
      </c>
      <c r="H152" s="2584">
        <f t="shared" ca="1" si="128"/>
        <v>0</v>
      </c>
      <c r="I152" s="2294">
        <f t="shared" ca="1" si="129"/>
        <v>0</v>
      </c>
      <c r="J152" s="2295">
        <f t="shared" ca="1" si="129"/>
        <v>0</v>
      </c>
      <c r="K152" s="2295">
        <f t="shared" ca="1" si="129"/>
        <v>0</v>
      </c>
      <c r="L152" s="2295">
        <f t="shared" ca="1" si="129"/>
        <v>0</v>
      </c>
      <c r="M152" s="2295">
        <f t="shared" ca="1" si="129"/>
        <v>0</v>
      </c>
      <c r="N152" s="2295">
        <f ca="1">+O299</f>
        <v>0</v>
      </c>
      <c r="O152" s="1558">
        <f t="shared" ca="1" si="130"/>
        <v>0</v>
      </c>
      <c r="P152" s="1558">
        <f t="shared" ca="1" si="130"/>
        <v>0</v>
      </c>
      <c r="Q152" s="1559">
        <f t="shared" ca="1" si="130"/>
        <v>0</v>
      </c>
      <c r="V152" s="1736"/>
      <c r="W152" s="1736"/>
    </row>
    <row r="153" spans="1:23" s="250" customFormat="1" ht="76.5" customHeight="1" thickBot="1" x14ac:dyDescent="0.4">
      <c r="A153" s="4352"/>
      <c r="B153" s="2577"/>
      <c r="C153" s="2578"/>
      <c r="D153" s="2578"/>
      <c r="E153" s="2578"/>
      <c r="F153" s="2585">
        <f ca="1">SUM(F151:F152)</f>
        <v>0</v>
      </c>
      <c r="G153" s="2019">
        <f t="shared" ref="G153:H153" ca="1" si="131">SUM(G151:G152)</f>
        <v>0</v>
      </c>
      <c r="H153" s="2020">
        <f t="shared" ca="1" si="131"/>
        <v>0</v>
      </c>
      <c r="I153" s="2019">
        <f t="shared" ref="I153:Q153" ca="1" si="132">SUM(I151:I152)</f>
        <v>0</v>
      </c>
      <c r="J153" s="2019">
        <f t="shared" ca="1" si="132"/>
        <v>0</v>
      </c>
      <c r="K153" s="2019">
        <f t="shared" ca="1" si="132"/>
        <v>0</v>
      </c>
      <c r="L153" s="2019">
        <f t="shared" ca="1" si="132"/>
        <v>0</v>
      </c>
      <c r="M153" s="2019">
        <f t="shared" ca="1" si="132"/>
        <v>0</v>
      </c>
      <c r="N153" s="2019">
        <f t="shared" ca="1" si="132"/>
        <v>0</v>
      </c>
      <c r="O153" s="2019">
        <f t="shared" ca="1" si="132"/>
        <v>0</v>
      </c>
      <c r="P153" s="2019">
        <f t="shared" ca="1" si="132"/>
        <v>0</v>
      </c>
      <c r="Q153" s="2020">
        <f t="shared" ca="1" si="132"/>
        <v>0</v>
      </c>
      <c r="R153" s="1746">
        <f ca="1">SUM(O153:Q153)</f>
        <v>0</v>
      </c>
      <c r="V153" s="1736"/>
      <c r="W153" s="1736"/>
    </row>
    <row r="154" spans="1:23" s="1724" customFormat="1" ht="76.5" customHeight="1" x14ac:dyDescent="0.5">
      <c r="A154" s="4352"/>
      <c r="B154" s="2577"/>
      <c r="C154" s="2578"/>
      <c r="D154" s="2578"/>
      <c r="E154" s="2578"/>
      <c r="F154" s="2236"/>
      <c r="G154" s="2236"/>
      <c r="H154" s="2692"/>
      <c r="I154" s="4235" t="s">
        <v>377</v>
      </c>
      <c r="J154" s="4235"/>
      <c r="K154" s="4236"/>
      <c r="L154" s="2048"/>
      <c r="M154" s="2048"/>
      <c r="N154" s="2048"/>
      <c r="O154" s="2048"/>
      <c r="P154" s="2048"/>
      <c r="Q154" s="2049"/>
      <c r="V154" s="1728"/>
      <c r="W154" s="1728"/>
    </row>
    <row r="155" spans="1:23" s="250" customFormat="1" ht="76.5" customHeight="1" thickBot="1" x14ac:dyDescent="0.55000000000000004">
      <c r="A155" s="4527"/>
      <c r="B155" s="2579"/>
      <c r="C155" s="2580"/>
      <c r="D155" s="2580"/>
      <c r="E155" s="2580"/>
      <c r="F155" s="2406"/>
      <c r="G155" s="2406"/>
      <c r="H155" s="2693"/>
      <c r="I155" s="2703">
        <f ca="1">+I153+L153</f>
        <v>0</v>
      </c>
      <c r="J155" s="2066">
        <f ca="1">+J153+M153</f>
        <v>0</v>
      </c>
      <c r="K155" s="2066">
        <f ca="1">+K153+N153</f>
        <v>0</v>
      </c>
      <c r="L155" s="1723">
        <f ca="1">SUM(I155:K155)</f>
        <v>0</v>
      </c>
      <c r="M155" s="2048"/>
      <c r="N155" s="2048"/>
      <c r="O155" s="2048"/>
      <c r="P155" s="2048"/>
      <c r="Q155" s="2049"/>
      <c r="V155" s="1736"/>
      <c r="W155" s="1736"/>
    </row>
    <row r="156" spans="1:23" s="1724" customFormat="1" ht="76.5" customHeight="1" thickBot="1" x14ac:dyDescent="0.45">
      <c r="A156" s="1793"/>
      <c r="B156" s="1794"/>
      <c r="C156" s="1794"/>
      <c r="D156" s="1794"/>
      <c r="E156" s="1794"/>
      <c r="F156" s="1794"/>
      <c r="G156" s="1794"/>
      <c r="H156" s="1794"/>
      <c r="I156" s="1795"/>
      <c r="J156" s="1795"/>
      <c r="K156" s="1795"/>
      <c r="L156" s="1723"/>
      <c r="M156" s="1723"/>
      <c r="N156" s="1723"/>
      <c r="O156" s="1723"/>
      <c r="P156" s="1723"/>
      <c r="Q156" s="1767"/>
      <c r="V156" s="1728"/>
      <c r="W156" s="1728"/>
    </row>
    <row r="157" spans="1:23" s="250" customFormat="1" ht="76.5" customHeight="1" x14ac:dyDescent="0.35">
      <c r="A157" s="4455" t="s">
        <v>429</v>
      </c>
      <c r="B157" s="4456"/>
      <c r="C157" s="4456"/>
      <c r="D157" s="4456"/>
      <c r="E157" s="5093"/>
      <c r="F157" s="5098" t="s">
        <v>849</v>
      </c>
      <c r="G157" s="4235"/>
      <c r="H157" s="4236"/>
      <c r="I157" s="5096" t="s">
        <v>304</v>
      </c>
      <c r="J157" s="5096"/>
      <c r="K157" s="5097"/>
      <c r="L157" s="4215" t="s">
        <v>368</v>
      </c>
      <c r="M157" s="4213"/>
      <c r="N157" s="4214"/>
      <c r="O157" s="4216" t="s">
        <v>377</v>
      </c>
      <c r="P157" s="4217"/>
      <c r="Q157" s="4218"/>
      <c r="V157" s="1736"/>
      <c r="W157" s="1736"/>
    </row>
    <row r="158" spans="1:23" s="1724" customFormat="1" ht="76.5" customHeight="1" x14ac:dyDescent="0.35">
      <c r="A158" s="4458"/>
      <c r="B158" s="4459"/>
      <c r="C158" s="4459"/>
      <c r="D158" s="4459"/>
      <c r="E158" s="5094"/>
      <c r="F158" s="2548" t="s">
        <v>287</v>
      </c>
      <c r="G158" s="1515" t="s">
        <v>289</v>
      </c>
      <c r="H158" s="1517" t="s">
        <v>288</v>
      </c>
      <c r="I158" s="1740" t="s">
        <v>287</v>
      </c>
      <c r="J158" s="1738" t="s">
        <v>289</v>
      </c>
      <c r="K158" s="1738" t="s">
        <v>288</v>
      </c>
      <c r="L158" s="1738" t="s">
        <v>287</v>
      </c>
      <c r="M158" s="1738" t="s">
        <v>289</v>
      </c>
      <c r="N158" s="1738" t="s">
        <v>288</v>
      </c>
      <c r="O158" s="1730" t="s">
        <v>287</v>
      </c>
      <c r="P158" s="1730" t="s">
        <v>289</v>
      </c>
      <c r="Q158" s="1731" t="s">
        <v>288</v>
      </c>
      <c r="V158" s="1728"/>
      <c r="W158" s="1728"/>
    </row>
    <row r="159" spans="1:23" s="1724" customFormat="1" ht="76.5" customHeight="1" thickBot="1" x14ac:dyDescent="0.4">
      <c r="A159" s="4458"/>
      <c r="B159" s="4459"/>
      <c r="C159" s="4459"/>
      <c r="D159" s="4459"/>
      <c r="E159" s="5094"/>
      <c r="F159" s="2570" t="e">
        <f>+I159+L159</f>
        <v>#REF!</v>
      </c>
      <c r="G159" s="2571" t="e">
        <f t="shared" ref="G159:H159" si="133">+J159+M159</f>
        <v>#REF!</v>
      </c>
      <c r="H159" s="2572" t="e">
        <f t="shared" si="133"/>
        <v>#REF!</v>
      </c>
      <c r="I159" s="2300" t="e">
        <f t="shared" ref="I159:N159" si="134">+J428</f>
        <v>#REF!</v>
      </c>
      <c r="J159" s="2301" t="e">
        <f t="shared" si="134"/>
        <v>#REF!</v>
      </c>
      <c r="K159" s="2301" t="e">
        <f t="shared" si="134"/>
        <v>#REF!</v>
      </c>
      <c r="L159" s="2301" t="e">
        <f t="shared" si="134"/>
        <v>#REF!</v>
      </c>
      <c r="M159" s="2301" t="e">
        <f t="shared" si="134"/>
        <v>#REF!</v>
      </c>
      <c r="N159" s="2301" t="e">
        <f t="shared" si="134"/>
        <v>#REF!</v>
      </c>
      <c r="O159" s="1831" t="e">
        <f>+I159+L159</f>
        <v>#REF!</v>
      </c>
      <c r="P159" s="1831" t="e">
        <f>+J159+M159</f>
        <v>#REF!</v>
      </c>
      <c r="Q159" s="1832" t="e">
        <f>+K159+N159</f>
        <v>#REF!</v>
      </c>
      <c r="R159" s="1746" t="e">
        <f>SUM(O159:Q159)</f>
        <v>#REF!</v>
      </c>
      <c r="V159" s="1728"/>
      <c r="W159" s="1728"/>
    </row>
    <row r="160" spans="1:23" s="1724" customFormat="1" ht="76.5" customHeight="1" x14ac:dyDescent="0.35">
      <c r="A160" s="4458"/>
      <c r="B160" s="4459"/>
      <c r="C160" s="4459"/>
      <c r="D160" s="4459"/>
      <c r="E160" s="5094"/>
      <c r="F160" s="2235"/>
      <c r="G160" s="2235"/>
      <c r="H160" s="2509"/>
      <c r="I160" s="4297" t="s">
        <v>377</v>
      </c>
      <c r="J160" s="4297"/>
      <c r="K160" s="4316"/>
      <c r="L160" s="2302"/>
      <c r="M160" s="2302"/>
      <c r="N160" s="2302"/>
      <c r="O160" s="1835"/>
      <c r="P160" s="1835"/>
      <c r="Q160" s="1836"/>
      <c r="V160" s="1728"/>
      <c r="W160" s="1728"/>
    </row>
    <row r="161" spans="1:23" s="1724" customFormat="1" ht="76.5" customHeight="1" thickBot="1" x14ac:dyDescent="0.4">
      <c r="A161" s="4461"/>
      <c r="B161" s="4462"/>
      <c r="C161" s="4462"/>
      <c r="D161" s="4462"/>
      <c r="E161" s="5095"/>
      <c r="F161" s="2195"/>
      <c r="G161" s="2195"/>
      <c r="H161" s="2510"/>
      <c r="I161" s="1786" t="e">
        <f>+I159+L159</f>
        <v>#REF!</v>
      </c>
      <c r="J161" s="1786" t="e">
        <f>+J159+M159</f>
        <v>#REF!</v>
      </c>
      <c r="K161" s="1786" t="e">
        <f>+K159+N159</f>
        <v>#REF!</v>
      </c>
      <c r="L161" s="2303"/>
      <c r="M161" s="2303"/>
      <c r="N161" s="2303"/>
      <c r="O161" s="1839"/>
      <c r="P161" s="1839"/>
      <c r="Q161" s="1840"/>
      <c r="V161" s="1728"/>
      <c r="W161" s="1728"/>
    </row>
    <row r="162" spans="1:23" s="1724" customFormat="1" ht="76.5" customHeight="1" thickBot="1" x14ac:dyDescent="0.4">
      <c r="A162" s="1841"/>
      <c r="B162" s="1842"/>
      <c r="C162" s="1842"/>
      <c r="D162" s="1842"/>
      <c r="E162" s="1842"/>
      <c r="F162" s="1842"/>
      <c r="G162" s="1842"/>
      <c r="H162" s="1842"/>
      <c r="I162" s="2302"/>
      <c r="J162" s="2302"/>
      <c r="K162" s="2302"/>
      <c r="L162" s="2302"/>
      <c r="M162" s="2302"/>
      <c r="N162" s="2302"/>
      <c r="O162" s="1835"/>
      <c r="P162" s="1835"/>
      <c r="Q162" s="1836"/>
      <c r="V162" s="1728"/>
      <c r="W162" s="1728"/>
    </row>
    <row r="163" spans="1:23" s="1724" customFormat="1" ht="76.5" customHeight="1" x14ac:dyDescent="0.35">
      <c r="A163" s="4455" t="s">
        <v>430</v>
      </c>
      <c r="B163" s="4456"/>
      <c r="C163" s="4456"/>
      <c r="D163" s="4456"/>
      <c r="E163" s="4456"/>
      <c r="F163" s="5098" t="s">
        <v>304</v>
      </c>
      <c r="G163" s="4235"/>
      <c r="H163" s="4236"/>
      <c r="I163" s="4213" t="s">
        <v>304</v>
      </c>
      <c r="J163" s="4213"/>
      <c r="K163" s="4303"/>
      <c r="L163" s="2302"/>
      <c r="M163" s="2302"/>
      <c r="N163" s="2302"/>
      <c r="O163" s="1835"/>
      <c r="P163" s="1835"/>
      <c r="Q163" s="1836"/>
      <c r="V163" s="1728"/>
      <c r="W163" s="1728"/>
    </row>
    <row r="164" spans="1:23" s="1724" customFormat="1" ht="76.5" customHeight="1" x14ac:dyDescent="0.4">
      <c r="A164" s="4458"/>
      <c r="B164" s="4459"/>
      <c r="C164" s="4459"/>
      <c r="D164" s="4459"/>
      <c r="E164" s="4459"/>
      <c r="F164" s="2548" t="s">
        <v>287</v>
      </c>
      <c r="G164" s="1515" t="s">
        <v>289</v>
      </c>
      <c r="H164" s="1517" t="s">
        <v>288</v>
      </c>
      <c r="I164" s="1740" t="s">
        <v>287</v>
      </c>
      <c r="J164" s="1738" t="s">
        <v>289</v>
      </c>
      <c r="K164" s="1772" t="s">
        <v>288</v>
      </c>
      <c r="L164" s="1723"/>
      <c r="M164" s="1723"/>
      <c r="N164" s="1723"/>
      <c r="O164" s="1723"/>
      <c r="P164" s="1723"/>
      <c r="Q164" s="1767"/>
      <c r="V164" s="1728"/>
      <c r="W164" s="1728"/>
    </row>
    <row r="165" spans="1:23" s="1724" customFormat="1" ht="76.5" customHeight="1" thickBot="1" x14ac:dyDescent="0.45">
      <c r="A165" s="4461"/>
      <c r="B165" s="4462"/>
      <c r="C165" s="4462"/>
      <c r="D165" s="4462"/>
      <c r="E165" s="4462"/>
      <c r="F165" s="2574">
        <f>+I165</f>
        <v>0</v>
      </c>
      <c r="G165" s="2575">
        <f t="shared" ref="G165:H165" si="135">+J165</f>
        <v>0</v>
      </c>
      <c r="H165" s="2576">
        <f t="shared" si="135"/>
        <v>0</v>
      </c>
      <c r="I165" s="2573">
        <f>+J429</f>
        <v>0</v>
      </c>
      <c r="J165" s="2067">
        <f>+K429</f>
        <v>0</v>
      </c>
      <c r="K165" s="2067">
        <f>+L429</f>
        <v>0</v>
      </c>
      <c r="L165" s="1723">
        <f>SUM(I165:K165)</f>
        <v>0</v>
      </c>
      <c r="M165" s="1723"/>
      <c r="N165" s="1723"/>
      <c r="O165" s="1723"/>
      <c r="P165" s="1723"/>
      <c r="Q165" s="1767"/>
      <c r="V165" s="1728"/>
      <c r="W165" s="1728"/>
    </row>
    <row r="166" spans="1:23" s="1724" customFormat="1" ht="76.5" customHeight="1" x14ac:dyDescent="0.4">
      <c r="A166" s="1841"/>
      <c r="B166" s="1842"/>
      <c r="C166" s="1842"/>
      <c r="D166" s="1842"/>
      <c r="E166" s="1842"/>
      <c r="F166" s="1842"/>
      <c r="G166" s="1842"/>
      <c r="H166" s="1842"/>
      <c r="I166" s="1795"/>
      <c r="J166" s="1795"/>
      <c r="K166" s="1795"/>
      <c r="L166" s="1723"/>
      <c r="M166" s="1723"/>
      <c r="N166" s="1723"/>
      <c r="O166" s="1723"/>
      <c r="P166" s="1723"/>
      <c r="Q166" s="1767"/>
      <c r="V166" s="1728"/>
      <c r="W166" s="1728"/>
    </row>
    <row r="167" spans="1:23" s="1724" customFormat="1" ht="76.5" customHeight="1" x14ac:dyDescent="0.35">
      <c r="A167" s="4528" t="s">
        <v>431</v>
      </c>
      <c r="B167" s="4529"/>
      <c r="C167" s="4529"/>
      <c r="D167" s="4529"/>
      <c r="E167" s="4530"/>
      <c r="F167" s="5090" t="s">
        <v>432</v>
      </c>
      <c r="G167" s="4529"/>
      <c r="H167" s="4530"/>
      <c r="I167" s="4293" t="s">
        <v>304</v>
      </c>
      <c r="J167" s="4294"/>
      <c r="K167" s="4295"/>
      <c r="L167" s="4293" t="s">
        <v>368</v>
      </c>
      <c r="M167" s="4294"/>
      <c r="N167" s="4295"/>
      <c r="O167" s="4296" t="s">
        <v>377</v>
      </c>
      <c r="P167" s="4297"/>
      <c r="Q167" s="4316"/>
      <c r="V167" s="1728"/>
      <c r="W167" s="1728"/>
    </row>
    <row r="168" spans="1:23" s="1724" customFormat="1" ht="76.5" customHeight="1" x14ac:dyDescent="0.35">
      <c r="A168" s="4531"/>
      <c r="B168" s="4532"/>
      <c r="C168" s="4532"/>
      <c r="D168" s="4532"/>
      <c r="E168" s="4533"/>
      <c r="F168" s="5091"/>
      <c r="G168" s="4532"/>
      <c r="H168" s="4533"/>
      <c r="I168" s="1738" t="s">
        <v>287</v>
      </c>
      <c r="J168" s="1738" t="s">
        <v>289</v>
      </c>
      <c r="K168" s="1738" t="s">
        <v>288</v>
      </c>
      <c r="L168" s="1738" t="s">
        <v>287</v>
      </c>
      <c r="M168" s="1738" t="s">
        <v>289</v>
      </c>
      <c r="N168" s="1738" t="s">
        <v>288</v>
      </c>
      <c r="O168" s="1730" t="s">
        <v>287</v>
      </c>
      <c r="P168" s="1730" t="s">
        <v>289</v>
      </c>
      <c r="Q168" s="1731" t="s">
        <v>288</v>
      </c>
      <c r="V168" s="1728"/>
      <c r="W168" s="1728"/>
    </row>
    <row r="169" spans="1:23" s="1724" customFormat="1" ht="76.5" customHeight="1" x14ac:dyDescent="0.35">
      <c r="A169" s="4531"/>
      <c r="B169" s="4532"/>
      <c r="C169" s="4532"/>
      <c r="D169" s="4532"/>
      <c r="E169" s="4533"/>
      <c r="F169" s="5091"/>
      <c r="G169" s="4532"/>
      <c r="H169" s="4533"/>
      <c r="I169" s="2071" t="e">
        <f t="shared" ref="I169:N169" ca="1" si="136">+I109+I135+I144+I153+I159+I165+I129</f>
        <v>#REF!</v>
      </c>
      <c r="J169" s="2071" t="e">
        <f t="shared" ca="1" si="136"/>
        <v>#REF!</v>
      </c>
      <c r="K169" s="2071" t="e">
        <f t="shared" ca="1" si="136"/>
        <v>#REF!</v>
      </c>
      <c r="L169" s="2071" t="e">
        <f t="shared" ca="1" si="136"/>
        <v>#REF!</v>
      </c>
      <c r="M169" s="2071" t="e">
        <f t="shared" ca="1" si="136"/>
        <v>#REF!</v>
      </c>
      <c r="N169" s="2071" t="e">
        <f t="shared" ca="1" si="136"/>
        <v>#REF!</v>
      </c>
      <c r="O169" s="2071" t="e">
        <f ca="1">+O109+O135+O144+O153+O159+O165</f>
        <v>#REF!</v>
      </c>
      <c r="P169" s="2071" t="e">
        <f ca="1">+P109+P135+P144+P153+P159+P165</f>
        <v>#REF!</v>
      </c>
      <c r="Q169" s="2072" t="e">
        <f ca="1">+Q109+Q135+Q144+Q153+Q159+Q165</f>
        <v>#REF!</v>
      </c>
      <c r="R169" s="1746" t="e">
        <f ca="1">SUM(O169:Q169)</f>
        <v>#REF!</v>
      </c>
      <c r="V169" s="1728"/>
      <c r="W169" s="1728"/>
    </row>
    <row r="170" spans="1:23" s="1724" customFormat="1" ht="76.5" customHeight="1" x14ac:dyDescent="0.4">
      <c r="A170" s="4531"/>
      <c r="B170" s="4532"/>
      <c r="C170" s="4532"/>
      <c r="D170" s="4532"/>
      <c r="E170" s="4533"/>
      <c r="F170" s="5092"/>
      <c r="G170" s="4535"/>
      <c r="H170" s="4536"/>
      <c r="I170" s="4296" t="s">
        <v>432</v>
      </c>
      <c r="J170" s="4297"/>
      <c r="K170" s="4298"/>
      <c r="L170" s="1723"/>
      <c r="M170" s="1723"/>
      <c r="N170" s="1723"/>
      <c r="O170" s="2068" t="e">
        <f ca="1">+I169+L169</f>
        <v>#REF!</v>
      </c>
      <c r="P170" s="2069" t="e">
        <f ca="1">+J169+M169</f>
        <v>#REF!</v>
      </c>
      <c r="Q170" s="2070" t="e">
        <f ca="1">+K169+N169</f>
        <v>#REF!</v>
      </c>
      <c r="V170" s="1728"/>
      <c r="W170" s="1728"/>
    </row>
    <row r="171" spans="1:23" s="1724" customFormat="1" ht="76.5" customHeight="1" x14ac:dyDescent="0.4">
      <c r="A171" s="4531"/>
      <c r="B171" s="4532"/>
      <c r="C171" s="4532"/>
      <c r="D171" s="4532"/>
      <c r="E171" s="4533"/>
      <c r="F171" s="1730" t="s">
        <v>287</v>
      </c>
      <c r="G171" s="1730" t="s">
        <v>289</v>
      </c>
      <c r="H171" s="1730" t="s">
        <v>288</v>
      </c>
      <c r="I171" s="1730" t="s">
        <v>287</v>
      </c>
      <c r="J171" s="1730" t="s">
        <v>289</v>
      </c>
      <c r="K171" s="1730" t="s">
        <v>288</v>
      </c>
      <c r="L171" s="1723"/>
      <c r="M171" s="1723"/>
      <c r="N171" s="1723"/>
      <c r="O171" s="1723"/>
      <c r="P171" s="1723"/>
      <c r="Q171" s="1767"/>
      <c r="V171" s="1728"/>
      <c r="W171" s="1728"/>
    </row>
    <row r="172" spans="1:23" s="250" customFormat="1" ht="76.5" customHeight="1" x14ac:dyDescent="0.4">
      <c r="A172" s="4534"/>
      <c r="B172" s="4535"/>
      <c r="C172" s="4535"/>
      <c r="D172" s="4535"/>
      <c r="E172" s="4536"/>
      <c r="F172" s="1557" t="e">
        <f ca="1">+I172</f>
        <v>#REF!</v>
      </c>
      <c r="G172" s="1557" t="e">
        <f t="shared" ref="G172:H172" ca="1" si="137">+J172</f>
        <v>#REF!</v>
      </c>
      <c r="H172" s="1557" t="e">
        <f t="shared" ca="1" si="137"/>
        <v>#REF!</v>
      </c>
      <c r="I172" s="1557" t="e">
        <f ca="1">+I169+L169</f>
        <v>#REF!</v>
      </c>
      <c r="J172" s="1557" t="e">
        <f ca="1">+J169+M169</f>
        <v>#REF!</v>
      </c>
      <c r="K172" s="2050" t="e">
        <f ca="1">+K169+N169</f>
        <v>#REF!</v>
      </c>
      <c r="L172" s="1723" t="e">
        <f ca="1">SUM(I172:K172)</f>
        <v>#REF!</v>
      </c>
      <c r="M172" s="837"/>
      <c r="N172" s="837"/>
      <c r="O172" s="837"/>
      <c r="P172" s="837"/>
      <c r="Q172" s="2073"/>
      <c r="V172" s="1736"/>
      <c r="W172" s="1736"/>
    </row>
    <row r="173" spans="1:23" s="1724" customFormat="1" ht="76.5" customHeight="1" thickBot="1" x14ac:dyDescent="0.4">
      <c r="A173" s="1856"/>
      <c r="B173" s="1857"/>
      <c r="C173" s="1857"/>
      <c r="D173" s="1857"/>
      <c r="E173" s="1857"/>
      <c r="F173" s="1857"/>
      <c r="G173" s="1857"/>
      <c r="H173" s="1857"/>
      <c r="I173" s="2304"/>
      <c r="J173" s="2304"/>
      <c r="K173" s="2304"/>
      <c r="L173" s="1859"/>
      <c r="M173" s="1726"/>
      <c r="N173" s="1726"/>
      <c r="O173" s="1726"/>
      <c r="P173" s="1726"/>
      <c r="Q173" s="1727"/>
      <c r="V173" s="1728"/>
      <c r="W173" s="1728"/>
    </row>
    <row r="174" spans="1:23" s="250" customFormat="1" ht="76.5" customHeight="1" x14ac:dyDescent="0.35">
      <c r="A174" s="4446" t="s">
        <v>433</v>
      </c>
      <c r="B174" s="4447"/>
      <c r="C174" s="4447"/>
      <c r="D174" s="4447"/>
      <c r="E174" s="4448"/>
      <c r="F174" s="4216" t="s">
        <v>434</v>
      </c>
      <c r="G174" s="4217"/>
      <c r="H174" s="4218"/>
      <c r="I174" s="4216" t="s">
        <v>434</v>
      </c>
      <c r="J174" s="4217"/>
      <c r="K174" s="4218"/>
      <c r="L174" s="1855"/>
      <c r="M174" s="837"/>
      <c r="N174" s="837"/>
      <c r="O174" s="4304"/>
      <c r="P174" s="4304"/>
      <c r="Q174" s="4305"/>
      <c r="V174" s="1736"/>
      <c r="W174" s="1736"/>
    </row>
    <row r="175" spans="1:23" s="250" customFormat="1" ht="76.5" customHeight="1" x14ac:dyDescent="0.35">
      <c r="A175" s="4449"/>
      <c r="B175" s="4450"/>
      <c r="C175" s="4450"/>
      <c r="D175" s="4450"/>
      <c r="E175" s="4451"/>
      <c r="F175" s="1730" t="s">
        <v>287</v>
      </c>
      <c r="G175" s="1730" t="s">
        <v>289</v>
      </c>
      <c r="H175" s="1731" t="s">
        <v>288</v>
      </c>
      <c r="I175" s="1730" t="s">
        <v>287</v>
      </c>
      <c r="J175" s="1730" t="s">
        <v>289</v>
      </c>
      <c r="K175" s="1731" t="s">
        <v>288</v>
      </c>
      <c r="L175" s="1855"/>
      <c r="M175" s="837"/>
      <c r="N175" s="837"/>
      <c r="O175" s="1860"/>
      <c r="P175" s="1860"/>
      <c r="Q175" s="2074"/>
      <c r="V175" s="1736"/>
      <c r="W175" s="1736"/>
    </row>
    <row r="176" spans="1:23" s="250" customFormat="1" ht="76.5" customHeight="1" thickBot="1" x14ac:dyDescent="0.55000000000000004">
      <c r="A176" s="4452"/>
      <c r="B176" s="4453"/>
      <c r="C176" s="4453"/>
      <c r="D176" s="4453"/>
      <c r="E176" s="4454"/>
      <c r="F176" s="2051">
        <f>+I176</f>
        <v>0</v>
      </c>
      <c r="G176" s="2051">
        <f t="shared" ref="G176:H176" si="138">+J176</f>
        <v>0</v>
      </c>
      <c r="H176" s="2051">
        <f t="shared" si="138"/>
        <v>0</v>
      </c>
      <c r="I176" s="2051">
        <f>+'Compra -HOJA1'!G10</f>
        <v>0</v>
      </c>
      <c r="J176" s="2051">
        <f>+'Compra -HOJA1'!I10</f>
        <v>0</v>
      </c>
      <c r="K176" s="2052">
        <f>+'Compra -HOJA1'!H10</f>
        <v>0</v>
      </c>
      <c r="L176" s="1723">
        <f>SUM(I176:K176)</f>
        <v>0</v>
      </c>
      <c r="M176" s="837"/>
      <c r="N176" s="837"/>
      <c r="O176" s="1855"/>
      <c r="P176" s="1855"/>
      <c r="Q176" s="2075"/>
      <c r="R176" s="1746">
        <f>SUM(O176:Q176)</f>
        <v>0</v>
      </c>
      <c r="V176" s="1736"/>
      <c r="W176" s="1736"/>
    </row>
    <row r="177" spans="1:23" s="1724" customFormat="1" ht="30" customHeight="1" thickBot="1" x14ac:dyDescent="0.4">
      <c r="A177" s="1861"/>
      <c r="B177" s="1862"/>
      <c r="C177" s="1862"/>
      <c r="D177" s="1862"/>
      <c r="E177" s="1862"/>
      <c r="F177" s="1862"/>
      <c r="G177" s="1862"/>
      <c r="H177" s="1862"/>
      <c r="I177" s="1859"/>
      <c r="J177" s="1859"/>
      <c r="K177" s="1859"/>
      <c r="L177" s="1859"/>
      <c r="M177" s="1726"/>
      <c r="N177" s="1726"/>
      <c r="O177" s="1855"/>
      <c r="P177" s="1855"/>
      <c r="Q177" s="2075"/>
      <c r="V177" s="1728"/>
      <c r="W177" s="1728"/>
    </row>
    <row r="178" spans="1:23" s="1724" customFormat="1" ht="30" customHeight="1" thickBot="1" x14ac:dyDescent="0.4">
      <c r="A178" s="4464" t="s">
        <v>435</v>
      </c>
      <c r="B178" s="4465"/>
      <c r="C178" s="4465"/>
      <c r="D178" s="4465"/>
      <c r="E178" s="4466"/>
      <c r="F178" s="1980" t="e">
        <f t="shared" ref="F178:K178" ca="1" si="139">+F176-F172</f>
        <v>#REF!</v>
      </c>
      <c r="G178" s="1981" t="e">
        <f t="shared" ca="1" si="139"/>
        <v>#REF!</v>
      </c>
      <c r="H178" s="1982" t="e">
        <f t="shared" ca="1" si="139"/>
        <v>#REF!</v>
      </c>
      <c r="I178" s="1980" t="e">
        <f t="shared" ca="1" si="139"/>
        <v>#REF!</v>
      </c>
      <c r="J178" s="1981" t="e">
        <f t="shared" ca="1" si="139"/>
        <v>#REF!</v>
      </c>
      <c r="K178" s="1982" t="e">
        <f t="shared" ca="1" si="139"/>
        <v>#REF!</v>
      </c>
      <c r="L178" s="1859"/>
      <c r="M178" s="1726"/>
      <c r="N178" s="1726"/>
      <c r="O178" s="1855"/>
      <c r="P178" s="1855"/>
      <c r="Q178" s="2075"/>
      <c r="R178" s="1746">
        <f>SUM(O178:Q178)</f>
        <v>0</v>
      </c>
      <c r="V178" s="1728"/>
      <c r="W178" s="1728"/>
    </row>
    <row r="179" spans="1:23" s="1724" customFormat="1" ht="30" customHeight="1" thickBot="1" x14ac:dyDescent="0.55000000000000004">
      <c r="A179" s="1861"/>
      <c r="B179" s="1862"/>
      <c r="C179" s="1862"/>
      <c r="D179" s="1862"/>
      <c r="E179" s="1862"/>
      <c r="F179" s="2053" t="e">
        <f t="shared" ref="F179:K179" ca="1" si="140">+IF(F176=F172,"OK","VERIFICAR")</f>
        <v>#REF!</v>
      </c>
      <c r="G179" s="2054" t="e">
        <f t="shared" ca="1" si="140"/>
        <v>#REF!</v>
      </c>
      <c r="H179" s="2055" t="e">
        <f t="shared" ca="1" si="140"/>
        <v>#REF!</v>
      </c>
      <c r="I179" s="2053" t="e">
        <f t="shared" ca="1" si="140"/>
        <v>#REF!</v>
      </c>
      <c r="J179" s="2054" t="e">
        <f t="shared" ca="1" si="140"/>
        <v>#REF!</v>
      </c>
      <c r="K179" s="2055" t="e">
        <f t="shared" ca="1" si="140"/>
        <v>#REF!</v>
      </c>
      <c r="L179" s="1859"/>
      <c r="M179" s="1726"/>
      <c r="N179" s="1726"/>
      <c r="O179" s="1855"/>
      <c r="P179" s="1855"/>
      <c r="Q179" s="2075"/>
      <c r="V179" s="1728"/>
      <c r="W179" s="1728"/>
    </row>
    <row r="180" spans="1:23" s="250" customFormat="1" ht="30" customHeight="1" thickBot="1" x14ac:dyDescent="0.4">
      <c r="A180" s="1865"/>
      <c r="B180" s="1866"/>
      <c r="C180" s="2275"/>
      <c r="D180" s="2276"/>
      <c r="E180" s="2276"/>
      <c r="F180" s="2276"/>
      <c r="G180" s="2276"/>
      <c r="H180" s="2276"/>
      <c r="I180" s="1869"/>
      <c r="J180" s="1869"/>
      <c r="K180" s="1869"/>
      <c r="L180" s="1869"/>
      <c r="M180" s="1872"/>
      <c r="N180" s="1872"/>
      <c r="O180" s="1872"/>
      <c r="P180" s="1872"/>
      <c r="Q180" s="1873"/>
      <c r="V180" s="1736"/>
      <c r="W180" s="1736"/>
    </row>
    <row r="181" spans="1:23" s="250" customFormat="1" ht="30" hidden="1" customHeight="1" x14ac:dyDescent="0.35">
      <c r="C181" s="837"/>
      <c r="D181" s="837"/>
      <c r="E181" s="837"/>
      <c r="F181" s="837"/>
      <c r="G181" s="837"/>
      <c r="H181" s="837"/>
      <c r="I181" s="837"/>
      <c r="J181" s="837"/>
      <c r="K181" s="837"/>
      <c r="L181" s="837"/>
      <c r="M181" s="837"/>
      <c r="N181" s="837"/>
      <c r="O181" s="837"/>
      <c r="P181" s="837"/>
      <c r="Q181" s="837"/>
      <c r="V181" s="1736"/>
      <c r="W181" s="1736"/>
    </row>
    <row r="182" spans="1:23" s="250" customFormat="1" ht="30" hidden="1" customHeight="1" x14ac:dyDescent="0.35">
      <c r="A182" s="1874" t="s">
        <v>436</v>
      </c>
      <c r="B182" s="1874"/>
      <c r="C182" s="2103"/>
      <c r="D182" s="2305" t="e">
        <f>'Compra -HOJA1'!#REF!</f>
        <v>#REF!</v>
      </c>
      <c r="E182" s="2305"/>
      <c r="F182" s="2305"/>
      <c r="G182" s="2305"/>
      <c r="H182" s="2305"/>
      <c r="I182" s="2081"/>
      <c r="J182" s="2081"/>
      <c r="K182" s="2081"/>
      <c r="L182" s="837"/>
      <c r="M182" s="837"/>
      <c r="N182" s="837"/>
      <c r="O182" s="837"/>
      <c r="P182" s="837"/>
      <c r="Q182" s="837"/>
      <c r="V182" s="1736"/>
      <c r="W182" s="1736"/>
    </row>
    <row r="183" spans="1:23" s="250" customFormat="1" ht="30" hidden="1" customHeight="1" x14ac:dyDescent="0.35">
      <c r="A183" s="1874" t="s">
        <v>437</v>
      </c>
      <c r="B183" s="1874"/>
      <c r="C183" s="2103"/>
      <c r="D183" s="2306"/>
      <c r="E183" s="2306"/>
      <c r="F183" s="2306"/>
      <c r="G183" s="2306"/>
      <c r="H183" s="2306"/>
      <c r="I183" s="2080"/>
      <c r="J183" s="2080"/>
      <c r="K183" s="2080"/>
      <c r="L183" s="837"/>
      <c r="M183" s="837"/>
      <c r="N183" s="837"/>
      <c r="O183" s="837"/>
      <c r="P183" s="837"/>
      <c r="Q183" s="837"/>
      <c r="V183" s="1736"/>
      <c r="W183" s="1736"/>
    </row>
    <row r="184" spans="1:23" s="250" customFormat="1" ht="30" hidden="1" customHeight="1" x14ac:dyDescent="0.35">
      <c r="A184" s="1878"/>
      <c r="B184" s="1878"/>
      <c r="C184" s="2082"/>
      <c r="D184" s="2082"/>
      <c r="E184" s="2082"/>
      <c r="F184" s="2082"/>
      <c r="G184" s="2082"/>
      <c r="H184" s="2082"/>
      <c r="I184" s="2082"/>
      <c r="J184" s="2082"/>
      <c r="K184" s="2082"/>
      <c r="L184" s="2307"/>
      <c r="M184" s="837"/>
      <c r="N184" s="837"/>
      <c r="O184" s="837"/>
      <c r="P184" s="837"/>
      <c r="Q184" s="837"/>
      <c r="V184" s="1736"/>
      <c r="W184" s="1736"/>
    </row>
    <row r="185" spans="1:23" s="250" customFormat="1" ht="30" hidden="1" customHeight="1" thickBot="1" x14ac:dyDescent="0.4">
      <c r="A185" s="1878"/>
      <c r="B185" s="1878"/>
      <c r="C185" s="2082"/>
      <c r="D185" s="2082"/>
      <c r="E185" s="2082"/>
      <c r="F185" s="2082"/>
      <c r="G185" s="2082"/>
      <c r="H185" s="2082"/>
      <c r="I185" s="2082"/>
      <c r="J185" s="2082"/>
      <c r="K185" s="2082"/>
      <c r="L185" s="837"/>
      <c r="M185" s="837"/>
      <c r="N185" s="837"/>
      <c r="O185" s="837"/>
      <c r="P185" s="837"/>
      <c r="Q185" s="837"/>
      <c r="V185" s="1736"/>
      <c r="W185" s="1736"/>
    </row>
    <row r="186" spans="1:23" s="250" customFormat="1" ht="30" hidden="1" customHeight="1" x14ac:dyDescent="0.35">
      <c r="A186" s="1880" t="s">
        <v>438</v>
      </c>
      <c r="B186" s="1880"/>
      <c r="C186" s="2308"/>
      <c r="D186" s="2308"/>
      <c r="E186" s="2308"/>
      <c r="F186" s="4234" t="s">
        <v>849</v>
      </c>
      <c r="G186" s="4235"/>
      <c r="H186" s="4244"/>
      <c r="I186" s="4296" t="s">
        <v>304</v>
      </c>
      <c r="J186" s="4297"/>
      <c r="K186" s="4298"/>
      <c r="L186" s="4296" t="s">
        <v>439</v>
      </c>
      <c r="M186" s="4297"/>
      <c r="N186" s="4298"/>
      <c r="O186" s="4296" t="s">
        <v>377</v>
      </c>
      <c r="P186" s="4297"/>
      <c r="Q186" s="4298"/>
      <c r="V186" s="1736"/>
      <c r="W186" s="1736"/>
    </row>
    <row r="187" spans="1:23" s="250" customFormat="1" ht="30" hidden="1" customHeight="1" thickBot="1" x14ac:dyDescent="0.4">
      <c r="A187" s="1882" t="s">
        <v>440</v>
      </c>
      <c r="B187" s="1882"/>
      <c r="C187" s="2320"/>
      <c r="D187" s="2308"/>
      <c r="E187" s="2308" t="s">
        <v>441</v>
      </c>
      <c r="F187" s="1515" t="s">
        <v>287</v>
      </c>
      <c r="G187" s="1515" t="s">
        <v>289</v>
      </c>
      <c r="H187" s="1516" t="s">
        <v>288</v>
      </c>
      <c r="I187" s="1883" t="s">
        <v>287</v>
      </c>
      <c r="J187" s="1883" t="s">
        <v>289</v>
      </c>
      <c r="K187" s="1883" t="s">
        <v>288</v>
      </c>
      <c r="L187" s="1883" t="s">
        <v>287</v>
      </c>
      <c r="M187" s="1883" t="s">
        <v>289</v>
      </c>
      <c r="N187" s="1883" t="s">
        <v>288</v>
      </c>
      <c r="O187" s="1883" t="s">
        <v>287</v>
      </c>
      <c r="P187" s="1883" t="s">
        <v>289</v>
      </c>
      <c r="Q187" s="1883" t="s">
        <v>288</v>
      </c>
      <c r="R187" s="1885" t="s">
        <v>290</v>
      </c>
      <c r="V187" s="1736"/>
      <c r="W187" s="1736"/>
    </row>
    <row r="188" spans="1:23" s="250" customFormat="1" ht="30" hidden="1" customHeight="1" thickBot="1" x14ac:dyDescent="0.4">
      <c r="A188" s="3952" t="s">
        <v>41</v>
      </c>
      <c r="B188" s="1947">
        <v>5030</v>
      </c>
      <c r="C188" s="4617" t="s">
        <v>217</v>
      </c>
      <c r="D188" s="4618"/>
      <c r="E188" s="1886">
        <f>+INT(E320)</f>
        <v>0</v>
      </c>
      <c r="F188" s="1886" t="e">
        <f>+I188+L188</f>
        <v>#REF!</v>
      </c>
      <c r="G188" s="1886" t="e">
        <f t="shared" ref="G188:H188" si="141">+J188+M188</f>
        <v>#REF!</v>
      </c>
      <c r="H188" s="1886" t="e">
        <f t="shared" si="141"/>
        <v>#REF!</v>
      </c>
      <c r="I188" s="1886">
        <f t="shared" ref="I188:N188" si="142">+INT(I320)</f>
        <v>0</v>
      </c>
      <c r="J188" s="1886">
        <f t="shared" si="142"/>
        <v>0</v>
      </c>
      <c r="K188" s="1886">
        <f t="shared" si="142"/>
        <v>0</v>
      </c>
      <c r="L188" s="1886" t="e">
        <f t="shared" si="142"/>
        <v>#REF!</v>
      </c>
      <c r="M188" s="1886" t="e">
        <f t="shared" si="142"/>
        <v>#REF!</v>
      </c>
      <c r="N188" s="1886" t="e">
        <f t="shared" si="142"/>
        <v>#REF!</v>
      </c>
      <c r="O188" s="1887" t="e">
        <f t="shared" ref="O188:Q219" si="143">+I188+L188</f>
        <v>#REF!</v>
      </c>
      <c r="P188" s="1887" t="e">
        <f t="shared" si="143"/>
        <v>#REF!</v>
      </c>
      <c r="Q188" s="1888" t="e">
        <f t="shared" si="143"/>
        <v>#REF!</v>
      </c>
      <c r="R188" s="1888" t="e">
        <f t="shared" ref="R188:R251" si="144">SUM(O188:Q188)</f>
        <v>#REF!</v>
      </c>
      <c r="S188" s="1889"/>
      <c r="T188" s="1889"/>
      <c r="U188" s="1889"/>
      <c r="V188" s="1736"/>
      <c r="W188" s="1736"/>
    </row>
    <row r="189" spans="1:23" s="250" customFormat="1" ht="27" hidden="1" customHeight="1" thickBot="1" x14ac:dyDescent="0.45">
      <c r="A189" s="3953"/>
      <c r="B189" s="1954">
        <v>5040</v>
      </c>
      <c r="C189" s="3743" t="s">
        <v>218</v>
      </c>
      <c r="D189" s="3744"/>
      <c r="E189" s="1886" t="e">
        <f t="shared" ref="E189:N222" si="145">+INT(E321)</f>
        <v>#REF!</v>
      </c>
      <c r="F189" s="1886" t="e">
        <f t="shared" ref="F189:F227" si="146">+I189+L189</f>
        <v>#REF!</v>
      </c>
      <c r="G189" s="1886" t="e">
        <f t="shared" ref="G189:G227" si="147">+J189+M189</f>
        <v>#REF!</v>
      </c>
      <c r="H189" s="1886" t="e">
        <f t="shared" ref="H189:H227" si="148">+K189+N189</f>
        <v>#REF!</v>
      </c>
      <c r="I189" s="1886">
        <f t="shared" si="145"/>
        <v>0</v>
      </c>
      <c r="J189" s="1886">
        <f t="shared" si="145"/>
        <v>0</v>
      </c>
      <c r="K189" s="1886">
        <f t="shared" si="145"/>
        <v>0</v>
      </c>
      <c r="L189" s="1886" t="e">
        <f t="shared" si="145"/>
        <v>#REF!</v>
      </c>
      <c r="M189" s="1886" t="e">
        <f t="shared" si="145"/>
        <v>#REF!</v>
      </c>
      <c r="N189" s="1886" t="e">
        <f t="shared" si="145"/>
        <v>#REF!</v>
      </c>
      <c r="O189" s="1887" t="e">
        <f t="shared" si="143"/>
        <v>#REF!</v>
      </c>
      <c r="P189" s="1887" t="e">
        <f t="shared" si="143"/>
        <v>#REF!</v>
      </c>
      <c r="Q189" s="1888" t="e">
        <f t="shared" si="143"/>
        <v>#REF!</v>
      </c>
      <c r="R189" s="1888" t="e">
        <f t="shared" si="144"/>
        <v>#REF!</v>
      </c>
      <c r="S189" s="1892"/>
      <c r="T189" s="1892"/>
      <c r="U189" s="1892"/>
      <c r="V189" s="1736"/>
      <c r="W189" s="1736"/>
    </row>
    <row r="190" spans="1:23" s="250" customFormat="1" ht="27" hidden="1" customHeight="1" thickBot="1" x14ac:dyDescent="0.45">
      <c r="A190" s="3953"/>
      <c r="B190" s="1955">
        <v>5050</v>
      </c>
      <c r="C190" s="4314" t="s">
        <v>219</v>
      </c>
      <c r="D190" s="4616"/>
      <c r="E190" s="1886">
        <f t="shared" si="145"/>
        <v>0</v>
      </c>
      <c r="F190" s="1886" t="e">
        <f t="shared" si="146"/>
        <v>#REF!</v>
      </c>
      <c r="G190" s="1886" t="e">
        <f t="shared" si="147"/>
        <v>#REF!</v>
      </c>
      <c r="H190" s="1886" t="e">
        <f t="shared" si="148"/>
        <v>#REF!</v>
      </c>
      <c r="I190" s="1886">
        <f t="shared" si="145"/>
        <v>0</v>
      </c>
      <c r="J190" s="1886">
        <f t="shared" si="145"/>
        <v>0</v>
      </c>
      <c r="K190" s="1886">
        <f t="shared" si="145"/>
        <v>0</v>
      </c>
      <c r="L190" s="1886" t="e">
        <f t="shared" si="145"/>
        <v>#REF!</v>
      </c>
      <c r="M190" s="1886" t="e">
        <f t="shared" si="145"/>
        <v>#REF!</v>
      </c>
      <c r="N190" s="1886" t="e">
        <f t="shared" si="145"/>
        <v>#REF!</v>
      </c>
      <c r="O190" s="1887" t="e">
        <f t="shared" si="143"/>
        <v>#REF!</v>
      </c>
      <c r="P190" s="1887" t="e">
        <f t="shared" si="143"/>
        <v>#REF!</v>
      </c>
      <c r="Q190" s="1888" t="e">
        <f t="shared" si="143"/>
        <v>#REF!</v>
      </c>
      <c r="R190" s="1888" t="e">
        <f t="shared" si="144"/>
        <v>#REF!</v>
      </c>
      <c r="S190" s="1892"/>
      <c r="T190" s="1892"/>
      <c r="U190" s="1892"/>
      <c r="V190" s="1736"/>
      <c r="W190" s="1736"/>
    </row>
    <row r="191" spans="1:23" s="250" customFormat="1" ht="27" hidden="1" customHeight="1" thickBot="1" x14ac:dyDescent="0.45">
      <c r="A191" s="4611"/>
      <c r="B191" s="2077" t="s">
        <v>50</v>
      </c>
      <c r="C191" s="4613" t="s">
        <v>580</v>
      </c>
      <c r="D191" s="4614"/>
      <c r="E191" s="1886" t="e">
        <f t="shared" si="145"/>
        <v>#REF!</v>
      </c>
      <c r="F191" s="1886" t="e">
        <f t="shared" si="146"/>
        <v>#REF!</v>
      </c>
      <c r="G191" s="1886" t="e">
        <f t="shared" si="147"/>
        <v>#REF!</v>
      </c>
      <c r="H191" s="1886" t="e">
        <f t="shared" si="148"/>
        <v>#REF!</v>
      </c>
      <c r="I191" s="1886" t="e">
        <f t="shared" si="145"/>
        <v>#REF!</v>
      </c>
      <c r="J191" s="1886" t="e">
        <f t="shared" si="145"/>
        <v>#REF!</v>
      </c>
      <c r="K191" s="1886" t="e">
        <f t="shared" si="145"/>
        <v>#REF!</v>
      </c>
      <c r="L191" s="1886" t="e">
        <f t="shared" si="145"/>
        <v>#REF!</v>
      </c>
      <c r="M191" s="1886" t="e">
        <f t="shared" si="145"/>
        <v>#REF!</v>
      </c>
      <c r="N191" s="1886" t="e">
        <f t="shared" si="145"/>
        <v>#REF!</v>
      </c>
      <c r="O191" s="1887" t="e">
        <f t="shared" si="143"/>
        <v>#REF!</v>
      </c>
      <c r="P191" s="1887" t="e">
        <f t="shared" si="143"/>
        <v>#REF!</v>
      </c>
      <c r="Q191" s="1888" t="e">
        <f t="shared" si="143"/>
        <v>#REF!</v>
      </c>
      <c r="R191" s="1888" t="e">
        <f t="shared" si="144"/>
        <v>#REF!</v>
      </c>
      <c r="S191" s="1892"/>
      <c r="T191" s="1892"/>
      <c r="U191" s="1892"/>
      <c r="V191" s="1736"/>
      <c r="W191" s="1736"/>
    </row>
    <row r="192" spans="1:23" s="250" customFormat="1" ht="27" hidden="1" customHeight="1" thickBot="1" x14ac:dyDescent="0.45">
      <c r="A192" s="4017" t="s">
        <v>52</v>
      </c>
      <c r="B192" s="1947">
        <v>5030</v>
      </c>
      <c r="C192" s="4308" t="s">
        <v>217</v>
      </c>
      <c r="D192" s="4612"/>
      <c r="E192" s="1886">
        <f t="shared" si="145"/>
        <v>0</v>
      </c>
      <c r="F192" s="1886" t="e">
        <f t="shared" si="146"/>
        <v>#REF!</v>
      </c>
      <c r="G192" s="1886" t="e">
        <f t="shared" si="147"/>
        <v>#REF!</v>
      </c>
      <c r="H192" s="1886" t="e">
        <f t="shared" si="148"/>
        <v>#REF!</v>
      </c>
      <c r="I192" s="1886">
        <f t="shared" si="145"/>
        <v>0</v>
      </c>
      <c r="J192" s="1886">
        <f t="shared" si="145"/>
        <v>0</v>
      </c>
      <c r="K192" s="1886">
        <f t="shared" si="145"/>
        <v>0</v>
      </c>
      <c r="L192" s="1886" t="e">
        <f t="shared" si="145"/>
        <v>#REF!</v>
      </c>
      <c r="M192" s="1886" t="e">
        <f t="shared" si="145"/>
        <v>#REF!</v>
      </c>
      <c r="N192" s="1886" t="e">
        <f t="shared" si="145"/>
        <v>#REF!</v>
      </c>
      <c r="O192" s="1887" t="e">
        <f t="shared" si="143"/>
        <v>#REF!</v>
      </c>
      <c r="P192" s="1887" t="e">
        <f t="shared" si="143"/>
        <v>#REF!</v>
      </c>
      <c r="Q192" s="1888" t="e">
        <f t="shared" si="143"/>
        <v>#REF!</v>
      </c>
      <c r="R192" s="1888" t="e">
        <f t="shared" si="144"/>
        <v>#REF!</v>
      </c>
      <c r="S192" s="1892"/>
      <c r="T192" s="1892"/>
      <c r="U192" s="1892"/>
      <c r="V192" s="1736"/>
      <c r="W192" s="1736"/>
    </row>
    <row r="193" spans="1:23" s="250" customFormat="1" ht="27" hidden="1" customHeight="1" thickBot="1" x14ac:dyDescent="0.45">
      <c r="A193" s="4018"/>
      <c r="B193" s="1954">
        <v>5040</v>
      </c>
      <c r="C193" s="3743" t="s">
        <v>218</v>
      </c>
      <c r="D193" s="3744"/>
      <c r="E193" s="1886">
        <f t="shared" si="145"/>
        <v>0</v>
      </c>
      <c r="F193" s="1886" t="e">
        <f t="shared" si="146"/>
        <v>#REF!</v>
      </c>
      <c r="G193" s="1886" t="e">
        <f t="shared" si="147"/>
        <v>#REF!</v>
      </c>
      <c r="H193" s="1886" t="e">
        <f t="shared" si="148"/>
        <v>#REF!</v>
      </c>
      <c r="I193" s="1886">
        <f t="shared" si="145"/>
        <v>0</v>
      </c>
      <c r="J193" s="1886">
        <f t="shared" si="145"/>
        <v>0</v>
      </c>
      <c r="K193" s="1886">
        <f t="shared" si="145"/>
        <v>0</v>
      </c>
      <c r="L193" s="1886" t="e">
        <f t="shared" si="145"/>
        <v>#REF!</v>
      </c>
      <c r="M193" s="1886" t="e">
        <f t="shared" si="145"/>
        <v>#REF!</v>
      </c>
      <c r="N193" s="1886" t="e">
        <f t="shared" si="145"/>
        <v>#REF!</v>
      </c>
      <c r="O193" s="1887" t="e">
        <f t="shared" si="143"/>
        <v>#REF!</v>
      </c>
      <c r="P193" s="1887" t="e">
        <f t="shared" si="143"/>
        <v>#REF!</v>
      </c>
      <c r="Q193" s="1888" t="e">
        <f t="shared" si="143"/>
        <v>#REF!</v>
      </c>
      <c r="R193" s="1888" t="e">
        <f t="shared" si="144"/>
        <v>#REF!</v>
      </c>
      <c r="S193" s="1892"/>
      <c r="T193" s="1892"/>
      <c r="U193" s="1892"/>
      <c r="V193" s="1736"/>
      <c r="W193" s="1736"/>
    </row>
    <row r="194" spans="1:23" s="250" customFormat="1" ht="27" hidden="1" customHeight="1" thickBot="1" x14ac:dyDescent="0.45">
      <c r="A194" s="4018"/>
      <c r="B194" s="1954">
        <v>5041</v>
      </c>
      <c r="C194" s="3743" t="s">
        <v>620</v>
      </c>
      <c r="D194" s="3744"/>
      <c r="E194" s="1886" t="e">
        <f t="shared" si="145"/>
        <v>#REF!</v>
      </c>
      <c r="F194" s="1886" t="e">
        <f t="shared" si="146"/>
        <v>#REF!</v>
      </c>
      <c r="G194" s="1886" t="e">
        <f t="shared" si="147"/>
        <v>#REF!</v>
      </c>
      <c r="H194" s="1886" t="e">
        <f t="shared" si="148"/>
        <v>#REF!</v>
      </c>
      <c r="I194" s="1886" t="e">
        <f t="shared" si="145"/>
        <v>#REF!</v>
      </c>
      <c r="J194" s="1886" t="e">
        <f t="shared" si="145"/>
        <v>#REF!</v>
      </c>
      <c r="K194" s="1886" t="e">
        <f t="shared" si="145"/>
        <v>#REF!</v>
      </c>
      <c r="L194" s="1886" t="e">
        <f t="shared" si="145"/>
        <v>#REF!</v>
      </c>
      <c r="M194" s="1886" t="e">
        <f t="shared" si="145"/>
        <v>#REF!</v>
      </c>
      <c r="N194" s="1886" t="e">
        <f t="shared" si="145"/>
        <v>#REF!</v>
      </c>
      <c r="O194" s="1887" t="e">
        <f t="shared" si="143"/>
        <v>#REF!</v>
      </c>
      <c r="P194" s="1887" t="e">
        <f t="shared" si="143"/>
        <v>#REF!</v>
      </c>
      <c r="Q194" s="1888" t="e">
        <f t="shared" si="143"/>
        <v>#REF!</v>
      </c>
      <c r="R194" s="1888" t="e">
        <f t="shared" si="144"/>
        <v>#REF!</v>
      </c>
      <c r="S194" s="1892"/>
      <c r="T194" s="1892"/>
      <c r="U194" s="1892"/>
      <c r="V194" s="1736"/>
      <c r="W194" s="1736"/>
    </row>
    <row r="195" spans="1:23" s="250" customFormat="1" ht="27" hidden="1" customHeight="1" thickBot="1" x14ac:dyDescent="0.45">
      <c r="A195" s="4018"/>
      <c r="B195" s="1954">
        <v>5045</v>
      </c>
      <c r="C195" s="3743" t="s">
        <v>221</v>
      </c>
      <c r="D195" s="3744"/>
      <c r="E195" s="1886">
        <f t="shared" si="145"/>
        <v>0</v>
      </c>
      <c r="F195" s="1886" t="e">
        <f t="shared" si="146"/>
        <v>#REF!</v>
      </c>
      <c r="G195" s="1886" t="e">
        <f t="shared" si="147"/>
        <v>#REF!</v>
      </c>
      <c r="H195" s="1886" t="e">
        <f t="shared" si="148"/>
        <v>#REF!</v>
      </c>
      <c r="I195" s="1886">
        <f t="shared" si="145"/>
        <v>0</v>
      </c>
      <c r="J195" s="1886">
        <f t="shared" si="145"/>
        <v>0</v>
      </c>
      <c r="K195" s="1886">
        <f t="shared" si="145"/>
        <v>0</v>
      </c>
      <c r="L195" s="1886" t="e">
        <f t="shared" si="145"/>
        <v>#REF!</v>
      </c>
      <c r="M195" s="1886" t="e">
        <f t="shared" si="145"/>
        <v>#REF!</v>
      </c>
      <c r="N195" s="1886" t="e">
        <f t="shared" si="145"/>
        <v>#REF!</v>
      </c>
      <c r="O195" s="1887" t="e">
        <f t="shared" si="143"/>
        <v>#REF!</v>
      </c>
      <c r="P195" s="1887" t="e">
        <f t="shared" si="143"/>
        <v>#REF!</v>
      </c>
      <c r="Q195" s="1888" t="e">
        <f t="shared" si="143"/>
        <v>#REF!</v>
      </c>
      <c r="R195" s="1888" t="e">
        <f t="shared" si="144"/>
        <v>#REF!</v>
      </c>
      <c r="S195" s="1892"/>
      <c r="T195" s="1892"/>
      <c r="U195" s="1892"/>
      <c r="V195" s="1736"/>
      <c r="W195" s="1736"/>
    </row>
    <row r="196" spans="1:23" s="250" customFormat="1" ht="27" hidden="1" customHeight="1" thickBot="1" x14ac:dyDescent="0.45">
      <c r="A196" s="4018"/>
      <c r="B196" s="1955">
        <v>5050</v>
      </c>
      <c r="C196" s="4314" t="s">
        <v>219</v>
      </c>
      <c r="D196" s="4616"/>
      <c r="E196" s="1886">
        <f t="shared" si="145"/>
        <v>0</v>
      </c>
      <c r="F196" s="1886" t="e">
        <f t="shared" si="146"/>
        <v>#REF!</v>
      </c>
      <c r="G196" s="1886" t="e">
        <f t="shared" si="147"/>
        <v>#REF!</v>
      </c>
      <c r="H196" s="1886" t="e">
        <f t="shared" si="148"/>
        <v>#REF!</v>
      </c>
      <c r="I196" s="1886">
        <f t="shared" si="145"/>
        <v>0</v>
      </c>
      <c r="J196" s="1886">
        <f t="shared" si="145"/>
        <v>0</v>
      </c>
      <c r="K196" s="1886">
        <f t="shared" si="145"/>
        <v>0</v>
      </c>
      <c r="L196" s="1886" t="e">
        <f t="shared" si="145"/>
        <v>#REF!</v>
      </c>
      <c r="M196" s="1886" t="e">
        <f t="shared" si="145"/>
        <v>#REF!</v>
      </c>
      <c r="N196" s="1886" t="e">
        <f t="shared" si="145"/>
        <v>#REF!</v>
      </c>
      <c r="O196" s="1887" t="e">
        <f t="shared" si="143"/>
        <v>#REF!</v>
      </c>
      <c r="P196" s="1887" t="e">
        <f t="shared" si="143"/>
        <v>#REF!</v>
      </c>
      <c r="Q196" s="1888" t="e">
        <f t="shared" si="143"/>
        <v>#REF!</v>
      </c>
      <c r="R196" s="1888" t="e">
        <f t="shared" si="144"/>
        <v>#REF!</v>
      </c>
      <c r="S196" s="1892"/>
      <c r="T196" s="1892"/>
      <c r="U196" s="1892"/>
      <c r="V196" s="1736" t="s">
        <v>866</v>
      </c>
      <c r="W196" s="1736"/>
    </row>
    <row r="197" spans="1:23" s="250" customFormat="1" ht="27" hidden="1" customHeight="1" thickBot="1" x14ac:dyDescent="0.45">
      <c r="A197" s="4018"/>
      <c r="B197" s="1955">
        <v>5051</v>
      </c>
      <c r="C197" s="4314" t="s">
        <v>621</v>
      </c>
      <c r="D197" s="4616"/>
      <c r="E197" s="1886" t="e">
        <f t="shared" si="145"/>
        <v>#REF!</v>
      </c>
      <c r="F197" s="1886" t="e">
        <f t="shared" si="146"/>
        <v>#REF!</v>
      </c>
      <c r="G197" s="1886" t="e">
        <f t="shared" si="147"/>
        <v>#REF!</v>
      </c>
      <c r="H197" s="1886" t="e">
        <f t="shared" si="148"/>
        <v>#REF!</v>
      </c>
      <c r="I197" s="1886" t="e">
        <f t="shared" si="145"/>
        <v>#REF!</v>
      </c>
      <c r="J197" s="1886" t="e">
        <f t="shared" si="145"/>
        <v>#REF!</v>
      </c>
      <c r="K197" s="1886" t="e">
        <f t="shared" si="145"/>
        <v>#REF!</v>
      </c>
      <c r="L197" s="1886" t="e">
        <f t="shared" si="145"/>
        <v>#REF!</v>
      </c>
      <c r="M197" s="1886" t="e">
        <f t="shared" si="145"/>
        <v>#REF!</v>
      </c>
      <c r="N197" s="1886" t="e">
        <f t="shared" si="145"/>
        <v>#REF!</v>
      </c>
      <c r="O197" s="1887" t="e">
        <f t="shared" si="143"/>
        <v>#REF!</v>
      </c>
      <c r="P197" s="1887" t="e">
        <f t="shared" si="143"/>
        <v>#REF!</v>
      </c>
      <c r="Q197" s="1888" t="e">
        <f t="shared" si="143"/>
        <v>#REF!</v>
      </c>
      <c r="R197" s="1888" t="e">
        <f t="shared" si="144"/>
        <v>#REF!</v>
      </c>
      <c r="S197" s="1892"/>
      <c r="T197" s="1892"/>
      <c r="U197" s="1892"/>
      <c r="V197" s="1736"/>
      <c r="W197" s="1736"/>
    </row>
    <row r="198" spans="1:23" s="250" customFormat="1" ht="27" hidden="1" customHeight="1" thickBot="1" x14ac:dyDescent="0.45">
      <c r="A198" s="4018"/>
      <c r="B198" s="1955">
        <v>5055</v>
      </c>
      <c r="C198" s="4314" t="s">
        <v>222</v>
      </c>
      <c r="D198" s="4616"/>
      <c r="E198" s="1886">
        <f t="shared" si="145"/>
        <v>0</v>
      </c>
      <c r="F198" s="1886" t="e">
        <f t="shared" si="146"/>
        <v>#REF!</v>
      </c>
      <c r="G198" s="1886" t="e">
        <f t="shared" si="147"/>
        <v>#REF!</v>
      </c>
      <c r="H198" s="1886" t="e">
        <f t="shared" si="148"/>
        <v>#REF!</v>
      </c>
      <c r="I198" s="1886">
        <f t="shared" si="145"/>
        <v>0</v>
      </c>
      <c r="J198" s="1886">
        <f t="shared" si="145"/>
        <v>0</v>
      </c>
      <c r="K198" s="1886">
        <f t="shared" si="145"/>
        <v>0</v>
      </c>
      <c r="L198" s="1886" t="e">
        <f t="shared" si="145"/>
        <v>#REF!</v>
      </c>
      <c r="M198" s="1886" t="e">
        <f t="shared" si="145"/>
        <v>#REF!</v>
      </c>
      <c r="N198" s="1886" t="e">
        <f t="shared" si="145"/>
        <v>#REF!</v>
      </c>
      <c r="O198" s="1887" t="e">
        <f t="shared" si="143"/>
        <v>#REF!</v>
      </c>
      <c r="P198" s="1887" t="e">
        <f t="shared" si="143"/>
        <v>#REF!</v>
      </c>
      <c r="Q198" s="1888" t="e">
        <f t="shared" si="143"/>
        <v>#REF!</v>
      </c>
      <c r="R198" s="1888" t="e">
        <f t="shared" si="144"/>
        <v>#REF!</v>
      </c>
      <c r="S198" s="1892"/>
      <c r="T198" s="1892"/>
      <c r="U198" s="1892"/>
      <c r="V198" s="1736"/>
      <c r="W198" s="1736"/>
    </row>
    <row r="199" spans="1:23" s="250" customFormat="1" ht="27" hidden="1" customHeight="1" thickBot="1" x14ac:dyDescent="0.45">
      <c r="A199" s="4615"/>
      <c r="B199" s="2414" t="s">
        <v>50</v>
      </c>
      <c r="C199" s="4631" t="s">
        <v>580</v>
      </c>
      <c r="D199" s="4632"/>
      <c r="E199" s="1886" t="e">
        <f t="shared" si="145"/>
        <v>#REF!</v>
      </c>
      <c r="F199" s="1886" t="e">
        <f t="shared" si="146"/>
        <v>#REF!</v>
      </c>
      <c r="G199" s="1886" t="e">
        <f t="shared" si="147"/>
        <v>#REF!</v>
      </c>
      <c r="H199" s="1886" t="e">
        <f t="shared" si="148"/>
        <v>#REF!</v>
      </c>
      <c r="I199" s="1886" t="e">
        <f t="shared" si="145"/>
        <v>#REF!</v>
      </c>
      <c r="J199" s="1886" t="e">
        <f t="shared" si="145"/>
        <v>#REF!</v>
      </c>
      <c r="K199" s="1886" t="e">
        <f t="shared" si="145"/>
        <v>#REF!</v>
      </c>
      <c r="L199" s="1886" t="e">
        <f t="shared" si="145"/>
        <v>#REF!</v>
      </c>
      <c r="M199" s="1886" t="e">
        <f t="shared" si="145"/>
        <v>#REF!</v>
      </c>
      <c r="N199" s="1886" t="e">
        <f t="shared" si="145"/>
        <v>#REF!</v>
      </c>
      <c r="O199" s="1887" t="e">
        <f t="shared" si="143"/>
        <v>#REF!</v>
      </c>
      <c r="P199" s="1887" t="e">
        <f t="shared" si="143"/>
        <v>#REF!</v>
      </c>
      <c r="Q199" s="1888" t="e">
        <f t="shared" si="143"/>
        <v>#REF!</v>
      </c>
      <c r="R199" s="1888" t="e">
        <f t="shared" si="144"/>
        <v>#REF!</v>
      </c>
      <c r="S199" s="1892"/>
      <c r="T199" s="1892"/>
      <c r="U199" s="1892"/>
      <c r="V199" s="1736"/>
      <c r="W199" s="1736"/>
    </row>
    <row r="200" spans="1:23" s="250" customFormat="1" ht="27" hidden="1" customHeight="1" thickBot="1" x14ac:dyDescent="0.45">
      <c r="A200" s="3963" t="s">
        <v>57</v>
      </c>
      <c r="B200" s="1947">
        <v>5030</v>
      </c>
      <c r="C200" s="4308" t="s">
        <v>217</v>
      </c>
      <c r="D200" s="4612"/>
      <c r="E200" s="1886">
        <f t="shared" si="145"/>
        <v>0</v>
      </c>
      <c r="F200" s="1886" t="e">
        <f t="shared" si="146"/>
        <v>#REF!</v>
      </c>
      <c r="G200" s="1886" t="e">
        <f t="shared" si="147"/>
        <v>#REF!</v>
      </c>
      <c r="H200" s="1886" t="e">
        <f t="shared" si="148"/>
        <v>#REF!</v>
      </c>
      <c r="I200" s="1886">
        <f t="shared" si="145"/>
        <v>0</v>
      </c>
      <c r="J200" s="1886">
        <f t="shared" si="145"/>
        <v>0</v>
      </c>
      <c r="K200" s="1886">
        <f t="shared" si="145"/>
        <v>0</v>
      </c>
      <c r="L200" s="1886" t="e">
        <f t="shared" si="145"/>
        <v>#REF!</v>
      </c>
      <c r="M200" s="1886" t="e">
        <f t="shared" si="145"/>
        <v>#REF!</v>
      </c>
      <c r="N200" s="1886" t="e">
        <f t="shared" si="145"/>
        <v>#REF!</v>
      </c>
      <c r="O200" s="1887" t="e">
        <f t="shared" si="143"/>
        <v>#REF!</v>
      </c>
      <c r="P200" s="1887" t="e">
        <f t="shared" si="143"/>
        <v>#REF!</v>
      </c>
      <c r="Q200" s="1888" t="e">
        <f t="shared" si="143"/>
        <v>#REF!</v>
      </c>
      <c r="R200" s="1888" t="e">
        <f t="shared" si="144"/>
        <v>#REF!</v>
      </c>
      <c r="S200" s="1892"/>
      <c r="T200" s="1892"/>
      <c r="U200" s="1892"/>
      <c r="V200" s="1736"/>
      <c r="W200" s="1736"/>
    </row>
    <row r="201" spans="1:23" s="250" customFormat="1" ht="27" hidden="1" customHeight="1" thickBot="1" x14ac:dyDescent="0.45">
      <c r="A201" s="3964"/>
      <c r="B201" s="1954">
        <v>5040</v>
      </c>
      <c r="C201" s="3743" t="s">
        <v>218</v>
      </c>
      <c r="D201" s="3744"/>
      <c r="E201" s="1886">
        <f t="shared" si="145"/>
        <v>0</v>
      </c>
      <c r="F201" s="1886" t="e">
        <f t="shared" si="146"/>
        <v>#REF!</v>
      </c>
      <c r="G201" s="1886" t="e">
        <f t="shared" si="147"/>
        <v>#REF!</v>
      </c>
      <c r="H201" s="1886" t="e">
        <f t="shared" si="148"/>
        <v>#REF!</v>
      </c>
      <c r="I201" s="1886">
        <f t="shared" si="145"/>
        <v>0</v>
      </c>
      <c r="J201" s="1886">
        <f t="shared" si="145"/>
        <v>0</v>
      </c>
      <c r="K201" s="1886">
        <f t="shared" si="145"/>
        <v>0</v>
      </c>
      <c r="L201" s="1886" t="e">
        <f t="shared" si="145"/>
        <v>#REF!</v>
      </c>
      <c r="M201" s="1886" t="e">
        <f t="shared" si="145"/>
        <v>#REF!</v>
      </c>
      <c r="N201" s="1886" t="e">
        <f t="shared" si="145"/>
        <v>#REF!</v>
      </c>
      <c r="O201" s="1887" t="e">
        <f t="shared" si="143"/>
        <v>#REF!</v>
      </c>
      <c r="P201" s="1887" t="e">
        <f t="shared" si="143"/>
        <v>#REF!</v>
      </c>
      <c r="Q201" s="1888" t="e">
        <f t="shared" si="143"/>
        <v>#REF!</v>
      </c>
      <c r="R201" s="1888" t="e">
        <f t="shared" si="144"/>
        <v>#REF!</v>
      </c>
      <c r="S201" s="1892"/>
      <c r="T201" s="1892"/>
      <c r="U201" s="1892"/>
      <c r="V201" s="1736"/>
      <c r="W201" s="1736"/>
    </row>
    <row r="202" spans="1:23" s="250" customFormat="1" ht="27" hidden="1" customHeight="1" thickBot="1" x14ac:dyDescent="0.45">
      <c r="A202" s="3964"/>
      <c r="B202" s="1954">
        <v>5041</v>
      </c>
      <c r="C202" s="3743" t="s">
        <v>620</v>
      </c>
      <c r="D202" s="3744"/>
      <c r="E202" s="1886" t="e">
        <f t="shared" si="145"/>
        <v>#REF!</v>
      </c>
      <c r="F202" s="1886" t="e">
        <f t="shared" si="146"/>
        <v>#REF!</v>
      </c>
      <c r="G202" s="1886" t="e">
        <f t="shared" si="147"/>
        <v>#REF!</v>
      </c>
      <c r="H202" s="1886" t="e">
        <f t="shared" si="148"/>
        <v>#REF!</v>
      </c>
      <c r="I202" s="1886" t="e">
        <f t="shared" si="145"/>
        <v>#REF!</v>
      </c>
      <c r="J202" s="1886" t="e">
        <f t="shared" si="145"/>
        <v>#REF!</v>
      </c>
      <c r="K202" s="1886" t="e">
        <f t="shared" si="145"/>
        <v>#REF!</v>
      </c>
      <c r="L202" s="1886" t="e">
        <f t="shared" si="145"/>
        <v>#REF!</v>
      </c>
      <c r="M202" s="1886" t="e">
        <f t="shared" si="145"/>
        <v>#REF!</v>
      </c>
      <c r="N202" s="1886" t="e">
        <f t="shared" si="145"/>
        <v>#REF!</v>
      </c>
      <c r="O202" s="1887" t="e">
        <f t="shared" si="143"/>
        <v>#REF!</v>
      </c>
      <c r="P202" s="1887" t="e">
        <f t="shared" si="143"/>
        <v>#REF!</v>
      </c>
      <c r="Q202" s="1888" t="e">
        <f t="shared" si="143"/>
        <v>#REF!</v>
      </c>
      <c r="R202" s="1888" t="e">
        <f t="shared" si="144"/>
        <v>#REF!</v>
      </c>
      <c r="S202" s="1892"/>
      <c r="T202" s="1892"/>
      <c r="U202" s="1892"/>
      <c r="V202" s="1736"/>
      <c r="W202" s="1736"/>
    </row>
    <row r="203" spans="1:23" s="250" customFormat="1" ht="27" hidden="1" customHeight="1" thickBot="1" x14ac:dyDescent="0.45">
      <c r="A203" s="3964"/>
      <c r="B203" s="1954">
        <v>5045</v>
      </c>
      <c r="C203" s="3743" t="s">
        <v>221</v>
      </c>
      <c r="D203" s="3744"/>
      <c r="E203" s="1886">
        <f t="shared" si="145"/>
        <v>0</v>
      </c>
      <c r="F203" s="1886" t="e">
        <f t="shared" si="146"/>
        <v>#REF!</v>
      </c>
      <c r="G203" s="1886" t="e">
        <f t="shared" si="147"/>
        <v>#REF!</v>
      </c>
      <c r="H203" s="1886" t="e">
        <f t="shared" si="148"/>
        <v>#REF!</v>
      </c>
      <c r="I203" s="1886">
        <f t="shared" si="145"/>
        <v>0</v>
      </c>
      <c r="J203" s="1886">
        <f t="shared" si="145"/>
        <v>0</v>
      </c>
      <c r="K203" s="1886">
        <f t="shared" si="145"/>
        <v>0</v>
      </c>
      <c r="L203" s="1886" t="e">
        <f t="shared" si="145"/>
        <v>#REF!</v>
      </c>
      <c r="M203" s="1886" t="e">
        <f t="shared" si="145"/>
        <v>#REF!</v>
      </c>
      <c r="N203" s="1886" t="e">
        <f t="shared" si="145"/>
        <v>#REF!</v>
      </c>
      <c r="O203" s="1887" t="e">
        <f t="shared" si="143"/>
        <v>#REF!</v>
      </c>
      <c r="P203" s="1887" t="e">
        <f t="shared" si="143"/>
        <v>#REF!</v>
      </c>
      <c r="Q203" s="1888" t="e">
        <f t="shared" si="143"/>
        <v>#REF!</v>
      </c>
      <c r="R203" s="1888" t="e">
        <f t="shared" si="144"/>
        <v>#REF!</v>
      </c>
      <c r="S203" s="1892"/>
      <c r="T203" s="1892"/>
      <c r="U203" s="1892"/>
      <c r="V203" s="1736" t="s">
        <v>866</v>
      </c>
      <c r="W203" s="1736"/>
    </row>
    <row r="204" spans="1:23" s="250" customFormat="1" ht="27" hidden="1" customHeight="1" thickBot="1" x14ac:dyDescent="0.45">
      <c r="A204" s="3964"/>
      <c r="B204" s="1955">
        <v>5050</v>
      </c>
      <c r="C204" s="4314" t="s">
        <v>219</v>
      </c>
      <c r="D204" s="4616"/>
      <c r="E204" s="1886">
        <f t="shared" si="145"/>
        <v>0</v>
      </c>
      <c r="F204" s="1886" t="e">
        <f t="shared" si="146"/>
        <v>#REF!</v>
      </c>
      <c r="G204" s="1886" t="e">
        <f t="shared" si="147"/>
        <v>#REF!</v>
      </c>
      <c r="H204" s="1886" t="e">
        <f t="shared" si="148"/>
        <v>#REF!</v>
      </c>
      <c r="I204" s="1886">
        <f t="shared" si="145"/>
        <v>0</v>
      </c>
      <c r="J204" s="1886">
        <f t="shared" si="145"/>
        <v>0</v>
      </c>
      <c r="K204" s="1886">
        <f t="shared" si="145"/>
        <v>0</v>
      </c>
      <c r="L204" s="1886" t="e">
        <f t="shared" si="145"/>
        <v>#REF!</v>
      </c>
      <c r="M204" s="1886" t="e">
        <f t="shared" si="145"/>
        <v>#REF!</v>
      </c>
      <c r="N204" s="1886" t="e">
        <f t="shared" si="145"/>
        <v>#REF!</v>
      </c>
      <c r="O204" s="1887" t="e">
        <f t="shared" si="143"/>
        <v>#REF!</v>
      </c>
      <c r="P204" s="1887" t="e">
        <f t="shared" si="143"/>
        <v>#REF!</v>
      </c>
      <c r="Q204" s="1888" t="e">
        <f t="shared" si="143"/>
        <v>#REF!</v>
      </c>
      <c r="R204" s="1888" t="e">
        <f t="shared" si="144"/>
        <v>#REF!</v>
      </c>
      <c r="S204" s="1898"/>
      <c r="T204" s="1898"/>
      <c r="U204" s="1898"/>
      <c r="V204" s="1899" t="e">
        <f>+S204-R32</f>
        <v>#REF!</v>
      </c>
      <c r="W204" s="1736"/>
    </row>
    <row r="205" spans="1:23" s="250" customFormat="1" ht="27" hidden="1" customHeight="1" thickBot="1" x14ac:dyDescent="0.45">
      <c r="A205" s="3964"/>
      <c r="B205" s="1955">
        <v>5051</v>
      </c>
      <c r="C205" s="4314" t="s">
        <v>621</v>
      </c>
      <c r="D205" s="4616"/>
      <c r="E205" s="1886" t="e">
        <f t="shared" si="145"/>
        <v>#REF!</v>
      </c>
      <c r="F205" s="1886" t="e">
        <f t="shared" si="146"/>
        <v>#REF!</v>
      </c>
      <c r="G205" s="1886" t="e">
        <f t="shared" si="147"/>
        <v>#REF!</v>
      </c>
      <c r="H205" s="1886" t="e">
        <f t="shared" si="148"/>
        <v>#REF!</v>
      </c>
      <c r="I205" s="1886" t="e">
        <f t="shared" si="145"/>
        <v>#REF!</v>
      </c>
      <c r="J205" s="1886" t="e">
        <f t="shared" si="145"/>
        <v>#REF!</v>
      </c>
      <c r="K205" s="1886" t="e">
        <f t="shared" si="145"/>
        <v>#REF!</v>
      </c>
      <c r="L205" s="1886" t="e">
        <f t="shared" si="145"/>
        <v>#REF!</v>
      </c>
      <c r="M205" s="1886" t="e">
        <f t="shared" si="145"/>
        <v>#REF!</v>
      </c>
      <c r="N205" s="1886" t="e">
        <f t="shared" si="145"/>
        <v>#REF!</v>
      </c>
      <c r="O205" s="1887" t="e">
        <f t="shared" si="143"/>
        <v>#REF!</v>
      </c>
      <c r="P205" s="1887" t="e">
        <f t="shared" si="143"/>
        <v>#REF!</v>
      </c>
      <c r="Q205" s="1888" t="e">
        <f t="shared" si="143"/>
        <v>#REF!</v>
      </c>
      <c r="R205" s="1888" t="e">
        <f t="shared" si="144"/>
        <v>#REF!</v>
      </c>
      <c r="S205" s="1892"/>
      <c r="T205" s="1892"/>
      <c r="U205" s="1892"/>
      <c r="V205" s="1736"/>
      <c r="W205" s="1736"/>
    </row>
    <row r="206" spans="1:23" s="250" customFormat="1" ht="27" hidden="1" customHeight="1" thickBot="1" x14ac:dyDescent="0.45">
      <c r="A206" s="3964"/>
      <c r="B206" s="1955">
        <v>5055</v>
      </c>
      <c r="C206" s="4314" t="s">
        <v>222</v>
      </c>
      <c r="D206" s="4616"/>
      <c r="E206" s="1886" t="e">
        <f t="shared" si="145"/>
        <v>#REF!</v>
      </c>
      <c r="F206" s="1886" t="e">
        <f t="shared" si="146"/>
        <v>#REF!</v>
      </c>
      <c r="G206" s="1886" t="e">
        <f t="shared" si="147"/>
        <v>#REF!</v>
      </c>
      <c r="H206" s="1886" t="e">
        <f t="shared" si="148"/>
        <v>#REF!</v>
      </c>
      <c r="I206" s="1886" t="e">
        <f t="shared" si="145"/>
        <v>#REF!</v>
      </c>
      <c r="J206" s="1886" t="e">
        <f t="shared" si="145"/>
        <v>#REF!</v>
      </c>
      <c r="K206" s="1886" t="e">
        <f t="shared" si="145"/>
        <v>#REF!</v>
      </c>
      <c r="L206" s="1886" t="e">
        <f t="shared" si="145"/>
        <v>#REF!</v>
      </c>
      <c r="M206" s="1886" t="e">
        <f t="shared" si="145"/>
        <v>#REF!</v>
      </c>
      <c r="N206" s="1886" t="e">
        <f t="shared" si="145"/>
        <v>#REF!</v>
      </c>
      <c r="O206" s="1887" t="e">
        <f t="shared" si="143"/>
        <v>#REF!</v>
      </c>
      <c r="P206" s="1887" t="e">
        <f t="shared" si="143"/>
        <v>#REF!</v>
      </c>
      <c r="Q206" s="1888" t="e">
        <f t="shared" si="143"/>
        <v>#REF!</v>
      </c>
      <c r="R206" s="1888" t="e">
        <f t="shared" si="144"/>
        <v>#REF!</v>
      </c>
      <c r="S206" s="1892"/>
      <c r="T206" s="1892"/>
      <c r="U206" s="1892"/>
      <c r="V206" s="1736"/>
      <c r="W206" s="1736"/>
    </row>
    <row r="207" spans="1:23" s="250" customFormat="1" ht="27" hidden="1" customHeight="1" thickBot="1" x14ac:dyDescent="0.45">
      <c r="A207" s="4619"/>
      <c r="B207" s="2414" t="s">
        <v>50</v>
      </c>
      <c r="C207" s="4631" t="s">
        <v>580</v>
      </c>
      <c r="D207" s="4632"/>
      <c r="E207" s="1886" t="e">
        <f t="shared" si="145"/>
        <v>#REF!</v>
      </c>
      <c r="F207" s="1886" t="e">
        <f t="shared" si="146"/>
        <v>#REF!</v>
      </c>
      <c r="G207" s="1886" t="e">
        <f t="shared" si="147"/>
        <v>#REF!</v>
      </c>
      <c r="H207" s="1886" t="e">
        <f t="shared" si="148"/>
        <v>#REF!</v>
      </c>
      <c r="I207" s="1886" t="e">
        <f t="shared" si="145"/>
        <v>#REF!</v>
      </c>
      <c r="J207" s="1886" t="e">
        <f t="shared" si="145"/>
        <v>#REF!</v>
      </c>
      <c r="K207" s="1886" t="e">
        <f t="shared" si="145"/>
        <v>#REF!</v>
      </c>
      <c r="L207" s="1886" t="e">
        <f t="shared" si="145"/>
        <v>#REF!</v>
      </c>
      <c r="M207" s="1886" t="e">
        <f t="shared" si="145"/>
        <v>#REF!</v>
      </c>
      <c r="N207" s="1886" t="e">
        <f t="shared" si="145"/>
        <v>#REF!</v>
      </c>
      <c r="O207" s="1887" t="e">
        <f t="shared" si="143"/>
        <v>#REF!</v>
      </c>
      <c r="P207" s="1887" t="e">
        <f t="shared" si="143"/>
        <v>#REF!</v>
      </c>
      <c r="Q207" s="1888" t="e">
        <f t="shared" si="143"/>
        <v>#REF!</v>
      </c>
      <c r="R207" s="1888" t="e">
        <f t="shared" si="144"/>
        <v>#REF!</v>
      </c>
      <c r="S207" s="1892"/>
      <c r="T207" s="1892"/>
      <c r="U207" s="1892"/>
      <c r="V207" s="1736"/>
      <c r="W207" s="1736"/>
    </row>
    <row r="208" spans="1:23" s="250" customFormat="1" ht="27" hidden="1" customHeight="1" thickBot="1" x14ac:dyDescent="0.45">
      <c r="A208" s="3963" t="s">
        <v>62</v>
      </c>
      <c r="B208" s="1947">
        <v>5030</v>
      </c>
      <c r="C208" s="4308" t="s">
        <v>217</v>
      </c>
      <c r="D208" s="4612"/>
      <c r="E208" s="1886">
        <f t="shared" si="145"/>
        <v>0</v>
      </c>
      <c r="F208" s="1886" t="e">
        <f t="shared" si="146"/>
        <v>#REF!</v>
      </c>
      <c r="G208" s="1886" t="e">
        <f t="shared" si="147"/>
        <v>#REF!</v>
      </c>
      <c r="H208" s="1886" t="e">
        <f t="shared" si="148"/>
        <v>#REF!</v>
      </c>
      <c r="I208" s="1886">
        <f t="shared" si="145"/>
        <v>0</v>
      </c>
      <c r="J208" s="1886">
        <f t="shared" si="145"/>
        <v>0</v>
      </c>
      <c r="K208" s="1886">
        <f t="shared" si="145"/>
        <v>0</v>
      </c>
      <c r="L208" s="1886" t="e">
        <f t="shared" si="145"/>
        <v>#REF!</v>
      </c>
      <c r="M208" s="1886" t="e">
        <f t="shared" si="145"/>
        <v>#REF!</v>
      </c>
      <c r="N208" s="1886" t="e">
        <f t="shared" si="145"/>
        <v>#REF!</v>
      </c>
      <c r="O208" s="1887" t="e">
        <f t="shared" si="143"/>
        <v>#REF!</v>
      </c>
      <c r="P208" s="1887" t="e">
        <f t="shared" si="143"/>
        <v>#REF!</v>
      </c>
      <c r="Q208" s="1888" t="e">
        <f t="shared" si="143"/>
        <v>#REF!</v>
      </c>
      <c r="R208" s="1888" t="e">
        <f t="shared" si="144"/>
        <v>#REF!</v>
      </c>
      <c r="S208" s="1892"/>
      <c r="T208" s="1892"/>
      <c r="U208" s="1892"/>
      <c r="V208" s="1736"/>
      <c r="W208" s="1736"/>
    </row>
    <row r="209" spans="1:23" s="250" customFormat="1" ht="27" hidden="1" customHeight="1" thickBot="1" x14ac:dyDescent="0.45">
      <c r="A209" s="3964"/>
      <c r="B209" s="1954">
        <v>5040</v>
      </c>
      <c r="C209" s="3743" t="s">
        <v>218</v>
      </c>
      <c r="D209" s="3744"/>
      <c r="E209" s="1886">
        <f t="shared" si="145"/>
        <v>0</v>
      </c>
      <c r="F209" s="1886" t="e">
        <f t="shared" si="146"/>
        <v>#REF!</v>
      </c>
      <c r="G209" s="1886" t="e">
        <f t="shared" si="147"/>
        <v>#REF!</v>
      </c>
      <c r="H209" s="1886" t="e">
        <f t="shared" si="148"/>
        <v>#REF!</v>
      </c>
      <c r="I209" s="1886">
        <f t="shared" si="145"/>
        <v>0</v>
      </c>
      <c r="J209" s="1886">
        <f t="shared" si="145"/>
        <v>0</v>
      </c>
      <c r="K209" s="1886">
        <f t="shared" si="145"/>
        <v>0</v>
      </c>
      <c r="L209" s="1886" t="e">
        <f t="shared" si="145"/>
        <v>#REF!</v>
      </c>
      <c r="M209" s="1886" t="e">
        <f t="shared" si="145"/>
        <v>#REF!</v>
      </c>
      <c r="N209" s="1886" t="e">
        <f t="shared" si="145"/>
        <v>#REF!</v>
      </c>
      <c r="O209" s="1887" t="e">
        <f t="shared" si="143"/>
        <v>#REF!</v>
      </c>
      <c r="P209" s="1887" t="e">
        <f t="shared" si="143"/>
        <v>#REF!</v>
      </c>
      <c r="Q209" s="1888" t="e">
        <f t="shared" si="143"/>
        <v>#REF!</v>
      </c>
      <c r="R209" s="1888" t="e">
        <f t="shared" si="144"/>
        <v>#REF!</v>
      </c>
      <c r="S209" s="1892"/>
      <c r="T209" s="1892"/>
      <c r="U209" s="1892"/>
      <c r="V209" s="1736"/>
      <c r="W209" s="1736"/>
    </row>
    <row r="210" spans="1:23" s="250" customFormat="1" ht="27" hidden="1" customHeight="1" thickBot="1" x14ac:dyDescent="0.45">
      <c r="A210" s="3964"/>
      <c r="B210" s="1954">
        <v>5041</v>
      </c>
      <c r="C210" s="3743" t="s">
        <v>620</v>
      </c>
      <c r="D210" s="3744"/>
      <c r="E210" s="1886" t="e">
        <f t="shared" si="145"/>
        <v>#REF!</v>
      </c>
      <c r="F210" s="1886" t="e">
        <f t="shared" si="146"/>
        <v>#REF!</v>
      </c>
      <c r="G210" s="1886" t="e">
        <f t="shared" si="147"/>
        <v>#REF!</v>
      </c>
      <c r="H210" s="1886" t="e">
        <f t="shared" si="148"/>
        <v>#REF!</v>
      </c>
      <c r="I210" s="1886" t="e">
        <f t="shared" si="145"/>
        <v>#REF!</v>
      </c>
      <c r="J210" s="1886" t="e">
        <f t="shared" si="145"/>
        <v>#REF!</v>
      </c>
      <c r="K210" s="1886" t="e">
        <f t="shared" si="145"/>
        <v>#REF!</v>
      </c>
      <c r="L210" s="1886" t="e">
        <f t="shared" si="145"/>
        <v>#REF!</v>
      </c>
      <c r="M210" s="1886" t="e">
        <f t="shared" si="145"/>
        <v>#REF!</v>
      </c>
      <c r="N210" s="1886" t="e">
        <f t="shared" si="145"/>
        <v>#REF!</v>
      </c>
      <c r="O210" s="1887" t="e">
        <f t="shared" si="143"/>
        <v>#REF!</v>
      </c>
      <c r="P210" s="1887" t="e">
        <f t="shared" si="143"/>
        <v>#REF!</v>
      </c>
      <c r="Q210" s="1888" t="e">
        <f t="shared" si="143"/>
        <v>#REF!</v>
      </c>
      <c r="R210" s="1888" t="e">
        <f t="shared" si="144"/>
        <v>#REF!</v>
      </c>
      <c r="S210" s="1892"/>
      <c r="T210" s="1892"/>
      <c r="U210" s="1892"/>
      <c r="V210" s="1736"/>
      <c r="W210" s="1736"/>
    </row>
    <row r="211" spans="1:23" s="250" customFormat="1" ht="27" hidden="1" customHeight="1" thickBot="1" x14ac:dyDescent="0.4">
      <c r="A211" s="3964"/>
      <c r="B211" s="1954">
        <v>5045</v>
      </c>
      <c r="C211" s="3743" t="s">
        <v>221</v>
      </c>
      <c r="D211" s="3744"/>
      <c r="E211" s="1886" t="e">
        <f t="shared" si="145"/>
        <v>#REF!</v>
      </c>
      <c r="F211" s="1886" t="e">
        <f t="shared" si="146"/>
        <v>#REF!</v>
      </c>
      <c r="G211" s="1886" t="e">
        <f t="shared" si="147"/>
        <v>#REF!</v>
      </c>
      <c r="H211" s="1886" t="e">
        <f t="shared" si="148"/>
        <v>#REF!</v>
      </c>
      <c r="I211" s="1886" t="e">
        <f t="shared" si="145"/>
        <v>#REF!</v>
      </c>
      <c r="J211" s="1886" t="e">
        <f t="shared" si="145"/>
        <v>#REF!</v>
      </c>
      <c r="K211" s="1886" t="e">
        <f t="shared" si="145"/>
        <v>#REF!</v>
      </c>
      <c r="L211" s="1886" t="e">
        <f t="shared" si="145"/>
        <v>#REF!</v>
      </c>
      <c r="M211" s="1886" t="e">
        <f t="shared" si="145"/>
        <v>#REF!</v>
      </c>
      <c r="N211" s="1886" t="e">
        <f t="shared" si="145"/>
        <v>#REF!</v>
      </c>
      <c r="O211" s="1887" t="e">
        <f t="shared" si="143"/>
        <v>#REF!</v>
      </c>
      <c r="P211" s="1887" t="e">
        <f t="shared" si="143"/>
        <v>#REF!</v>
      </c>
      <c r="Q211" s="1888" t="e">
        <f t="shared" si="143"/>
        <v>#REF!</v>
      </c>
      <c r="R211" s="1888" t="e">
        <f t="shared" si="144"/>
        <v>#REF!</v>
      </c>
      <c r="S211" s="1900"/>
      <c r="T211" s="1900"/>
      <c r="U211" s="1900"/>
      <c r="V211" s="1736"/>
      <c r="W211" s="1736"/>
    </row>
    <row r="212" spans="1:23" s="250" customFormat="1" ht="27" hidden="1" customHeight="1" thickBot="1" x14ac:dyDescent="0.4">
      <c r="A212" s="3964"/>
      <c r="B212" s="1955">
        <v>5050</v>
      </c>
      <c r="C212" s="4314" t="s">
        <v>219</v>
      </c>
      <c r="D212" s="4616"/>
      <c r="E212" s="1886">
        <f t="shared" si="145"/>
        <v>0</v>
      </c>
      <c r="F212" s="1886" t="e">
        <f t="shared" si="146"/>
        <v>#REF!</v>
      </c>
      <c r="G212" s="1886" t="e">
        <f t="shared" si="147"/>
        <v>#REF!</v>
      </c>
      <c r="H212" s="1886" t="e">
        <f t="shared" si="148"/>
        <v>#REF!</v>
      </c>
      <c r="I212" s="1886">
        <f t="shared" si="145"/>
        <v>0</v>
      </c>
      <c r="J212" s="1886">
        <f t="shared" si="145"/>
        <v>0</v>
      </c>
      <c r="K212" s="1886">
        <f t="shared" si="145"/>
        <v>0</v>
      </c>
      <c r="L212" s="1886" t="e">
        <f t="shared" si="145"/>
        <v>#REF!</v>
      </c>
      <c r="M212" s="1886" t="e">
        <f t="shared" si="145"/>
        <v>#REF!</v>
      </c>
      <c r="N212" s="1886" t="e">
        <f t="shared" si="145"/>
        <v>#REF!</v>
      </c>
      <c r="O212" s="1887" t="e">
        <f t="shared" si="143"/>
        <v>#REF!</v>
      </c>
      <c r="P212" s="1887" t="e">
        <f t="shared" si="143"/>
        <v>#REF!</v>
      </c>
      <c r="Q212" s="1888" t="e">
        <f t="shared" si="143"/>
        <v>#REF!</v>
      </c>
      <c r="R212" s="1888" t="e">
        <f t="shared" si="144"/>
        <v>#REF!</v>
      </c>
      <c r="S212" s="1900"/>
      <c r="T212" s="1900"/>
      <c r="U212" s="1900"/>
      <c r="V212" s="1736"/>
      <c r="W212" s="1736"/>
    </row>
    <row r="213" spans="1:23" s="250" customFormat="1" ht="27" hidden="1" customHeight="1" thickBot="1" x14ac:dyDescent="0.4">
      <c r="A213" s="3964"/>
      <c r="B213" s="1955">
        <v>5051</v>
      </c>
      <c r="C213" s="4314" t="s">
        <v>621</v>
      </c>
      <c r="D213" s="4616"/>
      <c r="E213" s="1886" t="e">
        <f t="shared" si="145"/>
        <v>#REF!</v>
      </c>
      <c r="F213" s="1886" t="e">
        <f t="shared" si="146"/>
        <v>#REF!</v>
      </c>
      <c r="G213" s="1886" t="e">
        <f t="shared" si="147"/>
        <v>#REF!</v>
      </c>
      <c r="H213" s="1886" t="e">
        <f t="shared" si="148"/>
        <v>#REF!</v>
      </c>
      <c r="I213" s="1886" t="e">
        <f t="shared" si="145"/>
        <v>#REF!</v>
      </c>
      <c r="J213" s="1886" t="e">
        <f t="shared" si="145"/>
        <v>#REF!</v>
      </c>
      <c r="K213" s="1886" t="e">
        <f t="shared" si="145"/>
        <v>#REF!</v>
      </c>
      <c r="L213" s="1886" t="e">
        <f t="shared" si="145"/>
        <v>#REF!</v>
      </c>
      <c r="M213" s="1886" t="e">
        <f t="shared" si="145"/>
        <v>#REF!</v>
      </c>
      <c r="N213" s="1886" t="e">
        <f t="shared" si="145"/>
        <v>#REF!</v>
      </c>
      <c r="O213" s="1887" t="e">
        <f t="shared" si="143"/>
        <v>#REF!</v>
      </c>
      <c r="P213" s="1887" t="e">
        <f t="shared" si="143"/>
        <v>#REF!</v>
      </c>
      <c r="Q213" s="1888" t="e">
        <f t="shared" si="143"/>
        <v>#REF!</v>
      </c>
      <c r="R213" s="1888" t="e">
        <f t="shared" si="144"/>
        <v>#REF!</v>
      </c>
      <c r="S213" s="1902"/>
      <c r="T213" s="1902"/>
      <c r="U213" s="1902"/>
    </row>
    <row r="214" spans="1:23" s="250" customFormat="1" ht="27" hidden="1" customHeight="1" thickBot="1" x14ac:dyDescent="0.4">
      <c r="A214" s="3964"/>
      <c r="B214" s="1955">
        <v>5055</v>
      </c>
      <c r="C214" s="4314" t="s">
        <v>222</v>
      </c>
      <c r="D214" s="4616"/>
      <c r="E214" s="1886" t="e">
        <f t="shared" si="145"/>
        <v>#REF!</v>
      </c>
      <c r="F214" s="1886" t="e">
        <f t="shared" si="146"/>
        <v>#REF!</v>
      </c>
      <c r="G214" s="1886" t="e">
        <f t="shared" si="147"/>
        <v>#REF!</v>
      </c>
      <c r="H214" s="1886" t="e">
        <f t="shared" si="148"/>
        <v>#REF!</v>
      </c>
      <c r="I214" s="1886" t="e">
        <f t="shared" si="145"/>
        <v>#REF!</v>
      </c>
      <c r="J214" s="1886" t="e">
        <f t="shared" si="145"/>
        <v>#REF!</v>
      </c>
      <c r="K214" s="1886" t="e">
        <f t="shared" si="145"/>
        <v>#REF!</v>
      </c>
      <c r="L214" s="1886" t="e">
        <f t="shared" si="145"/>
        <v>#REF!</v>
      </c>
      <c r="M214" s="1886" t="e">
        <f t="shared" si="145"/>
        <v>#REF!</v>
      </c>
      <c r="N214" s="1886" t="e">
        <f t="shared" si="145"/>
        <v>#REF!</v>
      </c>
      <c r="O214" s="1887" t="e">
        <f t="shared" si="143"/>
        <v>#REF!</v>
      </c>
      <c r="P214" s="1887" t="e">
        <f t="shared" si="143"/>
        <v>#REF!</v>
      </c>
      <c r="Q214" s="1888" t="e">
        <f t="shared" si="143"/>
        <v>#REF!</v>
      </c>
      <c r="R214" s="1888" t="e">
        <f t="shared" si="144"/>
        <v>#REF!</v>
      </c>
      <c r="S214" s="1900"/>
      <c r="T214" s="1900"/>
      <c r="U214" s="1900"/>
    </row>
    <row r="215" spans="1:23" s="250" customFormat="1" ht="27" hidden="1" customHeight="1" thickBot="1" x14ac:dyDescent="0.4">
      <c r="A215" s="4619"/>
      <c r="B215" s="2414" t="s">
        <v>50</v>
      </c>
      <c r="C215" s="4631" t="s">
        <v>580</v>
      </c>
      <c r="D215" s="4632"/>
      <c r="E215" s="1886" t="e">
        <f t="shared" si="145"/>
        <v>#REF!</v>
      </c>
      <c r="F215" s="1886" t="e">
        <f t="shared" si="146"/>
        <v>#REF!</v>
      </c>
      <c r="G215" s="1886" t="e">
        <f t="shared" si="147"/>
        <v>#REF!</v>
      </c>
      <c r="H215" s="1886" t="e">
        <f t="shared" si="148"/>
        <v>#REF!</v>
      </c>
      <c r="I215" s="1886" t="e">
        <f t="shared" si="145"/>
        <v>#REF!</v>
      </c>
      <c r="J215" s="1886" t="e">
        <f t="shared" si="145"/>
        <v>#REF!</v>
      </c>
      <c r="K215" s="1886" t="e">
        <f t="shared" si="145"/>
        <v>#REF!</v>
      </c>
      <c r="L215" s="1886" t="e">
        <f t="shared" si="145"/>
        <v>#REF!</v>
      </c>
      <c r="M215" s="1886" t="e">
        <f t="shared" si="145"/>
        <v>#REF!</v>
      </c>
      <c r="N215" s="1886" t="e">
        <f t="shared" si="145"/>
        <v>#REF!</v>
      </c>
      <c r="O215" s="1887" t="e">
        <f t="shared" si="143"/>
        <v>#REF!</v>
      </c>
      <c r="P215" s="1887" t="e">
        <f t="shared" si="143"/>
        <v>#REF!</v>
      </c>
      <c r="Q215" s="1888" t="e">
        <f t="shared" si="143"/>
        <v>#REF!</v>
      </c>
      <c r="R215" s="1888" t="e">
        <f t="shared" si="144"/>
        <v>#REF!</v>
      </c>
      <c r="S215" s="1900"/>
      <c r="T215" s="1900"/>
      <c r="U215" s="1900"/>
    </row>
    <row r="216" spans="1:23" s="250" customFormat="1" ht="27" hidden="1" customHeight="1" thickBot="1" x14ac:dyDescent="0.4">
      <c r="A216" s="3963" t="s">
        <v>631</v>
      </c>
      <c r="B216" s="1947">
        <v>5030</v>
      </c>
      <c r="C216" s="4308" t="s">
        <v>217</v>
      </c>
      <c r="D216" s="4612"/>
      <c r="E216" s="1886">
        <f t="shared" si="145"/>
        <v>0</v>
      </c>
      <c r="F216" s="1886" t="e">
        <f t="shared" si="146"/>
        <v>#REF!</v>
      </c>
      <c r="G216" s="1886" t="e">
        <f t="shared" si="147"/>
        <v>#REF!</v>
      </c>
      <c r="H216" s="1886" t="e">
        <f t="shared" si="148"/>
        <v>#REF!</v>
      </c>
      <c r="I216" s="1886">
        <f t="shared" si="145"/>
        <v>0</v>
      </c>
      <c r="J216" s="1886">
        <f t="shared" si="145"/>
        <v>0</v>
      </c>
      <c r="K216" s="1886">
        <f t="shared" si="145"/>
        <v>0</v>
      </c>
      <c r="L216" s="1886" t="e">
        <f t="shared" si="145"/>
        <v>#REF!</v>
      </c>
      <c r="M216" s="1886" t="e">
        <f t="shared" si="145"/>
        <v>#REF!</v>
      </c>
      <c r="N216" s="1886" t="e">
        <f t="shared" si="145"/>
        <v>#REF!</v>
      </c>
      <c r="O216" s="1887" t="e">
        <f t="shared" si="143"/>
        <v>#REF!</v>
      </c>
      <c r="P216" s="1887" t="e">
        <f t="shared" si="143"/>
        <v>#REF!</v>
      </c>
      <c r="Q216" s="1888" t="e">
        <f t="shared" si="143"/>
        <v>#REF!</v>
      </c>
      <c r="R216" s="1888" t="e">
        <f t="shared" si="144"/>
        <v>#REF!</v>
      </c>
      <c r="S216" s="1900"/>
      <c r="T216" s="1900"/>
      <c r="U216" s="1900"/>
    </row>
    <row r="217" spans="1:23" s="250" customFormat="1" ht="27" hidden="1" customHeight="1" thickBot="1" x14ac:dyDescent="0.4">
      <c r="A217" s="3964"/>
      <c r="B217" s="1954">
        <v>5040</v>
      </c>
      <c r="C217" s="3743" t="s">
        <v>218</v>
      </c>
      <c r="D217" s="3744"/>
      <c r="E217" s="1886">
        <f t="shared" si="145"/>
        <v>0</v>
      </c>
      <c r="F217" s="1886" t="e">
        <f t="shared" si="146"/>
        <v>#REF!</v>
      </c>
      <c r="G217" s="1886" t="e">
        <f t="shared" si="147"/>
        <v>#REF!</v>
      </c>
      <c r="H217" s="1886" t="e">
        <f t="shared" si="148"/>
        <v>#REF!</v>
      </c>
      <c r="I217" s="1886">
        <f t="shared" si="145"/>
        <v>0</v>
      </c>
      <c r="J217" s="1886">
        <f t="shared" si="145"/>
        <v>0</v>
      </c>
      <c r="K217" s="1886">
        <f t="shared" si="145"/>
        <v>0</v>
      </c>
      <c r="L217" s="1886" t="e">
        <f t="shared" si="145"/>
        <v>#REF!</v>
      </c>
      <c r="M217" s="1886" t="e">
        <f t="shared" si="145"/>
        <v>#REF!</v>
      </c>
      <c r="N217" s="1886" t="e">
        <f t="shared" si="145"/>
        <v>#REF!</v>
      </c>
      <c r="O217" s="1887" t="e">
        <f t="shared" si="143"/>
        <v>#REF!</v>
      </c>
      <c r="P217" s="1887" t="e">
        <f t="shared" si="143"/>
        <v>#REF!</v>
      </c>
      <c r="Q217" s="1888" t="e">
        <f t="shared" si="143"/>
        <v>#REF!</v>
      </c>
      <c r="R217" s="1888" t="e">
        <f t="shared" si="144"/>
        <v>#REF!</v>
      </c>
      <c r="S217" s="1900"/>
      <c r="T217" s="1900"/>
      <c r="U217" s="1900"/>
    </row>
    <row r="218" spans="1:23" s="250" customFormat="1" ht="27" hidden="1" customHeight="1" thickBot="1" x14ac:dyDescent="0.4">
      <c r="A218" s="3964"/>
      <c r="B218" s="1954">
        <v>5041</v>
      </c>
      <c r="C218" s="3743" t="s">
        <v>620</v>
      </c>
      <c r="D218" s="3744"/>
      <c r="E218" s="1886" t="e">
        <f t="shared" si="145"/>
        <v>#REF!</v>
      </c>
      <c r="F218" s="1886" t="e">
        <f t="shared" si="146"/>
        <v>#REF!</v>
      </c>
      <c r="G218" s="1886" t="e">
        <f t="shared" si="147"/>
        <v>#REF!</v>
      </c>
      <c r="H218" s="1886" t="e">
        <f t="shared" si="148"/>
        <v>#REF!</v>
      </c>
      <c r="I218" s="1886" t="e">
        <f t="shared" si="145"/>
        <v>#REF!</v>
      </c>
      <c r="J218" s="1886" t="e">
        <f t="shared" si="145"/>
        <v>#REF!</v>
      </c>
      <c r="K218" s="1886" t="e">
        <f t="shared" si="145"/>
        <v>#REF!</v>
      </c>
      <c r="L218" s="1886" t="e">
        <f t="shared" si="145"/>
        <v>#REF!</v>
      </c>
      <c r="M218" s="1886" t="e">
        <f t="shared" si="145"/>
        <v>#REF!</v>
      </c>
      <c r="N218" s="1886" t="e">
        <f t="shared" si="145"/>
        <v>#REF!</v>
      </c>
      <c r="O218" s="1887" t="e">
        <f t="shared" si="143"/>
        <v>#REF!</v>
      </c>
      <c r="P218" s="1887" t="e">
        <f t="shared" si="143"/>
        <v>#REF!</v>
      </c>
      <c r="Q218" s="1888" t="e">
        <f t="shared" si="143"/>
        <v>#REF!</v>
      </c>
      <c r="R218" s="1888" t="e">
        <f t="shared" si="144"/>
        <v>#REF!</v>
      </c>
      <c r="S218" s="1900"/>
      <c r="T218" s="1900"/>
      <c r="U218" s="1900"/>
    </row>
    <row r="219" spans="1:23" s="250" customFormat="1" ht="27" hidden="1" customHeight="1" thickBot="1" x14ac:dyDescent="0.4">
      <c r="A219" s="3964"/>
      <c r="B219" s="1954">
        <v>5045</v>
      </c>
      <c r="C219" s="3743" t="s">
        <v>221</v>
      </c>
      <c r="D219" s="3744"/>
      <c r="E219" s="1886" t="e">
        <f t="shared" si="145"/>
        <v>#REF!</v>
      </c>
      <c r="F219" s="1886" t="e">
        <f t="shared" si="146"/>
        <v>#REF!</v>
      </c>
      <c r="G219" s="1886" t="e">
        <f t="shared" si="147"/>
        <v>#REF!</v>
      </c>
      <c r="H219" s="1886" t="e">
        <f t="shared" si="148"/>
        <v>#REF!</v>
      </c>
      <c r="I219" s="1886" t="e">
        <f t="shared" si="145"/>
        <v>#REF!</v>
      </c>
      <c r="J219" s="1886" t="e">
        <f t="shared" si="145"/>
        <v>#REF!</v>
      </c>
      <c r="K219" s="1886" t="e">
        <f t="shared" si="145"/>
        <v>#REF!</v>
      </c>
      <c r="L219" s="1886" t="e">
        <f t="shared" si="145"/>
        <v>#REF!</v>
      </c>
      <c r="M219" s="1886" t="e">
        <f t="shared" si="145"/>
        <v>#REF!</v>
      </c>
      <c r="N219" s="1886" t="e">
        <f t="shared" si="145"/>
        <v>#REF!</v>
      </c>
      <c r="O219" s="1887" t="e">
        <f t="shared" si="143"/>
        <v>#REF!</v>
      </c>
      <c r="P219" s="1887" t="e">
        <f t="shared" si="143"/>
        <v>#REF!</v>
      </c>
      <c r="Q219" s="1888" t="e">
        <f t="shared" si="143"/>
        <v>#REF!</v>
      </c>
      <c r="R219" s="1888" t="e">
        <f t="shared" si="144"/>
        <v>#REF!</v>
      </c>
      <c r="S219" s="1900"/>
      <c r="T219" s="1900"/>
      <c r="U219" s="1900"/>
    </row>
    <row r="220" spans="1:23" s="250" customFormat="1" ht="27" hidden="1" customHeight="1" thickBot="1" x14ac:dyDescent="0.4">
      <c r="A220" s="3964"/>
      <c r="B220" s="1955">
        <v>5050</v>
      </c>
      <c r="C220" s="4314" t="s">
        <v>219</v>
      </c>
      <c r="D220" s="4616"/>
      <c r="E220" s="1886">
        <f t="shared" si="145"/>
        <v>0</v>
      </c>
      <c r="F220" s="1886" t="e">
        <f t="shared" si="146"/>
        <v>#REF!</v>
      </c>
      <c r="G220" s="1886" t="e">
        <f t="shared" si="147"/>
        <v>#REF!</v>
      </c>
      <c r="H220" s="1886" t="e">
        <f t="shared" si="148"/>
        <v>#REF!</v>
      </c>
      <c r="I220" s="1886">
        <f t="shared" si="145"/>
        <v>0</v>
      </c>
      <c r="J220" s="1886">
        <f t="shared" si="145"/>
        <v>0</v>
      </c>
      <c r="K220" s="1886">
        <f t="shared" si="145"/>
        <v>0</v>
      </c>
      <c r="L220" s="1886" t="e">
        <f t="shared" si="145"/>
        <v>#REF!</v>
      </c>
      <c r="M220" s="1886" t="e">
        <f t="shared" si="145"/>
        <v>#REF!</v>
      </c>
      <c r="N220" s="1886" t="e">
        <f t="shared" si="145"/>
        <v>#REF!</v>
      </c>
      <c r="O220" s="1887" t="e">
        <f t="shared" ref="O220:Q249" si="149">+I220+L220</f>
        <v>#REF!</v>
      </c>
      <c r="P220" s="1887" t="e">
        <f t="shared" si="149"/>
        <v>#REF!</v>
      </c>
      <c r="Q220" s="1888" t="e">
        <f t="shared" si="149"/>
        <v>#REF!</v>
      </c>
      <c r="R220" s="1888" t="e">
        <f t="shared" si="144"/>
        <v>#REF!</v>
      </c>
      <c r="S220" s="1900"/>
      <c r="T220" s="1900"/>
      <c r="U220" s="1900"/>
    </row>
    <row r="221" spans="1:23" s="250" customFormat="1" ht="27" hidden="1" customHeight="1" thickBot="1" x14ac:dyDescent="0.4">
      <c r="A221" s="3964"/>
      <c r="B221" s="1955">
        <v>5051</v>
      </c>
      <c r="C221" s="4314" t="s">
        <v>621</v>
      </c>
      <c r="D221" s="4616"/>
      <c r="E221" s="1886" t="e">
        <f t="shared" si="145"/>
        <v>#REF!</v>
      </c>
      <c r="F221" s="1886" t="e">
        <f t="shared" si="146"/>
        <v>#REF!</v>
      </c>
      <c r="G221" s="1886" t="e">
        <f t="shared" si="147"/>
        <v>#REF!</v>
      </c>
      <c r="H221" s="1886" t="e">
        <f t="shared" si="148"/>
        <v>#REF!</v>
      </c>
      <c r="I221" s="1886" t="e">
        <f t="shared" si="145"/>
        <v>#REF!</v>
      </c>
      <c r="J221" s="1886" t="e">
        <f t="shared" si="145"/>
        <v>#REF!</v>
      </c>
      <c r="K221" s="1886" t="e">
        <f t="shared" si="145"/>
        <v>#REF!</v>
      </c>
      <c r="L221" s="1886" t="e">
        <f t="shared" si="145"/>
        <v>#REF!</v>
      </c>
      <c r="M221" s="1886" t="e">
        <f t="shared" si="145"/>
        <v>#REF!</v>
      </c>
      <c r="N221" s="1886" t="e">
        <f t="shared" si="145"/>
        <v>#REF!</v>
      </c>
      <c r="O221" s="1887" t="e">
        <f t="shared" si="149"/>
        <v>#REF!</v>
      </c>
      <c r="P221" s="1887" t="e">
        <f t="shared" si="149"/>
        <v>#REF!</v>
      </c>
      <c r="Q221" s="1888" t="e">
        <f t="shared" si="149"/>
        <v>#REF!</v>
      </c>
      <c r="R221" s="1888" t="e">
        <f t="shared" si="144"/>
        <v>#REF!</v>
      </c>
      <c r="S221" s="1900"/>
      <c r="T221" s="1900"/>
      <c r="U221" s="1900"/>
    </row>
    <row r="222" spans="1:23" s="250" customFormat="1" ht="27" hidden="1" customHeight="1" thickBot="1" x14ac:dyDescent="0.4">
      <c r="A222" s="3964"/>
      <c r="B222" s="1955">
        <v>5055</v>
      </c>
      <c r="C222" s="4314" t="s">
        <v>222</v>
      </c>
      <c r="D222" s="4616"/>
      <c r="E222" s="1886" t="e">
        <f t="shared" si="145"/>
        <v>#REF!</v>
      </c>
      <c r="F222" s="1886" t="e">
        <f t="shared" si="146"/>
        <v>#REF!</v>
      </c>
      <c r="G222" s="1886" t="e">
        <f t="shared" si="147"/>
        <v>#REF!</v>
      </c>
      <c r="H222" s="1886" t="e">
        <f t="shared" si="148"/>
        <v>#REF!</v>
      </c>
      <c r="I222" s="1886" t="e">
        <f t="shared" si="145"/>
        <v>#REF!</v>
      </c>
      <c r="J222" s="1886" t="e">
        <f t="shared" si="145"/>
        <v>#REF!</v>
      </c>
      <c r="K222" s="1886" t="e">
        <f t="shared" si="145"/>
        <v>#REF!</v>
      </c>
      <c r="L222" s="1886" t="e">
        <f t="shared" si="145"/>
        <v>#REF!</v>
      </c>
      <c r="M222" s="1886" t="e">
        <f t="shared" si="145"/>
        <v>#REF!</v>
      </c>
      <c r="N222" s="1886" t="e">
        <f t="shared" si="145"/>
        <v>#REF!</v>
      </c>
      <c r="O222" s="1887" t="e">
        <f t="shared" si="149"/>
        <v>#REF!</v>
      </c>
      <c r="P222" s="1887" t="e">
        <f t="shared" si="149"/>
        <v>#REF!</v>
      </c>
      <c r="Q222" s="1888" t="e">
        <f t="shared" si="149"/>
        <v>#REF!</v>
      </c>
      <c r="R222" s="1888" t="e">
        <f t="shared" si="144"/>
        <v>#REF!</v>
      </c>
      <c r="S222" s="1900"/>
      <c r="T222" s="1900"/>
      <c r="U222" s="1900"/>
    </row>
    <row r="223" spans="1:23" s="250" customFormat="1" ht="27" hidden="1" customHeight="1" thickBot="1" x14ac:dyDescent="0.4">
      <c r="A223" s="4619"/>
      <c r="B223" s="2414" t="s">
        <v>50</v>
      </c>
      <c r="C223" s="4631" t="s">
        <v>580</v>
      </c>
      <c r="D223" s="4632"/>
      <c r="E223" s="1886" t="e">
        <f>+INT(E355)</f>
        <v>#REF!</v>
      </c>
      <c r="F223" s="1886" t="e">
        <f t="shared" si="146"/>
        <v>#REF!</v>
      </c>
      <c r="G223" s="1886" t="e">
        <f t="shared" si="147"/>
        <v>#REF!</v>
      </c>
      <c r="H223" s="1886" t="e">
        <f t="shared" si="148"/>
        <v>#REF!</v>
      </c>
      <c r="I223" s="1886" t="e">
        <f t="shared" ref="I223:N223" si="150">+INT(I355)</f>
        <v>#REF!</v>
      </c>
      <c r="J223" s="1886" t="e">
        <f t="shared" si="150"/>
        <v>#REF!</v>
      </c>
      <c r="K223" s="1886" t="e">
        <f t="shared" si="150"/>
        <v>#REF!</v>
      </c>
      <c r="L223" s="1886" t="e">
        <f t="shared" si="150"/>
        <v>#REF!</v>
      </c>
      <c r="M223" s="1886" t="e">
        <f t="shared" si="150"/>
        <v>#REF!</v>
      </c>
      <c r="N223" s="1886" t="e">
        <f t="shared" si="150"/>
        <v>#REF!</v>
      </c>
      <c r="O223" s="1887" t="e">
        <f t="shared" si="149"/>
        <v>#REF!</v>
      </c>
      <c r="P223" s="1887" t="e">
        <f t="shared" si="149"/>
        <v>#REF!</v>
      </c>
      <c r="Q223" s="1888" t="e">
        <f t="shared" si="149"/>
        <v>#REF!</v>
      </c>
      <c r="R223" s="1888" t="e">
        <f t="shared" si="144"/>
        <v>#REF!</v>
      </c>
      <c r="S223" s="1900"/>
      <c r="T223" s="1900"/>
      <c r="U223" s="1900"/>
    </row>
    <row r="224" spans="1:23" ht="27" hidden="1" customHeight="1" thickBot="1" x14ac:dyDescent="0.5">
      <c r="A224" s="3944" t="s">
        <v>21</v>
      </c>
      <c r="B224" s="4592" t="s">
        <v>210</v>
      </c>
      <c r="C224" s="4593"/>
      <c r="D224" s="4593"/>
      <c r="E224" s="1886">
        <f>+INT(E361)</f>
        <v>0</v>
      </c>
      <c r="F224" s="1886" t="e">
        <f t="shared" si="146"/>
        <v>#REF!</v>
      </c>
      <c r="G224" s="1886" t="e">
        <f t="shared" si="147"/>
        <v>#REF!</v>
      </c>
      <c r="H224" s="1886" t="e">
        <f t="shared" si="148"/>
        <v>#REF!</v>
      </c>
      <c r="I224" s="1886">
        <f t="shared" ref="I224:N224" si="151">+INT(I361)</f>
        <v>0</v>
      </c>
      <c r="J224" s="1886">
        <f t="shared" si="151"/>
        <v>0</v>
      </c>
      <c r="K224" s="1886">
        <f t="shared" si="151"/>
        <v>0</v>
      </c>
      <c r="L224" s="1886" t="e">
        <f t="shared" si="151"/>
        <v>#REF!</v>
      </c>
      <c r="M224" s="1886" t="e">
        <f t="shared" si="151"/>
        <v>#REF!</v>
      </c>
      <c r="N224" s="1886" t="e">
        <f t="shared" si="151"/>
        <v>#REF!</v>
      </c>
      <c r="O224" s="1603" t="e">
        <f t="shared" si="149"/>
        <v>#REF!</v>
      </c>
      <c r="P224" s="1603" t="e">
        <f t="shared" si="149"/>
        <v>#REF!</v>
      </c>
      <c r="Q224" s="1604" t="e">
        <f t="shared" si="149"/>
        <v>#REF!</v>
      </c>
      <c r="R224" s="1888" t="e">
        <f t="shared" si="144"/>
        <v>#REF!</v>
      </c>
      <c r="S224" s="1610"/>
      <c r="T224" s="1610"/>
      <c r="U224" s="1610"/>
    </row>
    <row r="225" spans="1:21" ht="27" hidden="1" customHeight="1" thickBot="1" x14ac:dyDescent="0.5">
      <c r="A225" s="3945"/>
      <c r="B225" s="4592" t="s">
        <v>211</v>
      </c>
      <c r="C225" s="4593"/>
      <c r="D225" s="4593"/>
      <c r="E225" s="1886">
        <f t="shared" ref="E225:N225" si="152">+INT(E362)</f>
        <v>0</v>
      </c>
      <c r="F225" s="1886" t="e">
        <f t="shared" si="146"/>
        <v>#REF!</v>
      </c>
      <c r="G225" s="1886" t="e">
        <f t="shared" si="147"/>
        <v>#REF!</v>
      </c>
      <c r="H225" s="1886" t="e">
        <f t="shared" si="148"/>
        <v>#REF!</v>
      </c>
      <c r="I225" s="1886">
        <f t="shared" si="152"/>
        <v>0</v>
      </c>
      <c r="J225" s="1886">
        <f t="shared" si="152"/>
        <v>0</v>
      </c>
      <c r="K225" s="1886">
        <f t="shared" si="152"/>
        <v>0</v>
      </c>
      <c r="L225" s="1886" t="e">
        <f t="shared" si="152"/>
        <v>#REF!</v>
      </c>
      <c r="M225" s="1886" t="e">
        <f t="shared" si="152"/>
        <v>#REF!</v>
      </c>
      <c r="N225" s="1886" t="e">
        <f t="shared" si="152"/>
        <v>#REF!</v>
      </c>
      <c r="O225" s="1603" t="e">
        <f t="shared" si="149"/>
        <v>#REF!</v>
      </c>
      <c r="P225" s="1603" t="e">
        <f t="shared" si="149"/>
        <v>#REF!</v>
      </c>
      <c r="Q225" s="1604" t="e">
        <f t="shared" si="149"/>
        <v>#REF!</v>
      </c>
      <c r="R225" s="1888" t="e">
        <f t="shared" si="144"/>
        <v>#REF!</v>
      </c>
      <c r="S225" s="1610"/>
      <c r="T225" s="1610"/>
      <c r="U225" s="1610"/>
    </row>
    <row r="226" spans="1:21" ht="27" hidden="1" customHeight="1" thickBot="1" x14ac:dyDescent="0.5">
      <c r="A226" s="3956" t="s">
        <v>71</v>
      </c>
      <c r="B226" s="3794" t="s">
        <v>212</v>
      </c>
      <c r="C226" s="3795"/>
      <c r="D226" s="3795"/>
      <c r="E226" s="1886">
        <f>+INT(E364)</f>
        <v>0</v>
      </c>
      <c r="F226" s="1886" t="e">
        <f t="shared" si="146"/>
        <v>#REF!</v>
      </c>
      <c r="G226" s="1886" t="e">
        <f t="shared" si="147"/>
        <v>#REF!</v>
      </c>
      <c r="H226" s="1886" t="e">
        <f t="shared" si="148"/>
        <v>#REF!</v>
      </c>
      <c r="I226" s="1886">
        <f t="shared" ref="I226:N226" si="153">+INT(I364)</f>
        <v>0</v>
      </c>
      <c r="J226" s="1886">
        <f t="shared" si="153"/>
        <v>0</v>
      </c>
      <c r="K226" s="1886">
        <f t="shared" si="153"/>
        <v>0</v>
      </c>
      <c r="L226" s="1886" t="e">
        <f t="shared" si="153"/>
        <v>#REF!</v>
      </c>
      <c r="M226" s="1886" t="e">
        <f t="shared" si="153"/>
        <v>#REF!</v>
      </c>
      <c r="N226" s="1886" t="e">
        <f t="shared" si="153"/>
        <v>#REF!</v>
      </c>
      <c r="O226" s="1603" t="e">
        <f t="shared" si="149"/>
        <v>#REF!</v>
      </c>
      <c r="P226" s="1603" t="e">
        <f t="shared" si="149"/>
        <v>#REF!</v>
      </c>
      <c r="Q226" s="1604" t="e">
        <f t="shared" si="149"/>
        <v>#REF!</v>
      </c>
      <c r="R226" s="1888" t="e">
        <f t="shared" si="144"/>
        <v>#REF!</v>
      </c>
      <c r="S226" s="1610"/>
      <c r="T226" s="1610"/>
      <c r="U226" s="1610"/>
    </row>
    <row r="227" spans="1:21" ht="27" hidden="1" customHeight="1" thickBot="1" x14ac:dyDescent="0.5">
      <c r="A227" s="3957"/>
      <c r="B227" s="3794" t="s">
        <v>213</v>
      </c>
      <c r="C227" s="3795"/>
      <c r="D227" s="3795"/>
      <c r="E227" s="1886">
        <f>+INT(E365)</f>
        <v>0</v>
      </c>
      <c r="F227" s="1886" t="e">
        <f t="shared" si="146"/>
        <v>#REF!</v>
      </c>
      <c r="G227" s="1886" t="e">
        <f t="shared" si="147"/>
        <v>#REF!</v>
      </c>
      <c r="H227" s="1886" t="e">
        <f t="shared" si="148"/>
        <v>#REF!</v>
      </c>
      <c r="I227" s="1886">
        <f t="shared" ref="I227:N227" si="154">+INT(I365)</f>
        <v>0</v>
      </c>
      <c r="J227" s="1886">
        <f t="shared" si="154"/>
        <v>0</v>
      </c>
      <c r="K227" s="1886">
        <f t="shared" si="154"/>
        <v>0</v>
      </c>
      <c r="L227" s="1886" t="e">
        <f t="shared" si="154"/>
        <v>#REF!</v>
      </c>
      <c r="M227" s="1886" t="e">
        <f t="shared" si="154"/>
        <v>#REF!</v>
      </c>
      <c r="N227" s="1886" t="e">
        <f t="shared" si="154"/>
        <v>#REF!</v>
      </c>
      <c r="O227" s="1603" t="e">
        <f t="shared" si="149"/>
        <v>#REF!</v>
      </c>
      <c r="P227" s="1603" t="e">
        <f t="shared" si="149"/>
        <v>#REF!</v>
      </c>
      <c r="Q227" s="1604" t="e">
        <f t="shared" si="149"/>
        <v>#REF!</v>
      </c>
      <c r="R227" s="1888" t="e">
        <f t="shared" si="144"/>
        <v>#REF!</v>
      </c>
      <c r="S227" s="1610"/>
      <c r="T227" s="1610"/>
      <c r="U227" s="1610"/>
    </row>
    <row r="228" spans="1:21" ht="27" hidden="1" customHeight="1" thickBot="1" x14ac:dyDescent="0.5">
      <c r="A228" s="2484"/>
      <c r="B228" s="2485"/>
      <c r="C228" s="2486"/>
      <c r="D228" s="2487"/>
      <c r="E228" s="1886"/>
      <c r="F228" s="1886"/>
      <c r="G228" s="1886"/>
      <c r="H228" s="1886"/>
      <c r="I228" s="1886"/>
      <c r="J228" s="1886"/>
      <c r="K228" s="1602"/>
      <c r="L228" s="1602"/>
      <c r="M228" s="1602"/>
      <c r="N228" s="1602"/>
      <c r="O228" s="1603"/>
      <c r="P228" s="1603"/>
      <c r="Q228" s="1604"/>
      <c r="R228" s="1888"/>
    </row>
    <row r="229" spans="1:21" ht="27" hidden="1" customHeight="1" thickBot="1" x14ac:dyDescent="0.5">
      <c r="A229" s="2484"/>
      <c r="B229" s="2485"/>
      <c r="C229" s="2486"/>
      <c r="D229" s="2487"/>
      <c r="E229" s="1886"/>
      <c r="F229" s="1886"/>
      <c r="G229" s="1886"/>
      <c r="H229" s="1886"/>
      <c r="I229" s="1886"/>
      <c r="J229" s="1886"/>
      <c r="K229" s="1602"/>
      <c r="L229" s="1602"/>
      <c r="M229" s="1602"/>
      <c r="N229" s="1602"/>
      <c r="O229" s="1603"/>
      <c r="P229" s="1603"/>
      <c r="Q229" s="1604"/>
      <c r="R229" s="1888"/>
    </row>
    <row r="230" spans="1:21" ht="27" hidden="1" customHeight="1" thickBot="1" x14ac:dyDescent="0.5">
      <c r="A230" s="2484"/>
      <c r="B230" s="2485"/>
      <c r="C230" s="2486"/>
      <c r="D230" s="2487"/>
      <c r="E230" s="1886"/>
      <c r="F230" s="1886"/>
      <c r="G230" s="1886"/>
      <c r="H230" s="1886"/>
      <c r="I230" s="1886"/>
      <c r="J230" s="1886"/>
      <c r="K230" s="1602"/>
      <c r="L230" s="1602"/>
      <c r="M230" s="1602"/>
      <c r="N230" s="1602"/>
      <c r="O230" s="1603"/>
      <c r="P230" s="1603"/>
      <c r="Q230" s="1604"/>
      <c r="R230" s="1888"/>
    </row>
    <row r="231" spans="1:21" ht="27" hidden="1" customHeight="1" thickBot="1" x14ac:dyDescent="0.5">
      <c r="A231" s="2484"/>
      <c r="B231" s="2488"/>
      <c r="C231" s="2486"/>
      <c r="D231" s="2487"/>
      <c r="E231" s="1886"/>
      <c r="F231" s="1886"/>
      <c r="G231" s="1886"/>
      <c r="H231" s="1886"/>
      <c r="I231" s="1886"/>
      <c r="J231" s="1886"/>
      <c r="K231" s="1602"/>
      <c r="L231" s="1602"/>
      <c r="M231" s="1602"/>
      <c r="N231" s="1602"/>
      <c r="O231" s="1603"/>
      <c r="P231" s="1603"/>
      <c r="Q231" s="1604"/>
      <c r="R231" s="1888"/>
    </row>
    <row r="232" spans="1:21" ht="27" hidden="1" customHeight="1" thickBot="1" x14ac:dyDescent="0.5">
      <c r="A232" s="2484"/>
      <c r="B232" s="2488"/>
      <c r="C232" s="2486"/>
      <c r="D232" s="2487"/>
      <c r="E232" s="1886"/>
      <c r="F232" s="1886"/>
      <c r="G232" s="1886"/>
      <c r="H232" s="1886"/>
      <c r="I232" s="1886"/>
      <c r="J232" s="1886"/>
      <c r="K232" s="1602"/>
      <c r="L232" s="1602"/>
      <c r="M232" s="1602"/>
      <c r="N232" s="1602"/>
      <c r="O232" s="1603"/>
      <c r="P232" s="1603"/>
      <c r="Q232" s="1604"/>
      <c r="R232" s="1888"/>
    </row>
    <row r="233" spans="1:21" ht="27" hidden="1" customHeight="1" thickBot="1" x14ac:dyDescent="0.5">
      <c r="A233" s="2484"/>
      <c r="B233" s="2488"/>
      <c r="C233" s="2486"/>
      <c r="D233" s="2487"/>
      <c r="E233" s="1886"/>
      <c r="F233" s="1886"/>
      <c r="G233" s="1886"/>
      <c r="H233" s="1886"/>
      <c r="I233" s="1886"/>
      <c r="J233" s="1886"/>
      <c r="K233" s="1602"/>
      <c r="L233" s="1602"/>
      <c r="M233" s="1602"/>
      <c r="N233" s="1602"/>
      <c r="O233" s="1603"/>
      <c r="P233" s="1603"/>
      <c r="Q233" s="1604"/>
      <c r="R233" s="1888"/>
    </row>
    <row r="234" spans="1:21" ht="27" hidden="1" customHeight="1" thickBot="1" x14ac:dyDescent="0.5">
      <c r="A234" s="2484"/>
      <c r="B234" s="2489"/>
      <c r="C234" s="2490"/>
      <c r="D234" s="2491"/>
      <c r="E234" s="1886"/>
      <c r="F234" s="1886"/>
      <c r="G234" s="1886"/>
      <c r="H234" s="1886"/>
      <c r="I234" s="1886"/>
      <c r="J234" s="1886"/>
      <c r="K234" s="1602"/>
      <c r="L234" s="1602"/>
      <c r="M234" s="1602"/>
      <c r="N234" s="1602"/>
      <c r="O234" s="1603"/>
      <c r="P234" s="1603"/>
      <c r="Q234" s="1604"/>
      <c r="R234" s="1888"/>
    </row>
    <row r="235" spans="1:21" ht="27" hidden="1" customHeight="1" thickBot="1" x14ac:dyDescent="0.5">
      <c r="A235" s="2484"/>
      <c r="B235" s="2489"/>
      <c r="C235" s="2492"/>
      <c r="D235" s="2491"/>
      <c r="E235" s="1886"/>
      <c r="F235" s="1886"/>
      <c r="G235" s="1886"/>
      <c r="H235" s="1886"/>
      <c r="I235" s="1886"/>
      <c r="J235" s="1886"/>
      <c r="K235" s="1602"/>
      <c r="L235" s="1602"/>
      <c r="M235" s="1602"/>
      <c r="N235" s="1602"/>
      <c r="O235" s="1603"/>
      <c r="P235" s="1603"/>
      <c r="Q235" s="1604"/>
      <c r="R235" s="1888"/>
    </row>
    <row r="236" spans="1:21" ht="27" hidden="1" customHeight="1" thickBot="1" x14ac:dyDescent="0.55000000000000004">
      <c r="A236" s="2484"/>
      <c r="B236" s="2489"/>
      <c r="C236" s="2493"/>
      <c r="D236" s="2491"/>
      <c r="E236" s="1886"/>
      <c r="F236" s="1886"/>
      <c r="G236" s="1886"/>
      <c r="H236" s="1886"/>
      <c r="I236" s="1886"/>
      <c r="J236" s="1886"/>
      <c r="K236" s="1602"/>
      <c r="L236" s="1602"/>
      <c r="M236" s="1602"/>
      <c r="N236" s="1602"/>
      <c r="O236" s="1603"/>
      <c r="P236" s="1603"/>
      <c r="Q236" s="1604"/>
      <c r="R236" s="1888"/>
      <c r="S236" s="1623"/>
      <c r="T236" s="1623"/>
      <c r="U236" s="1623"/>
    </row>
    <row r="237" spans="1:21" ht="27" hidden="1" customHeight="1" thickBot="1" x14ac:dyDescent="0.55000000000000004">
      <c r="A237" s="2484"/>
      <c r="B237" s="2489"/>
      <c r="C237" s="2494"/>
      <c r="D237" s="2491"/>
      <c r="E237" s="1886"/>
      <c r="F237" s="1886"/>
      <c r="G237" s="1886"/>
      <c r="H237" s="1886"/>
      <c r="I237" s="1886"/>
      <c r="J237" s="1886"/>
      <c r="K237" s="1602"/>
      <c r="L237" s="1602"/>
      <c r="M237" s="1602"/>
      <c r="N237" s="1602"/>
      <c r="O237" s="1603"/>
      <c r="P237" s="1603"/>
      <c r="Q237" s="1604"/>
      <c r="R237" s="1888"/>
      <c r="S237" s="1623"/>
      <c r="T237" s="1623"/>
      <c r="U237" s="1623"/>
    </row>
    <row r="238" spans="1:21" ht="27" hidden="1" customHeight="1" thickBot="1" x14ac:dyDescent="0.55000000000000004">
      <c r="A238" s="2495"/>
      <c r="B238" s="2496"/>
      <c r="C238" s="2497"/>
      <c r="D238" s="2498"/>
      <c r="E238" s="1886"/>
      <c r="F238" s="1886"/>
      <c r="G238" s="1886"/>
      <c r="H238" s="1886"/>
      <c r="I238" s="1886"/>
      <c r="J238" s="1886"/>
      <c r="K238" s="1602"/>
      <c r="L238" s="1602"/>
      <c r="M238" s="1602"/>
      <c r="N238" s="1602"/>
      <c r="O238" s="1603"/>
      <c r="P238" s="1603"/>
      <c r="Q238" s="1604"/>
      <c r="R238" s="1888"/>
      <c r="S238" s="1623"/>
      <c r="T238" s="1623"/>
      <c r="U238" s="1623"/>
    </row>
    <row r="239" spans="1:21" ht="27" hidden="1" customHeight="1" thickBot="1" x14ac:dyDescent="0.55000000000000004">
      <c r="A239" s="2468"/>
      <c r="B239" s="2499"/>
      <c r="C239" s="2500"/>
      <c r="D239" s="2501"/>
      <c r="E239" s="1602"/>
      <c r="F239" s="1602"/>
      <c r="G239" s="1602"/>
      <c r="H239" s="1602"/>
      <c r="I239" s="1602"/>
      <c r="J239" s="1602"/>
      <c r="K239" s="1602"/>
      <c r="L239" s="1602"/>
      <c r="M239" s="1602"/>
      <c r="N239" s="1602"/>
      <c r="O239" s="1603"/>
      <c r="P239" s="1603"/>
      <c r="Q239" s="1604"/>
      <c r="R239" s="1888"/>
      <c r="S239" s="1623"/>
      <c r="T239" s="1623"/>
      <c r="U239" s="1623"/>
    </row>
    <row r="240" spans="1:21" ht="27" hidden="1" customHeight="1" thickBot="1" x14ac:dyDescent="0.55000000000000004">
      <c r="A240" s="2472"/>
      <c r="B240" s="2475"/>
      <c r="C240" s="2476"/>
      <c r="D240" s="2477"/>
      <c r="E240" s="1602"/>
      <c r="F240" s="1602"/>
      <c r="G240" s="1602"/>
      <c r="H240" s="1602"/>
      <c r="I240" s="1602"/>
      <c r="J240" s="1602"/>
      <c r="K240" s="1602"/>
      <c r="L240" s="1602"/>
      <c r="M240" s="1602"/>
      <c r="N240" s="1602"/>
      <c r="O240" s="1603"/>
      <c r="P240" s="1603"/>
      <c r="Q240" s="1604"/>
      <c r="R240" s="1888"/>
      <c r="S240" s="1623"/>
      <c r="T240" s="1623"/>
      <c r="U240" s="1623"/>
    </row>
    <row r="241" spans="1:30" ht="27" hidden="1" customHeight="1" thickBot="1" x14ac:dyDescent="0.55000000000000004">
      <c r="A241" s="2502"/>
      <c r="B241" s="2475"/>
      <c r="C241" s="2476"/>
      <c r="D241" s="2477"/>
      <c r="E241" s="1602"/>
      <c r="F241" s="1602"/>
      <c r="G241" s="1602"/>
      <c r="H241" s="1602"/>
      <c r="I241" s="1602"/>
      <c r="J241" s="1602"/>
      <c r="K241" s="1602"/>
      <c r="L241" s="1602"/>
      <c r="M241" s="1602"/>
      <c r="N241" s="1602"/>
      <c r="O241" s="1603"/>
      <c r="P241" s="1603"/>
      <c r="Q241" s="1604"/>
      <c r="R241" s="1888"/>
      <c r="S241" s="1623"/>
      <c r="T241" s="1623"/>
      <c r="U241" s="1623"/>
    </row>
    <row r="242" spans="1:30" ht="27" hidden="1" customHeight="1" thickBot="1" x14ac:dyDescent="0.55000000000000004">
      <c r="A242" s="2503"/>
      <c r="B242" s="2475"/>
      <c r="C242" s="2476"/>
      <c r="D242" s="2477"/>
      <c r="E242" s="1602"/>
      <c r="F242" s="1602"/>
      <c r="G242" s="1602"/>
      <c r="H242" s="1602"/>
      <c r="I242" s="1602"/>
      <c r="J242" s="1602"/>
      <c r="K242" s="1602"/>
      <c r="L242" s="1602"/>
      <c r="M242" s="1602"/>
      <c r="N242" s="1602"/>
      <c r="O242" s="1603"/>
      <c r="P242" s="1603"/>
      <c r="Q242" s="1604"/>
      <c r="R242" s="1604"/>
      <c r="S242" s="1623"/>
      <c r="T242" s="1623"/>
      <c r="U242" s="1623"/>
    </row>
    <row r="243" spans="1:30" ht="27" hidden="1" customHeight="1" thickBot="1" x14ac:dyDescent="0.55000000000000004">
      <c r="A243" s="2504"/>
      <c r="B243" s="2505"/>
      <c r="C243" s="2506"/>
      <c r="D243" s="2505"/>
      <c r="E243" s="1602"/>
      <c r="F243" s="1602"/>
      <c r="G243" s="1602"/>
      <c r="H243" s="1602"/>
      <c r="I243" s="1602"/>
      <c r="J243" s="1602"/>
      <c r="K243" s="1602"/>
      <c r="L243" s="1602"/>
      <c r="M243" s="1602"/>
      <c r="N243" s="1602"/>
      <c r="O243" s="1603"/>
      <c r="P243" s="1603"/>
      <c r="Q243" s="1604"/>
      <c r="R243" s="1604"/>
      <c r="S243" s="1623"/>
      <c r="T243" s="1623"/>
      <c r="U243" s="1623"/>
    </row>
    <row r="244" spans="1:30" ht="27" hidden="1" customHeight="1" thickBot="1" x14ac:dyDescent="0.55000000000000004">
      <c r="A244" s="2504"/>
      <c r="B244" s="2505"/>
      <c r="C244" s="2506"/>
      <c r="D244" s="2505"/>
      <c r="E244" s="1602"/>
      <c r="F244" s="1602"/>
      <c r="G244" s="1602"/>
      <c r="H244" s="1602"/>
      <c r="I244" s="1602"/>
      <c r="J244" s="1602"/>
      <c r="K244" s="1602"/>
      <c r="L244" s="1602"/>
      <c r="M244" s="1602"/>
      <c r="N244" s="1602"/>
      <c r="O244" s="1603"/>
      <c r="P244" s="1603"/>
      <c r="Q244" s="1604"/>
      <c r="R244" s="1604"/>
      <c r="S244" s="1623"/>
      <c r="T244" s="1623"/>
      <c r="U244" s="1623"/>
    </row>
    <row r="245" spans="1:30" ht="27" hidden="1" customHeight="1" thickBot="1" x14ac:dyDescent="0.55000000000000004">
      <c r="A245" s="2504"/>
      <c r="B245" s="2505"/>
      <c r="C245" s="2506"/>
      <c r="D245" s="2505"/>
      <c r="E245" s="1602"/>
      <c r="F245" s="1602"/>
      <c r="G245" s="1602"/>
      <c r="H245" s="1602"/>
      <c r="I245" s="1602"/>
      <c r="J245" s="1602"/>
      <c r="K245" s="1602"/>
      <c r="L245" s="1602"/>
      <c r="M245" s="1602"/>
      <c r="N245" s="1602"/>
      <c r="O245" s="1603"/>
      <c r="P245" s="1603"/>
      <c r="Q245" s="1604"/>
      <c r="R245" s="1604"/>
      <c r="S245" s="1623"/>
      <c r="T245" s="1623"/>
      <c r="U245" s="1623"/>
    </row>
    <row r="246" spans="1:30" ht="27" hidden="1" customHeight="1" thickBot="1" x14ac:dyDescent="0.5">
      <c r="A246" s="1616"/>
      <c r="B246" s="1532"/>
      <c r="C246" s="1551"/>
      <c r="D246" s="1591"/>
      <c r="E246" s="1602"/>
      <c r="F246" s="1602"/>
      <c r="G246" s="1602"/>
      <c r="H246" s="1602"/>
      <c r="I246" s="1602"/>
      <c r="J246" s="1602"/>
      <c r="K246" s="1602"/>
      <c r="L246" s="1602"/>
      <c r="M246" s="1602"/>
      <c r="N246" s="1602"/>
      <c r="O246" s="1603"/>
      <c r="P246" s="1603"/>
      <c r="Q246" s="1604"/>
      <c r="R246" s="1604"/>
      <c r="S246" s="1604"/>
      <c r="T246" s="1619"/>
      <c r="U246" s="1619"/>
    </row>
    <row r="247" spans="1:30" ht="27" hidden="1" customHeight="1" thickBot="1" x14ac:dyDescent="0.55000000000000004">
      <c r="A247" s="1612"/>
      <c r="B247" s="1620"/>
      <c r="C247" s="2198"/>
      <c r="D247" s="2199"/>
      <c r="E247" s="1602"/>
      <c r="F247" s="1602"/>
      <c r="G247" s="1602"/>
      <c r="H247" s="1602"/>
      <c r="I247" s="1602"/>
      <c r="J247" s="1602"/>
      <c r="K247" s="1602"/>
      <c r="L247" s="1602"/>
      <c r="M247" s="1602"/>
      <c r="N247" s="1602"/>
      <c r="O247" s="1603"/>
      <c r="P247" s="1603"/>
      <c r="Q247" s="1604"/>
      <c r="R247" s="1604"/>
      <c r="S247" s="1623"/>
      <c r="T247" s="1623"/>
      <c r="U247" s="1623"/>
    </row>
    <row r="248" spans="1:30" ht="27" hidden="1" customHeight="1" thickBot="1" x14ac:dyDescent="0.55000000000000004">
      <c r="A248" s="1613"/>
      <c r="B248" s="1624"/>
      <c r="C248" s="2200"/>
      <c r="D248" s="2201"/>
      <c r="E248" s="1602"/>
      <c r="F248" s="1602"/>
      <c r="G248" s="1602"/>
      <c r="H248" s="1602"/>
      <c r="I248" s="1602"/>
      <c r="J248" s="1602"/>
      <c r="K248" s="1602"/>
      <c r="L248" s="1602"/>
      <c r="M248" s="1602"/>
      <c r="N248" s="1602"/>
      <c r="O248" s="1603"/>
      <c r="P248" s="1603"/>
      <c r="Q248" s="1604"/>
      <c r="R248" s="1604"/>
      <c r="S248" s="1623"/>
      <c r="T248" s="1623"/>
      <c r="U248" s="1623"/>
    </row>
    <row r="249" spans="1:30" ht="62.1" hidden="1" customHeight="1" x14ac:dyDescent="0.5">
      <c r="A249" s="4288" t="s">
        <v>417</v>
      </c>
      <c r="B249" s="4289"/>
      <c r="C249" s="4289"/>
      <c r="D249" s="4290"/>
      <c r="E249" s="1602" t="e">
        <f t="shared" ref="E249:N249" si="155">+INT(E392)</f>
        <v>#REF!</v>
      </c>
      <c r="F249" s="1602"/>
      <c r="G249" s="1602"/>
      <c r="H249" s="1602"/>
      <c r="I249" s="1602">
        <f t="shared" si="155"/>
        <v>0</v>
      </c>
      <c r="J249" s="1602">
        <f t="shared" si="155"/>
        <v>0</v>
      </c>
      <c r="K249" s="1602">
        <f t="shared" si="155"/>
        <v>0</v>
      </c>
      <c r="L249" s="1602">
        <f t="shared" si="155"/>
        <v>0</v>
      </c>
      <c r="M249" s="1602">
        <f t="shared" si="155"/>
        <v>0</v>
      </c>
      <c r="N249" s="1602">
        <f t="shared" si="155"/>
        <v>0</v>
      </c>
      <c r="O249" s="1603">
        <f t="shared" si="149"/>
        <v>0</v>
      </c>
      <c r="P249" s="1603">
        <f t="shared" si="149"/>
        <v>0</v>
      </c>
      <c r="Q249" s="1604">
        <f t="shared" si="149"/>
        <v>0</v>
      </c>
      <c r="R249" s="1604">
        <f t="shared" si="144"/>
        <v>0</v>
      </c>
      <c r="S249" s="1623"/>
      <c r="T249" s="1623"/>
      <c r="U249" s="1623"/>
    </row>
    <row r="250" spans="1:30" ht="62.1" hidden="1" customHeight="1" thickBot="1" x14ac:dyDescent="0.5">
      <c r="A250" s="1627"/>
      <c r="B250" s="1628"/>
      <c r="C250" s="2321"/>
      <c r="D250" s="1628"/>
    </row>
    <row r="251" spans="1:30" ht="62.1" hidden="1" customHeight="1" x14ac:dyDescent="0.5">
      <c r="A251" s="4283" t="s">
        <v>855</v>
      </c>
      <c r="B251" s="4283"/>
      <c r="C251" s="4283"/>
      <c r="D251" s="4284"/>
      <c r="E251" s="2309" t="e">
        <f>SUM(E188:E250)</f>
        <v>#REF!</v>
      </c>
      <c r="F251" s="2309"/>
      <c r="G251" s="2309"/>
      <c r="H251" s="2309"/>
      <c r="I251" s="2309" t="e">
        <f t="shared" ref="I251:Q251" si="156">SUM(I188:I250)</f>
        <v>#REF!</v>
      </c>
      <c r="J251" s="2309" t="e">
        <f t="shared" si="156"/>
        <v>#REF!</v>
      </c>
      <c r="K251" s="2309" t="e">
        <f t="shared" si="156"/>
        <v>#REF!</v>
      </c>
      <c r="L251" s="2309" t="e">
        <f t="shared" si="156"/>
        <v>#REF!</v>
      </c>
      <c r="M251" s="2309" t="e">
        <f t="shared" si="156"/>
        <v>#REF!</v>
      </c>
      <c r="N251" s="2309" t="e">
        <f t="shared" si="156"/>
        <v>#REF!</v>
      </c>
      <c r="O251" s="1632" t="e">
        <f t="shared" si="156"/>
        <v>#REF!</v>
      </c>
      <c r="P251" s="1632" t="e">
        <f t="shared" si="156"/>
        <v>#REF!</v>
      </c>
      <c r="Q251" s="1632" t="e">
        <f t="shared" si="156"/>
        <v>#REF!</v>
      </c>
      <c r="R251" s="1604" t="e">
        <f t="shared" si="144"/>
        <v>#REF!</v>
      </c>
      <c r="S251" s="1489">
        <f>SUM(S188:S250)</f>
        <v>0</v>
      </c>
      <c r="U251" s="1490"/>
      <c r="V251" s="4237" t="s">
        <v>304</v>
      </c>
      <c r="W251" s="4238"/>
      <c r="X251" s="4240"/>
      <c r="Y251" s="4237" t="s">
        <v>439</v>
      </c>
      <c r="Z251" s="4238"/>
      <c r="AA251" s="4240"/>
      <c r="AB251" s="4237" t="s">
        <v>449</v>
      </c>
      <c r="AC251" s="4238"/>
      <c r="AD251" s="4240"/>
    </row>
    <row r="252" spans="1:30" ht="62.1" hidden="1" customHeight="1" x14ac:dyDescent="0.45">
      <c r="A252" s="1633"/>
      <c r="B252" s="1634"/>
      <c r="C252" s="2322"/>
      <c r="D252" s="2322"/>
      <c r="I252" s="4237" t="s">
        <v>304</v>
      </c>
      <c r="J252" s="4238"/>
      <c r="K252" s="4240"/>
      <c r="L252" s="4237" t="s">
        <v>439</v>
      </c>
      <c r="M252" s="4238"/>
      <c r="N252" s="4240"/>
      <c r="O252" s="4237" t="s">
        <v>449</v>
      </c>
      <c r="P252" s="4238"/>
      <c r="Q252" s="4240"/>
      <c r="V252" s="1600" t="s">
        <v>287</v>
      </c>
      <c r="W252" s="1600" t="s">
        <v>289</v>
      </c>
      <c r="X252" s="1600" t="s">
        <v>288</v>
      </c>
      <c r="Y252" s="1600" t="s">
        <v>287</v>
      </c>
      <c r="Z252" s="1600" t="s">
        <v>289</v>
      </c>
      <c r="AA252" s="1600" t="s">
        <v>288</v>
      </c>
      <c r="AB252" s="1600" t="s">
        <v>287</v>
      </c>
      <c r="AC252" s="1600" t="s">
        <v>289</v>
      </c>
      <c r="AD252" s="1600" t="s">
        <v>288</v>
      </c>
    </row>
    <row r="253" spans="1:30" ht="62.1" hidden="1" customHeight="1" x14ac:dyDescent="0.45">
      <c r="A253" s="1633"/>
      <c r="B253" s="1634"/>
      <c r="C253" s="2322"/>
      <c r="D253" s="2322"/>
      <c r="E253" s="1658"/>
      <c r="F253" s="1658"/>
      <c r="G253" s="1658"/>
      <c r="H253" s="1658"/>
      <c r="I253" s="1600" t="s">
        <v>287</v>
      </c>
      <c r="J253" s="1600" t="s">
        <v>289</v>
      </c>
      <c r="K253" s="1600" t="s">
        <v>288</v>
      </c>
      <c r="L253" s="1600" t="s">
        <v>287</v>
      </c>
      <c r="M253" s="1600" t="s">
        <v>289</v>
      </c>
      <c r="N253" s="1600" t="s">
        <v>288</v>
      </c>
      <c r="O253" s="1600" t="s">
        <v>287</v>
      </c>
      <c r="P253" s="1600" t="s">
        <v>289</v>
      </c>
      <c r="Q253" s="1600" t="s">
        <v>288</v>
      </c>
      <c r="T253" s="1489" t="s">
        <v>867</v>
      </c>
      <c r="U253" s="1573" t="e">
        <f>+E251</f>
        <v>#REF!</v>
      </c>
      <c r="V253" s="1573" t="e">
        <f t="shared" ref="V253:Z253" si="157">+I251</f>
        <v>#REF!</v>
      </c>
      <c r="W253" s="1573" t="e">
        <f t="shared" si="157"/>
        <v>#REF!</v>
      </c>
      <c r="X253" s="1573" t="e">
        <f t="shared" si="157"/>
        <v>#REF!</v>
      </c>
      <c r="Y253" s="1573" t="e">
        <f t="shared" si="157"/>
        <v>#REF!</v>
      </c>
      <c r="Z253" s="1573" t="e">
        <f t="shared" si="157"/>
        <v>#REF!</v>
      </c>
      <c r="AA253" s="1573" t="e">
        <f>+N251</f>
        <v>#REF!</v>
      </c>
      <c r="AB253" s="1573" t="e">
        <f t="shared" ref="AB253:AD253" si="158">+O251</f>
        <v>#REF!</v>
      </c>
      <c r="AC253" s="1573" t="e">
        <f t="shared" si="158"/>
        <v>#REF!</v>
      </c>
      <c r="AD253" s="1573" t="e">
        <f t="shared" si="158"/>
        <v>#REF!</v>
      </c>
    </row>
    <row r="254" spans="1:30" ht="62.1" hidden="1" customHeight="1" thickBot="1" x14ac:dyDescent="0.5">
      <c r="A254" s="5086" t="s">
        <v>868</v>
      </c>
      <c r="B254" s="5086"/>
      <c r="C254" s="5086"/>
      <c r="D254" s="5086"/>
      <c r="E254" s="5086"/>
      <c r="F254" s="5086"/>
      <c r="G254" s="5086"/>
      <c r="H254" s="5086"/>
      <c r="I254" s="5086"/>
      <c r="J254" s="5086"/>
      <c r="K254" s="5086"/>
      <c r="L254" s="5086"/>
      <c r="M254" s="5086"/>
      <c r="N254" s="5086"/>
      <c r="O254" s="5086"/>
      <c r="P254" s="5086"/>
      <c r="Q254" s="5086"/>
      <c r="T254" s="1489" t="s">
        <v>869</v>
      </c>
      <c r="U254" s="1573" t="e">
        <f>+SUM(E257:E261)</f>
        <v>#REF!</v>
      </c>
      <c r="V254" s="1573" t="e">
        <f>+SUM(I257:I261)</f>
        <v>#REF!</v>
      </c>
      <c r="W254" s="1573" t="e">
        <f t="shared" ref="W254:AD254" si="159">+SUM(J257:J261)</f>
        <v>#REF!</v>
      </c>
      <c r="X254" s="1573" t="e">
        <f t="shared" si="159"/>
        <v>#REF!</v>
      </c>
      <c r="Y254" s="1573" t="e">
        <f t="shared" si="159"/>
        <v>#REF!</v>
      </c>
      <c r="Z254" s="1573" t="e">
        <f t="shared" si="159"/>
        <v>#REF!</v>
      </c>
      <c r="AA254" s="1573" t="e">
        <f t="shared" si="159"/>
        <v>#REF!</v>
      </c>
      <c r="AB254" s="1573" t="e">
        <f t="shared" si="159"/>
        <v>#REF!</v>
      </c>
      <c r="AC254" s="1573" t="e">
        <f t="shared" si="159"/>
        <v>#REF!</v>
      </c>
      <c r="AD254" s="1573" t="e">
        <f t="shared" si="159"/>
        <v>#REF!</v>
      </c>
    </row>
    <row r="255" spans="1:30" ht="62.1" hidden="1" customHeight="1" x14ac:dyDescent="0.45">
      <c r="A255" s="2163"/>
      <c r="B255" s="2163"/>
      <c r="C255" s="2163"/>
      <c r="D255" s="2163"/>
      <c r="E255" s="4210" t="s">
        <v>101</v>
      </c>
      <c r="F255" s="2255"/>
      <c r="G255" s="2255"/>
      <c r="H255" s="2255"/>
      <c r="I255" s="5076" t="s">
        <v>304</v>
      </c>
      <c r="J255" s="4294"/>
      <c r="K255" s="4295"/>
      <c r="L255" s="4293" t="s">
        <v>368</v>
      </c>
      <c r="M255" s="4294"/>
      <c r="N255" s="4295"/>
      <c r="O255" s="4296" t="s">
        <v>377</v>
      </c>
      <c r="P255" s="4297"/>
      <c r="Q255" s="4316"/>
      <c r="T255" s="1489" t="s">
        <v>870</v>
      </c>
      <c r="U255" s="1573" t="e">
        <f>+SUM(E264:E265)</f>
        <v>#REF!</v>
      </c>
      <c r="V255" s="1573" t="e">
        <f t="shared" ref="V255:AD255" si="160">+SUM(I264:I265)</f>
        <v>#REF!</v>
      </c>
      <c r="W255" s="1573" t="e">
        <f t="shared" si="160"/>
        <v>#REF!</v>
      </c>
      <c r="X255" s="1573" t="e">
        <f t="shared" si="160"/>
        <v>#REF!</v>
      </c>
      <c r="Y255" s="1573" t="e">
        <f t="shared" si="160"/>
        <v>#REF!</v>
      </c>
      <c r="Z255" s="1573" t="e">
        <f t="shared" si="160"/>
        <v>#REF!</v>
      </c>
      <c r="AA255" s="1573" t="e">
        <f t="shared" si="160"/>
        <v>#REF!</v>
      </c>
      <c r="AB255" s="1573" t="e">
        <f t="shared" si="160"/>
        <v>#REF!</v>
      </c>
      <c r="AC255" s="1573" t="e">
        <f t="shared" si="160"/>
        <v>#REF!</v>
      </c>
      <c r="AD255" s="1573" t="e">
        <f t="shared" si="160"/>
        <v>#REF!</v>
      </c>
    </row>
    <row r="256" spans="1:30" ht="62.1" hidden="1" customHeight="1" x14ac:dyDescent="0.45">
      <c r="A256" s="5087" t="s">
        <v>163</v>
      </c>
      <c r="B256" s="5088"/>
      <c r="C256" s="5088"/>
      <c r="D256" s="5089"/>
      <c r="E256" s="4211"/>
      <c r="F256" s="2256"/>
      <c r="G256" s="2256"/>
      <c r="H256" s="2256"/>
      <c r="I256" s="1740" t="s">
        <v>287</v>
      </c>
      <c r="J256" s="1738" t="s">
        <v>289</v>
      </c>
      <c r="K256" s="1738" t="s">
        <v>288</v>
      </c>
      <c r="L256" s="1738" t="s">
        <v>287</v>
      </c>
      <c r="M256" s="1738" t="s">
        <v>289</v>
      </c>
      <c r="N256" s="1738" t="s">
        <v>288</v>
      </c>
      <c r="O256" s="1730" t="s">
        <v>287</v>
      </c>
      <c r="P256" s="1730" t="s">
        <v>289</v>
      </c>
      <c r="Q256" s="1731" t="s">
        <v>288</v>
      </c>
      <c r="T256" s="1489" t="s">
        <v>871</v>
      </c>
      <c r="U256" s="1573" t="e">
        <f>SUM(U253:U255)</f>
        <v>#REF!</v>
      </c>
      <c r="V256" s="1573" t="e">
        <f t="shared" ref="V256:AD256" si="161">SUM(V253:V255)</f>
        <v>#REF!</v>
      </c>
      <c r="W256" s="1573" t="e">
        <f t="shared" si="161"/>
        <v>#REF!</v>
      </c>
      <c r="X256" s="1573" t="e">
        <f t="shared" si="161"/>
        <v>#REF!</v>
      </c>
      <c r="Y256" s="1573" t="e">
        <f t="shared" si="161"/>
        <v>#REF!</v>
      </c>
      <c r="Z256" s="1573" t="e">
        <f t="shared" si="161"/>
        <v>#REF!</v>
      </c>
      <c r="AA256" s="1573" t="e">
        <f t="shared" si="161"/>
        <v>#REF!</v>
      </c>
      <c r="AB256" s="1573" t="e">
        <f t="shared" si="161"/>
        <v>#REF!</v>
      </c>
      <c r="AC256" s="1573" t="e">
        <f t="shared" si="161"/>
        <v>#REF!</v>
      </c>
      <c r="AD256" s="1573" t="e">
        <f t="shared" si="161"/>
        <v>#REF!</v>
      </c>
    </row>
    <row r="257" spans="1:30" ht="62.1" hidden="1" customHeight="1" x14ac:dyDescent="0.45">
      <c r="A257" s="5080" t="s">
        <v>857</v>
      </c>
      <c r="B257" s="5081"/>
      <c r="C257" s="5081"/>
      <c r="D257" s="5082"/>
      <c r="E257" s="2289" t="e">
        <f>+INT(E356)</f>
        <v>#REF!</v>
      </c>
      <c r="F257" s="2289"/>
      <c r="G257" s="2289"/>
      <c r="H257" s="2289"/>
      <c r="I257" s="2289" t="e">
        <f t="shared" ref="I257:N257" si="162">+INT(I356)</f>
        <v>#REF!</v>
      </c>
      <c r="J257" s="2289" t="e">
        <f t="shared" si="162"/>
        <v>#REF!</v>
      </c>
      <c r="K257" s="2289" t="e">
        <f t="shared" si="162"/>
        <v>#REF!</v>
      </c>
      <c r="L257" s="2289" t="e">
        <f t="shared" si="162"/>
        <v>#REF!</v>
      </c>
      <c r="M257" s="2289" t="e">
        <f t="shared" si="162"/>
        <v>#REF!</v>
      </c>
      <c r="N257" s="2289" t="e">
        <f t="shared" si="162"/>
        <v>#REF!</v>
      </c>
      <c r="O257" s="1558" t="e">
        <f t="shared" ref="O257:Q261" si="163">+I257+L257</f>
        <v>#REF!</v>
      </c>
      <c r="P257" s="1558" t="e">
        <f t="shared" si="163"/>
        <v>#REF!</v>
      </c>
      <c r="Q257" s="1559" t="e">
        <f t="shared" si="163"/>
        <v>#REF!</v>
      </c>
      <c r="T257" s="1489" t="s">
        <v>467</v>
      </c>
      <c r="U257" s="1573" t="e">
        <f>+E394+D403</f>
        <v>#REF!</v>
      </c>
      <c r="V257" s="1573" t="e">
        <f>+V394</f>
        <v>#REF!</v>
      </c>
      <c r="W257" s="1573" t="e">
        <f>+X394</f>
        <v>#REF!</v>
      </c>
      <c r="X257" s="1573" t="e">
        <f>+W394</f>
        <v>#REF!</v>
      </c>
      <c r="Y257" s="1573" t="e">
        <f>+Y394</f>
        <v>#REF!</v>
      </c>
      <c r="Z257" s="1573" t="e">
        <f>+AA394</f>
        <v>#REF!</v>
      </c>
      <c r="AA257" s="1573" t="e">
        <f>+Z394</f>
        <v>#REF!</v>
      </c>
      <c r="AB257" s="1573" t="e">
        <f>+AB394</f>
        <v>#REF!</v>
      </c>
      <c r="AC257" s="1573" t="e">
        <f>+AD394</f>
        <v>#REF!</v>
      </c>
      <c r="AD257" s="1573" t="e">
        <f>+AC394</f>
        <v>#REF!</v>
      </c>
    </row>
    <row r="258" spans="1:30" ht="62.1" hidden="1" customHeight="1" x14ac:dyDescent="0.45">
      <c r="A258" s="5080" t="s">
        <v>858</v>
      </c>
      <c r="B258" s="5081"/>
      <c r="C258" s="5081"/>
      <c r="D258" s="5082"/>
      <c r="E258" s="2289" t="e">
        <f t="shared" ref="E258:N261" si="164">+INT(E357)</f>
        <v>#REF!</v>
      </c>
      <c r="F258" s="2289"/>
      <c r="G258" s="2289"/>
      <c r="H258" s="2289"/>
      <c r="I258" s="2289" t="e">
        <f t="shared" si="164"/>
        <v>#REF!</v>
      </c>
      <c r="J258" s="2289" t="e">
        <f t="shared" si="164"/>
        <v>#REF!</v>
      </c>
      <c r="K258" s="2289" t="e">
        <f t="shared" si="164"/>
        <v>#REF!</v>
      </c>
      <c r="L258" s="2289" t="e">
        <f t="shared" si="164"/>
        <v>#REF!</v>
      </c>
      <c r="M258" s="2289" t="e">
        <f t="shared" si="164"/>
        <v>#REF!</v>
      </c>
      <c r="N258" s="2289" t="e">
        <f t="shared" si="164"/>
        <v>#REF!</v>
      </c>
      <c r="O258" s="1558" t="e">
        <f t="shared" si="163"/>
        <v>#REF!</v>
      </c>
      <c r="P258" s="1558" t="e">
        <f t="shared" si="163"/>
        <v>#REF!</v>
      </c>
      <c r="Q258" s="1559" t="e">
        <f t="shared" si="163"/>
        <v>#REF!</v>
      </c>
      <c r="T258" s="1489" t="s">
        <v>872</v>
      </c>
      <c r="V258" s="1573" t="e">
        <f>+V257-V256</f>
        <v>#REF!</v>
      </c>
      <c r="W258" s="1573" t="e">
        <f t="shared" ref="W258:AD258" si="165">+W257-W256</f>
        <v>#REF!</v>
      </c>
      <c r="X258" s="1573" t="e">
        <f t="shared" si="165"/>
        <v>#REF!</v>
      </c>
      <c r="Y258" s="1573" t="e">
        <f t="shared" si="165"/>
        <v>#REF!</v>
      </c>
      <c r="Z258" s="1573" t="e">
        <f t="shared" si="165"/>
        <v>#REF!</v>
      </c>
      <c r="AA258" s="1573" t="e">
        <f t="shared" si="165"/>
        <v>#REF!</v>
      </c>
      <c r="AB258" s="1573" t="e">
        <f t="shared" si="165"/>
        <v>#REF!</v>
      </c>
      <c r="AC258" s="1573" t="e">
        <f t="shared" si="165"/>
        <v>#REF!</v>
      </c>
      <c r="AD258" s="1573" t="e">
        <f t="shared" si="165"/>
        <v>#REF!</v>
      </c>
    </row>
    <row r="259" spans="1:30" ht="62.1" hidden="1" customHeight="1" x14ac:dyDescent="0.45">
      <c r="A259" s="5080" t="s">
        <v>859</v>
      </c>
      <c r="B259" s="5081"/>
      <c r="C259" s="5081"/>
      <c r="D259" s="5082"/>
      <c r="E259" s="2289" t="e">
        <f t="shared" si="164"/>
        <v>#REF!</v>
      </c>
      <c r="F259" s="2289"/>
      <c r="G259" s="2289"/>
      <c r="H259" s="2289"/>
      <c r="I259" s="2289" t="e">
        <f t="shared" si="164"/>
        <v>#REF!</v>
      </c>
      <c r="J259" s="2289" t="e">
        <f t="shared" si="164"/>
        <v>#REF!</v>
      </c>
      <c r="K259" s="2289" t="e">
        <f t="shared" si="164"/>
        <v>#REF!</v>
      </c>
      <c r="L259" s="2289" t="e">
        <f t="shared" si="164"/>
        <v>#REF!</v>
      </c>
      <c r="M259" s="2289" t="e">
        <f t="shared" si="164"/>
        <v>#REF!</v>
      </c>
      <c r="N259" s="2289" t="e">
        <f t="shared" si="164"/>
        <v>#REF!</v>
      </c>
      <c r="O259" s="1558" t="e">
        <f t="shared" si="163"/>
        <v>#REF!</v>
      </c>
      <c r="P259" s="1558" t="e">
        <f t="shared" si="163"/>
        <v>#REF!</v>
      </c>
      <c r="Q259" s="1559" t="e">
        <f t="shared" si="163"/>
        <v>#REF!</v>
      </c>
    </row>
    <row r="260" spans="1:30" ht="62.1" hidden="1" customHeight="1" x14ac:dyDescent="0.45">
      <c r="A260" s="5080" t="s">
        <v>860</v>
      </c>
      <c r="B260" s="5081"/>
      <c r="C260" s="5081"/>
      <c r="D260" s="5082"/>
      <c r="E260" s="2289" t="e">
        <f t="shared" si="164"/>
        <v>#REF!</v>
      </c>
      <c r="F260" s="2289"/>
      <c r="G260" s="2289"/>
      <c r="H260" s="2289"/>
      <c r="I260" s="2289" t="e">
        <f t="shared" si="164"/>
        <v>#REF!</v>
      </c>
      <c r="J260" s="2289" t="e">
        <f t="shared" si="164"/>
        <v>#REF!</v>
      </c>
      <c r="K260" s="2289" t="e">
        <f t="shared" si="164"/>
        <v>#REF!</v>
      </c>
      <c r="L260" s="2289" t="e">
        <f t="shared" si="164"/>
        <v>#REF!</v>
      </c>
      <c r="M260" s="2289" t="e">
        <f t="shared" si="164"/>
        <v>#REF!</v>
      </c>
      <c r="N260" s="2289" t="e">
        <f t="shared" si="164"/>
        <v>#REF!</v>
      </c>
      <c r="O260" s="1558" t="e">
        <f t="shared" si="163"/>
        <v>#REF!</v>
      </c>
      <c r="P260" s="1558" t="e">
        <f t="shared" si="163"/>
        <v>#REF!</v>
      </c>
      <c r="Q260" s="1559" t="e">
        <f t="shared" si="163"/>
        <v>#REF!</v>
      </c>
    </row>
    <row r="261" spans="1:30" ht="62.1" hidden="1" customHeight="1" thickBot="1" x14ac:dyDescent="0.5">
      <c r="A261" s="5080" t="s">
        <v>861</v>
      </c>
      <c r="B261" s="5081"/>
      <c r="C261" s="5081"/>
      <c r="D261" s="5082"/>
      <c r="E261" s="2289" t="e">
        <f t="shared" si="164"/>
        <v>#REF!</v>
      </c>
      <c r="F261" s="2289"/>
      <c r="G261" s="2289"/>
      <c r="H261" s="2289"/>
      <c r="I261" s="2289" t="e">
        <f t="shared" si="164"/>
        <v>#REF!</v>
      </c>
      <c r="J261" s="2289" t="e">
        <f t="shared" si="164"/>
        <v>#REF!</v>
      </c>
      <c r="K261" s="2289" t="e">
        <f t="shared" si="164"/>
        <v>#REF!</v>
      </c>
      <c r="L261" s="2289" t="e">
        <f t="shared" si="164"/>
        <v>#REF!</v>
      </c>
      <c r="M261" s="2289" t="e">
        <f t="shared" si="164"/>
        <v>#REF!</v>
      </c>
      <c r="N261" s="2289" t="e">
        <f t="shared" si="164"/>
        <v>#REF!</v>
      </c>
      <c r="O261" s="1558" t="e">
        <f t="shared" si="163"/>
        <v>#REF!</v>
      </c>
      <c r="P261" s="1558" t="e">
        <f t="shared" si="163"/>
        <v>#REF!</v>
      </c>
      <c r="Q261" s="1559" t="e">
        <f t="shared" si="163"/>
        <v>#REF!</v>
      </c>
    </row>
    <row r="262" spans="1:30" ht="62.1" hidden="1" customHeight="1" x14ac:dyDescent="0.45">
      <c r="A262" s="5083"/>
      <c r="B262" s="5084"/>
      <c r="C262" s="5084"/>
      <c r="D262" s="5085"/>
      <c r="E262" s="5074" t="s">
        <v>101</v>
      </c>
      <c r="F262" s="2255"/>
      <c r="G262" s="2255"/>
      <c r="H262" s="2255"/>
      <c r="I262" s="5076" t="s">
        <v>304</v>
      </c>
      <c r="J262" s="4294"/>
      <c r="K262" s="4295"/>
      <c r="L262" s="4293" t="s">
        <v>368</v>
      </c>
      <c r="M262" s="4294"/>
      <c r="N262" s="4295"/>
      <c r="O262" s="4296" t="s">
        <v>377</v>
      </c>
      <c r="P262" s="4297"/>
      <c r="Q262" s="4316"/>
    </row>
    <row r="263" spans="1:30" ht="62.1" hidden="1" customHeight="1" x14ac:dyDescent="0.45">
      <c r="A263" s="5077" t="s">
        <v>186</v>
      </c>
      <c r="B263" s="5078"/>
      <c r="C263" s="5078"/>
      <c r="D263" s="5079"/>
      <c r="E263" s="5075"/>
      <c r="F263" s="2256"/>
      <c r="G263" s="2256"/>
      <c r="H263" s="2256"/>
      <c r="I263" s="1740" t="s">
        <v>287</v>
      </c>
      <c r="J263" s="1738" t="s">
        <v>289</v>
      </c>
      <c r="K263" s="1738" t="s">
        <v>288</v>
      </c>
      <c r="L263" s="1738" t="s">
        <v>287</v>
      </c>
      <c r="M263" s="1738" t="s">
        <v>289</v>
      </c>
      <c r="N263" s="1738" t="s">
        <v>288</v>
      </c>
      <c r="O263" s="1730" t="s">
        <v>287</v>
      </c>
      <c r="P263" s="1730" t="s">
        <v>289</v>
      </c>
      <c r="Q263" s="1731" t="s">
        <v>288</v>
      </c>
    </row>
    <row r="264" spans="1:30" ht="62.1" hidden="1" customHeight="1" x14ac:dyDescent="0.45">
      <c r="A264" s="5068" t="s">
        <v>862</v>
      </c>
      <c r="B264" s="5069"/>
      <c r="C264" s="5069"/>
      <c r="D264" s="5070"/>
      <c r="E264" s="2289" t="e">
        <f>+INT(E363)</f>
        <v>#REF!</v>
      </c>
      <c r="F264" s="2289"/>
      <c r="G264" s="2289"/>
      <c r="H264" s="2289"/>
      <c r="I264" s="2289" t="e">
        <f t="shared" ref="I264:N264" si="166">+INT(I363)</f>
        <v>#REF!</v>
      </c>
      <c r="J264" s="2289" t="e">
        <f t="shared" si="166"/>
        <v>#REF!</v>
      </c>
      <c r="K264" s="2289" t="e">
        <f t="shared" si="166"/>
        <v>#REF!</v>
      </c>
      <c r="L264" s="2289" t="e">
        <f t="shared" si="166"/>
        <v>#REF!</v>
      </c>
      <c r="M264" s="2289" t="e">
        <f t="shared" si="166"/>
        <v>#REF!</v>
      </c>
      <c r="N264" s="2289" t="e">
        <f t="shared" si="166"/>
        <v>#REF!</v>
      </c>
      <c r="O264" s="1558" t="e">
        <f t="shared" ref="O264:Q267" si="167">+I264+L264</f>
        <v>#REF!</v>
      </c>
      <c r="P264" s="1558" t="e">
        <f t="shared" si="167"/>
        <v>#REF!</v>
      </c>
      <c r="Q264" s="1559" t="e">
        <f t="shared" si="167"/>
        <v>#REF!</v>
      </c>
    </row>
    <row r="265" spans="1:30" ht="62.1" hidden="1" customHeight="1" x14ac:dyDescent="0.45">
      <c r="A265" s="5068" t="s">
        <v>863</v>
      </c>
      <c r="B265" s="5069"/>
      <c r="C265" s="5069"/>
      <c r="D265" s="5070"/>
      <c r="E265" s="2289" t="e">
        <f>+INT(E366)</f>
        <v>#REF!</v>
      </c>
      <c r="F265" s="2289"/>
      <c r="G265" s="2289"/>
      <c r="H265" s="2289"/>
      <c r="I265" s="2289" t="e">
        <f t="shared" ref="I265:N265" si="168">+INT(I366)</f>
        <v>#REF!</v>
      </c>
      <c r="J265" s="2289" t="e">
        <f t="shared" si="168"/>
        <v>#REF!</v>
      </c>
      <c r="K265" s="2289" t="e">
        <f t="shared" si="168"/>
        <v>#REF!</v>
      </c>
      <c r="L265" s="2289" t="e">
        <f t="shared" si="168"/>
        <v>#REF!</v>
      </c>
      <c r="M265" s="2289" t="e">
        <f t="shared" si="168"/>
        <v>#REF!</v>
      </c>
      <c r="N265" s="2289" t="e">
        <f t="shared" si="168"/>
        <v>#REF!</v>
      </c>
      <c r="O265" s="1558" t="e">
        <f t="shared" si="167"/>
        <v>#REF!</v>
      </c>
      <c r="P265" s="1558" t="e">
        <f t="shared" si="167"/>
        <v>#REF!</v>
      </c>
      <c r="Q265" s="1559" t="e">
        <f t="shared" si="167"/>
        <v>#REF!</v>
      </c>
    </row>
    <row r="266" spans="1:30" ht="62.1" hidden="1" customHeight="1" x14ac:dyDescent="0.45">
      <c r="A266" s="5068" t="s">
        <v>864</v>
      </c>
      <c r="B266" s="5069"/>
      <c r="C266" s="5069"/>
      <c r="D266" s="5070"/>
      <c r="E266" s="2289" t="e">
        <f>+INT(D413)</f>
        <v>#REF!</v>
      </c>
      <c r="F266" s="2289"/>
      <c r="G266" s="2289"/>
      <c r="H266" s="2289"/>
      <c r="I266" s="2289" t="e">
        <f>+INT(J413)</f>
        <v>#REF!</v>
      </c>
      <c r="J266" s="2289" t="e">
        <f t="shared" ref="J266:N266" si="169">+INT(K413)</f>
        <v>#REF!</v>
      </c>
      <c r="K266" s="2289" t="e">
        <f t="shared" si="169"/>
        <v>#REF!</v>
      </c>
      <c r="L266" s="2289" t="e">
        <f t="shared" si="169"/>
        <v>#REF!</v>
      </c>
      <c r="M266" s="2289" t="e">
        <f t="shared" si="169"/>
        <v>#REF!</v>
      </c>
      <c r="N266" s="2289" t="e">
        <f t="shared" si="169"/>
        <v>#REF!</v>
      </c>
      <c r="O266" s="1558" t="e">
        <f t="shared" si="167"/>
        <v>#REF!</v>
      </c>
      <c r="P266" s="1558" t="e">
        <f t="shared" si="167"/>
        <v>#REF!</v>
      </c>
      <c r="Q266" s="1559" t="e">
        <f t="shared" si="167"/>
        <v>#REF!</v>
      </c>
    </row>
    <row r="267" spans="1:30" ht="62.1" hidden="1" customHeight="1" x14ac:dyDescent="0.45">
      <c r="A267" s="5068" t="s">
        <v>865</v>
      </c>
      <c r="B267" s="5069"/>
      <c r="C267" s="5069"/>
      <c r="D267" s="5070"/>
      <c r="E267" s="2289" t="e">
        <f>+INT(D403)</f>
        <v>#REF!</v>
      </c>
      <c r="F267" s="2286"/>
      <c r="G267" s="2286"/>
      <c r="H267" s="2286"/>
      <c r="I267" s="2286" t="e">
        <f>+INT(J403)</f>
        <v>#REF!</v>
      </c>
      <c r="J267" s="2286" t="e">
        <f t="shared" ref="J267:N267" si="170">+INT(K403)</f>
        <v>#REF!</v>
      </c>
      <c r="K267" s="2286" t="e">
        <f t="shared" si="170"/>
        <v>#REF!</v>
      </c>
      <c r="L267" s="2286" t="e">
        <f t="shared" si="170"/>
        <v>#REF!</v>
      </c>
      <c r="M267" s="2286" t="e">
        <f t="shared" si="170"/>
        <v>#REF!</v>
      </c>
      <c r="N267" s="2286" t="e">
        <f t="shared" si="170"/>
        <v>#REF!</v>
      </c>
      <c r="O267" s="1558" t="e">
        <f t="shared" si="167"/>
        <v>#REF!</v>
      </c>
      <c r="P267" s="1558" t="e">
        <f t="shared" si="167"/>
        <v>#REF!</v>
      </c>
      <c r="Q267" s="1559" t="e">
        <f t="shared" si="167"/>
        <v>#REF!</v>
      </c>
    </row>
    <row r="268" spans="1:30" ht="62.1" hidden="1" customHeight="1" thickBot="1" x14ac:dyDescent="0.5">
      <c r="A268" s="2175"/>
      <c r="B268" s="2175"/>
      <c r="C268" s="2175"/>
      <c r="D268" s="2175"/>
      <c r="E268" s="1605"/>
      <c r="F268" s="1605"/>
      <c r="G268" s="1605"/>
      <c r="H268" s="1605"/>
      <c r="I268" s="4294" t="s">
        <v>304</v>
      </c>
      <c r="J268" s="4294"/>
      <c r="K268" s="4295"/>
      <c r="L268" s="4293" t="s">
        <v>368</v>
      </c>
      <c r="M268" s="4294"/>
      <c r="N268" s="4295"/>
      <c r="O268" s="2176"/>
      <c r="P268" s="2177"/>
      <c r="Q268" s="2178"/>
    </row>
    <row r="269" spans="1:30" ht="62.1" hidden="1" customHeight="1" x14ac:dyDescent="0.45">
      <c r="A269" s="1793"/>
      <c r="B269" s="1794"/>
      <c r="C269" s="1794"/>
      <c r="D269" s="1794"/>
      <c r="I269" s="1740" t="s">
        <v>287</v>
      </c>
      <c r="J269" s="1738" t="s">
        <v>289</v>
      </c>
      <c r="K269" s="1738" t="s">
        <v>288</v>
      </c>
      <c r="L269" s="1738" t="s">
        <v>287</v>
      </c>
      <c r="M269" s="1738" t="s">
        <v>289</v>
      </c>
      <c r="N269" s="1738" t="s">
        <v>288</v>
      </c>
      <c r="O269" s="5071" t="s">
        <v>377</v>
      </c>
      <c r="P269" s="5072"/>
      <c r="Q269" s="5073"/>
    </row>
    <row r="270" spans="1:30" ht="62.1" hidden="1" customHeight="1" x14ac:dyDescent="0.5">
      <c r="A270" s="1793"/>
      <c r="B270" s="1794"/>
      <c r="C270" s="1794"/>
      <c r="D270" s="1794"/>
      <c r="E270" s="2304" t="e">
        <f>+SUM(E257:E261)+SUM(E264:E267)</f>
        <v>#REF!</v>
      </c>
      <c r="F270" s="2304"/>
      <c r="G270" s="2304"/>
      <c r="H270" s="2304"/>
      <c r="I270" s="2309" t="e">
        <f t="shared" ref="I270:N270" si="171">+SUM(I257:I261)+SUM(I264:I267)</f>
        <v>#REF!</v>
      </c>
      <c r="J270" s="2309" t="e">
        <f t="shared" si="171"/>
        <v>#REF!</v>
      </c>
      <c r="K270" s="2309" t="e">
        <f t="shared" si="171"/>
        <v>#REF!</v>
      </c>
      <c r="L270" s="2309" t="e">
        <f t="shared" si="171"/>
        <v>#REF!</v>
      </c>
      <c r="M270" s="2309" t="e">
        <f t="shared" si="171"/>
        <v>#REF!</v>
      </c>
      <c r="N270" s="2309" t="e">
        <f t="shared" si="171"/>
        <v>#REF!</v>
      </c>
      <c r="O270" s="1671" t="e">
        <f>+SUM(O257:O261)+SUM(O264:O267)</f>
        <v>#REF!</v>
      </c>
      <c r="P270" s="1671" t="e">
        <f>+SUM(P257:P261)+SUM(P264:P267)</f>
        <v>#REF!</v>
      </c>
      <c r="Q270" s="1671" t="e">
        <f>+SUM(Q257:Q261)+SUM(Q264:Q267)</f>
        <v>#REF!</v>
      </c>
    </row>
    <row r="271" spans="1:30" ht="62.1" hidden="1" customHeight="1" x14ac:dyDescent="0.45">
      <c r="A271" s="1594"/>
      <c r="B271" s="1594"/>
      <c r="C271" s="1658"/>
      <c r="D271" s="1658"/>
      <c r="E271" s="1658"/>
      <c r="F271" s="1658"/>
      <c r="G271" s="1658"/>
      <c r="H271" s="1658"/>
      <c r="I271" s="1637"/>
      <c r="J271" s="1638"/>
      <c r="K271" s="1638"/>
      <c r="L271" s="1638"/>
      <c r="M271" s="1638"/>
      <c r="N271" s="1638"/>
      <c r="O271" s="1638"/>
      <c r="P271" s="1638"/>
      <c r="Q271" s="1638"/>
    </row>
    <row r="272" spans="1:30" ht="62.1" hidden="1" customHeight="1" x14ac:dyDescent="0.45">
      <c r="A272" s="1594"/>
      <c r="B272" s="1594"/>
      <c r="C272" s="1658"/>
      <c r="D272" s="1658"/>
      <c r="E272" s="1658"/>
      <c r="F272" s="1658"/>
      <c r="G272" s="1658"/>
      <c r="H272" s="1658"/>
      <c r="I272" s="1638"/>
      <c r="J272" s="1638"/>
      <c r="K272" s="1638"/>
      <c r="L272" s="1638"/>
      <c r="M272" s="1638"/>
      <c r="N272" s="1638"/>
      <c r="O272" s="1638"/>
      <c r="P272" s="1638"/>
      <c r="Q272" s="1638"/>
    </row>
    <row r="273" spans="1:18" ht="62.1" hidden="1" customHeight="1" x14ac:dyDescent="0.45">
      <c r="A273" s="1639" t="s">
        <v>445</v>
      </c>
      <c r="B273" s="1640"/>
      <c r="C273" s="1640"/>
      <c r="D273" s="4274" t="s">
        <v>446</v>
      </c>
      <c r="E273" s="1640"/>
      <c r="F273" s="1640"/>
      <c r="G273" s="1640"/>
      <c r="H273" s="1640"/>
      <c r="I273" s="4275" t="s">
        <v>447</v>
      </c>
      <c r="J273" s="5065" t="s">
        <v>304</v>
      </c>
      <c r="K273" s="5066"/>
      <c r="L273" s="5067"/>
      <c r="M273" s="5065" t="s">
        <v>448</v>
      </c>
      <c r="N273" s="5066"/>
      <c r="O273" s="5067"/>
      <c r="P273" s="4395" t="s">
        <v>449</v>
      </c>
      <c r="Q273" s="4323"/>
      <c r="R273" s="4396"/>
    </row>
    <row r="274" spans="1:18" ht="62.1" hidden="1" customHeight="1" x14ac:dyDescent="0.45">
      <c r="A274" s="1639"/>
      <c r="B274" s="1640"/>
      <c r="C274" s="1640"/>
      <c r="D274" s="4274"/>
      <c r="E274" s="1640"/>
      <c r="F274" s="1640"/>
      <c r="G274" s="1640"/>
      <c r="H274" s="1640"/>
      <c r="I274" s="4275"/>
      <c r="J274" s="1641" t="s">
        <v>287</v>
      </c>
      <c r="K274" s="1641" t="s">
        <v>450</v>
      </c>
      <c r="L274" s="1641" t="s">
        <v>288</v>
      </c>
      <c r="M274" s="1641" t="s">
        <v>287</v>
      </c>
      <c r="N274" s="1641" t="s">
        <v>450</v>
      </c>
      <c r="O274" s="1641" t="s">
        <v>288</v>
      </c>
      <c r="P274" s="1515" t="s">
        <v>287</v>
      </c>
      <c r="Q274" s="1515" t="s">
        <v>289</v>
      </c>
      <c r="R274" s="1515" t="s">
        <v>288</v>
      </c>
    </row>
    <row r="275" spans="1:18" ht="62.1" hidden="1" customHeight="1" thickBot="1" x14ac:dyDescent="0.5">
      <c r="A275" s="1510"/>
      <c r="B275" s="1510"/>
      <c r="C275" s="1510"/>
      <c r="D275" s="1510"/>
      <c r="E275" s="1510"/>
      <c r="F275" s="1510"/>
      <c r="G275" s="1510"/>
      <c r="H275" s="1510"/>
      <c r="I275" s="1510"/>
      <c r="J275" s="1510"/>
      <c r="K275" s="1510"/>
      <c r="L275" s="1510"/>
    </row>
    <row r="276" spans="1:18" ht="62.1" hidden="1" customHeight="1" thickBot="1" x14ac:dyDescent="0.5">
      <c r="A276" s="1643" t="s">
        <v>23</v>
      </c>
      <c r="B276" s="1644" t="s">
        <v>454</v>
      </c>
      <c r="C276" s="2323"/>
      <c r="D276" s="1646">
        <f t="shared" ref="D276:N277" si="172">+INT(D401)</f>
        <v>0</v>
      </c>
      <c r="E276" s="1646">
        <f t="shared" si="172"/>
        <v>0</v>
      </c>
      <c r="F276" s="1646"/>
      <c r="G276" s="1646"/>
      <c r="H276" s="1646"/>
      <c r="I276" s="1646">
        <f t="shared" si="172"/>
        <v>0</v>
      </c>
      <c r="J276" s="1646">
        <f t="shared" si="172"/>
        <v>0</v>
      </c>
      <c r="K276" s="1646">
        <f t="shared" si="172"/>
        <v>0</v>
      </c>
      <c r="L276" s="1646">
        <f t="shared" si="172"/>
        <v>0</v>
      </c>
      <c r="M276" s="1646">
        <f t="shared" si="172"/>
        <v>0</v>
      </c>
      <c r="N276" s="1646">
        <f t="shared" si="172"/>
        <v>0</v>
      </c>
      <c r="O276" s="1646">
        <f>+ROUND((O401),0)</f>
        <v>0</v>
      </c>
      <c r="P276" s="1648">
        <f t="shared" ref="P276:R277" si="173">+J276+M276</f>
        <v>0</v>
      </c>
      <c r="Q276" s="1648">
        <f t="shared" si="173"/>
        <v>0</v>
      </c>
      <c r="R276" s="1649">
        <f t="shared" si="173"/>
        <v>0</v>
      </c>
    </row>
    <row r="277" spans="1:18" ht="62.1" hidden="1" customHeight="1" x14ac:dyDescent="0.45">
      <c r="A277" s="1643" t="s">
        <v>24</v>
      </c>
      <c r="B277" s="1644" t="s">
        <v>454</v>
      </c>
      <c r="C277" s="2323"/>
      <c r="D277" s="1646">
        <f t="shared" si="172"/>
        <v>0</v>
      </c>
      <c r="E277" s="1646">
        <f t="shared" si="172"/>
        <v>0</v>
      </c>
      <c r="F277" s="1646"/>
      <c r="G277" s="1646"/>
      <c r="H277" s="1646"/>
      <c r="I277" s="1646">
        <f t="shared" si="172"/>
        <v>0</v>
      </c>
      <c r="J277" s="1646">
        <f t="shared" si="172"/>
        <v>0</v>
      </c>
      <c r="K277" s="1646">
        <f t="shared" si="172"/>
        <v>0</v>
      </c>
      <c r="L277" s="1646">
        <f t="shared" si="172"/>
        <v>0</v>
      </c>
      <c r="M277" s="1646">
        <f t="shared" si="172"/>
        <v>0</v>
      </c>
      <c r="N277" s="1646">
        <f t="shared" si="172"/>
        <v>0</v>
      </c>
      <c r="O277" s="1646">
        <f>+ROUND((O402),0)</f>
        <v>0</v>
      </c>
      <c r="P277" s="1648">
        <f t="shared" si="173"/>
        <v>0</v>
      </c>
      <c r="Q277" s="1648">
        <f t="shared" si="173"/>
        <v>0</v>
      </c>
      <c r="R277" s="1649">
        <f t="shared" si="173"/>
        <v>0</v>
      </c>
    </row>
    <row r="278" spans="1:18" ht="62.1" hidden="1" customHeight="1" x14ac:dyDescent="0.5">
      <c r="A278" s="4285" t="s">
        <v>451</v>
      </c>
      <c r="B278" s="4286"/>
      <c r="C278" s="4287"/>
      <c r="D278" s="2309">
        <f>SUM(D276:D277)</f>
        <v>0</v>
      </c>
      <c r="E278" s="2309"/>
      <c r="F278" s="2309"/>
      <c r="G278" s="2309"/>
      <c r="H278" s="2309"/>
      <c r="I278" s="2309">
        <f t="shared" ref="I278:R278" si="174">SUM(I276:I277)</f>
        <v>0</v>
      </c>
      <c r="J278" s="2309">
        <f t="shared" si="174"/>
        <v>0</v>
      </c>
      <c r="K278" s="2309">
        <f t="shared" si="174"/>
        <v>0</v>
      </c>
      <c r="L278" s="2309">
        <f t="shared" si="174"/>
        <v>0</v>
      </c>
      <c r="M278" s="2309">
        <f t="shared" si="174"/>
        <v>0</v>
      </c>
      <c r="N278" s="2309">
        <f t="shared" si="174"/>
        <v>0</v>
      </c>
      <c r="O278" s="1630">
        <f t="shared" si="174"/>
        <v>0</v>
      </c>
      <c r="P278" s="1650">
        <f t="shared" si="174"/>
        <v>0</v>
      </c>
      <c r="Q278" s="1650">
        <f t="shared" si="174"/>
        <v>0</v>
      </c>
      <c r="R278" s="1650">
        <f t="shared" si="174"/>
        <v>0</v>
      </c>
    </row>
    <row r="279" spans="1:18" ht="62.1" hidden="1" customHeight="1" x14ac:dyDescent="0.45"/>
    <row r="280" spans="1:18" ht="62.1" hidden="1" customHeight="1" x14ac:dyDescent="0.45"/>
    <row r="281" spans="1:18" ht="62.1" hidden="1" customHeight="1" x14ac:dyDescent="0.45"/>
    <row r="282" spans="1:18" ht="62.1" hidden="1" customHeight="1" x14ac:dyDescent="0.45">
      <c r="A282" s="1594" t="s">
        <v>452</v>
      </c>
      <c r="B282" s="1594"/>
      <c r="C282" s="1658"/>
      <c r="D282" s="1658"/>
      <c r="E282" s="1658"/>
      <c r="F282" s="1658"/>
      <c r="G282" s="1658"/>
      <c r="H282" s="1658"/>
      <c r="I282" s="1658"/>
      <c r="J282" s="1658"/>
      <c r="K282" s="1658"/>
      <c r="L282" s="1658"/>
    </row>
    <row r="283" spans="1:18" ht="62.1" hidden="1" customHeight="1" x14ac:dyDescent="0.45">
      <c r="A283" s="1639" t="s">
        <v>445</v>
      </c>
      <c r="B283" s="1640"/>
      <c r="C283" s="1640"/>
      <c r="D283" s="1640" t="s">
        <v>446</v>
      </c>
      <c r="E283" s="1640"/>
      <c r="F283" s="1640"/>
      <c r="G283" s="1640"/>
      <c r="H283" s="1640"/>
      <c r="I283" s="1640" t="s">
        <v>447</v>
      </c>
      <c r="J283" s="4274" t="s">
        <v>304</v>
      </c>
      <c r="K283" s="4274"/>
      <c r="L283" s="4274"/>
      <c r="M283" s="4274" t="s">
        <v>453</v>
      </c>
      <c r="N283" s="4274"/>
      <c r="O283" s="4275"/>
      <c r="P283" s="4237" t="s">
        <v>449</v>
      </c>
      <c r="Q283" s="4238"/>
      <c r="R283" s="4240"/>
    </row>
    <row r="284" spans="1:18" ht="62.1" hidden="1" customHeight="1" x14ac:dyDescent="0.45">
      <c r="A284" s="1639"/>
      <c r="B284" s="1640"/>
      <c r="C284" s="1640"/>
      <c r="D284" s="1640"/>
      <c r="E284" s="1640"/>
      <c r="F284" s="1640"/>
      <c r="G284" s="1640"/>
      <c r="H284" s="1640"/>
      <c r="I284" s="1640"/>
      <c r="J284" s="1640" t="s">
        <v>287</v>
      </c>
      <c r="K284" s="1640" t="s">
        <v>450</v>
      </c>
      <c r="L284" s="1640" t="s">
        <v>288</v>
      </c>
      <c r="M284" s="1640" t="s">
        <v>287</v>
      </c>
      <c r="N284" s="1640" t="s">
        <v>450</v>
      </c>
      <c r="O284" s="1640" t="s">
        <v>288</v>
      </c>
      <c r="P284" s="1515" t="s">
        <v>287</v>
      </c>
      <c r="Q284" s="1515" t="s">
        <v>289</v>
      </c>
      <c r="R284" s="1515" t="s">
        <v>288</v>
      </c>
    </row>
    <row r="285" spans="1:18" ht="62.1" hidden="1" customHeight="1" x14ac:dyDescent="0.45">
      <c r="A285" s="1510"/>
      <c r="B285" s="1510"/>
      <c r="C285" s="1510"/>
      <c r="D285" s="1510"/>
      <c r="E285" s="1510"/>
      <c r="F285" s="1510"/>
      <c r="G285" s="1510"/>
      <c r="H285" s="1510"/>
      <c r="I285" s="1510"/>
      <c r="J285" s="1510"/>
      <c r="K285" s="1510"/>
      <c r="L285" s="1510"/>
    </row>
    <row r="286" spans="1:18" ht="62.1" hidden="1" customHeight="1" x14ac:dyDescent="0.45">
      <c r="A286" s="1652" t="s">
        <v>24</v>
      </c>
      <c r="B286" s="1645" t="s">
        <v>454</v>
      </c>
      <c r="C286" s="2323"/>
      <c r="D286" s="1646">
        <f>+ROUND(D412,0)</f>
        <v>0</v>
      </c>
      <c r="E286" s="1646">
        <f t="shared" ref="E286:N286" si="175">+INT(E412)</f>
        <v>0</v>
      </c>
      <c r="F286" s="1646"/>
      <c r="G286" s="1646"/>
      <c r="H286" s="1646"/>
      <c r="I286" s="1646">
        <f t="shared" si="175"/>
        <v>0</v>
      </c>
      <c r="J286" s="1646">
        <f t="shared" si="175"/>
        <v>0</v>
      </c>
      <c r="K286" s="1646">
        <f t="shared" si="175"/>
        <v>0</v>
      </c>
      <c r="L286" s="1646">
        <f t="shared" si="175"/>
        <v>0</v>
      </c>
      <c r="M286" s="1646">
        <f t="shared" si="175"/>
        <v>0</v>
      </c>
      <c r="N286" s="1646">
        <f t="shared" si="175"/>
        <v>0</v>
      </c>
      <c r="O286" s="1646">
        <f>+ROUND((O412),0)</f>
        <v>0</v>
      </c>
      <c r="P286" s="1653">
        <f>+J286+M286</f>
        <v>0</v>
      </c>
      <c r="Q286" s="1653">
        <f>+K286+N286</f>
        <v>0</v>
      </c>
      <c r="R286" s="1573">
        <f>+L286+O286</f>
        <v>0</v>
      </c>
    </row>
    <row r="287" spans="1:18" ht="62.1" hidden="1" customHeight="1" x14ac:dyDescent="0.45">
      <c r="A287" s="1654"/>
      <c r="B287" s="1654"/>
      <c r="C287" s="2324"/>
      <c r="D287" s="1655"/>
      <c r="E287" s="1655"/>
      <c r="F287" s="1655"/>
      <c r="G287" s="1655"/>
      <c r="H287" s="1655"/>
      <c r="I287" s="1655"/>
      <c r="J287" s="1655"/>
      <c r="K287" s="1655"/>
      <c r="L287" s="1655"/>
    </row>
    <row r="288" spans="1:18" ht="62.1" hidden="1" customHeight="1" x14ac:dyDescent="0.5">
      <c r="A288" s="4285" t="s">
        <v>455</v>
      </c>
      <c r="B288" s="4286"/>
      <c r="C288" s="4287"/>
      <c r="D288" s="2309">
        <f>SUM(D286:D287)</f>
        <v>0</v>
      </c>
      <c r="E288" s="2309"/>
      <c r="F288" s="2309"/>
      <c r="G288" s="2309"/>
      <c r="H288" s="2309"/>
      <c r="I288" s="2309">
        <f>SUM(I286:I287)</f>
        <v>0</v>
      </c>
      <c r="J288" s="2309">
        <f>SUM(J286:J286)</f>
        <v>0</v>
      </c>
      <c r="K288" s="2309">
        <f>SUM(K286:K286)</f>
        <v>0</v>
      </c>
      <c r="L288" s="2309">
        <f>SUM(L286:L286)</f>
        <v>0</v>
      </c>
      <c r="M288" s="2309">
        <f t="shared" ref="M288:R288" si="176">SUM(M286:M286)</f>
        <v>0</v>
      </c>
      <c r="N288" s="2309">
        <f t="shared" si="176"/>
        <v>0</v>
      </c>
      <c r="O288" s="1630">
        <f t="shared" si="176"/>
        <v>0</v>
      </c>
      <c r="P288" s="1656">
        <f t="shared" si="176"/>
        <v>0</v>
      </c>
      <c r="Q288" s="1656">
        <f t="shared" si="176"/>
        <v>0</v>
      </c>
      <c r="R288" s="1656">
        <f t="shared" si="176"/>
        <v>0</v>
      </c>
    </row>
    <row r="289" spans="1:18" ht="62.1" hidden="1" customHeight="1" x14ac:dyDescent="0.45"/>
    <row r="290" spans="1:18" ht="62.1" hidden="1" customHeight="1" x14ac:dyDescent="0.45"/>
    <row r="291" spans="1:18" ht="62.1" hidden="1" customHeight="1" x14ac:dyDescent="0.45"/>
    <row r="292" spans="1:18" ht="62.1" hidden="1" customHeight="1" x14ac:dyDescent="0.45">
      <c r="A292" s="1594" t="s">
        <v>456</v>
      </c>
      <c r="B292" s="1594"/>
      <c r="C292" s="1658"/>
      <c r="D292" s="1658"/>
      <c r="E292" s="1658"/>
      <c r="F292" s="1658"/>
      <c r="G292" s="1658"/>
      <c r="H292" s="1658"/>
      <c r="I292" s="1658"/>
      <c r="J292" s="1658"/>
      <c r="K292" s="1658"/>
      <c r="L292" s="1658"/>
      <c r="M292" s="1658"/>
      <c r="N292" s="1658"/>
      <c r="O292" s="1658"/>
      <c r="P292" s="1658"/>
      <c r="Q292" s="1658"/>
      <c r="R292" s="1594"/>
    </row>
    <row r="293" spans="1:18" ht="62.1" hidden="1" customHeight="1" x14ac:dyDescent="0.45">
      <c r="A293" s="1594"/>
      <c r="B293" s="1594"/>
      <c r="C293" s="1658"/>
      <c r="D293" s="1658"/>
      <c r="E293" s="1658"/>
      <c r="F293" s="1658"/>
      <c r="G293" s="1658"/>
      <c r="H293" s="1658"/>
      <c r="I293" s="1658"/>
      <c r="J293" s="1658"/>
      <c r="K293" s="1658"/>
      <c r="L293" s="1658"/>
      <c r="M293" s="1658"/>
      <c r="N293" s="1658"/>
      <c r="O293" s="1658"/>
      <c r="P293" s="1658"/>
      <c r="Q293" s="1658"/>
      <c r="R293" s="1594"/>
    </row>
    <row r="294" spans="1:18" ht="62.1" hidden="1" customHeight="1" x14ac:dyDescent="0.45"/>
    <row r="295" spans="1:18" ht="62.1" hidden="1" customHeight="1" x14ac:dyDescent="0.45">
      <c r="A295" s="1639" t="s">
        <v>457</v>
      </c>
      <c r="B295" s="1640"/>
      <c r="C295" s="1640"/>
      <c r="D295" s="1640" t="s">
        <v>26</v>
      </c>
      <c r="E295" s="1640"/>
      <c r="F295" s="1640"/>
      <c r="G295" s="1640"/>
      <c r="H295" s="1640"/>
      <c r="I295" s="1640" t="s">
        <v>458</v>
      </c>
      <c r="J295" s="4274" t="s">
        <v>304</v>
      </c>
      <c r="K295" s="4274"/>
      <c r="L295" s="4274"/>
      <c r="M295" s="4274" t="s">
        <v>453</v>
      </c>
      <c r="N295" s="4274"/>
      <c r="O295" s="4275"/>
      <c r="P295" s="4237" t="s">
        <v>449</v>
      </c>
      <c r="Q295" s="4238"/>
      <c r="R295" s="4240"/>
    </row>
    <row r="296" spans="1:18" ht="62.1" hidden="1" customHeight="1" x14ac:dyDescent="0.45">
      <c r="A296" s="1639"/>
      <c r="B296" s="1640"/>
      <c r="C296" s="1640"/>
      <c r="D296" s="1640"/>
      <c r="E296" s="1640"/>
      <c r="F296" s="1640"/>
      <c r="G296" s="1640"/>
      <c r="H296" s="1640"/>
      <c r="I296" s="1640"/>
      <c r="J296" s="1640" t="s">
        <v>287</v>
      </c>
      <c r="K296" s="1640" t="s">
        <v>450</v>
      </c>
      <c r="L296" s="1640" t="s">
        <v>288</v>
      </c>
      <c r="M296" s="1640" t="s">
        <v>287</v>
      </c>
      <c r="N296" s="1640" t="s">
        <v>450</v>
      </c>
      <c r="O296" s="1640" t="s">
        <v>288</v>
      </c>
      <c r="P296" s="1515" t="s">
        <v>287</v>
      </c>
      <c r="Q296" s="1515" t="s">
        <v>289</v>
      </c>
      <c r="R296" s="1515" t="s">
        <v>288</v>
      </c>
    </row>
    <row r="297" spans="1:18" ht="62.1" hidden="1" customHeight="1" x14ac:dyDescent="0.45"/>
    <row r="298" spans="1:18" ht="62.1" hidden="1" customHeight="1" x14ac:dyDescent="0.45">
      <c r="A298" s="1652" t="s">
        <v>23</v>
      </c>
      <c r="B298" s="1645" t="s">
        <v>454</v>
      </c>
      <c r="C298" s="2323"/>
      <c r="D298" s="1646">
        <f>+INT(D424)</f>
        <v>0</v>
      </c>
      <c r="E298" s="1646">
        <f t="shared" ref="E298:O299" si="177">+INT(E424)</f>
        <v>0</v>
      </c>
      <c r="F298" s="1646"/>
      <c r="G298" s="1646"/>
      <c r="H298" s="1646"/>
      <c r="I298" s="1646">
        <f t="shared" ca="1" si="177"/>
        <v>0</v>
      </c>
      <c r="J298" s="1646">
        <f t="shared" ca="1" si="177"/>
        <v>0</v>
      </c>
      <c r="K298" s="1646">
        <f t="shared" ca="1" si="177"/>
        <v>0</v>
      </c>
      <c r="L298" s="1646">
        <f t="shared" ca="1" si="177"/>
        <v>0</v>
      </c>
      <c r="M298" s="1646">
        <f t="shared" ca="1" si="177"/>
        <v>0</v>
      </c>
      <c r="N298" s="1646">
        <f t="shared" ca="1" si="177"/>
        <v>0</v>
      </c>
      <c r="O298" s="1660">
        <f ca="1">+INT(O424)</f>
        <v>0</v>
      </c>
      <c r="P298" s="1661">
        <f t="shared" ref="P298:R299" ca="1" si="178">+M298+J298</f>
        <v>0</v>
      </c>
      <c r="Q298" s="1661">
        <f t="shared" ca="1" si="178"/>
        <v>0</v>
      </c>
      <c r="R298" s="1662">
        <f t="shared" ca="1" si="178"/>
        <v>0</v>
      </c>
    </row>
    <row r="299" spans="1:18" ht="62.1" hidden="1" customHeight="1" x14ac:dyDescent="0.45">
      <c r="A299" s="1652" t="s">
        <v>24</v>
      </c>
      <c r="B299" s="1645" t="s">
        <v>454</v>
      </c>
      <c r="C299" s="2323"/>
      <c r="D299" s="1646">
        <f>+INT(D425)</f>
        <v>0</v>
      </c>
      <c r="E299" s="1646">
        <f t="shared" si="177"/>
        <v>0</v>
      </c>
      <c r="F299" s="1646"/>
      <c r="G299" s="1646"/>
      <c r="H299" s="1646"/>
      <c r="I299" s="1646">
        <f t="shared" ca="1" si="177"/>
        <v>0</v>
      </c>
      <c r="J299" s="1646">
        <f t="shared" ca="1" si="177"/>
        <v>0</v>
      </c>
      <c r="K299" s="1646">
        <f t="shared" ca="1" si="177"/>
        <v>0</v>
      </c>
      <c r="L299" s="1646">
        <f t="shared" ca="1" si="177"/>
        <v>0</v>
      </c>
      <c r="M299" s="1646">
        <f t="shared" ca="1" si="177"/>
        <v>0</v>
      </c>
      <c r="N299" s="1646">
        <f t="shared" ca="1" si="177"/>
        <v>0</v>
      </c>
      <c r="O299" s="1660">
        <f t="shared" ca="1" si="177"/>
        <v>0</v>
      </c>
      <c r="P299" s="1661">
        <f t="shared" ca="1" si="178"/>
        <v>0</v>
      </c>
      <c r="Q299" s="1661">
        <f t="shared" ca="1" si="178"/>
        <v>0</v>
      </c>
      <c r="R299" s="1662">
        <f t="shared" ca="1" si="178"/>
        <v>0</v>
      </c>
    </row>
    <row r="300" spans="1:18" ht="62.1" hidden="1" customHeight="1" x14ac:dyDescent="0.5">
      <c r="A300" s="1630" t="s">
        <v>459</v>
      </c>
      <c r="B300" s="1630"/>
      <c r="C300" s="2309"/>
      <c r="D300" s="2309">
        <f>SUM(D298:D299)</f>
        <v>0</v>
      </c>
      <c r="E300" s="2309"/>
      <c r="F300" s="2309"/>
      <c r="G300" s="2309"/>
      <c r="H300" s="2309"/>
      <c r="I300" s="2309">
        <f t="shared" ref="I300:R300" ca="1" si="179">SUM(I298:I299)</f>
        <v>0</v>
      </c>
      <c r="J300" s="2309">
        <f t="shared" ca="1" si="179"/>
        <v>0</v>
      </c>
      <c r="K300" s="2309">
        <f t="shared" ca="1" si="179"/>
        <v>0</v>
      </c>
      <c r="L300" s="2309">
        <f t="shared" ca="1" si="179"/>
        <v>0</v>
      </c>
      <c r="M300" s="2309">
        <f t="shared" ca="1" si="179"/>
        <v>0</v>
      </c>
      <c r="N300" s="2309">
        <f t="shared" ca="1" si="179"/>
        <v>0</v>
      </c>
      <c r="O300" s="1630">
        <f t="shared" ca="1" si="179"/>
        <v>0</v>
      </c>
      <c r="P300" s="1994">
        <f t="shared" ca="1" si="179"/>
        <v>0</v>
      </c>
      <c r="Q300" s="1994">
        <f t="shared" ca="1" si="179"/>
        <v>0</v>
      </c>
      <c r="R300" s="1995">
        <f t="shared" ca="1" si="179"/>
        <v>0</v>
      </c>
    </row>
    <row r="301" spans="1:18" ht="62.1" hidden="1" customHeight="1" x14ac:dyDescent="0.5">
      <c r="B301" s="1665" t="s">
        <v>429</v>
      </c>
      <c r="C301" s="1717"/>
      <c r="J301" s="1666" t="e">
        <f t="shared" ref="J301:O302" si="180">+INT(J428)</f>
        <v>#REF!</v>
      </c>
      <c r="K301" s="1666" t="e">
        <f t="shared" si="180"/>
        <v>#REF!</v>
      </c>
      <c r="L301" s="1666" t="e">
        <f t="shared" si="180"/>
        <v>#REF!</v>
      </c>
      <c r="M301" s="1666" t="e">
        <f t="shared" si="180"/>
        <v>#REF!</v>
      </c>
      <c r="N301" s="1666" t="e">
        <f t="shared" si="180"/>
        <v>#REF!</v>
      </c>
      <c r="O301" s="1666" t="e">
        <f t="shared" si="180"/>
        <v>#REF!</v>
      </c>
      <c r="P301" s="1661" t="e">
        <f t="shared" ref="P301:R302" si="181">+M301+J301</f>
        <v>#REF!</v>
      </c>
      <c r="Q301" s="1661" t="e">
        <f t="shared" si="181"/>
        <v>#REF!</v>
      </c>
      <c r="R301" s="1662" t="e">
        <f t="shared" si="181"/>
        <v>#REF!</v>
      </c>
    </row>
    <row r="302" spans="1:18" ht="62.1" hidden="1" customHeight="1" x14ac:dyDescent="0.5">
      <c r="A302" s="1498"/>
      <c r="B302" s="1665" t="s">
        <v>430</v>
      </c>
      <c r="C302" s="2310"/>
      <c r="D302" s="2310"/>
      <c r="E302" s="2310"/>
      <c r="F302" s="2310"/>
      <c r="G302" s="2310"/>
      <c r="H302" s="2310"/>
      <c r="I302" s="2310"/>
      <c r="J302" s="1666">
        <f t="shared" si="180"/>
        <v>0</v>
      </c>
      <c r="K302" s="1666">
        <f t="shared" si="180"/>
        <v>0</v>
      </c>
      <c r="L302" s="1666">
        <f t="shared" si="180"/>
        <v>0</v>
      </c>
      <c r="M302" s="1666">
        <f t="shared" si="180"/>
        <v>0</v>
      </c>
      <c r="N302" s="1666">
        <f t="shared" si="180"/>
        <v>0</v>
      </c>
      <c r="O302" s="1666">
        <f t="shared" si="180"/>
        <v>0</v>
      </c>
      <c r="P302" s="1661">
        <f t="shared" si="181"/>
        <v>0</v>
      </c>
      <c r="Q302" s="1661">
        <f t="shared" si="181"/>
        <v>0</v>
      </c>
      <c r="R302" s="1662">
        <f t="shared" si="181"/>
        <v>0</v>
      </c>
    </row>
    <row r="303" spans="1:18" ht="62.1" hidden="1" customHeight="1" x14ac:dyDescent="0.45">
      <c r="A303" s="1668"/>
      <c r="B303" s="4300" t="s">
        <v>460</v>
      </c>
      <c r="C303" s="4301"/>
      <c r="D303" s="4301"/>
      <c r="E303" s="4301"/>
      <c r="F303" s="4301"/>
      <c r="G303" s="4301"/>
      <c r="H303" s="4301"/>
      <c r="I303" s="4302"/>
      <c r="J303" s="1671" t="e">
        <f t="shared" ref="J303:R303" si="182">SUM(J301:J302)</f>
        <v>#REF!</v>
      </c>
      <c r="K303" s="1671" t="e">
        <f t="shared" si="182"/>
        <v>#REF!</v>
      </c>
      <c r="L303" s="1671" t="e">
        <f t="shared" si="182"/>
        <v>#REF!</v>
      </c>
      <c r="M303" s="1671" t="e">
        <f t="shared" si="182"/>
        <v>#REF!</v>
      </c>
      <c r="N303" s="1671" t="e">
        <f t="shared" si="182"/>
        <v>#REF!</v>
      </c>
      <c r="O303" s="1671" t="e">
        <f t="shared" si="182"/>
        <v>#REF!</v>
      </c>
      <c r="P303" s="1671" t="e">
        <f t="shared" si="182"/>
        <v>#REF!</v>
      </c>
      <c r="Q303" s="1671" t="e">
        <f t="shared" si="182"/>
        <v>#REF!</v>
      </c>
      <c r="R303" s="1669" t="e">
        <f t="shared" si="182"/>
        <v>#REF!</v>
      </c>
    </row>
    <row r="304" spans="1:18" ht="62.1" hidden="1" customHeight="1" x14ac:dyDescent="0.45">
      <c r="A304" s="1672"/>
      <c r="B304" s="1672"/>
      <c r="J304" s="4278" t="s">
        <v>304</v>
      </c>
      <c r="K304" s="4279"/>
      <c r="L304" s="4280"/>
      <c r="M304" s="4278" t="s">
        <v>453</v>
      </c>
      <c r="N304" s="4279"/>
      <c r="O304" s="4280"/>
      <c r="P304" s="4237" t="s">
        <v>449</v>
      </c>
      <c r="Q304" s="4238"/>
      <c r="R304" s="4240"/>
    </row>
    <row r="305" spans="1:34" ht="62.1" hidden="1" customHeight="1" x14ac:dyDescent="0.45">
      <c r="A305" s="1672"/>
      <c r="B305" s="1672"/>
      <c r="J305" s="1641" t="s">
        <v>287</v>
      </c>
      <c r="K305" s="1641" t="s">
        <v>450</v>
      </c>
      <c r="L305" s="1641" t="s">
        <v>288</v>
      </c>
      <c r="M305" s="1641" t="s">
        <v>287</v>
      </c>
      <c r="N305" s="1641" t="s">
        <v>450</v>
      </c>
      <c r="O305" s="1641" t="s">
        <v>288</v>
      </c>
      <c r="P305" s="1515" t="s">
        <v>287</v>
      </c>
      <c r="Q305" s="1515" t="s">
        <v>289</v>
      </c>
      <c r="R305" s="1515" t="s">
        <v>288</v>
      </c>
    </row>
    <row r="306" spans="1:34" ht="62.1" hidden="1" customHeight="1" x14ac:dyDescent="0.45">
      <c r="A306" s="4278" t="s">
        <v>431</v>
      </c>
      <c r="B306" s="4279"/>
      <c r="C306" s="4279"/>
      <c r="D306" s="4279"/>
      <c r="E306" s="4279"/>
      <c r="F306" s="4279"/>
      <c r="G306" s="4279"/>
      <c r="H306" s="4279"/>
      <c r="I306" s="4280"/>
      <c r="J306" s="1673" t="e">
        <f t="shared" ref="J306:R306" ca="1" si="183">+I251+J278+J288+J300+J303+I270</f>
        <v>#REF!</v>
      </c>
      <c r="K306" s="1673" t="e">
        <f t="shared" ca="1" si="183"/>
        <v>#REF!</v>
      </c>
      <c r="L306" s="1673" t="e">
        <f t="shared" ca="1" si="183"/>
        <v>#REF!</v>
      </c>
      <c r="M306" s="1673" t="e">
        <f t="shared" ca="1" si="183"/>
        <v>#REF!</v>
      </c>
      <c r="N306" s="1673" t="e">
        <f t="shared" ca="1" si="183"/>
        <v>#REF!</v>
      </c>
      <c r="O306" s="1673" t="e">
        <f t="shared" ca="1" si="183"/>
        <v>#REF!</v>
      </c>
      <c r="P306" s="1673" t="e">
        <f t="shared" ca="1" si="183"/>
        <v>#REF!</v>
      </c>
      <c r="Q306" s="1673" t="e">
        <f t="shared" ca="1" si="183"/>
        <v>#REF!</v>
      </c>
      <c r="R306" s="1673" t="e">
        <f t="shared" ca="1" si="183"/>
        <v>#REF!</v>
      </c>
    </row>
    <row r="307" spans="1:34" ht="62.1" hidden="1" customHeight="1" x14ac:dyDescent="0.45">
      <c r="A307" s="1641"/>
      <c r="B307" s="1641"/>
      <c r="C307" s="1641"/>
      <c r="D307" s="1641"/>
      <c r="E307" s="1641"/>
      <c r="F307" s="1641"/>
      <c r="G307" s="1641"/>
      <c r="H307" s="1641"/>
      <c r="I307" s="1641"/>
      <c r="J307" s="4237" t="s">
        <v>449</v>
      </c>
      <c r="K307" s="4238"/>
      <c r="L307" s="4240"/>
    </row>
    <row r="308" spans="1:34" ht="62.1" hidden="1" customHeight="1" x14ac:dyDescent="0.45">
      <c r="A308" s="4278" t="s">
        <v>431</v>
      </c>
      <c r="B308" s="4279"/>
      <c r="C308" s="4279"/>
      <c r="D308" s="4279"/>
      <c r="E308" s="4279"/>
      <c r="F308" s="4279"/>
      <c r="G308" s="4279"/>
      <c r="H308" s="4279"/>
      <c r="I308" s="4280"/>
      <c r="J308" s="1674" t="e">
        <f ca="1">+J306+M306</f>
        <v>#REF!</v>
      </c>
      <c r="K308" s="1674" t="e">
        <f ca="1">+K306+N306</f>
        <v>#REF!</v>
      </c>
      <c r="L308" s="1674" t="e">
        <f ca="1">+L306+O306</f>
        <v>#REF!</v>
      </c>
      <c r="M308" s="1653"/>
      <c r="N308" s="1653" t="e">
        <f ca="1">SUM(J308:M308)</f>
        <v>#REF!</v>
      </c>
      <c r="O308" s="1653" t="e">
        <f ca="1">+L308-R306</f>
        <v>#REF!</v>
      </c>
      <c r="S308" s="1594"/>
      <c r="T308" s="1594"/>
      <c r="U308" s="1594"/>
      <c r="V308" s="1594"/>
    </row>
    <row r="309" spans="1:34" ht="62.1" hidden="1" customHeight="1" x14ac:dyDescent="0.45">
      <c r="A309" s="4278" t="s">
        <v>433</v>
      </c>
      <c r="B309" s="4279"/>
      <c r="C309" s="4279"/>
      <c r="D309" s="4279"/>
      <c r="E309" s="4279"/>
      <c r="F309" s="4279"/>
      <c r="G309" s="4279"/>
      <c r="H309" s="4279"/>
      <c r="I309" s="4280"/>
      <c r="J309" s="1675">
        <f>+'Compra -HOJA1'!G10</f>
        <v>0</v>
      </c>
      <c r="K309" s="1675">
        <f>+'Compra -HOJA1'!I10</f>
        <v>0</v>
      </c>
      <c r="L309" s="1675">
        <f>+'Compra -HOJA1'!H10</f>
        <v>0</v>
      </c>
      <c r="N309" s="1653">
        <f>SUM(J309:M309)</f>
        <v>0</v>
      </c>
      <c r="S309" s="1594"/>
      <c r="T309" s="1594"/>
      <c r="U309" s="1594"/>
      <c r="V309" s="1594"/>
    </row>
    <row r="310" spans="1:34" ht="62.1" hidden="1" customHeight="1" x14ac:dyDescent="0.45">
      <c r="A310" s="1676"/>
      <c r="B310" s="1676"/>
      <c r="C310" s="2325"/>
    </row>
    <row r="311" spans="1:34" ht="62.1" hidden="1" customHeight="1" x14ac:dyDescent="0.45">
      <c r="A311" s="1676"/>
      <c r="B311" s="1676"/>
      <c r="C311" s="2325"/>
      <c r="D311" s="1491" t="s">
        <v>435</v>
      </c>
      <c r="J311" s="1653" t="e">
        <f ca="1">IF((J309-J308)=0,"O.K.","VERIFICAR¨")</f>
        <v>#REF!</v>
      </c>
      <c r="K311" s="1653" t="e">
        <f ca="1">IF((K309-K308)=0,"O.K.","VERIFICAR¨")</f>
        <v>#REF!</v>
      </c>
      <c r="L311" s="1653" t="e">
        <f ca="1">IF((L309-L308)=0,"O.K.","VERIFICAR¨")</f>
        <v>#REF!</v>
      </c>
    </row>
    <row r="312" spans="1:34" ht="62.1" hidden="1" customHeight="1" x14ac:dyDescent="0.45">
      <c r="A312" s="1677"/>
      <c r="B312" s="1677"/>
      <c r="C312" s="2326"/>
      <c r="J312" s="2311" t="e">
        <f ca="1">+J309-J308</f>
        <v>#REF!</v>
      </c>
      <c r="K312" s="2311" t="e">
        <f ca="1">+K309-K308</f>
        <v>#REF!</v>
      </c>
      <c r="L312" s="2311" t="e">
        <f ca="1">+L309-L308</f>
        <v>#REF!</v>
      </c>
      <c r="M312" s="1653" t="e">
        <f ca="1">SUM(J312:L312)</f>
        <v>#REF!</v>
      </c>
    </row>
    <row r="313" spans="1:34" ht="62.1" hidden="1" customHeight="1" x14ac:dyDescent="0.45"/>
    <row r="314" spans="1:34" ht="62.1" hidden="1" customHeight="1" x14ac:dyDescent="0.45">
      <c r="A314" s="1594" t="s">
        <v>363</v>
      </c>
      <c r="B314" s="1594"/>
      <c r="C314" s="1658"/>
      <c r="D314" s="2312">
        <f>'Compra -HOJA1'!D2:H2</f>
        <v>0</v>
      </c>
      <c r="E314" s="2312"/>
      <c r="F314" s="2312"/>
      <c r="G314" s="2312"/>
      <c r="H314" s="2312"/>
      <c r="I314" s="1501"/>
      <c r="J314" s="1501"/>
      <c r="K314" s="1501"/>
    </row>
    <row r="315" spans="1:34" ht="62.1" hidden="1" customHeight="1" x14ac:dyDescent="0.45">
      <c r="A315" s="1594" t="s">
        <v>364</v>
      </c>
      <c r="B315" s="1594"/>
      <c r="C315" s="1658"/>
      <c r="D315" s="2282">
        <f>'Compra -HOJA1'!F4</f>
        <v>45536</v>
      </c>
      <c r="E315" s="2282"/>
      <c r="F315" s="2282"/>
      <c r="G315" s="2282"/>
      <c r="H315" s="2282"/>
      <c r="I315" s="1500"/>
      <c r="J315" s="1500"/>
      <c r="K315" s="1500"/>
    </row>
    <row r="316" spans="1:34" ht="62.1" hidden="1" customHeight="1" x14ac:dyDescent="0.45">
      <c r="A316" s="1506"/>
      <c r="B316" s="1506"/>
      <c r="C316" s="1510"/>
      <c r="D316" s="1510"/>
      <c r="E316" s="1510"/>
      <c r="F316" s="1510"/>
      <c r="G316" s="1510"/>
      <c r="H316" s="1510"/>
      <c r="I316" s="1510"/>
      <c r="J316" s="1510"/>
      <c r="K316" s="1510"/>
      <c r="L316" s="2313"/>
    </row>
    <row r="317" spans="1:34" ht="62.1" hidden="1" customHeight="1" x14ac:dyDescent="0.45">
      <c r="A317" s="1506"/>
      <c r="B317" s="1506"/>
      <c r="C317" s="1510"/>
      <c r="D317" s="1510"/>
      <c r="E317" s="1510"/>
      <c r="F317" s="1510"/>
      <c r="G317" s="1510"/>
      <c r="H317" s="1510"/>
      <c r="I317" s="1510"/>
      <c r="J317" s="1510"/>
      <c r="K317" s="1510"/>
    </row>
    <row r="318" spans="1:34" ht="62.1" hidden="1" customHeight="1" x14ac:dyDescent="0.5">
      <c r="A318" s="1598" t="s">
        <v>463</v>
      </c>
      <c r="B318" s="1598"/>
      <c r="C318" s="2314"/>
      <c r="D318" s="2314"/>
      <c r="E318" s="2314"/>
      <c r="F318" s="4237" t="s">
        <v>849</v>
      </c>
      <c r="G318" s="4238"/>
      <c r="H318" s="4240"/>
      <c r="I318" s="4237" t="s">
        <v>304</v>
      </c>
      <c r="J318" s="4238"/>
      <c r="K318" s="4240"/>
      <c r="L318" s="4237" t="s">
        <v>439</v>
      </c>
      <c r="M318" s="4238"/>
      <c r="N318" s="4240"/>
      <c r="O318" s="4237" t="s">
        <v>377</v>
      </c>
      <c r="P318" s="4238"/>
      <c r="Q318" s="4240"/>
      <c r="V318" s="4253" t="s">
        <v>191</v>
      </c>
      <c r="W318" s="4253"/>
      <c r="X318" s="4253"/>
      <c r="Y318" s="4253" t="s">
        <v>464</v>
      </c>
      <c r="Z318" s="4253"/>
      <c r="AA318" s="4253"/>
      <c r="AB318" s="4253" t="s">
        <v>465</v>
      </c>
      <c r="AC318" s="4253"/>
      <c r="AD318" s="4253"/>
    </row>
    <row r="319" spans="1:34" ht="62.1" hidden="1" customHeight="1" thickBot="1" x14ac:dyDescent="0.5">
      <c r="A319" s="1599" t="s">
        <v>440</v>
      </c>
      <c r="B319" s="1599"/>
      <c r="C319" s="2327"/>
      <c r="D319" s="2314"/>
      <c r="E319" s="2314" t="s">
        <v>441</v>
      </c>
      <c r="F319" s="1515" t="s">
        <v>287</v>
      </c>
      <c r="G319" s="1515" t="s">
        <v>289</v>
      </c>
      <c r="H319" s="1515" t="s">
        <v>288</v>
      </c>
      <c r="I319" s="1515" t="s">
        <v>287</v>
      </c>
      <c r="J319" s="1515" t="s">
        <v>289</v>
      </c>
      <c r="K319" s="1515" t="s">
        <v>288</v>
      </c>
      <c r="L319" s="1515" t="s">
        <v>287</v>
      </c>
      <c r="M319" s="1515" t="s">
        <v>289</v>
      </c>
      <c r="N319" s="1515" t="s">
        <v>288</v>
      </c>
      <c r="O319" s="1515" t="s">
        <v>287</v>
      </c>
      <c r="P319" s="1515" t="s">
        <v>289</v>
      </c>
      <c r="Q319" s="1515" t="s">
        <v>288</v>
      </c>
      <c r="V319" s="1515" t="s">
        <v>5</v>
      </c>
      <c r="W319" s="1515" t="s">
        <v>6</v>
      </c>
      <c r="X319" s="1515" t="s">
        <v>7</v>
      </c>
      <c r="Y319" s="1515" t="s">
        <v>5</v>
      </c>
      <c r="Z319" s="1515" t="s">
        <v>6</v>
      </c>
      <c r="AA319" s="1515" t="s">
        <v>7</v>
      </c>
      <c r="AB319" s="1515" t="s">
        <v>5</v>
      </c>
      <c r="AC319" s="1515" t="s">
        <v>6</v>
      </c>
      <c r="AD319" s="1515" t="s">
        <v>7</v>
      </c>
    </row>
    <row r="320" spans="1:34" ht="62.1" hidden="1" customHeight="1" x14ac:dyDescent="0.45">
      <c r="A320" s="3952" t="s">
        <v>41</v>
      </c>
      <c r="B320" s="1947">
        <v>5030</v>
      </c>
      <c r="C320" s="4617" t="s">
        <v>217</v>
      </c>
      <c r="D320" s="4618"/>
      <c r="E320" s="1679">
        <f>+'Compra -HOJA 1-1-PARA SECCION I'!G602</f>
        <v>0</v>
      </c>
      <c r="F320" s="1679"/>
      <c r="G320" s="1679"/>
      <c r="H320" s="1679"/>
      <c r="I320" s="1680">
        <f>(V320)</f>
        <v>0</v>
      </c>
      <c r="J320" s="1680">
        <f>(X320)</f>
        <v>0</v>
      </c>
      <c r="K320" s="1680">
        <f>(W320)</f>
        <v>0</v>
      </c>
      <c r="L320" s="1680" t="e">
        <f>(Y320)</f>
        <v>#REF!</v>
      </c>
      <c r="M320" s="1680" t="e">
        <f>(AA320)</f>
        <v>#REF!</v>
      </c>
      <c r="N320" s="1680" t="e">
        <f>(Z320)</f>
        <v>#REF!</v>
      </c>
      <c r="O320" s="1619" t="e">
        <f>+I320+L320</f>
        <v>#REF!</v>
      </c>
      <c r="P320" s="1619" t="e">
        <f>+J320+M320</f>
        <v>#REF!</v>
      </c>
      <c r="Q320" s="1619" t="e">
        <f>+K320+N320</f>
        <v>#REF!</v>
      </c>
      <c r="R320" s="3952" t="s">
        <v>41</v>
      </c>
      <c r="S320" s="1947">
        <v>5030</v>
      </c>
      <c r="T320" s="4617" t="s">
        <v>217</v>
      </c>
      <c r="U320" s="4618"/>
      <c r="V320" s="2436">
        <f>+'Compra -HOJA 1-1-PARA SECCION I'!I602</f>
        <v>0</v>
      </c>
      <c r="W320" s="2436">
        <f>+'Compra -HOJA 1-1-PARA SECCION I'!J602</f>
        <v>0</v>
      </c>
      <c r="X320" s="2436">
        <f>+'Compra -HOJA 1-1-PARA SECCION I'!K602</f>
        <v>0</v>
      </c>
      <c r="Y320" s="2436" t="e">
        <f>+'Compra -HOJA 1-1-PARA SECCION I'!L602</f>
        <v>#REF!</v>
      </c>
      <c r="Z320" s="2436" t="e">
        <f>+'Compra -HOJA 1-1-PARA SECCION I'!M602</f>
        <v>#REF!</v>
      </c>
      <c r="AA320" s="2436" t="e">
        <f>+'Compra -HOJA 1-1-PARA SECCION I'!N602</f>
        <v>#REF!</v>
      </c>
      <c r="AB320" s="2436" t="e">
        <f>+'Compra -HOJA 1-1-PARA SECCION I'!O602</f>
        <v>#REF!</v>
      </c>
      <c r="AC320" s="2436" t="e">
        <f>+'Compra -HOJA 1-1-PARA SECCION I'!P602</f>
        <v>#REF!</v>
      </c>
      <c r="AD320" s="2436" t="e">
        <f>+'Compra -HOJA 1-1-PARA SECCION I'!Q602</f>
        <v>#REF!</v>
      </c>
      <c r="AF320" s="1490" t="e">
        <f>+V320+Y320</f>
        <v>#REF!</v>
      </c>
      <c r="AG320" s="1490" t="e">
        <f t="shared" ref="AG320:AH335" si="184">+W320+Z320</f>
        <v>#REF!</v>
      </c>
      <c r="AH320" s="1490" t="e">
        <f t="shared" si="184"/>
        <v>#REF!</v>
      </c>
    </row>
    <row r="321" spans="1:34" ht="62.1" hidden="1" customHeight="1" x14ac:dyDescent="0.45">
      <c r="A321" s="3953"/>
      <c r="B321" s="1954">
        <v>5040</v>
      </c>
      <c r="C321" s="3743" t="s">
        <v>218</v>
      </c>
      <c r="D321" s="3744"/>
      <c r="E321" s="1679" t="e">
        <f>+'Compra -HOJA 1-1-PARA SECCION I'!G603</f>
        <v>#REF!</v>
      </c>
      <c r="F321" s="1679"/>
      <c r="G321" s="1679"/>
      <c r="H321" s="1679"/>
      <c r="I321" s="1680">
        <f t="shared" ref="I321:I366" si="185">(V321)</f>
        <v>0</v>
      </c>
      <c r="J321" s="1680">
        <f t="shared" ref="J321:J366" si="186">(X321)</f>
        <v>0</v>
      </c>
      <c r="K321" s="1680">
        <f t="shared" ref="K321:K366" si="187">(W321)</f>
        <v>0</v>
      </c>
      <c r="L321" s="1680" t="e">
        <f t="shared" ref="L321:L366" si="188">(Y321)</f>
        <v>#REF!</v>
      </c>
      <c r="M321" s="1680" t="e">
        <f t="shared" ref="M321:M366" si="189">(AA321)</f>
        <v>#REF!</v>
      </c>
      <c r="N321" s="1680" t="e">
        <f t="shared" ref="N321:N366" si="190">(Z321)</f>
        <v>#REF!</v>
      </c>
      <c r="O321" s="1619" t="e">
        <f t="shared" ref="O321:Q384" si="191">+I321+L321</f>
        <v>#REF!</v>
      </c>
      <c r="P321" s="1619" t="e">
        <f t="shared" si="191"/>
        <v>#REF!</v>
      </c>
      <c r="Q321" s="1619" t="e">
        <f t="shared" si="191"/>
        <v>#REF!</v>
      </c>
      <c r="R321" s="3953"/>
      <c r="S321" s="1954">
        <v>5040</v>
      </c>
      <c r="T321" s="3743" t="s">
        <v>218</v>
      </c>
      <c r="U321" s="3744"/>
      <c r="V321" s="2436">
        <f>+'Compra -HOJA 1-1-PARA SECCION I'!I603</f>
        <v>0</v>
      </c>
      <c r="W321" s="2436">
        <f>+'Compra -HOJA 1-1-PARA SECCION I'!J603</f>
        <v>0</v>
      </c>
      <c r="X321" s="2436">
        <f>+'Compra -HOJA 1-1-PARA SECCION I'!K603</f>
        <v>0</v>
      </c>
      <c r="Y321" s="2436" t="e">
        <f>+'Compra -HOJA 1-1-PARA SECCION I'!L603</f>
        <v>#REF!</v>
      </c>
      <c r="Z321" s="2436" t="e">
        <f>+'Compra -HOJA 1-1-PARA SECCION I'!M603</f>
        <v>#REF!</v>
      </c>
      <c r="AA321" s="2436" t="e">
        <f>+'Compra -HOJA 1-1-PARA SECCION I'!N603</f>
        <v>#REF!</v>
      </c>
      <c r="AB321" s="2436" t="e">
        <f>+'Compra -HOJA 1-1-PARA SECCION I'!O603</f>
        <v>#REF!</v>
      </c>
      <c r="AC321" s="2436" t="e">
        <f>+'Compra -HOJA 1-1-PARA SECCION I'!P603</f>
        <v>#REF!</v>
      </c>
      <c r="AD321" s="2436" t="e">
        <f>+'Compra -HOJA 1-1-PARA SECCION I'!Q603</f>
        <v>#REF!</v>
      </c>
      <c r="AF321" s="1490" t="e">
        <f t="shared" ref="AF321:AH367" si="192">+V321+Y321</f>
        <v>#REF!</v>
      </c>
      <c r="AG321" s="1490" t="e">
        <f t="shared" si="184"/>
        <v>#REF!</v>
      </c>
      <c r="AH321" s="1490" t="e">
        <f t="shared" si="184"/>
        <v>#REF!</v>
      </c>
    </row>
    <row r="322" spans="1:34" ht="62.1" hidden="1" customHeight="1" x14ac:dyDescent="0.45">
      <c r="A322" s="3953"/>
      <c r="B322" s="1955">
        <v>5050</v>
      </c>
      <c r="C322" s="4314" t="s">
        <v>219</v>
      </c>
      <c r="D322" s="4616"/>
      <c r="E322" s="1679">
        <f>+'Compra -HOJA 1-1-PARA SECCION I'!G604</f>
        <v>0</v>
      </c>
      <c r="F322" s="1679"/>
      <c r="G322" s="1679"/>
      <c r="H322" s="1679"/>
      <c r="I322" s="1680">
        <f t="shared" si="185"/>
        <v>0</v>
      </c>
      <c r="J322" s="1680">
        <f t="shared" si="186"/>
        <v>0</v>
      </c>
      <c r="K322" s="1680">
        <f t="shared" si="187"/>
        <v>0</v>
      </c>
      <c r="L322" s="1680" t="e">
        <f t="shared" si="188"/>
        <v>#REF!</v>
      </c>
      <c r="M322" s="1680" t="e">
        <f t="shared" si="189"/>
        <v>#REF!</v>
      </c>
      <c r="N322" s="1680" t="e">
        <f t="shared" si="190"/>
        <v>#REF!</v>
      </c>
      <c r="O322" s="1619" t="e">
        <f t="shared" si="191"/>
        <v>#REF!</v>
      </c>
      <c r="P322" s="1619" t="e">
        <f t="shared" si="191"/>
        <v>#REF!</v>
      </c>
      <c r="Q322" s="1619" t="e">
        <f t="shared" si="191"/>
        <v>#REF!</v>
      </c>
      <c r="R322" s="3953"/>
      <c r="S322" s="1955">
        <v>5050</v>
      </c>
      <c r="T322" s="4314" t="s">
        <v>219</v>
      </c>
      <c r="U322" s="4616"/>
      <c r="V322" s="2436">
        <f>+'Compra -HOJA 1-1-PARA SECCION I'!I604</f>
        <v>0</v>
      </c>
      <c r="W322" s="2436">
        <f>+'Compra -HOJA 1-1-PARA SECCION I'!J604</f>
        <v>0</v>
      </c>
      <c r="X322" s="2436">
        <f>+'Compra -HOJA 1-1-PARA SECCION I'!K604</f>
        <v>0</v>
      </c>
      <c r="Y322" s="2436" t="e">
        <f>+'Compra -HOJA 1-1-PARA SECCION I'!L604</f>
        <v>#REF!</v>
      </c>
      <c r="Z322" s="2436" t="e">
        <f>+'Compra -HOJA 1-1-PARA SECCION I'!M604</f>
        <v>#REF!</v>
      </c>
      <c r="AA322" s="2436" t="e">
        <f>+'Compra -HOJA 1-1-PARA SECCION I'!N604</f>
        <v>#REF!</v>
      </c>
      <c r="AB322" s="2436" t="e">
        <f>+'Compra -HOJA 1-1-PARA SECCION I'!O604</f>
        <v>#REF!</v>
      </c>
      <c r="AC322" s="2436" t="e">
        <f>+'Compra -HOJA 1-1-PARA SECCION I'!P604</f>
        <v>#REF!</v>
      </c>
      <c r="AD322" s="2436" t="e">
        <f>+'Compra -HOJA 1-1-PARA SECCION I'!Q604</f>
        <v>#REF!</v>
      </c>
      <c r="AF322" s="1490"/>
      <c r="AG322" s="1490"/>
      <c r="AH322" s="1490"/>
    </row>
    <row r="323" spans="1:34" ht="62.1" hidden="1" customHeight="1" thickBot="1" x14ac:dyDescent="0.5">
      <c r="A323" s="4611"/>
      <c r="B323" s="2077" t="s">
        <v>50</v>
      </c>
      <c r="C323" s="4613" t="s">
        <v>580</v>
      </c>
      <c r="D323" s="4614"/>
      <c r="E323" s="1679" t="e">
        <f>+'Compra -HOJA 1-1-PARA SECCION I'!G605</f>
        <v>#REF!</v>
      </c>
      <c r="F323" s="1679"/>
      <c r="G323" s="1679"/>
      <c r="H323" s="1679"/>
      <c r="I323" s="1680" t="e">
        <f t="shared" si="185"/>
        <v>#REF!</v>
      </c>
      <c r="J323" s="1680" t="e">
        <f t="shared" si="186"/>
        <v>#REF!</v>
      </c>
      <c r="K323" s="1680" t="e">
        <f t="shared" si="187"/>
        <v>#REF!</v>
      </c>
      <c r="L323" s="1680" t="e">
        <f t="shared" si="188"/>
        <v>#REF!</v>
      </c>
      <c r="M323" s="1680" t="e">
        <f t="shared" si="189"/>
        <v>#REF!</v>
      </c>
      <c r="N323" s="1680" t="e">
        <f t="shared" si="190"/>
        <v>#REF!</v>
      </c>
      <c r="O323" s="1619" t="e">
        <f t="shared" si="191"/>
        <v>#REF!</v>
      </c>
      <c r="P323" s="1619" t="e">
        <f t="shared" si="191"/>
        <v>#REF!</v>
      </c>
      <c r="Q323" s="1619" t="e">
        <f t="shared" si="191"/>
        <v>#REF!</v>
      </c>
      <c r="R323" s="4611"/>
      <c r="S323" s="2077" t="s">
        <v>50</v>
      </c>
      <c r="T323" s="4613" t="s">
        <v>580</v>
      </c>
      <c r="U323" s="4614"/>
      <c r="V323" s="2436" t="e">
        <f>+'Compra -HOJA 1-1-PARA SECCION I'!I605</f>
        <v>#REF!</v>
      </c>
      <c r="W323" s="2436" t="e">
        <f>+'Compra -HOJA 1-1-PARA SECCION I'!J605</f>
        <v>#REF!</v>
      </c>
      <c r="X323" s="2436" t="e">
        <f>+'Compra -HOJA 1-1-PARA SECCION I'!K605</f>
        <v>#REF!</v>
      </c>
      <c r="Y323" s="2436" t="e">
        <f>+'Compra -HOJA 1-1-PARA SECCION I'!L605</f>
        <v>#REF!</v>
      </c>
      <c r="Z323" s="2436" t="e">
        <f>+'Compra -HOJA 1-1-PARA SECCION I'!M605</f>
        <v>#REF!</v>
      </c>
      <c r="AA323" s="2436" t="e">
        <f>+'Compra -HOJA 1-1-PARA SECCION I'!N605</f>
        <v>#REF!</v>
      </c>
      <c r="AB323" s="2436" t="e">
        <f>+'Compra -HOJA 1-1-PARA SECCION I'!O605</f>
        <v>#REF!</v>
      </c>
      <c r="AC323" s="2436" t="e">
        <f>+'Compra -HOJA 1-1-PARA SECCION I'!P605</f>
        <v>#REF!</v>
      </c>
      <c r="AD323" s="2436" t="e">
        <f>+'Compra -HOJA 1-1-PARA SECCION I'!Q605</f>
        <v>#REF!</v>
      </c>
      <c r="AF323" s="1490" t="e">
        <f t="shared" si="192"/>
        <v>#REF!</v>
      </c>
      <c r="AG323" s="1490" t="e">
        <f t="shared" si="184"/>
        <v>#REF!</v>
      </c>
      <c r="AH323" s="1490" t="e">
        <f t="shared" si="184"/>
        <v>#REF!</v>
      </c>
    </row>
    <row r="324" spans="1:34" ht="62.1" hidden="1" customHeight="1" x14ac:dyDescent="0.45">
      <c r="A324" s="4017" t="s">
        <v>52</v>
      </c>
      <c r="B324" s="1947">
        <v>5030</v>
      </c>
      <c r="C324" s="4308" t="s">
        <v>217</v>
      </c>
      <c r="D324" s="4612"/>
      <c r="E324" s="1679">
        <f>+'Compra -HOJA 1-1-PARA SECCION I'!G606</f>
        <v>0</v>
      </c>
      <c r="F324" s="1679"/>
      <c r="G324" s="1679"/>
      <c r="H324" s="1679"/>
      <c r="I324" s="1680">
        <f t="shared" si="185"/>
        <v>0</v>
      </c>
      <c r="J324" s="1680">
        <f t="shared" si="186"/>
        <v>0</v>
      </c>
      <c r="K324" s="1680">
        <f t="shared" si="187"/>
        <v>0</v>
      </c>
      <c r="L324" s="1680" t="e">
        <f t="shared" si="188"/>
        <v>#REF!</v>
      </c>
      <c r="M324" s="1680" t="e">
        <f t="shared" si="189"/>
        <v>#REF!</v>
      </c>
      <c r="N324" s="1680" t="e">
        <f t="shared" si="190"/>
        <v>#REF!</v>
      </c>
      <c r="O324" s="1619" t="e">
        <f t="shared" si="191"/>
        <v>#REF!</v>
      </c>
      <c r="P324" s="1619" t="e">
        <f t="shared" si="191"/>
        <v>#REF!</v>
      </c>
      <c r="Q324" s="1619" t="e">
        <f t="shared" si="191"/>
        <v>#REF!</v>
      </c>
      <c r="R324" s="4017" t="s">
        <v>52</v>
      </c>
      <c r="S324" s="1947">
        <v>5030</v>
      </c>
      <c r="T324" s="4308" t="s">
        <v>217</v>
      </c>
      <c r="U324" s="4612"/>
      <c r="V324" s="2436">
        <f>+'Compra -HOJA 1-1-PARA SECCION I'!I606</f>
        <v>0</v>
      </c>
      <c r="W324" s="2436">
        <f>+'Compra -HOJA 1-1-PARA SECCION I'!J606</f>
        <v>0</v>
      </c>
      <c r="X324" s="2436">
        <f>+'Compra -HOJA 1-1-PARA SECCION I'!K606</f>
        <v>0</v>
      </c>
      <c r="Y324" s="2436" t="e">
        <f>+'Compra -HOJA 1-1-PARA SECCION I'!L606</f>
        <v>#REF!</v>
      </c>
      <c r="Z324" s="2436" t="e">
        <f>+'Compra -HOJA 1-1-PARA SECCION I'!M606</f>
        <v>#REF!</v>
      </c>
      <c r="AA324" s="2436" t="e">
        <f>+'Compra -HOJA 1-1-PARA SECCION I'!N606</f>
        <v>#REF!</v>
      </c>
      <c r="AB324" s="2436" t="e">
        <f>+'Compra -HOJA 1-1-PARA SECCION I'!O606</f>
        <v>#REF!</v>
      </c>
      <c r="AC324" s="2436" t="e">
        <f>+'Compra -HOJA 1-1-PARA SECCION I'!P606</f>
        <v>#REF!</v>
      </c>
      <c r="AD324" s="2436" t="e">
        <f>+'Compra -HOJA 1-1-PARA SECCION I'!Q606</f>
        <v>#REF!</v>
      </c>
      <c r="AF324" s="1490" t="e">
        <f t="shared" si="192"/>
        <v>#REF!</v>
      </c>
      <c r="AG324" s="1490" t="e">
        <f t="shared" si="184"/>
        <v>#REF!</v>
      </c>
      <c r="AH324" s="1490" t="e">
        <f t="shared" si="184"/>
        <v>#REF!</v>
      </c>
    </row>
    <row r="325" spans="1:34" ht="62.1" hidden="1" customHeight="1" x14ac:dyDescent="0.45">
      <c r="A325" s="4018"/>
      <c r="B325" s="1954">
        <v>5040</v>
      </c>
      <c r="C325" s="3743" t="s">
        <v>218</v>
      </c>
      <c r="D325" s="3744"/>
      <c r="E325" s="1679">
        <f>+'Compra -HOJA 1-1-PARA SECCION I'!G607</f>
        <v>0</v>
      </c>
      <c r="F325" s="1679"/>
      <c r="G325" s="1679"/>
      <c r="H325" s="1679"/>
      <c r="I325" s="1680">
        <f t="shared" si="185"/>
        <v>0</v>
      </c>
      <c r="J325" s="1680">
        <f t="shared" si="186"/>
        <v>0</v>
      </c>
      <c r="K325" s="1680">
        <f t="shared" si="187"/>
        <v>0</v>
      </c>
      <c r="L325" s="1680" t="e">
        <f t="shared" si="188"/>
        <v>#REF!</v>
      </c>
      <c r="M325" s="1680" t="e">
        <f t="shared" si="189"/>
        <v>#REF!</v>
      </c>
      <c r="N325" s="1680" t="e">
        <f t="shared" si="190"/>
        <v>#REF!</v>
      </c>
      <c r="O325" s="1619" t="e">
        <f t="shared" si="191"/>
        <v>#REF!</v>
      </c>
      <c r="P325" s="1619" t="e">
        <f t="shared" si="191"/>
        <v>#REF!</v>
      </c>
      <c r="Q325" s="1619" t="e">
        <f t="shared" si="191"/>
        <v>#REF!</v>
      </c>
      <c r="R325" s="4018"/>
      <c r="S325" s="1954">
        <v>5040</v>
      </c>
      <c r="T325" s="3743" t="s">
        <v>218</v>
      </c>
      <c r="U325" s="3744"/>
      <c r="V325" s="2436">
        <f>+'Compra -HOJA 1-1-PARA SECCION I'!I607</f>
        <v>0</v>
      </c>
      <c r="W325" s="2436">
        <f>+'Compra -HOJA 1-1-PARA SECCION I'!J607</f>
        <v>0</v>
      </c>
      <c r="X325" s="2436">
        <f>+'Compra -HOJA 1-1-PARA SECCION I'!K607</f>
        <v>0</v>
      </c>
      <c r="Y325" s="2436" t="e">
        <f>+'Compra -HOJA 1-1-PARA SECCION I'!L607</f>
        <v>#REF!</v>
      </c>
      <c r="Z325" s="2436" t="e">
        <f>+'Compra -HOJA 1-1-PARA SECCION I'!M607</f>
        <v>#REF!</v>
      </c>
      <c r="AA325" s="2436" t="e">
        <f>+'Compra -HOJA 1-1-PARA SECCION I'!N607</f>
        <v>#REF!</v>
      </c>
      <c r="AB325" s="2436" t="e">
        <f>+'Compra -HOJA 1-1-PARA SECCION I'!O607</f>
        <v>#REF!</v>
      </c>
      <c r="AC325" s="2436" t="e">
        <f>+'Compra -HOJA 1-1-PARA SECCION I'!P607</f>
        <v>#REF!</v>
      </c>
      <c r="AD325" s="2436" t="e">
        <f>+'Compra -HOJA 1-1-PARA SECCION I'!Q607</f>
        <v>#REF!</v>
      </c>
      <c r="AF325" s="1490" t="e">
        <f t="shared" si="192"/>
        <v>#REF!</v>
      </c>
      <c r="AG325" s="1490" t="e">
        <f t="shared" si="184"/>
        <v>#REF!</v>
      </c>
      <c r="AH325" s="1490" t="e">
        <f t="shared" si="184"/>
        <v>#REF!</v>
      </c>
    </row>
    <row r="326" spans="1:34" ht="62.1" hidden="1" customHeight="1" x14ac:dyDescent="0.45">
      <c r="A326" s="4018"/>
      <c r="B326" s="1954">
        <v>5041</v>
      </c>
      <c r="C326" s="3743" t="s">
        <v>620</v>
      </c>
      <c r="D326" s="3744"/>
      <c r="E326" s="1679" t="e">
        <f>+'Compra -HOJA 1-1-PARA SECCION I'!G608</f>
        <v>#REF!</v>
      </c>
      <c r="F326" s="1679"/>
      <c r="G326" s="1679"/>
      <c r="H326" s="1679"/>
      <c r="I326" s="1680" t="e">
        <f t="shared" si="185"/>
        <v>#REF!</v>
      </c>
      <c r="J326" s="1680" t="e">
        <f t="shared" si="186"/>
        <v>#REF!</v>
      </c>
      <c r="K326" s="1680" t="e">
        <f t="shared" si="187"/>
        <v>#REF!</v>
      </c>
      <c r="L326" s="1680" t="e">
        <f t="shared" si="188"/>
        <v>#REF!</v>
      </c>
      <c r="M326" s="1680" t="e">
        <f t="shared" si="189"/>
        <v>#REF!</v>
      </c>
      <c r="N326" s="1680" t="e">
        <f t="shared" si="190"/>
        <v>#REF!</v>
      </c>
      <c r="O326" s="1619" t="e">
        <f t="shared" si="191"/>
        <v>#REF!</v>
      </c>
      <c r="P326" s="1619" t="e">
        <f t="shared" si="191"/>
        <v>#REF!</v>
      </c>
      <c r="Q326" s="1619" t="e">
        <f t="shared" si="191"/>
        <v>#REF!</v>
      </c>
      <c r="R326" s="4018"/>
      <c r="S326" s="1954">
        <v>5041</v>
      </c>
      <c r="T326" s="3743" t="s">
        <v>620</v>
      </c>
      <c r="U326" s="3744"/>
      <c r="V326" s="2436" t="e">
        <f>+'Compra -HOJA 1-1-PARA SECCION I'!I608</f>
        <v>#REF!</v>
      </c>
      <c r="W326" s="2436" t="e">
        <f>+'Compra -HOJA 1-1-PARA SECCION I'!J608</f>
        <v>#REF!</v>
      </c>
      <c r="X326" s="2436" t="e">
        <f>+'Compra -HOJA 1-1-PARA SECCION I'!K608</f>
        <v>#REF!</v>
      </c>
      <c r="Y326" s="2436" t="e">
        <f>+'Compra -HOJA 1-1-PARA SECCION I'!L608</f>
        <v>#REF!</v>
      </c>
      <c r="Z326" s="2436" t="e">
        <f>+'Compra -HOJA 1-1-PARA SECCION I'!M608</f>
        <v>#REF!</v>
      </c>
      <c r="AA326" s="2436" t="e">
        <f>+'Compra -HOJA 1-1-PARA SECCION I'!N608</f>
        <v>#REF!</v>
      </c>
      <c r="AB326" s="2436" t="e">
        <f>+'Compra -HOJA 1-1-PARA SECCION I'!O608</f>
        <v>#REF!</v>
      </c>
      <c r="AC326" s="2436" t="e">
        <f>+'Compra -HOJA 1-1-PARA SECCION I'!P608</f>
        <v>#REF!</v>
      </c>
      <c r="AD326" s="2436" t="e">
        <f>+'Compra -HOJA 1-1-PARA SECCION I'!Q608</f>
        <v>#REF!</v>
      </c>
      <c r="AF326" s="1490" t="e">
        <f t="shared" si="192"/>
        <v>#REF!</v>
      </c>
      <c r="AG326" s="1490" t="e">
        <f t="shared" si="184"/>
        <v>#REF!</v>
      </c>
      <c r="AH326" s="1490" t="e">
        <f t="shared" si="184"/>
        <v>#REF!</v>
      </c>
    </row>
    <row r="327" spans="1:34" ht="62.1" hidden="1" customHeight="1" x14ac:dyDescent="0.45">
      <c r="A327" s="4018"/>
      <c r="B327" s="1954">
        <v>5045</v>
      </c>
      <c r="C327" s="3743" t="s">
        <v>221</v>
      </c>
      <c r="D327" s="3744"/>
      <c r="E327" s="1679">
        <f>+'Compra -HOJA 1-1-PARA SECCION I'!G609</f>
        <v>0</v>
      </c>
      <c r="F327" s="1679"/>
      <c r="G327" s="1679"/>
      <c r="H327" s="1679"/>
      <c r="I327" s="1680">
        <f t="shared" si="185"/>
        <v>0</v>
      </c>
      <c r="J327" s="1680">
        <f t="shared" si="186"/>
        <v>0</v>
      </c>
      <c r="K327" s="1680">
        <f t="shared" si="187"/>
        <v>0</v>
      </c>
      <c r="L327" s="1680" t="e">
        <f t="shared" si="188"/>
        <v>#REF!</v>
      </c>
      <c r="M327" s="1680" t="e">
        <f t="shared" si="189"/>
        <v>#REF!</v>
      </c>
      <c r="N327" s="1680" t="e">
        <f t="shared" si="190"/>
        <v>#REF!</v>
      </c>
      <c r="O327" s="1619" t="e">
        <f t="shared" si="191"/>
        <v>#REF!</v>
      </c>
      <c r="P327" s="1619" t="e">
        <f t="shared" si="191"/>
        <v>#REF!</v>
      </c>
      <c r="Q327" s="1619" t="e">
        <f t="shared" si="191"/>
        <v>#REF!</v>
      </c>
      <c r="R327" s="4018"/>
      <c r="S327" s="1954">
        <v>5045</v>
      </c>
      <c r="T327" s="3743" t="s">
        <v>221</v>
      </c>
      <c r="U327" s="3744"/>
      <c r="V327" s="2436">
        <f>+'Compra -HOJA 1-1-PARA SECCION I'!I609</f>
        <v>0</v>
      </c>
      <c r="W327" s="2436">
        <f>+'Compra -HOJA 1-1-PARA SECCION I'!J609</f>
        <v>0</v>
      </c>
      <c r="X327" s="2436">
        <f>+'Compra -HOJA 1-1-PARA SECCION I'!K609</f>
        <v>0</v>
      </c>
      <c r="Y327" s="2436" t="e">
        <f>+'Compra -HOJA 1-1-PARA SECCION I'!L609</f>
        <v>#REF!</v>
      </c>
      <c r="Z327" s="2436" t="e">
        <f>+'Compra -HOJA 1-1-PARA SECCION I'!M609</f>
        <v>#REF!</v>
      </c>
      <c r="AA327" s="2436" t="e">
        <f>+'Compra -HOJA 1-1-PARA SECCION I'!N609</f>
        <v>#REF!</v>
      </c>
      <c r="AB327" s="2436" t="e">
        <f>+'Compra -HOJA 1-1-PARA SECCION I'!O609</f>
        <v>#REF!</v>
      </c>
      <c r="AC327" s="2436" t="e">
        <f>+'Compra -HOJA 1-1-PARA SECCION I'!P609</f>
        <v>#REF!</v>
      </c>
      <c r="AD327" s="2436" t="e">
        <f>+'Compra -HOJA 1-1-PARA SECCION I'!Q609</f>
        <v>#REF!</v>
      </c>
      <c r="AF327" s="1490" t="e">
        <f t="shared" si="192"/>
        <v>#REF!</v>
      </c>
      <c r="AG327" s="1490" t="e">
        <f t="shared" si="184"/>
        <v>#REF!</v>
      </c>
      <c r="AH327" s="1490" t="e">
        <f t="shared" si="184"/>
        <v>#REF!</v>
      </c>
    </row>
    <row r="328" spans="1:34" ht="62.1" hidden="1" customHeight="1" x14ac:dyDescent="0.45">
      <c r="A328" s="4018"/>
      <c r="B328" s="1955">
        <v>5050</v>
      </c>
      <c r="C328" s="4314" t="s">
        <v>219</v>
      </c>
      <c r="D328" s="4616"/>
      <c r="E328" s="1679">
        <f>+'Compra -HOJA 1-1-PARA SECCION I'!G610</f>
        <v>0</v>
      </c>
      <c r="F328" s="1679"/>
      <c r="G328" s="1679"/>
      <c r="H328" s="1679"/>
      <c r="I328" s="1680">
        <f t="shared" si="185"/>
        <v>0</v>
      </c>
      <c r="J328" s="1680">
        <f t="shared" si="186"/>
        <v>0</v>
      </c>
      <c r="K328" s="1680">
        <f t="shared" si="187"/>
        <v>0</v>
      </c>
      <c r="L328" s="1680" t="e">
        <f t="shared" si="188"/>
        <v>#REF!</v>
      </c>
      <c r="M328" s="1680" t="e">
        <f t="shared" si="189"/>
        <v>#REF!</v>
      </c>
      <c r="N328" s="1680" t="e">
        <f t="shared" si="190"/>
        <v>#REF!</v>
      </c>
      <c r="O328" s="1619" t="e">
        <f t="shared" si="191"/>
        <v>#REF!</v>
      </c>
      <c r="P328" s="1619" t="e">
        <f t="shared" si="191"/>
        <v>#REF!</v>
      </c>
      <c r="Q328" s="1619" t="e">
        <f t="shared" si="191"/>
        <v>#REF!</v>
      </c>
      <c r="R328" s="4018"/>
      <c r="S328" s="1955">
        <v>5050</v>
      </c>
      <c r="T328" s="4314" t="s">
        <v>219</v>
      </c>
      <c r="U328" s="4616"/>
      <c r="V328" s="2436">
        <f>+'Compra -HOJA 1-1-PARA SECCION I'!I610</f>
        <v>0</v>
      </c>
      <c r="W328" s="2436">
        <f>+'Compra -HOJA 1-1-PARA SECCION I'!J610</f>
        <v>0</v>
      </c>
      <c r="X328" s="2436">
        <f>+'Compra -HOJA 1-1-PARA SECCION I'!K610</f>
        <v>0</v>
      </c>
      <c r="Y328" s="2436" t="e">
        <f>+'Compra -HOJA 1-1-PARA SECCION I'!L610</f>
        <v>#REF!</v>
      </c>
      <c r="Z328" s="2436" t="e">
        <f>+'Compra -HOJA 1-1-PARA SECCION I'!M610</f>
        <v>#REF!</v>
      </c>
      <c r="AA328" s="2436" t="e">
        <f>+'Compra -HOJA 1-1-PARA SECCION I'!N610</f>
        <v>#REF!</v>
      </c>
      <c r="AB328" s="2436" t="e">
        <f>+'Compra -HOJA 1-1-PARA SECCION I'!O610</f>
        <v>#REF!</v>
      </c>
      <c r="AC328" s="2436" t="e">
        <f>+'Compra -HOJA 1-1-PARA SECCION I'!P610</f>
        <v>#REF!</v>
      </c>
      <c r="AD328" s="2436" t="e">
        <f>+'Compra -HOJA 1-1-PARA SECCION I'!Q610</f>
        <v>#REF!</v>
      </c>
      <c r="AF328" s="1490" t="e">
        <f t="shared" si="192"/>
        <v>#REF!</v>
      </c>
      <c r="AG328" s="1490" t="e">
        <f t="shared" si="184"/>
        <v>#REF!</v>
      </c>
      <c r="AH328" s="1490" t="e">
        <f t="shared" si="184"/>
        <v>#REF!</v>
      </c>
    </row>
    <row r="329" spans="1:34" ht="62.1" hidden="1" customHeight="1" x14ac:dyDescent="0.45">
      <c r="A329" s="4018"/>
      <c r="B329" s="1955">
        <v>5051</v>
      </c>
      <c r="C329" s="4314" t="s">
        <v>621</v>
      </c>
      <c r="D329" s="4616"/>
      <c r="E329" s="1679" t="e">
        <f>+'Compra -HOJA 1-1-PARA SECCION I'!G611</f>
        <v>#REF!</v>
      </c>
      <c r="F329" s="1679"/>
      <c r="G329" s="1679"/>
      <c r="H329" s="1679"/>
      <c r="I329" s="1680" t="e">
        <f t="shared" si="185"/>
        <v>#REF!</v>
      </c>
      <c r="J329" s="1680" t="e">
        <f t="shared" si="186"/>
        <v>#REF!</v>
      </c>
      <c r="K329" s="1680" t="e">
        <f t="shared" si="187"/>
        <v>#REF!</v>
      </c>
      <c r="L329" s="1680" t="e">
        <f t="shared" si="188"/>
        <v>#REF!</v>
      </c>
      <c r="M329" s="1680" t="e">
        <f t="shared" si="189"/>
        <v>#REF!</v>
      </c>
      <c r="N329" s="1680" t="e">
        <f t="shared" si="190"/>
        <v>#REF!</v>
      </c>
      <c r="O329" s="1619" t="e">
        <f t="shared" si="191"/>
        <v>#REF!</v>
      </c>
      <c r="P329" s="1619" t="e">
        <f t="shared" si="191"/>
        <v>#REF!</v>
      </c>
      <c r="Q329" s="1619" t="e">
        <f t="shared" si="191"/>
        <v>#REF!</v>
      </c>
      <c r="R329" s="4018"/>
      <c r="S329" s="1955">
        <v>5051</v>
      </c>
      <c r="T329" s="4314" t="s">
        <v>621</v>
      </c>
      <c r="U329" s="4616"/>
      <c r="V329" s="2436" t="e">
        <f>+'Compra -HOJA 1-1-PARA SECCION I'!I611</f>
        <v>#REF!</v>
      </c>
      <c r="W329" s="2436" t="e">
        <f>+'Compra -HOJA 1-1-PARA SECCION I'!J611</f>
        <v>#REF!</v>
      </c>
      <c r="X329" s="2436" t="e">
        <f>+'Compra -HOJA 1-1-PARA SECCION I'!K611</f>
        <v>#REF!</v>
      </c>
      <c r="Y329" s="2436" t="e">
        <f>+'Compra -HOJA 1-1-PARA SECCION I'!L611</f>
        <v>#REF!</v>
      </c>
      <c r="Z329" s="2436" t="e">
        <f>+'Compra -HOJA 1-1-PARA SECCION I'!M611</f>
        <v>#REF!</v>
      </c>
      <c r="AA329" s="2436" t="e">
        <f>+'Compra -HOJA 1-1-PARA SECCION I'!N611</f>
        <v>#REF!</v>
      </c>
      <c r="AB329" s="2436" t="e">
        <f>+'Compra -HOJA 1-1-PARA SECCION I'!O611</f>
        <v>#REF!</v>
      </c>
      <c r="AC329" s="2436" t="e">
        <f>+'Compra -HOJA 1-1-PARA SECCION I'!P611</f>
        <v>#REF!</v>
      </c>
      <c r="AD329" s="2436" t="e">
        <f>+'Compra -HOJA 1-1-PARA SECCION I'!Q611</f>
        <v>#REF!</v>
      </c>
      <c r="AF329" s="1490" t="e">
        <f t="shared" si="192"/>
        <v>#REF!</v>
      </c>
      <c r="AG329" s="1490" t="e">
        <f t="shared" si="184"/>
        <v>#REF!</v>
      </c>
      <c r="AH329" s="1490" t="e">
        <f t="shared" si="184"/>
        <v>#REF!</v>
      </c>
    </row>
    <row r="330" spans="1:34" ht="62.1" hidden="1" customHeight="1" x14ac:dyDescent="0.45">
      <c r="A330" s="4018"/>
      <c r="B330" s="1955">
        <v>5055</v>
      </c>
      <c r="C330" s="4314" t="s">
        <v>222</v>
      </c>
      <c r="D330" s="4616"/>
      <c r="E330" s="1679">
        <f>+'Compra -HOJA 1-1-PARA SECCION I'!G612</f>
        <v>0</v>
      </c>
      <c r="F330" s="1679"/>
      <c r="G330" s="1679"/>
      <c r="H330" s="1679"/>
      <c r="I330" s="1680">
        <f t="shared" si="185"/>
        <v>0</v>
      </c>
      <c r="J330" s="1680">
        <f t="shared" si="186"/>
        <v>0</v>
      </c>
      <c r="K330" s="1680">
        <f t="shared" si="187"/>
        <v>0</v>
      </c>
      <c r="L330" s="1680" t="e">
        <f t="shared" si="188"/>
        <v>#REF!</v>
      </c>
      <c r="M330" s="1680" t="e">
        <f t="shared" si="189"/>
        <v>#REF!</v>
      </c>
      <c r="N330" s="1680" t="e">
        <f t="shared" si="190"/>
        <v>#REF!</v>
      </c>
      <c r="O330" s="1619" t="e">
        <f t="shared" si="191"/>
        <v>#REF!</v>
      </c>
      <c r="P330" s="1619" t="e">
        <f t="shared" si="191"/>
        <v>#REF!</v>
      </c>
      <c r="Q330" s="1619" t="e">
        <f t="shared" si="191"/>
        <v>#REF!</v>
      </c>
      <c r="R330" s="4018"/>
      <c r="S330" s="1955">
        <v>5055</v>
      </c>
      <c r="T330" s="4314" t="s">
        <v>222</v>
      </c>
      <c r="U330" s="4616"/>
      <c r="V330" s="2436">
        <f>+'Compra -HOJA 1-1-PARA SECCION I'!I612</f>
        <v>0</v>
      </c>
      <c r="W330" s="2436">
        <f>+'Compra -HOJA 1-1-PARA SECCION I'!J612</f>
        <v>0</v>
      </c>
      <c r="X330" s="2436">
        <f>+'Compra -HOJA 1-1-PARA SECCION I'!K612</f>
        <v>0</v>
      </c>
      <c r="Y330" s="2436" t="e">
        <f>+'Compra -HOJA 1-1-PARA SECCION I'!L612</f>
        <v>#REF!</v>
      </c>
      <c r="Z330" s="2436" t="e">
        <f>+'Compra -HOJA 1-1-PARA SECCION I'!M612</f>
        <v>#REF!</v>
      </c>
      <c r="AA330" s="2436" t="e">
        <f>+'Compra -HOJA 1-1-PARA SECCION I'!N612</f>
        <v>#REF!</v>
      </c>
      <c r="AB330" s="2436" t="e">
        <f>+'Compra -HOJA 1-1-PARA SECCION I'!O612</f>
        <v>#REF!</v>
      </c>
      <c r="AC330" s="2436" t="e">
        <f>+'Compra -HOJA 1-1-PARA SECCION I'!P612</f>
        <v>#REF!</v>
      </c>
      <c r="AD330" s="2436" t="e">
        <f>+'Compra -HOJA 1-1-PARA SECCION I'!Q612</f>
        <v>#REF!</v>
      </c>
      <c r="AF330" s="1490" t="e">
        <f t="shared" si="192"/>
        <v>#REF!</v>
      </c>
      <c r="AG330" s="1490" t="e">
        <f t="shared" si="184"/>
        <v>#REF!</v>
      </c>
      <c r="AH330" s="1490" t="e">
        <f t="shared" si="184"/>
        <v>#REF!</v>
      </c>
    </row>
    <row r="331" spans="1:34" ht="62.1" hidden="1" customHeight="1" thickBot="1" x14ac:dyDescent="0.5">
      <c r="A331" s="4615"/>
      <c r="B331" s="2414" t="s">
        <v>50</v>
      </c>
      <c r="C331" s="4631" t="s">
        <v>580</v>
      </c>
      <c r="D331" s="4632"/>
      <c r="E331" s="1679" t="e">
        <f>+'Compra -HOJA 1-1-PARA SECCION I'!G613</f>
        <v>#REF!</v>
      </c>
      <c r="F331" s="1679"/>
      <c r="G331" s="1679"/>
      <c r="H331" s="1679"/>
      <c r="I331" s="1680" t="e">
        <f t="shared" si="185"/>
        <v>#REF!</v>
      </c>
      <c r="J331" s="1680" t="e">
        <f t="shared" si="186"/>
        <v>#REF!</v>
      </c>
      <c r="K331" s="1680" t="e">
        <f t="shared" si="187"/>
        <v>#REF!</v>
      </c>
      <c r="L331" s="1680" t="e">
        <f t="shared" si="188"/>
        <v>#REF!</v>
      </c>
      <c r="M331" s="1680" t="e">
        <f t="shared" si="189"/>
        <v>#REF!</v>
      </c>
      <c r="N331" s="1680" t="e">
        <f t="shared" si="190"/>
        <v>#REF!</v>
      </c>
      <c r="O331" s="1619" t="e">
        <f t="shared" si="191"/>
        <v>#REF!</v>
      </c>
      <c r="P331" s="1619" t="e">
        <f t="shared" si="191"/>
        <v>#REF!</v>
      </c>
      <c r="Q331" s="1619" t="e">
        <f t="shared" si="191"/>
        <v>#REF!</v>
      </c>
      <c r="R331" s="4615"/>
      <c r="S331" s="2414" t="s">
        <v>50</v>
      </c>
      <c r="T331" s="4631" t="s">
        <v>580</v>
      </c>
      <c r="U331" s="4632"/>
      <c r="V331" s="2436" t="e">
        <f>+'Compra -HOJA 1-1-PARA SECCION I'!I613</f>
        <v>#REF!</v>
      </c>
      <c r="W331" s="2436" t="e">
        <f>+'Compra -HOJA 1-1-PARA SECCION I'!J613</f>
        <v>#REF!</v>
      </c>
      <c r="X331" s="2436" t="e">
        <f>+'Compra -HOJA 1-1-PARA SECCION I'!K613</f>
        <v>#REF!</v>
      </c>
      <c r="Y331" s="2436" t="e">
        <f>+'Compra -HOJA 1-1-PARA SECCION I'!L613</f>
        <v>#REF!</v>
      </c>
      <c r="Z331" s="2436" t="e">
        <f>+'Compra -HOJA 1-1-PARA SECCION I'!M613</f>
        <v>#REF!</v>
      </c>
      <c r="AA331" s="2436" t="e">
        <f>+'Compra -HOJA 1-1-PARA SECCION I'!N613</f>
        <v>#REF!</v>
      </c>
      <c r="AB331" s="2436" t="e">
        <f>+'Compra -HOJA 1-1-PARA SECCION I'!O613</f>
        <v>#REF!</v>
      </c>
      <c r="AC331" s="2436" t="e">
        <f>+'Compra -HOJA 1-1-PARA SECCION I'!P613</f>
        <v>#REF!</v>
      </c>
      <c r="AD331" s="2436" t="e">
        <f>+'Compra -HOJA 1-1-PARA SECCION I'!Q613</f>
        <v>#REF!</v>
      </c>
      <c r="AF331" s="1490" t="e">
        <f t="shared" si="192"/>
        <v>#REF!</v>
      </c>
      <c r="AG331" s="1490" t="e">
        <f t="shared" si="184"/>
        <v>#REF!</v>
      </c>
      <c r="AH331" s="1490" t="e">
        <f t="shared" si="184"/>
        <v>#REF!</v>
      </c>
    </row>
    <row r="332" spans="1:34" ht="62.1" hidden="1" customHeight="1" x14ac:dyDescent="0.45">
      <c r="A332" s="3963" t="s">
        <v>57</v>
      </c>
      <c r="B332" s="1947">
        <v>5030</v>
      </c>
      <c r="C332" s="4308" t="s">
        <v>217</v>
      </c>
      <c r="D332" s="4612"/>
      <c r="E332" s="1679">
        <f>+'Compra -HOJA 1-1-PARA SECCION I'!G614</f>
        <v>0</v>
      </c>
      <c r="F332" s="1679"/>
      <c r="G332" s="1679"/>
      <c r="H332" s="1679"/>
      <c r="I332" s="1680">
        <f t="shared" si="185"/>
        <v>0</v>
      </c>
      <c r="J332" s="1680">
        <f t="shared" si="186"/>
        <v>0</v>
      </c>
      <c r="K332" s="1680">
        <f t="shared" si="187"/>
        <v>0</v>
      </c>
      <c r="L332" s="1680" t="e">
        <f t="shared" si="188"/>
        <v>#REF!</v>
      </c>
      <c r="M332" s="1680" t="e">
        <f t="shared" si="189"/>
        <v>#REF!</v>
      </c>
      <c r="N332" s="1680" t="e">
        <f t="shared" si="190"/>
        <v>#REF!</v>
      </c>
      <c r="O332" s="1619" t="e">
        <f t="shared" si="191"/>
        <v>#REF!</v>
      </c>
      <c r="P332" s="1619" t="e">
        <f t="shared" si="191"/>
        <v>#REF!</v>
      </c>
      <c r="Q332" s="1619" t="e">
        <f t="shared" si="191"/>
        <v>#REF!</v>
      </c>
      <c r="R332" s="3963" t="s">
        <v>57</v>
      </c>
      <c r="S332" s="1947">
        <v>5030</v>
      </c>
      <c r="T332" s="4308" t="s">
        <v>217</v>
      </c>
      <c r="U332" s="4612"/>
      <c r="V332" s="2436">
        <f>+'Compra -HOJA 1-1-PARA SECCION I'!I614</f>
        <v>0</v>
      </c>
      <c r="W332" s="2436">
        <f>+'Compra -HOJA 1-1-PARA SECCION I'!J614</f>
        <v>0</v>
      </c>
      <c r="X332" s="2436">
        <f>+'Compra -HOJA 1-1-PARA SECCION I'!K614</f>
        <v>0</v>
      </c>
      <c r="Y332" s="2436" t="e">
        <f>+'Compra -HOJA 1-1-PARA SECCION I'!L614</f>
        <v>#REF!</v>
      </c>
      <c r="Z332" s="2436" t="e">
        <f>+'Compra -HOJA 1-1-PARA SECCION I'!M614</f>
        <v>#REF!</v>
      </c>
      <c r="AA332" s="2436" t="e">
        <f>+'Compra -HOJA 1-1-PARA SECCION I'!N614</f>
        <v>#REF!</v>
      </c>
      <c r="AB332" s="2436" t="e">
        <f>+'Compra -HOJA 1-1-PARA SECCION I'!O614</f>
        <v>#REF!</v>
      </c>
      <c r="AC332" s="2436" t="e">
        <f>+'Compra -HOJA 1-1-PARA SECCION I'!P614</f>
        <v>#REF!</v>
      </c>
      <c r="AD332" s="2436" t="e">
        <f>+'Compra -HOJA 1-1-PARA SECCION I'!Q614</f>
        <v>#REF!</v>
      </c>
      <c r="AF332" s="1490"/>
      <c r="AG332" s="1490"/>
      <c r="AH332" s="1490"/>
    </row>
    <row r="333" spans="1:34" ht="62.1" hidden="1" customHeight="1" x14ac:dyDescent="0.45">
      <c r="A333" s="3964"/>
      <c r="B333" s="1954">
        <v>5040</v>
      </c>
      <c r="C333" s="3743" t="s">
        <v>218</v>
      </c>
      <c r="D333" s="3744"/>
      <c r="E333" s="1679">
        <f>+'Compra -HOJA 1-1-PARA SECCION I'!G615</f>
        <v>0</v>
      </c>
      <c r="F333" s="1679"/>
      <c r="G333" s="1679"/>
      <c r="H333" s="1679"/>
      <c r="I333" s="1680">
        <f t="shared" si="185"/>
        <v>0</v>
      </c>
      <c r="J333" s="1680">
        <f t="shared" si="186"/>
        <v>0</v>
      </c>
      <c r="K333" s="1680">
        <f t="shared" si="187"/>
        <v>0</v>
      </c>
      <c r="L333" s="1680" t="e">
        <f t="shared" si="188"/>
        <v>#REF!</v>
      </c>
      <c r="M333" s="1680" t="e">
        <f t="shared" si="189"/>
        <v>#REF!</v>
      </c>
      <c r="N333" s="1680" t="e">
        <f t="shared" si="190"/>
        <v>#REF!</v>
      </c>
      <c r="O333" s="1619" t="e">
        <f t="shared" si="191"/>
        <v>#REF!</v>
      </c>
      <c r="P333" s="1619" t="e">
        <f t="shared" si="191"/>
        <v>#REF!</v>
      </c>
      <c r="Q333" s="1619" t="e">
        <f t="shared" si="191"/>
        <v>#REF!</v>
      </c>
      <c r="R333" s="3964"/>
      <c r="S333" s="1954">
        <v>5040</v>
      </c>
      <c r="T333" s="3743" t="s">
        <v>218</v>
      </c>
      <c r="U333" s="3744"/>
      <c r="V333" s="2436">
        <f>+'Compra -HOJA 1-1-PARA SECCION I'!I615</f>
        <v>0</v>
      </c>
      <c r="W333" s="2436">
        <f>+'Compra -HOJA 1-1-PARA SECCION I'!J615</f>
        <v>0</v>
      </c>
      <c r="X333" s="2436">
        <f>+'Compra -HOJA 1-1-PARA SECCION I'!K615</f>
        <v>0</v>
      </c>
      <c r="Y333" s="2436" t="e">
        <f>+'Compra -HOJA 1-1-PARA SECCION I'!L615</f>
        <v>#REF!</v>
      </c>
      <c r="Z333" s="2436" t="e">
        <f>+'Compra -HOJA 1-1-PARA SECCION I'!M615</f>
        <v>#REF!</v>
      </c>
      <c r="AA333" s="2436" t="e">
        <f>+'Compra -HOJA 1-1-PARA SECCION I'!N615</f>
        <v>#REF!</v>
      </c>
      <c r="AB333" s="2436" t="e">
        <f>+'Compra -HOJA 1-1-PARA SECCION I'!O615</f>
        <v>#REF!</v>
      </c>
      <c r="AC333" s="2436" t="e">
        <f>+'Compra -HOJA 1-1-PARA SECCION I'!P615</f>
        <v>#REF!</v>
      </c>
      <c r="AD333" s="2436" t="e">
        <f>+'Compra -HOJA 1-1-PARA SECCION I'!Q615</f>
        <v>#REF!</v>
      </c>
      <c r="AF333" s="1490" t="e">
        <f t="shared" si="192"/>
        <v>#REF!</v>
      </c>
      <c r="AG333" s="1490" t="e">
        <f t="shared" si="184"/>
        <v>#REF!</v>
      </c>
      <c r="AH333" s="1490" t="e">
        <f t="shared" si="184"/>
        <v>#REF!</v>
      </c>
    </row>
    <row r="334" spans="1:34" ht="62.1" hidden="1" customHeight="1" x14ac:dyDescent="0.45">
      <c r="A334" s="3964"/>
      <c r="B334" s="1954">
        <v>5041</v>
      </c>
      <c r="C334" s="3743" t="s">
        <v>620</v>
      </c>
      <c r="D334" s="3744"/>
      <c r="E334" s="1679" t="e">
        <f>+'Compra -HOJA 1-1-PARA SECCION I'!G616</f>
        <v>#REF!</v>
      </c>
      <c r="F334" s="1679"/>
      <c r="G334" s="1679"/>
      <c r="H334" s="1679"/>
      <c r="I334" s="1680" t="e">
        <f t="shared" si="185"/>
        <v>#REF!</v>
      </c>
      <c r="J334" s="1680" t="e">
        <f t="shared" si="186"/>
        <v>#REF!</v>
      </c>
      <c r="K334" s="1680" t="e">
        <f t="shared" si="187"/>
        <v>#REF!</v>
      </c>
      <c r="L334" s="1680" t="e">
        <f t="shared" si="188"/>
        <v>#REF!</v>
      </c>
      <c r="M334" s="1680" t="e">
        <f t="shared" si="189"/>
        <v>#REF!</v>
      </c>
      <c r="N334" s="1680" t="e">
        <f t="shared" si="190"/>
        <v>#REF!</v>
      </c>
      <c r="O334" s="1619" t="e">
        <f t="shared" si="191"/>
        <v>#REF!</v>
      </c>
      <c r="P334" s="1619" t="e">
        <f t="shared" si="191"/>
        <v>#REF!</v>
      </c>
      <c r="Q334" s="1619" t="e">
        <f t="shared" si="191"/>
        <v>#REF!</v>
      </c>
      <c r="R334" s="3964"/>
      <c r="S334" s="1954">
        <v>5041</v>
      </c>
      <c r="T334" s="3743" t="s">
        <v>620</v>
      </c>
      <c r="U334" s="3744"/>
      <c r="V334" s="2436" t="e">
        <f>+'Compra -HOJA 1-1-PARA SECCION I'!I616</f>
        <v>#REF!</v>
      </c>
      <c r="W334" s="2436" t="e">
        <f>+'Compra -HOJA 1-1-PARA SECCION I'!J616</f>
        <v>#REF!</v>
      </c>
      <c r="X334" s="2436" t="e">
        <f>+'Compra -HOJA 1-1-PARA SECCION I'!K616</f>
        <v>#REF!</v>
      </c>
      <c r="Y334" s="2436" t="e">
        <f>+'Compra -HOJA 1-1-PARA SECCION I'!L616</f>
        <v>#REF!</v>
      </c>
      <c r="Z334" s="2436" t="e">
        <f>+'Compra -HOJA 1-1-PARA SECCION I'!M616</f>
        <v>#REF!</v>
      </c>
      <c r="AA334" s="2436" t="e">
        <f>+'Compra -HOJA 1-1-PARA SECCION I'!N616</f>
        <v>#REF!</v>
      </c>
      <c r="AB334" s="2436" t="e">
        <f>+'Compra -HOJA 1-1-PARA SECCION I'!O616</f>
        <v>#REF!</v>
      </c>
      <c r="AC334" s="2436" t="e">
        <f>+'Compra -HOJA 1-1-PARA SECCION I'!P616</f>
        <v>#REF!</v>
      </c>
      <c r="AD334" s="2436" t="e">
        <f>+'Compra -HOJA 1-1-PARA SECCION I'!Q616</f>
        <v>#REF!</v>
      </c>
      <c r="AF334" s="1490" t="e">
        <f t="shared" si="192"/>
        <v>#REF!</v>
      </c>
      <c r="AG334" s="1490" t="e">
        <f t="shared" si="184"/>
        <v>#REF!</v>
      </c>
      <c r="AH334" s="1490" t="e">
        <f t="shared" si="184"/>
        <v>#REF!</v>
      </c>
    </row>
    <row r="335" spans="1:34" ht="62.1" hidden="1" customHeight="1" x14ac:dyDescent="0.45">
      <c r="A335" s="3964"/>
      <c r="B335" s="1954">
        <v>5045</v>
      </c>
      <c r="C335" s="3743" t="s">
        <v>221</v>
      </c>
      <c r="D335" s="3744"/>
      <c r="E335" s="1679">
        <f>+'Compra -HOJA 1-1-PARA SECCION I'!G617</f>
        <v>0</v>
      </c>
      <c r="F335" s="1679"/>
      <c r="G335" s="1679"/>
      <c r="H335" s="1679"/>
      <c r="I335" s="1680">
        <f t="shared" si="185"/>
        <v>0</v>
      </c>
      <c r="J335" s="1680">
        <f t="shared" si="186"/>
        <v>0</v>
      </c>
      <c r="K335" s="1680">
        <f t="shared" si="187"/>
        <v>0</v>
      </c>
      <c r="L335" s="1680" t="e">
        <f t="shared" si="188"/>
        <v>#REF!</v>
      </c>
      <c r="M335" s="1680" t="e">
        <f t="shared" si="189"/>
        <v>#REF!</v>
      </c>
      <c r="N335" s="1680" t="e">
        <f t="shared" si="190"/>
        <v>#REF!</v>
      </c>
      <c r="O335" s="1619" t="e">
        <f t="shared" si="191"/>
        <v>#REF!</v>
      </c>
      <c r="P335" s="1619" t="e">
        <f t="shared" si="191"/>
        <v>#REF!</v>
      </c>
      <c r="Q335" s="1619" t="e">
        <f t="shared" si="191"/>
        <v>#REF!</v>
      </c>
      <c r="R335" s="3964"/>
      <c r="S335" s="1954">
        <v>5045</v>
      </c>
      <c r="T335" s="3743" t="s">
        <v>221</v>
      </c>
      <c r="U335" s="3744"/>
      <c r="V335" s="2436">
        <f>+'Compra -HOJA 1-1-PARA SECCION I'!I617</f>
        <v>0</v>
      </c>
      <c r="W335" s="2436">
        <f>+'Compra -HOJA 1-1-PARA SECCION I'!J617</f>
        <v>0</v>
      </c>
      <c r="X335" s="2436">
        <f>+'Compra -HOJA 1-1-PARA SECCION I'!K617</f>
        <v>0</v>
      </c>
      <c r="Y335" s="2436" t="e">
        <f>+'Compra -HOJA 1-1-PARA SECCION I'!L617</f>
        <v>#REF!</v>
      </c>
      <c r="Z335" s="2436" t="e">
        <f>+'Compra -HOJA 1-1-PARA SECCION I'!M617</f>
        <v>#REF!</v>
      </c>
      <c r="AA335" s="2436" t="e">
        <f>+'Compra -HOJA 1-1-PARA SECCION I'!N617</f>
        <v>#REF!</v>
      </c>
      <c r="AB335" s="2436" t="e">
        <f>+'Compra -HOJA 1-1-PARA SECCION I'!O617</f>
        <v>#REF!</v>
      </c>
      <c r="AC335" s="2436" t="e">
        <f>+'Compra -HOJA 1-1-PARA SECCION I'!P617</f>
        <v>#REF!</v>
      </c>
      <c r="AD335" s="2436" t="e">
        <f>+'Compra -HOJA 1-1-PARA SECCION I'!Q617</f>
        <v>#REF!</v>
      </c>
      <c r="AF335" s="1490" t="e">
        <f t="shared" si="192"/>
        <v>#REF!</v>
      </c>
      <c r="AG335" s="1490" t="e">
        <f t="shared" si="184"/>
        <v>#REF!</v>
      </c>
      <c r="AH335" s="1490" t="e">
        <f t="shared" si="184"/>
        <v>#REF!</v>
      </c>
    </row>
    <row r="336" spans="1:34" ht="62.1" hidden="1" customHeight="1" x14ac:dyDescent="0.45">
      <c r="A336" s="3964"/>
      <c r="B336" s="1955">
        <v>5050</v>
      </c>
      <c r="C336" s="4314" t="s">
        <v>219</v>
      </c>
      <c r="D336" s="4616"/>
      <c r="E336" s="1679">
        <f>+'Compra -HOJA 1-1-PARA SECCION I'!G618</f>
        <v>0</v>
      </c>
      <c r="F336" s="1679"/>
      <c r="G336" s="1679"/>
      <c r="H336" s="1679"/>
      <c r="I336" s="1680">
        <f t="shared" si="185"/>
        <v>0</v>
      </c>
      <c r="J336" s="1680">
        <f t="shared" si="186"/>
        <v>0</v>
      </c>
      <c r="K336" s="1680">
        <f t="shared" si="187"/>
        <v>0</v>
      </c>
      <c r="L336" s="1680" t="e">
        <f t="shared" si="188"/>
        <v>#REF!</v>
      </c>
      <c r="M336" s="1680" t="e">
        <f t="shared" si="189"/>
        <v>#REF!</v>
      </c>
      <c r="N336" s="1680" t="e">
        <f t="shared" si="190"/>
        <v>#REF!</v>
      </c>
      <c r="O336" s="1619" t="e">
        <f t="shared" si="191"/>
        <v>#REF!</v>
      </c>
      <c r="P336" s="1619" t="e">
        <f t="shared" si="191"/>
        <v>#REF!</v>
      </c>
      <c r="Q336" s="1619" t="e">
        <f t="shared" si="191"/>
        <v>#REF!</v>
      </c>
      <c r="R336" s="3964"/>
      <c r="S336" s="1955">
        <v>5050</v>
      </c>
      <c r="T336" s="4314" t="s">
        <v>219</v>
      </c>
      <c r="U336" s="4616"/>
      <c r="V336" s="2436">
        <f>+'Compra -HOJA 1-1-PARA SECCION I'!I618</f>
        <v>0</v>
      </c>
      <c r="W336" s="2436">
        <f>+'Compra -HOJA 1-1-PARA SECCION I'!J618</f>
        <v>0</v>
      </c>
      <c r="X336" s="2436">
        <f>+'Compra -HOJA 1-1-PARA SECCION I'!K618</f>
        <v>0</v>
      </c>
      <c r="Y336" s="2436" t="e">
        <f>+'Compra -HOJA 1-1-PARA SECCION I'!L618</f>
        <v>#REF!</v>
      </c>
      <c r="Z336" s="2436" t="e">
        <f>+'Compra -HOJA 1-1-PARA SECCION I'!M618</f>
        <v>#REF!</v>
      </c>
      <c r="AA336" s="2436" t="e">
        <f>+'Compra -HOJA 1-1-PARA SECCION I'!N618</f>
        <v>#REF!</v>
      </c>
      <c r="AB336" s="2436" t="e">
        <f>+'Compra -HOJA 1-1-PARA SECCION I'!O618</f>
        <v>#REF!</v>
      </c>
      <c r="AC336" s="2436" t="e">
        <f>+'Compra -HOJA 1-1-PARA SECCION I'!P618</f>
        <v>#REF!</v>
      </c>
      <c r="AD336" s="2436" t="e">
        <f>+'Compra -HOJA 1-1-PARA SECCION I'!Q618</f>
        <v>#REF!</v>
      </c>
      <c r="AF336" s="1490" t="e">
        <f t="shared" si="192"/>
        <v>#REF!</v>
      </c>
      <c r="AG336" s="1490" t="e">
        <f t="shared" si="192"/>
        <v>#REF!</v>
      </c>
      <c r="AH336" s="1490" t="e">
        <f t="shared" si="192"/>
        <v>#REF!</v>
      </c>
    </row>
    <row r="337" spans="1:34" ht="62.1" hidden="1" customHeight="1" x14ac:dyDescent="0.45">
      <c r="A337" s="3964"/>
      <c r="B337" s="1955">
        <v>5051</v>
      </c>
      <c r="C337" s="4314" t="s">
        <v>621</v>
      </c>
      <c r="D337" s="4616"/>
      <c r="E337" s="1679" t="e">
        <f>+'Compra -HOJA 1-1-PARA SECCION I'!G619</f>
        <v>#REF!</v>
      </c>
      <c r="F337" s="1679"/>
      <c r="G337" s="1679"/>
      <c r="H337" s="1679"/>
      <c r="I337" s="1680" t="e">
        <f t="shared" si="185"/>
        <v>#REF!</v>
      </c>
      <c r="J337" s="1680" t="e">
        <f t="shared" si="186"/>
        <v>#REF!</v>
      </c>
      <c r="K337" s="1680" t="e">
        <f t="shared" si="187"/>
        <v>#REF!</v>
      </c>
      <c r="L337" s="1680" t="e">
        <f t="shared" si="188"/>
        <v>#REF!</v>
      </c>
      <c r="M337" s="1680" t="e">
        <f t="shared" si="189"/>
        <v>#REF!</v>
      </c>
      <c r="N337" s="1680" t="e">
        <f t="shared" si="190"/>
        <v>#REF!</v>
      </c>
      <c r="O337" s="1619" t="e">
        <f t="shared" si="191"/>
        <v>#REF!</v>
      </c>
      <c r="P337" s="1619" t="e">
        <f t="shared" si="191"/>
        <v>#REF!</v>
      </c>
      <c r="Q337" s="1619" t="e">
        <f t="shared" si="191"/>
        <v>#REF!</v>
      </c>
      <c r="R337" s="3964"/>
      <c r="S337" s="1955">
        <v>5051</v>
      </c>
      <c r="T337" s="4314" t="s">
        <v>621</v>
      </c>
      <c r="U337" s="4616"/>
      <c r="V337" s="2436" t="e">
        <f>+'Compra -HOJA 1-1-PARA SECCION I'!I619</f>
        <v>#REF!</v>
      </c>
      <c r="W337" s="2436" t="e">
        <f>+'Compra -HOJA 1-1-PARA SECCION I'!J619</f>
        <v>#REF!</v>
      </c>
      <c r="X337" s="2436" t="e">
        <f>+'Compra -HOJA 1-1-PARA SECCION I'!K619</f>
        <v>#REF!</v>
      </c>
      <c r="Y337" s="2436" t="e">
        <f>+'Compra -HOJA 1-1-PARA SECCION I'!L619</f>
        <v>#REF!</v>
      </c>
      <c r="Z337" s="2436" t="e">
        <f>+'Compra -HOJA 1-1-PARA SECCION I'!M619</f>
        <v>#REF!</v>
      </c>
      <c r="AA337" s="2436" t="e">
        <f>+'Compra -HOJA 1-1-PARA SECCION I'!N619</f>
        <v>#REF!</v>
      </c>
      <c r="AB337" s="2436" t="e">
        <f>+'Compra -HOJA 1-1-PARA SECCION I'!O619</f>
        <v>#REF!</v>
      </c>
      <c r="AC337" s="2436" t="e">
        <f>+'Compra -HOJA 1-1-PARA SECCION I'!P619</f>
        <v>#REF!</v>
      </c>
      <c r="AD337" s="2436" t="e">
        <f>+'Compra -HOJA 1-1-PARA SECCION I'!Q619</f>
        <v>#REF!</v>
      </c>
      <c r="AF337" s="1490" t="e">
        <f t="shared" si="192"/>
        <v>#REF!</v>
      </c>
      <c r="AG337" s="1490" t="e">
        <f t="shared" si="192"/>
        <v>#REF!</v>
      </c>
      <c r="AH337" s="1490" t="e">
        <f t="shared" si="192"/>
        <v>#REF!</v>
      </c>
    </row>
    <row r="338" spans="1:34" ht="62.1" hidden="1" customHeight="1" x14ac:dyDescent="0.45">
      <c r="A338" s="3964"/>
      <c r="B338" s="1955">
        <v>5055</v>
      </c>
      <c r="C338" s="4314" t="s">
        <v>222</v>
      </c>
      <c r="D338" s="4616"/>
      <c r="E338" s="1679" t="e">
        <f>+'Compra -HOJA 1-1-PARA SECCION I'!G620</f>
        <v>#REF!</v>
      </c>
      <c r="F338" s="1679"/>
      <c r="G338" s="1679"/>
      <c r="H338" s="1679"/>
      <c r="I338" s="1680" t="e">
        <f t="shared" si="185"/>
        <v>#REF!</v>
      </c>
      <c r="J338" s="1680" t="e">
        <f t="shared" si="186"/>
        <v>#REF!</v>
      </c>
      <c r="K338" s="1680" t="e">
        <f t="shared" si="187"/>
        <v>#REF!</v>
      </c>
      <c r="L338" s="1680" t="e">
        <f t="shared" si="188"/>
        <v>#REF!</v>
      </c>
      <c r="M338" s="1680" t="e">
        <f t="shared" si="189"/>
        <v>#REF!</v>
      </c>
      <c r="N338" s="1680" t="e">
        <f t="shared" si="190"/>
        <v>#REF!</v>
      </c>
      <c r="O338" s="1619" t="e">
        <f t="shared" si="191"/>
        <v>#REF!</v>
      </c>
      <c r="P338" s="1619" t="e">
        <f t="shared" si="191"/>
        <v>#REF!</v>
      </c>
      <c r="Q338" s="1619" t="e">
        <f t="shared" si="191"/>
        <v>#REF!</v>
      </c>
      <c r="R338" s="3964"/>
      <c r="S338" s="1955">
        <v>5055</v>
      </c>
      <c r="T338" s="4314" t="s">
        <v>222</v>
      </c>
      <c r="U338" s="4616"/>
      <c r="V338" s="2436" t="e">
        <f>+'Compra -HOJA 1-1-PARA SECCION I'!I620</f>
        <v>#REF!</v>
      </c>
      <c r="W338" s="2436" t="e">
        <f>+'Compra -HOJA 1-1-PARA SECCION I'!J620</f>
        <v>#REF!</v>
      </c>
      <c r="X338" s="2436" t="e">
        <f>+'Compra -HOJA 1-1-PARA SECCION I'!K620</f>
        <v>#REF!</v>
      </c>
      <c r="Y338" s="2436" t="e">
        <f>+'Compra -HOJA 1-1-PARA SECCION I'!L620</f>
        <v>#REF!</v>
      </c>
      <c r="Z338" s="2436" t="e">
        <f>+'Compra -HOJA 1-1-PARA SECCION I'!M620</f>
        <v>#REF!</v>
      </c>
      <c r="AA338" s="2436" t="e">
        <f>+'Compra -HOJA 1-1-PARA SECCION I'!N620</f>
        <v>#REF!</v>
      </c>
      <c r="AB338" s="2436" t="e">
        <f>+'Compra -HOJA 1-1-PARA SECCION I'!O620</f>
        <v>#REF!</v>
      </c>
      <c r="AC338" s="2436" t="e">
        <f>+'Compra -HOJA 1-1-PARA SECCION I'!P620</f>
        <v>#REF!</v>
      </c>
      <c r="AD338" s="2436" t="e">
        <f>+'Compra -HOJA 1-1-PARA SECCION I'!Q620</f>
        <v>#REF!</v>
      </c>
      <c r="AF338" s="1490" t="e">
        <f t="shared" si="192"/>
        <v>#REF!</v>
      </c>
      <c r="AG338" s="1490" t="e">
        <f t="shared" si="192"/>
        <v>#REF!</v>
      </c>
      <c r="AH338" s="1490" t="e">
        <f t="shared" si="192"/>
        <v>#REF!</v>
      </c>
    </row>
    <row r="339" spans="1:34" ht="62.1" hidden="1" customHeight="1" thickBot="1" x14ac:dyDescent="0.5">
      <c r="A339" s="4619"/>
      <c r="B339" s="2414" t="s">
        <v>50</v>
      </c>
      <c r="C339" s="4631" t="s">
        <v>580</v>
      </c>
      <c r="D339" s="4632"/>
      <c r="E339" s="1679" t="e">
        <f>+'Compra -HOJA 1-1-PARA SECCION I'!G621</f>
        <v>#REF!</v>
      </c>
      <c r="F339" s="1679"/>
      <c r="G339" s="1679"/>
      <c r="H339" s="1679"/>
      <c r="I339" s="1680" t="e">
        <f t="shared" si="185"/>
        <v>#REF!</v>
      </c>
      <c r="J339" s="1680" t="e">
        <f t="shared" si="186"/>
        <v>#REF!</v>
      </c>
      <c r="K339" s="1680" t="e">
        <f t="shared" si="187"/>
        <v>#REF!</v>
      </c>
      <c r="L339" s="1680" t="e">
        <f t="shared" si="188"/>
        <v>#REF!</v>
      </c>
      <c r="M339" s="1680" t="e">
        <f t="shared" si="189"/>
        <v>#REF!</v>
      </c>
      <c r="N339" s="1680" t="e">
        <f t="shared" si="190"/>
        <v>#REF!</v>
      </c>
      <c r="O339" s="1619" t="e">
        <f t="shared" si="191"/>
        <v>#REF!</v>
      </c>
      <c r="P339" s="1619" t="e">
        <f t="shared" si="191"/>
        <v>#REF!</v>
      </c>
      <c r="Q339" s="1619" t="e">
        <f t="shared" si="191"/>
        <v>#REF!</v>
      </c>
      <c r="R339" s="4619"/>
      <c r="S339" s="2414" t="s">
        <v>50</v>
      </c>
      <c r="T339" s="4631" t="s">
        <v>580</v>
      </c>
      <c r="U339" s="4632"/>
      <c r="V339" s="2436" t="e">
        <f>+'Compra -HOJA 1-1-PARA SECCION I'!I621</f>
        <v>#REF!</v>
      </c>
      <c r="W339" s="2436" t="e">
        <f>+'Compra -HOJA 1-1-PARA SECCION I'!J621</f>
        <v>#REF!</v>
      </c>
      <c r="X339" s="2436" t="e">
        <f>+'Compra -HOJA 1-1-PARA SECCION I'!K621</f>
        <v>#REF!</v>
      </c>
      <c r="Y339" s="2436" t="e">
        <f>+'Compra -HOJA 1-1-PARA SECCION I'!L621</f>
        <v>#REF!</v>
      </c>
      <c r="Z339" s="2436" t="e">
        <f>+'Compra -HOJA 1-1-PARA SECCION I'!M621</f>
        <v>#REF!</v>
      </c>
      <c r="AA339" s="2436" t="e">
        <f>+'Compra -HOJA 1-1-PARA SECCION I'!N621</f>
        <v>#REF!</v>
      </c>
      <c r="AB339" s="2436" t="e">
        <f>+'Compra -HOJA 1-1-PARA SECCION I'!O621</f>
        <v>#REF!</v>
      </c>
      <c r="AC339" s="2436" t="e">
        <f>+'Compra -HOJA 1-1-PARA SECCION I'!P621</f>
        <v>#REF!</v>
      </c>
      <c r="AD339" s="2436" t="e">
        <f>+'Compra -HOJA 1-1-PARA SECCION I'!Q621</f>
        <v>#REF!</v>
      </c>
      <c r="AF339" s="1490" t="e">
        <f t="shared" si="192"/>
        <v>#REF!</v>
      </c>
      <c r="AG339" s="1490" t="e">
        <f t="shared" si="192"/>
        <v>#REF!</v>
      </c>
      <c r="AH339" s="1490" t="e">
        <f t="shared" si="192"/>
        <v>#REF!</v>
      </c>
    </row>
    <row r="340" spans="1:34" ht="62.1" hidden="1" customHeight="1" x14ac:dyDescent="0.45">
      <c r="A340" s="3963" t="s">
        <v>62</v>
      </c>
      <c r="B340" s="1947">
        <v>5030</v>
      </c>
      <c r="C340" s="4308" t="s">
        <v>217</v>
      </c>
      <c r="D340" s="4612"/>
      <c r="E340" s="1679">
        <f>+'Compra -HOJA 1-1-PARA SECCION I'!G622</f>
        <v>0</v>
      </c>
      <c r="F340" s="1679"/>
      <c r="G340" s="1679"/>
      <c r="H340" s="1679"/>
      <c r="I340" s="1680">
        <f t="shared" si="185"/>
        <v>0</v>
      </c>
      <c r="J340" s="1680">
        <f t="shared" si="186"/>
        <v>0</v>
      </c>
      <c r="K340" s="1680">
        <f t="shared" si="187"/>
        <v>0</v>
      </c>
      <c r="L340" s="1680" t="e">
        <f t="shared" si="188"/>
        <v>#REF!</v>
      </c>
      <c r="M340" s="1680" t="e">
        <f t="shared" si="189"/>
        <v>#REF!</v>
      </c>
      <c r="N340" s="1680" t="e">
        <f t="shared" si="190"/>
        <v>#REF!</v>
      </c>
      <c r="O340" s="1619" t="e">
        <f t="shared" si="191"/>
        <v>#REF!</v>
      </c>
      <c r="P340" s="1619" t="e">
        <f t="shared" si="191"/>
        <v>#REF!</v>
      </c>
      <c r="Q340" s="1619" t="e">
        <f t="shared" si="191"/>
        <v>#REF!</v>
      </c>
      <c r="R340" s="3963" t="s">
        <v>62</v>
      </c>
      <c r="S340" s="1947">
        <v>5030</v>
      </c>
      <c r="T340" s="4308" t="s">
        <v>217</v>
      </c>
      <c r="U340" s="4612"/>
      <c r="V340" s="2436">
        <f>+'Compra -HOJA 1-1-PARA SECCION I'!I622</f>
        <v>0</v>
      </c>
      <c r="W340" s="2436">
        <f>+'Compra -HOJA 1-1-PARA SECCION I'!J622</f>
        <v>0</v>
      </c>
      <c r="X340" s="2436">
        <f>+'Compra -HOJA 1-1-PARA SECCION I'!K622</f>
        <v>0</v>
      </c>
      <c r="Y340" s="2436" t="e">
        <f>+'Compra -HOJA 1-1-PARA SECCION I'!L622</f>
        <v>#REF!</v>
      </c>
      <c r="Z340" s="2436" t="e">
        <f>+'Compra -HOJA 1-1-PARA SECCION I'!M622</f>
        <v>#REF!</v>
      </c>
      <c r="AA340" s="2436" t="e">
        <f>+'Compra -HOJA 1-1-PARA SECCION I'!N622</f>
        <v>#REF!</v>
      </c>
      <c r="AB340" s="2436" t="e">
        <f>+'Compra -HOJA 1-1-PARA SECCION I'!O622</f>
        <v>#REF!</v>
      </c>
      <c r="AC340" s="2436" t="e">
        <f>+'Compra -HOJA 1-1-PARA SECCION I'!P622</f>
        <v>#REF!</v>
      </c>
      <c r="AD340" s="2436" t="e">
        <f>+'Compra -HOJA 1-1-PARA SECCION I'!Q622</f>
        <v>#REF!</v>
      </c>
      <c r="AF340" s="1490" t="e">
        <f t="shared" si="192"/>
        <v>#REF!</v>
      </c>
      <c r="AG340" s="1490" t="e">
        <f t="shared" si="192"/>
        <v>#REF!</v>
      </c>
      <c r="AH340" s="1490" t="e">
        <f t="shared" si="192"/>
        <v>#REF!</v>
      </c>
    </row>
    <row r="341" spans="1:34" ht="62.1" hidden="1" customHeight="1" x14ac:dyDescent="0.45">
      <c r="A341" s="3964"/>
      <c r="B341" s="1954">
        <v>5040</v>
      </c>
      <c r="C341" s="3743" t="s">
        <v>218</v>
      </c>
      <c r="D341" s="3744"/>
      <c r="E341" s="1679">
        <f>+'Compra -HOJA 1-1-PARA SECCION I'!G623</f>
        <v>0</v>
      </c>
      <c r="F341" s="1679"/>
      <c r="G341" s="1679"/>
      <c r="H341" s="1679"/>
      <c r="I341" s="1680">
        <f t="shared" si="185"/>
        <v>0</v>
      </c>
      <c r="J341" s="1680">
        <f t="shared" si="186"/>
        <v>0</v>
      </c>
      <c r="K341" s="1680">
        <f t="shared" si="187"/>
        <v>0</v>
      </c>
      <c r="L341" s="1680" t="e">
        <f t="shared" si="188"/>
        <v>#REF!</v>
      </c>
      <c r="M341" s="1680" t="e">
        <f t="shared" si="189"/>
        <v>#REF!</v>
      </c>
      <c r="N341" s="1680" t="e">
        <f t="shared" si="190"/>
        <v>#REF!</v>
      </c>
      <c r="O341" s="1619" t="e">
        <f t="shared" si="191"/>
        <v>#REF!</v>
      </c>
      <c r="P341" s="1619" t="e">
        <f t="shared" si="191"/>
        <v>#REF!</v>
      </c>
      <c r="Q341" s="1619" t="e">
        <f t="shared" si="191"/>
        <v>#REF!</v>
      </c>
      <c r="R341" s="3964"/>
      <c r="S341" s="1954">
        <v>5040</v>
      </c>
      <c r="T341" s="3743" t="s">
        <v>218</v>
      </c>
      <c r="U341" s="3744"/>
      <c r="V341" s="2436">
        <f>+'Compra -HOJA 1-1-PARA SECCION I'!I623</f>
        <v>0</v>
      </c>
      <c r="W341" s="2436">
        <f>+'Compra -HOJA 1-1-PARA SECCION I'!J623</f>
        <v>0</v>
      </c>
      <c r="X341" s="2436">
        <f>+'Compra -HOJA 1-1-PARA SECCION I'!K623</f>
        <v>0</v>
      </c>
      <c r="Y341" s="2436" t="e">
        <f>+'Compra -HOJA 1-1-PARA SECCION I'!L623</f>
        <v>#REF!</v>
      </c>
      <c r="Z341" s="2436" t="e">
        <f>+'Compra -HOJA 1-1-PARA SECCION I'!M623</f>
        <v>#REF!</v>
      </c>
      <c r="AA341" s="2436" t="e">
        <f>+'Compra -HOJA 1-1-PARA SECCION I'!N623</f>
        <v>#REF!</v>
      </c>
      <c r="AB341" s="2436" t="e">
        <f>+'Compra -HOJA 1-1-PARA SECCION I'!O623</f>
        <v>#REF!</v>
      </c>
      <c r="AC341" s="2436" t="e">
        <f>+'Compra -HOJA 1-1-PARA SECCION I'!P623</f>
        <v>#REF!</v>
      </c>
      <c r="AD341" s="2436" t="e">
        <f>+'Compra -HOJA 1-1-PARA SECCION I'!Q623</f>
        <v>#REF!</v>
      </c>
      <c r="AF341" s="1490" t="e">
        <f t="shared" si="192"/>
        <v>#REF!</v>
      </c>
      <c r="AG341" s="1490" t="e">
        <f t="shared" si="192"/>
        <v>#REF!</v>
      </c>
      <c r="AH341" s="1490" t="e">
        <f t="shared" si="192"/>
        <v>#REF!</v>
      </c>
    </row>
    <row r="342" spans="1:34" ht="62.1" hidden="1" customHeight="1" x14ac:dyDescent="0.45">
      <c r="A342" s="3964"/>
      <c r="B342" s="1954">
        <v>5041</v>
      </c>
      <c r="C342" s="3743" t="s">
        <v>620</v>
      </c>
      <c r="D342" s="3744"/>
      <c r="E342" s="1679" t="e">
        <f>+'Compra -HOJA 1-1-PARA SECCION I'!G624</f>
        <v>#REF!</v>
      </c>
      <c r="F342" s="1679"/>
      <c r="G342" s="1679"/>
      <c r="H342" s="1679"/>
      <c r="I342" s="1680" t="e">
        <f t="shared" si="185"/>
        <v>#REF!</v>
      </c>
      <c r="J342" s="1680" t="e">
        <f t="shared" si="186"/>
        <v>#REF!</v>
      </c>
      <c r="K342" s="1680" t="e">
        <f t="shared" si="187"/>
        <v>#REF!</v>
      </c>
      <c r="L342" s="1680" t="e">
        <f t="shared" si="188"/>
        <v>#REF!</v>
      </c>
      <c r="M342" s="1680" t="e">
        <f t="shared" si="189"/>
        <v>#REF!</v>
      </c>
      <c r="N342" s="1680" t="e">
        <f t="shared" si="190"/>
        <v>#REF!</v>
      </c>
      <c r="O342" s="1619" t="e">
        <f t="shared" si="191"/>
        <v>#REF!</v>
      </c>
      <c r="P342" s="1619" t="e">
        <f t="shared" si="191"/>
        <v>#REF!</v>
      </c>
      <c r="Q342" s="1619" t="e">
        <f t="shared" si="191"/>
        <v>#REF!</v>
      </c>
      <c r="R342" s="3964"/>
      <c r="S342" s="1954">
        <v>5041</v>
      </c>
      <c r="T342" s="3743" t="s">
        <v>620</v>
      </c>
      <c r="U342" s="3744"/>
      <c r="V342" s="2436" t="e">
        <f>+'Compra -HOJA 1-1-PARA SECCION I'!I624</f>
        <v>#REF!</v>
      </c>
      <c r="W342" s="2436" t="e">
        <f>+'Compra -HOJA 1-1-PARA SECCION I'!J624</f>
        <v>#REF!</v>
      </c>
      <c r="X342" s="2436" t="e">
        <f>+'Compra -HOJA 1-1-PARA SECCION I'!K624</f>
        <v>#REF!</v>
      </c>
      <c r="Y342" s="2436" t="e">
        <f>+'Compra -HOJA 1-1-PARA SECCION I'!L624</f>
        <v>#REF!</v>
      </c>
      <c r="Z342" s="2436" t="e">
        <f>+'Compra -HOJA 1-1-PARA SECCION I'!M624</f>
        <v>#REF!</v>
      </c>
      <c r="AA342" s="2436" t="e">
        <f>+'Compra -HOJA 1-1-PARA SECCION I'!N624</f>
        <v>#REF!</v>
      </c>
      <c r="AB342" s="2436" t="e">
        <f>+'Compra -HOJA 1-1-PARA SECCION I'!O624</f>
        <v>#REF!</v>
      </c>
      <c r="AC342" s="2436" t="e">
        <f>+'Compra -HOJA 1-1-PARA SECCION I'!P624</f>
        <v>#REF!</v>
      </c>
      <c r="AD342" s="2436" t="e">
        <f>+'Compra -HOJA 1-1-PARA SECCION I'!Q624</f>
        <v>#REF!</v>
      </c>
      <c r="AF342" s="1490"/>
      <c r="AG342" s="1490"/>
      <c r="AH342" s="1490"/>
    </row>
    <row r="343" spans="1:34" ht="62.1" hidden="1" customHeight="1" x14ac:dyDescent="0.45">
      <c r="A343" s="3964"/>
      <c r="B343" s="1954">
        <v>5045</v>
      </c>
      <c r="C343" s="3743" t="s">
        <v>221</v>
      </c>
      <c r="D343" s="3744"/>
      <c r="E343" s="1679" t="e">
        <f>+'Compra -HOJA 1-1-PARA SECCION I'!G625</f>
        <v>#REF!</v>
      </c>
      <c r="F343" s="1679"/>
      <c r="G343" s="1679"/>
      <c r="H343" s="1679"/>
      <c r="I343" s="1680" t="e">
        <f t="shared" si="185"/>
        <v>#REF!</v>
      </c>
      <c r="J343" s="1680" t="e">
        <f t="shared" si="186"/>
        <v>#REF!</v>
      </c>
      <c r="K343" s="1680" t="e">
        <f t="shared" si="187"/>
        <v>#REF!</v>
      </c>
      <c r="L343" s="1680" t="e">
        <f t="shared" si="188"/>
        <v>#REF!</v>
      </c>
      <c r="M343" s="1680" t="e">
        <f t="shared" si="189"/>
        <v>#REF!</v>
      </c>
      <c r="N343" s="1680" t="e">
        <f t="shared" si="190"/>
        <v>#REF!</v>
      </c>
      <c r="O343" s="1619" t="e">
        <f t="shared" si="191"/>
        <v>#REF!</v>
      </c>
      <c r="P343" s="1619" t="e">
        <f t="shared" si="191"/>
        <v>#REF!</v>
      </c>
      <c r="Q343" s="1619" t="e">
        <f t="shared" si="191"/>
        <v>#REF!</v>
      </c>
      <c r="R343" s="3964"/>
      <c r="S343" s="1954">
        <v>5045</v>
      </c>
      <c r="T343" s="3743" t="s">
        <v>221</v>
      </c>
      <c r="U343" s="3744"/>
      <c r="V343" s="2436" t="e">
        <f>+'Compra -HOJA 1-1-PARA SECCION I'!I625</f>
        <v>#REF!</v>
      </c>
      <c r="W343" s="2436" t="e">
        <f>+'Compra -HOJA 1-1-PARA SECCION I'!J625</f>
        <v>#REF!</v>
      </c>
      <c r="X343" s="2436" t="e">
        <f>+'Compra -HOJA 1-1-PARA SECCION I'!K625</f>
        <v>#REF!</v>
      </c>
      <c r="Y343" s="2436" t="e">
        <f>+'Compra -HOJA 1-1-PARA SECCION I'!L625</f>
        <v>#REF!</v>
      </c>
      <c r="Z343" s="2436" t="e">
        <f>+'Compra -HOJA 1-1-PARA SECCION I'!M625</f>
        <v>#REF!</v>
      </c>
      <c r="AA343" s="2436" t="e">
        <f>+'Compra -HOJA 1-1-PARA SECCION I'!N625</f>
        <v>#REF!</v>
      </c>
      <c r="AB343" s="2436" t="e">
        <f>+'Compra -HOJA 1-1-PARA SECCION I'!O625</f>
        <v>#REF!</v>
      </c>
      <c r="AC343" s="2436" t="e">
        <f>+'Compra -HOJA 1-1-PARA SECCION I'!P625</f>
        <v>#REF!</v>
      </c>
      <c r="AD343" s="2436" t="e">
        <f>+'Compra -HOJA 1-1-PARA SECCION I'!Q625</f>
        <v>#REF!</v>
      </c>
      <c r="AF343" s="1490" t="e">
        <f t="shared" ref="AF343:AH343" si="193">+V343+Y343</f>
        <v>#REF!</v>
      </c>
      <c r="AG343" s="1490" t="e">
        <f t="shared" si="193"/>
        <v>#REF!</v>
      </c>
      <c r="AH343" s="1490" t="e">
        <f t="shared" si="193"/>
        <v>#REF!</v>
      </c>
    </row>
    <row r="344" spans="1:34" ht="62.1" hidden="1" customHeight="1" x14ac:dyDescent="0.45">
      <c r="A344" s="3964"/>
      <c r="B344" s="1955">
        <v>5050</v>
      </c>
      <c r="C344" s="4314" t="s">
        <v>219</v>
      </c>
      <c r="D344" s="4616"/>
      <c r="E344" s="1679">
        <f>+'Compra -HOJA 1-1-PARA SECCION I'!G626</f>
        <v>0</v>
      </c>
      <c r="F344" s="1679"/>
      <c r="G344" s="1679"/>
      <c r="H344" s="1679"/>
      <c r="I344" s="1680">
        <f t="shared" si="185"/>
        <v>0</v>
      </c>
      <c r="J344" s="1680">
        <f t="shared" si="186"/>
        <v>0</v>
      </c>
      <c r="K344" s="1680">
        <f t="shared" si="187"/>
        <v>0</v>
      </c>
      <c r="L344" s="1680" t="e">
        <f t="shared" si="188"/>
        <v>#REF!</v>
      </c>
      <c r="M344" s="1680" t="e">
        <f t="shared" si="189"/>
        <v>#REF!</v>
      </c>
      <c r="N344" s="1680" t="e">
        <f t="shared" si="190"/>
        <v>#REF!</v>
      </c>
      <c r="O344" s="1619" t="e">
        <f t="shared" si="191"/>
        <v>#REF!</v>
      </c>
      <c r="P344" s="1619" t="e">
        <f t="shared" si="191"/>
        <v>#REF!</v>
      </c>
      <c r="Q344" s="1619" t="e">
        <f t="shared" si="191"/>
        <v>#REF!</v>
      </c>
      <c r="R344" s="3964"/>
      <c r="S344" s="1955">
        <v>5050</v>
      </c>
      <c r="T344" s="4314" t="s">
        <v>219</v>
      </c>
      <c r="U344" s="4616"/>
      <c r="V344" s="2436">
        <f>+'Compra -HOJA 1-1-PARA SECCION I'!I626</f>
        <v>0</v>
      </c>
      <c r="W344" s="2436">
        <f>+'Compra -HOJA 1-1-PARA SECCION I'!J626</f>
        <v>0</v>
      </c>
      <c r="X344" s="2436">
        <f>+'Compra -HOJA 1-1-PARA SECCION I'!K626</f>
        <v>0</v>
      </c>
      <c r="Y344" s="2436" t="e">
        <f>+'Compra -HOJA 1-1-PARA SECCION I'!L626</f>
        <v>#REF!</v>
      </c>
      <c r="Z344" s="2436" t="e">
        <f>+'Compra -HOJA 1-1-PARA SECCION I'!M626</f>
        <v>#REF!</v>
      </c>
      <c r="AA344" s="2436" t="e">
        <f>+'Compra -HOJA 1-1-PARA SECCION I'!N626</f>
        <v>#REF!</v>
      </c>
      <c r="AB344" s="2436" t="e">
        <f>+'Compra -HOJA 1-1-PARA SECCION I'!O626</f>
        <v>#REF!</v>
      </c>
      <c r="AC344" s="2436" t="e">
        <f>+'Compra -HOJA 1-1-PARA SECCION I'!P626</f>
        <v>#REF!</v>
      </c>
      <c r="AD344" s="2436" t="e">
        <f>+'Compra -HOJA 1-1-PARA SECCION I'!Q626</f>
        <v>#REF!</v>
      </c>
      <c r="AF344" s="1490" t="e">
        <f t="shared" si="192"/>
        <v>#REF!</v>
      </c>
      <c r="AG344" s="1490" t="e">
        <f t="shared" si="192"/>
        <v>#REF!</v>
      </c>
      <c r="AH344" s="1490" t="e">
        <f t="shared" si="192"/>
        <v>#REF!</v>
      </c>
    </row>
    <row r="345" spans="1:34" ht="62.1" hidden="1" customHeight="1" x14ac:dyDescent="0.45">
      <c r="A345" s="3964"/>
      <c r="B345" s="1955">
        <v>5051</v>
      </c>
      <c r="C345" s="4314" t="s">
        <v>621</v>
      </c>
      <c r="D345" s="4616"/>
      <c r="E345" s="1679" t="e">
        <f>+'Compra -HOJA 1-1-PARA SECCION I'!G627</f>
        <v>#REF!</v>
      </c>
      <c r="F345" s="1679"/>
      <c r="G345" s="1679"/>
      <c r="H345" s="1679"/>
      <c r="I345" s="1680" t="e">
        <f t="shared" si="185"/>
        <v>#REF!</v>
      </c>
      <c r="J345" s="1680" t="e">
        <f t="shared" si="186"/>
        <v>#REF!</v>
      </c>
      <c r="K345" s="1680" t="e">
        <f t="shared" si="187"/>
        <v>#REF!</v>
      </c>
      <c r="L345" s="1680" t="e">
        <f t="shared" si="188"/>
        <v>#REF!</v>
      </c>
      <c r="M345" s="1680" t="e">
        <f t="shared" si="189"/>
        <v>#REF!</v>
      </c>
      <c r="N345" s="1680" t="e">
        <f t="shared" si="190"/>
        <v>#REF!</v>
      </c>
      <c r="O345" s="1619" t="e">
        <f t="shared" si="191"/>
        <v>#REF!</v>
      </c>
      <c r="P345" s="1619" t="e">
        <f t="shared" si="191"/>
        <v>#REF!</v>
      </c>
      <c r="Q345" s="1619" t="e">
        <f t="shared" si="191"/>
        <v>#REF!</v>
      </c>
      <c r="R345" s="3964"/>
      <c r="S345" s="1955">
        <v>5051</v>
      </c>
      <c r="T345" s="4314" t="s">
        <v>621</v>
      </c>
      <c r="U345" s="4616"/>
      <c r="V345" s="2436" t="e">
        <f>+'Compra -HOJA 1-1-PARA SECCION I'!I627</f>
        <v>#REF!</v>
      </c>
      <c r="W345" s="2436" t="e">
        <f>+'Compra -HOJA 1-1-PARA SECCION I'!J627</f>
        <v>#REF!</v>
      </c>
      <c r="X345" s="2436" t="e">
        <f>+'Compra -HOJA 1-1-PARA SECCION I'!K627</f>
        <v>#REF!</v>
      </c>
      <c r="Y345" s="2436" t="e">
        <f>+'Compra -HOJA 1-1-PARA SECCION I'!L627</f>
        <v>#REF!</v>
      </c>
      <c r="Z345" s="2436" t="e">
        <f>+'Compra -HOJA 1-1-PARA SECCION I'!M627</f>
        <v>#REF!</v>
      </c>
      <c r="AA345" s="2436" t="e">
        <f>+'Compra -HOJA 1-1-PARA SECCION I'!N627</f>
        <v>#REF!</v>
      </c>
      <c r="AB345" s="2436" t="e">
        <f>+'Compra -HOJA 1-1-PARA SECCION I'!O627</f>
        <v>#REF!</v>
      </c>
      <c r="AC345" s="2436" t="e">
        <f>+'Compra -HOJA 1-1-PARA SECCION I'!P627</f>
        <v>#REF!</v>
      </c>
      <c r="AD345" s="2436" t="e">
        <f>+'Compra -HOJA 1-1-PARA SECCION I'!Q627</f>
        <v>#REF!</v>
      </c>
      <c r="AF345" s="1490" t="e">
        <f t="shared" si="192"/>
        <v>#REF!</v>
      </c>
      <c r="AG345" s="1490" t="e">
        <f t="shared" si="192"/>
        <v>#REF!</v>
      </c>
      <c r="AH345" s="1490" t="e">
        <f t="shared" si="192"/>
        <v>#REF!</v>
      </c>
    </row>
    <row r="346" spans="1:34" ht="62.1" hidden="1" customHeight="1" x14ac:dyDescent="0.45">
      <c r="A346" s="3964"/>
      <c r="B346" s="1955">
        <v>5055</v>
      </c>
      <c r="C346" s="4314" t="s">
        <v>222</v>
      </c>
      <c r="D346" s="4616"/>
      <c r="E346" s="1679" t="e">
        <f>+'Compra -HOJA 1-1-PARA SECCION I'!G628</f>
        <v>#REF!</v>
      </c>
      <c r="F346" s="1679"/>
      <c r="G346" s="1679"/>
      <c r="H346" s="1679"/>
      <c r="I346" s="1680" t="e">
        <f t="shared" si="185"/>
        <v>#REF!</v>
      </c>
      <c r="J346" s="1680" t="e">
        <f t="shared" si="186"/>
        <v>#REF!</v>
      </c>
      <c r="K346" s="1680" t="e">
        <f t="shared" si="187"/>
        <v>#REF!</v>
      </c>
      <c r="L346" s="1680" t="e">
        <f t="shared" si="188"/>
        <v>#REF!</v>
      </c>
      <c r="M346" s="1680" t="e">
        <f t="shared" si="189"/>
        <v>#REF!</v>
      </c>
      <c r="N346" s="1680" t="e">
        <f t="shared" si="190"/>
        <v>#REF!</v>
      </c>
      <c r="O346" s="1619" t="e">
        <f t="shared" si="191"/>
        <v>#REF!</v>
      </c>
      <c r="P346" s="1619" t="e">
        <f t="shared" si="191"/>
        <v>#REF!</v>
      </c>
      <c r="Q346" s="1619" t="e">
        <f t="shared" si="191"/>
        <v>#REF!</v>
      </c>
      <c r="R346" s="3964"/>
      <c r="S346" s="1955">
        <v>5055</v>
      </c>
      <c r="T346" s="4314" t="s">
        <v>222</v>
      </c>
      <c r="U346" s="4616"/>
      <c r="V346" s="2436" t="e">
        <f>+'Compra -HOJA 1-1-PARA SECCION I'!I628</f>
        <v>#REF!</v>
      </c>
      <c r="W346" s="2436" t="e">
        <f>+'Compra -HOJA 1-1-PARA SECCION I'!J628</f>
        <v>#REF!</v>
      </c>
      <c r="X346" s="2436" t="e">
        <f>+'Compra -HOJA 1-1-PARA SECCION I'!K628</f>
        <v>#REF!</v>
      </c>
      <c r="Y346" s="2436" t="e">
        <f>+'Compra -HOJA 1-1-PARA SECCION I'!L628</f>
        <v>#REF!</v>
      </c>
      <c r="Z346" s="2436" t="e">
        <f>+'Compra -HOJA 1-1-PARA SECCION I'!M628</f>
        <v>#REF!</v>
      </c>
      <c r="AA346" s="2436" t="e">
        <f>+'Compra -HOJA 1-1-PARA SECCION I'!N628</f>
        <v>#REF!</v>
      </c>
      <c r="AB346" s="2436" t="e">
        <f>+'Compra -HOJA 1-1-PARA SECCION I'!O628</f>
        <v>#REF!</v>
      </c>
      <c r="AC346" s="2436" t="e">
        <f>+'Compra -HOJA 1-1-PARA SECCION I'!P628</f>
        <v>#REF!</v>
      </c>
      <c r="AD346" s="2436" t="e">
        <f>+'Compra -HOJA 1-1-PARA SECCION I'!Q628</f>
        <v>#REF!</v>
      </c>
      <c r="AF346" s="1490" t="e">
        <f t="shared" si="192"/>
        <v>#REF!</v>
      </c>
      <c r="AG346" s="1490" t="e">
        <f t="shared" si="192"/>
        <v>#REF!</v>
      </c>
      <c r="AH346" s="1490" t="e">
        <f t="shared" si="192"/>
        <v>#REF!</v>
      </c>
    </row>
    <row r="347" spans="1:34" ht="62.1" hidden="1" customHeight="1" thickBot="1" x14ac:dyDescent="0.5">
      <c r="A347" s="4619"/>
      <c r="B347" s="2414" t="s">
        <v>50</v>
      </c>
      <c r="C347" s="4631" t="s">
        <v>580</v>
      </c>
      <c r="D347" s="4632"/>
      <c r="E347" s="1679" t="e">
        <f>+'Compra -HOJA 1-1-PARA SECCION I'!G629</f>
        <v>#REF!</v>
      </c>
      <c r="F347" s="1679"/>
      <c r="G347" s="1679"/>
      <c r="H347" s="1679"/>
      <c r="I347" s="1680" t="e">
        <f t="shared" si="185"/>
        <v>#REF!</v>
      </c>
      <c r="J347" s="1680" t="e">
        <f t="shared" si="186"/>
        <v>#REF!</v>
      </c>
      <c r="K347" s="1680" t="e">
        <f t="shared" si="187"/>
        <v>#REF!</v>
      </c>
      <c r="L347" s="1680" t="e">
        <f t="shared" si="188"/>
        <v>#REF!</v>
      </c>
      <c r="M347" s="1680" t="e">
        <f t="shared" si="189"/>
        <v>#REF!</v>
      </c>
      <c r="N347" s="1680" t="e">
        <f t="shared" si="190"/>
        <v>#REF!</v>
      </c>
      <c r="O347" s="1619" t="e">
        <f t="shared" si="191"/>
        <v>#REF!</v>
      </c>
      <c r="P347" s="1619" t="e">
        <f t="shared" si="191"/>
        <v>#REF!</v>
      </c>
      <c r="Q347" s="1619" t="e">
        <f t="shared" si="191"/>
        <v>#REF!</v>
      </c>
      <c r="R347" s="4619"/>
      <c r="S347" s="2414" t="s">
        <v>50</v>
      </c>
      <c r="T347" s="4631" t="s">
        <v>580</v>
      </c>
      <c r="U347" s="4632"/>
      <c r="V347" s="2436" t="e">
        <f>+'Compra -HOJA 1-1-PARA SECCION I'!I629</f>
        <v>#REF!</v>
      </c>
      <c r="W347" s="2436" t="e">
        <f>+'Compra -HOJA 1-1-PARA SECCION I'!J629</f>
        <v>#REF!</v>
      </c>
      <c r="X347" s="2436" t="e">
        <f>+'Compra -HOJA 1-1-PARA SECCION I'!K629</f>
        <v>#REF!</v>
      </c>
      <c r="Y347" s="2436" t="e">
        <f>+'Compra -HOJA 1-1-PARA SECCION I'!L629</f>
        <v>#REF!</v>
      </c>
      <c r="Z347" s="2436" t="e">
        <f>+'Compra -HOJA 1-1-PARA SECCION I'!M629</f>
        <v>#REF!</v>
      </c>
      <c r="AA347" s="2436" t="e">
        <f>+'Compra -HOJA 1-1-PARA SECCION I'!N629</f>
        <v>#REF!</v>
      </c>
      <c r="AB347" s="2436" t="e">
        <f>+'Compra -HOJA 1-1-PARA SECCION I'!O629</f>
        <v>#REF!</v>
      </c>
      <c r="AC347" s="2436" t="e">
        <f>+'Compra -HOJA 1-1-PARA SECCION I'!P629</f>
        <v>#REF!</v>
      </c>
      <c r="AD347" s="2436" t="e">
        <f>+'Compra -HOJA 1-1-PARA SECCION I'!Q629</f>
        <v>#REF!</v>
      </c>
      <c r="AF347" s="1490" t="e">
        <f t="shared" si="192"/>
        <v>#REF!</v>
      </c>
      <c r="AG347" s="1490" t="e">
        <f t="shared" si="192"/>
        <v>#REF!</v>
      </c>
      <c r="AH347" s="1490" t="e">
        <f t="shared" si="192"/>
        <v>#REF!</v>
      </c>
    </row>
    <row r="348" spans="1:34" ht="62.1" hidden="1" customHeight="1" x14ac:dyDescent="0.45">
      <c r="A348" s="3963" t="s">
        <v>631</v>
      </c>
      <c r="B348" s="1947">
        <v>5030</v>
      </c>
      <c r="C348" s="4308" t="s">
        <v>217</v>
      </c>
      <c r="D348" s="4612"/>
      <c r="E348" s="1679">
        <f>+'Compra -HOJA 1-1-PARA SECCION I'!G630</f>
        <v>0</v>
      </c>
      <c r="F348" s="1679"/>
      <c r="G348" s="1679"/>
      <c r="H348" s="1679"/>
      <c r="I348" s="1680">
        <f t="shared" si="185"/>
        <v>0</v>
      </c>
      <c r="J348" s="1680">
        <f t="shared" si="186"/>
        <v>0</v>
      </c>
      <c r="K348" s="1680">
        <f t="shared" si="187"/>
        <v>0</v>
      </c>
      <c r="L348" s="1680" t="e">
        <f t="shared" si="188"/>
        <v>#REF!</v>
      </c>
      <c r="M348" s="1680" t="e">
        <f t="shared" si="189"/>
        <v>#REF!</v>
      </c>
      <c r="N348" s="1680" t="e">
        <f t="shared" si="190"/>
        <v>#REF!</v>
      </c>
      <c r="O348" s="1619" t="e">
        <f t="shared" si="191"/>
        <v>#REF!</v>
      </c>
      <c r="P348" s="1619" t="e">
        <f t="shared" si="191"/>
        <v>#REF!</v>
      </c>
      <c r="Q348" s="1619" t="e">
        <f t="shared" si="191"/>
        <v>#REF!</v>
      </c>
      <c r="R348" s="3963" t="s">
        <v>631</v>
      </c>
      <c r="S348" s="1947">
        <v>5030</v>
      </c>
      <c r="T348" s="4308" t="s">
        <v>217</v>
      </c>
      <c r="U348" s="4612"/>
      <c r="V348" s="2436">
        <f>+'Compra -HOJA 1-1-PARA SECCION I'!I630</f>
        <v>0</v>
      </c>
      <c r="W348" s="2436">
        <f>+'Compra -HOJA 1-1-PARA SECCION I'!J630</f>
        <v>0</v>
      </c>
      <c r="X348" s="2436">
        <f>+'Compra -HOJA 1-1-PARA SECCION I'!K630</f>
        <v>0</v>
      </c>
      <c r="Y348" s="2436" t="e">
        <f>+'Compra -HOJA 1-1-PARA SECCION I'!L630</f>
        <v>#REF!</v>
      </c>
      <c r="Z348" s="2436" t="e">
        <f>+'Compra -HOJA 1-1-PARA SECCION I'!M630</f>
        <v>#REF!</v>
      </c>
      <c r="AA348" s="2436" t="e">
        <f>+'Compra -HOJA 1-1-PARA SECCION I'!N630</f>
        <v>#REF!</v>
      </c>
      <c r="AB348" s="2436" t="e">
        <f>+'Compra -HOJA 1-1-PARA SECCION I'!O630</f>
        <v>#REF!</v>
      </c>
      <c r="AC348" s="2436" t="e">
        <f>+'Compra -HOJA 1-1-PARA SECCION I'!P630</f>
        <v>#REF!</v>
      </c>
      <c r="AD348" s="2436" t="e">
        <f>+'Compra -HOJA 1-1-PARA SECCION I'!Q630</f>
        <v>#REF!</v>
      </c>
      <c r="AF348" s="1490" t="e">
        <f t="shared" si="192"/>
        <v>#REF!</v>
      </c>
      <c r="AG348" s="1490" t="e">
        <f t="shared" si="192"/>
        <v>#REF!</v>
      </c>
      <c r="AH348" s="1490" t="e">
        <f t="shared" si="192"/>
        <v>#REF!</v>
      </c>
    </row>
    <row r="349" spans="1:34" ht="62.1" hidden="1" customHeight="1" x14ac:dyDescent="0.45">
      <c r="A349" s="3964"/>
      <c r="B349" s="1954">
        <v>5040</v>
      </c>
      <c r="C349" s="3743" t="s">
        <v>218</v>
      </c>
      <c r="D349" s="3744"/>
      <c r="E349" s="1679">
        <f>+'Compra -HOJA 1-1-PARA SECCION I'!G631</f>
        <v>0</v>
      </c>
      <c r="F349" s="1679"/>
      <c r="G349" s="1679"/>
      <c r="H349" s="1679"/>
      <c r="I349" s="1680">
        <f t="shared" si="185"/>
        <v>0</v>
      </c>
      <c r="J349" s="1680">
        <f t="shared" si="186"/>
        <v>0</v>
      </c>
      <c r="K349" s="1680">
        <f t="shared" si="187"/>
        <v>0</v>
      </c>
      <c r="L349" s="1680" t="e">
        <f t="shared" si="188"/>
        <v>#REF!</v>
      </c>
      <c r="M349" s="1680" t="e">
        <f t="shared" si="189"/>
        <v>#REF!</v>
      </c>
      <c r="N349" s="1680" t="e">
        <f t="shared" si="190"/>
        <v>#REF!</v>
      </c>
      <c r="O349" s="1619" t="e">
        <f t="shared" si="191"/>
        <v>#REF!</v>
      </c>
      <c r="P349" s="1619" t="e">
        <f t="shared" si="191"/>
        <v>#REF!</v>
      </c>
      <c r="Q349" s="1619" t="e">
        <f t="shared" si="191"/>
        <v>#REF!</v>
      </c>
      <c r="R349" s="3964"/>
      <c r="S349" s="1954">
        <v>5040</v>
      </c>
      <c r="T349" s="3743" t="s">
        <v>218</v>
      </c>
      <c r="U349" s="3744"/>
      <c r="V349" s="2436">
        <f>+'Compra -HOJA 1-1-PARA SECCION I'!I631</f>
        <v>0</v>
      </c>
      <c r="W349" s="2436">
        <f>+'Compra -HOJA 1-1-PARA SECCION I'!J631</f>
        <v>0</v>
      </c>
      <c r="X349" s="2436">
        <f>+'Compra -HOJA 1-1-PARA SECCION I'!K631</f>
        <v>0</v>
      </c>
      <c r="Y349" s="2436" t="e">
        <f>+'Compra -HOJA 1-1-PARA SECCION I'!L631</f>
        <v>#REF!</v>
      </c>
      <c r="Z349" s="2436" t="e">
        <f>+'Compra -HOJA 1-1-PARA SECCION I'!M631</f>
        <v>#REF!</v>
      </c>
      <c r="AA349" s="2436" t="e">
        <f>+'Compra -HOJA 1-1-PARA SECCION I'!N631</f>
        <v>#REF!</v>
      </c>
      <c r="AB349" s="2436" t="e">
        <f>+'Compra -HOJA 1-1-PARA SECCION I'!O631</f>
        <v>#REF!</v>
      </c>
      <c r="AC349" s="2436" t="e">
        <f>+'Compra -HOJA 1-1-PARA SECCION I'!P631</f>
        <v>#REF!</v>
      </c>
      <c r="AD349" s="2436" t="e">
        <f>+'Compra -HOJA 1-1-PARA SECCION I'!Q631</f>
        <v>#REF!</v>
      </c>
      <c r="AF349" s="1490" t="e">
        <f t="shared" si="192"/>
        <v>#REF!</v>
      </c>
      <c r="AG349" s="1490" t="e">
        <f t="shared" si="192"/>
        <v>#REF!</v>
      </c>
      <c r="AH349" s="1490" t="e">
        <f t="shared" si="192"/>
        <v>#REF!</v>
      </c>
    </row>
    <row r="350" spans="1:34" ht="62.1" hidden="1" customHeight="1" x14ac:dyDescent="0.45">
      <c r="A350" s="3964"/>
      <c r="B350" s="1954">
        <v>5041</v>
      </c>
      <c r="C350" s="3743" t="s">
        <v>620</v>
      </c>
      <c r="D350" s="3744"/>
      <c r="E350" s="1679" t="e">
        <f>+'Compra -HOJA 1-1-PARA SECCION I'!G632</f>
        <v>#REF!</v>
      </c>
      <c r="F350" s="1679"/>
      <c r="G350" s="1679"/>
      <c r="H350" s="1679"/>
      <c r="I350" s="1680" t="e">
        <f t="shared" si="185"/>
        <v>#REF!</v>
      </c>
      <c r="J350" s="1680" t="e">
        <f t="shared" si="186"/>
        <v>#REF!</v>
      </c>
      <c r="K350" s="1680" t="e">
        <f t="shared" si="187"/>
        <v>#REF!</v>
      </c>
      <c r="L350" s="1680" t="e">
        <f t="shared" si="188"/>
        <v>#REF!</v>
      </c>
      <c r="M350" s="1680" t="e">
        <f t="shared" si="189"/>
        <v>#REF!</v>
      </c>
      <c r="N350" s="1680" t="e">
        <f t="shared" si="190"/>
        <v>#REF!</v>
      </c>
      <c r="O350" s="1619" t="e">
        <f t="shared" si="191"/>
        <v>#REF!</v>
      </c>
      <c r="P350" s="1619" t="e">
        <f t="shared" si="191"/>
        <v>#REF!</v>
      </c>
      <c r="Q350" s="1619" t="e">
        <f t="shared" si="191"/>
        <v>#REF!</v>
      </c>
      <c r="R350" s="3964"/>
      <c r="S350" s="1954">
        <v>5041</v>
      </c>
      <c r="T350" s="3743" t="s">
        <v>620</v>
      </c>
      <c r="U350" s="3744"/>
      <c r="V350" s="2436" t="e">
        <f>+'Compra -HOJA 1-1-PARA SECCION I'!I632</f>
        <v>#REF!</v>
      </c>
      <c r="W350" s="2436" t="e">
        <f>+'Compra -HOJA 1-1-PARA SECCION I'!J632</f>
        <v>#REF!</v>
      </c>
      <c r="X350" s="2436" t="e">
        <f>+'Compra -HOJA 1-1-PARA SECCION I'!K632</f>
        <v>#REF!</v>
      </c>
      <c r="Y350" s="2436" t="e">
        <f>+'Compra -HOJA 1-1-PARA SECCION I'!L632</f>
        <v>#REF!</v>
      </c>
      <c r="Z350" s="2436" t="e">
        <f>+'Compra -HOJA 1-1-PARA SECCION I'!M632</f>
        <v>#REF!</v>
      </c>
      <c r="AA350" s="2436" t="e">
        <f>+'Compra -HOJA 1-1-PARA SECCION I'!N632</f>
        <v>#REF!</v>
      </c>
      <c r="AB350" s="2436" t="e">
        <f>+'Compra -HOJA 1-1-PARA SECCION I'!O632</f>
        <v>#REF!</v>
      </c>
      <c r="AC350" s="2436" t="e">
        <f>+'Compra -HOJA 1-1-PARA SECCION I'!P632</f>
        <v>#REF!</v>
      </c>
      <c r="AD350" s="2436" t="e">
        <f>+'Compra -HOJA 1-1-PARA SECCION I'!Q632</f>
        <v>#REF!</v>
      </c>
      <c r="AF350" s="1490"/>
      <c r="AG350" s="1490"/>
      <c r="AH350" s="1490"/>
    </row>
    <row r="351" spans="1:34" ht="62.1" hidden="1" customHeight="1" x14ac:dyDescent="0.45">
      <c r="A351" s="3964"/>
      <c r="B351" s="1954">
        <v>5045</v>
      </c>
      <c r="C351" s="3743" t="s">
        <v>221</v>
      </c>
      <c r="D351" s="3744"/>
      <c r="E351" s="1679" t="e">
        <f>+'Compra -HOJA 1-1-PARA SECCION I'!G633</f>
        <v>#REF!</v>
      </c>
      <c r="F351" s="1679"/>
      <c r="G351" s="1679"/>
      <c r="H351" s="1679"/>
      <c r="I351" s="1680" t="e">
        <f t="shared" si="185"/>
        <v>#REF!</v>
      </c>
      <c r="J351" s="1680" t="e">
        <f t="shared" si="186"/>
        <v>#REF!</v>
      </c>
      <c r="K351" s="1680" t="e">
        <f t="shared" si="187"/>
        <v>#REF!</v>
      </c>
      <c r="L351" s="1680" t="e">
        <f t="shared" si="188"/>
        <v>#REF!</v>
      </c>
      <c r="M351" s="1680" t="e">
        <f t="shared" si="189"/>
        <v>#REF!</v>
      </c>
      <c r="N351" s="1680" t="e">
        <f t="shared" si="190"/>
        <v>#REF!</v>
      </c>
      <c r="O351" s="1619" t="e">
        <f t="shared" si="191"/>
        <v>#REF!</v>
      </c>
      <c r="P351" s="1619" t="e">
        <f t="shared" si="191"/>
        <v>#REF!</v>
      </c>
      <c r="Q351" s="1619" t="e">
        <f t="shared" si="191"/>
        <v>#REF!</v>
      </c>
      <c r="R351" s="3964"/>
      <c r="S351" s="1954">
        <v>5045</v>
      </c>
      <c r="T351" s="3743" t="s">
        <v>221</v>
      </c>
      <c r="U351" s="3744"/>
      <c r="V351" s="2436" t="e">
        <f>+'Compra -HOJA 1-1-PARA SECCION I'!I633</f>
        <v>#REF!</v>
      </c>
      <c r="W351" s="2436" t="e">
        <f>+'Compra -HOJA 1-1-PARA SECCION I'!J633</f>
        <v>#REF!</v>
      </c>
      <c r="X351" s="2436" t="e">
        <f>+'Compra -HOJA 1-1-PARA SECCION I'!K633</f>
        <v>#REF!</v>
      </c>
      <c r="Y351" s="2436" t="e">
        <f>+'Compra -HOJA 1-1-PARA SECCION I'!L633</f>
        <v>#REF!</v>
      </c>
      <c r="Z351" s="2436" t="e">
        <f>+'Compra -HOJA 1-1-PARA SECCION I'!M633</f>
        <v>#REF!</v>
      </c>
      <c r="AA351" s="2436" t="e">
        <f>+'Compra -HOJA 1-1-PARA SECCION I'!N633</f>
        <v>#REF!</v>
      </c>
      <c r="AB351" s="2436" t="e">
        <f>+'Compra -HOJA 1-1-PARA SECCION I'!O633</f>
        <v>#REF!</v>
      </c>
      <c r="AC351" s="2436" t="e">
        <f>+'Compra -HOJA 1-1-PARA SECCION I'!P633</f>
        <v>#REF!</v>
      </c>
      <c r="AD351" s="2436" t="e">
        <f>+'Compra -HOJA 1-1-PARA SECCION I'!Q633</f>
        <v>#REF!</v>
      </c>
      <c r="AF351" s="1490" t="e">
        <f t="shared" ref="AF351:AH351" si="194">+V351+Y351</f>
        <v>#REF!</v>
      </c>
      <c r="AG351" s="1490" t="e">
        <f t="shared" si="194"/>
        <v>#REF!</v>
      </c>
      <c r="AH351" s="1490" t="e">
        <f t="shared" si="194"/>
        <v>#REF!</v>
      </c>
    </row>
    <row r="352" spans="1:34" ht="62.1" hidden="1" customHeight="1" x14ac:dyDescent="0.45">
      <c r="A352" s="3964"/>
      <c r="B352" s="1955">
        <v>5050</v>
      </c>
      <c r="C352" s="4314" t="s">
        <v>219</v>
      </c>
      <c r="D352" s="4616"/>
      <c r="E352" s="1679">
        <f>+'Compra -HOJA 1-1-PARA SECCION I'!G634</f>
        <v>0</v>
      </c>
      <c r="F352" s="1679"/>
      <c r="G352" s="1679"/>
      <c r="H352" s="1679"/>
      <c r="I352" s="1680">
        <f t="shared" si="185"/>
        <v>0</v>
      </c>
      <c r="J352" s="1680">
        <f t="shared" si="186"/>
        <v>0</v>
      </c>
      <c r="K352" s="1680">
        <f t="shared" si="187"/>
        <v>0</v>
      </c>
      <c r="L352" s="1680" t="e">
        <f t="shared" si="188"/>
        <v>#REF!</v>
      </c>
      <c r="M352" s="1680" t="e">
        <f t="shared" si="189"/>
        <v>#REF!</v>
      </c>
      <c r="N352" s="1680" t="e">
        <f t="shared" si="190"/>
        <v>#REF!</v>
      </c>
      <c r="O352" s="1619" t="e">
        <f t="shared" si="191"/>
        <v>#REF!</v>
      </c>
      <c r="P352" s="1619" t="e">
        <f t="shared" si="191"/>
        <v>#REF!</v>
      </c>
      <c r="Q352" s="1619" t="e">
        <f t="shared" si="191"/>
        <v>#REF!</v>
      </c>
      <c r="R352" s="3964"/>
      <c r="S352" s="1955">
        <v>5050</v>
      </c>
      <c r="T352" s="4314" t="s">
        <v>219</v>
      </c>
      <c r="U352" s="4616"/>
      <c r="V352" s="2436">
        <f>+'Compra -HOJA 1-1-PARA SECCION I'!I634</f>
        <v>0</v>
      </c>
      <c r="W352" s="2436">
        <f>+'Compra -HOJA 1-1-PARA SECCION I'!J634</f>
        <v>0</v>
      </c>
      <c r="X352" s="2436">
        <f>+'Compra -HOJA 1-1-PARA SECCION I'!K634</f>
        <v>0</v>
      </c>
      <c r="Y352" s="2436" t="e">
        <f>+'Compra -HOJA 1-1-PARA SECCION I'!L634</f>
        <v>#REF!</v>
      </c>
      <c r="Z352" s="2436" t="e">
        <f>+'Compra -HOJA 1-1-PARA SECCION I'!M634</f>
        <v>#REF!</v>
      </c>
      <c r="AA352" s="2436" t="e">
        <f>+'Compra -HOJA 1-1-PARA SECCION I'!N634</f>
        <v>#REF!</v>
      </c>
      <c r="AB352" s="2436" t="e">
        <f>+'Compra -HOJA 1-1-PARA SECCION I'!O634</f>
        <v>#REF!</v>
      </c>
      <c r="AC352" s="2436" t="e">
        <f>+'Compra -HOJA 1-1-PARA SECCION I'!P634</f>
        <v>#REF!</v>
      </c>
      <c r="AD352" s="2436" t="e">
        <f>+'Compra -HOJA 1-1-PARA SECCION I'!Q634</f>
        <v>#REF!</v>
      </c>
      <c r="AF352" s="1490" t="e">
        <f t="shared" si="192"/>
        <v>#REF!</v>
      </c>
      <c r="AG352" s="1490" t="e">
        <f t="shared" si="192"/>
        <v>#REF!</v>
      </c>
      <c r="AH352" s="1490" t="e">
        <f t="shared" si="192"/>
        <v>#REF!</v>
      </c>
    </row>
    <row r="353" spans="1:34" ht="62.1" hidden="1" customHeight="1" x14ac:dyDescent="0.45">
      <c r="A353" s="3964"/>
      <c r="B353" s="1955">
        <v>5051</v>
      </c>
      <c r="C353" s="4314" t="s">
        <v>621</v>
      </c>
      <c r="D353" s="4616"/>
      <c r="E353" s="1679" t="e">
        <f>+'Compra -HOJA 1-1-PARA SECCION I'!G635</f>
        <v>#REF!</v>
      </c>
      <c r="F353" s="1679"/>
      <c r="G353" s="1679"/>
      <c r="H353" s="1679"/>
      <c r="I353" s="1680" t="e">
        <f t="shared" si="185"/>
        <v>#REF!</v>
      </c>
      <c r="J353" s="1680" t="e">
        <f t="shared" si="186"/>
        <v>#REF!</v>
      </c>
      <c r="K353" s="1680" t="e">
        <f t="shared" si="187"/>
        <v>#REF!</v>
      </c>
      <c r="L353" s="1680" t="e">
        <f t="shared" si="188"/>
        <v>#REF!</v>
      </c>
      <c r="M353" s="1680" t="e">
        <f t="shared" si="189"/>
        <v>#REF!</v>
      </c>
      <c r="N353" s="1680" t="e">
        <f t="shared" si="190"/>
        <v>#REF!</v>
      </c>
      <c r="O353" s="1619" t="e">
        <f t="shared" si="191"/>
        <v>#REF!</v>
      </c>
      <c r="P353" s="1619" t="e">
        <f t="shared" si="191"/>
        <v>#REF!</v>
      </c>
      <c r="Q353" s="1619" t="e">
        <f t="shared" si="191"/>
        <v>#REF!</v>
      </c>
      <c r="R353" s="3964"/>
      <c r="S353" s="1955">
        <v>5051</v>
      </c>
      <c r="T353" s="4314" t="s">
        <v>621</v>
      </c>
      <c r="U353" s="4616"/>
      <c r="V353" s="2436" t="e">
        <f>+'Compra -HOJA 1-1-PARA SECCION I'!I635</f>
        <v>#REF!</v>
      </c>
      <c r="W353" s="2436" t="e">
        <f>+'Compra -HOJA 1-1-PARA SECCION I'!J635</f>
        <v>#REF!</v>
      </c>
      <c r="X353" s="2436" t="e">
        <f>+'Compra -HOJA 1-1-PARA SECCION I'!K635</f>
        <v>#REF!</v>
      </c>
      <c r="Y353" s="2436" t="e">
        <f>+'Compra -HOJA 1-1-PARA SECCION I'!L635</f>
        <v>#REF!</v>
      </c>
      <c r="Z353" s="2436" t="e">
        <f>+'Compra -HOJA 1-1-PARA SECCION I'!M635</f>
        <v>#REF!</v>
      </c>
      <c r="AA353" s="2436" t="e">
        <f>+'Compra -HOJA 1-1-PARA SECCION I'!N635</f>
        <v>#REF!</v>
      </c>
      <c r="AB353" s="2436" t="e">
        <f>+'Compra -HOJA 1-1-PARA SECCION I'!O635</f>
        <v>#REF!</v>
      </c>
      <c r="AC353" s="2436" t="e">
        <f>+'Compra -HOJA 1-1-PARA SECCION I'!P635</f>
        <v>#REF!</v>
      </c>
      <c r="AD353" s="2436" t="e">
        <f>+'Compra -HOJA 1-1-PARA SECCION I'!Q635</f>
        <v>#REF!</v>
      </c>
      <c r="AF353" s="1490" t="e">
        <f t="shared" si="192"/>
        <v>#REF!</v>
      </c>
      <c r="AG353" s="1490" t="e">
        <f t="shared" si="192"/>
        <v>#REF!</v>
      </c>
      <c r="AH353" s="1490" t="e">
        <f t="shared" si="192"/>
        <v>#REF!</v>
      </c>
    </row>
    <row r="354" spans="1:34" ht="62.1" hidden="1" customHeight="1" x14ac:dyDescent="0.45">
      <c r="A354" s="3964"/>
      <c r="B354" s="1955">
        <v>5055</v>
      </c>
      <c r="C354" s="4314" t="s">
        <v>222</v>
      </c>
      <c r="D354" s="4616"/>
      <c r="E354" s="1679" t="e">
        <f>+'Compra -HOJA 1-1-PARA SECCION I'!G636</f>
        <v>#REF!</v>
      </c>
      <c r="F354" s="1679"/>
      <c r="G354" s="1679"/>
      <c r="H354" s="1679"/>
      <c r="I354" s="1680" t="e">
        <f t="shared" si="185"/>
        <v>#REF!</v>
      </c>
      <c r="J354" s="1680" t="e">
        <f t="shared" si="186"/>
        <v>#REF!</v>
      </c>
      <c r="K354" s="1680" t="e">
        <f t="shared" si="187"/>
        <v>#REF!</v>
      </c>
      <c r="L354" s="1680" t="e">
        <f t="shared" si="188"/>
        <v>#REF!</v>
      </c>
      <c r="M354" s="1680" t="e">
        <f t="shared" si="189"/>
        <v>#REF!</v>
      </c>
      <c r="N354" s="1680" t="e">
        <f t="shared" si="190"/>
        <v>#REF!</v>
      </c>
      <c r="O354" s="1619" t="e">
        <f t="shared" si="191"/>
        <v>#REF!</v>
      </c>
      <c r="P354" s="1619" t="e">
        <f t="shared" si="191"/>
        <v>#REF!</v>
      </c>
      <c r="Q354" s="1619" t="e">
        <f t="shared" si="191"/>
        <v>#REF!</v>
      </c>
      <c r="R354" s="3964"/>
      <c r="S354" s="1955">
        <v>5055</v>
      </c>
      <c r="T354" s="4314" t="s">
        <v>222</v>
      </c>
      <c r="U354" s="4616"/>
      <c r="V354" s="2436" t="e">
        <f>+'Compra -HOJA 1-1-PARA SECCION I'!I636</f>
        <v>#REF!</v>
      </c>
      <c r="W354" s="2436" t="e">
        <f>+'Compra -HOJA 1-1-PARA SECCION I'!J636</f>
        <v>#REF!</v>
      </c>
      <c r="X354" s="2436" t="e">
        <f>+'Compra -HOJA 1-1-PARA SECCION I'!K636</f>
        <v>#REF!</v>
      </c>
      <c r="Y354" s="2436" t="e">
        <f>+'Compra -HOJA 1-1-PARA SECCION I'!L636</f>
        <v>#REF!</v>
      </c>
      <c r="Z354" s="2436" t="e">
        <f>+'Compra -HOJA 1-1-PARA SECCION I'!M636</f>
        <v>#REF!</v>
      </c>
      <c r="AA354" s="2436" t="e">
        <f>+'Compra -HOJA 1-1-PARA SECCION I'!N636</f>
        <v>#REF!</v>
      </c>
      <c r="AB354" s="2436" t="e">
        <f>+'Compra -HOJA 1-1-PARA SECCION I'!O636</f>
        <v>#REF!</v>
      </c>
      <c r="AC354" s="2436" t="e">
        <f>+'Compra -HOJA 1-1-PARA SECCION I'!P636</f>
        <v>#REF!</v>
      </c>
      <c r="AD354" s="2436" t="e">
        <f>+'Compra -HOJA 1-1-PARA SECCION I'!Q636</f>
        <v>#REF!</v>
      </c>
      <c r="AF354" s="1490" t="e">
        <f t="shared" si="192"/>
        <v>#REF!</v>
      </c>
      <c r="AG354" s="1490" t="e">
        <f t="shared" si="192"/>
        <v>#REF!</v>
      </c>
      <c r="AH354" s="1490" t="e">
        <f t="shared" si="192"/>
        <v>#REF!</v>
      </c>
    </row>
    <row r="355" spans="1:34" ht="62.1" hidden="1" customHeight="1" thickBot="1" x14ac:dyDescent="0.5">
      <c r="A355" s="4619"/>
      <c r="B355" s="2414" t="s">
        <v>50</v>
      </c>
      <c r="C355" s="4631" t="s">
        <v>580</v>
      </c>
      <c r="D355" s="4632"/>
      <c r="E355" s="1679" t="e">
        <f>+'Compra -HOJA 1-1-PARA SECCION I'!G637</f>
        <v>#REF!</v>
      </c>
      <c r="F355" s="1679"/>
      <c r="G355" s="1679"/>
      <c r="H355" s="1679"/>
      <c r="I355" s="1680" t="e">
        <f t="shared" si="185"/>
        <v>#REF!</v>
      </c>
      <c r="J355" s="1680" t="e">
        <f t="shared" si="186"/>
        <v>#REF!</v>
      </c>
      <c r="K355" s="1680" t="e">
        <f t="shared" si="187"/>
        <v>#REF!</v>
      </c>
      <c r="L355" s="1680" t="e">
        <f t="shared" si="188"/>
        <v>#REF!</v>
      </c>
      <c r="M355" s="1680" t="e">
        <f t="shared" si="189"/>
        <v>#REF!</v>
      </c>
      <c r="N355" s="1680" t="e">
        <f t="shared" si="190"/>
        <v>#REF!</v>
      </c>
      <c r="O355" s="1619" t="e">
        <f t="shared" si="191"/>
        <v>#REF!</v>
      </c>
      <c r="P355" s="1619" t="e">
        <f t="shared" si="191"/>
        <v>#REF!</v>
      </c>
      <c r="Q355" s="1619" t="e">
        <f t="shared" si="191"/>
        <v>#REF!</v>
      </c>
      <c r="R355" s="4619"/>
      <c r="S355" s="2414" t="s">
        <v>50</v>
      </c>
      <c r="T355" s="4631" t="s">
        <v>580</v>
      </c>
      <c r="U355" s="4632"/>
      <c r="V355" s="2436" t="e">
        <f>+'Compra -HOJA 1-1-PARA SECCION I'!I637</f>
        <v>#REF!</v>
      </c>
      <c r="W355" s="2436" t="e">
        <f>+'Compra -HOJA 1-1-PARA SECCION I'!J637</f>
        <v>#REF!</v>
      </c>
      <c r="X355" s="2436" t="e">
        <f>+'Compra -HOJA 1-1-PARA SECCION I'!K637</f>
        <v>#REF!</v>
      </c>
      <c r="Y355" s="2436" t="e">
        <f>+'Compra -HOJA 1-1-PARA SECCION I'!L637</f>
        <v>#REF!</v>
      </c>
      <c r="Z355" s="2436" t="e">
        <f>+'Compra -HOJA 1-1-PARA SECCION I'!M637</f>
        <v>#REF!</v>
      </c>
      <c r="AA355" s="2436" t="e">
        <f>+'Compra -HOJA 1-1-PARA SECCION I'!N637</f>
        <v>#REF!</v>
      </c>
      <c r="AB355" s="2436" t="e">
        <f>+'Compra -HOJA 1-1-PARA SECCION I'!O637</f>
        <v>#REF!</v>
      </c>
      <c r="AC355" s="2436" t="e">
        <f>+'Compra -HOJA 1-1-PARA SECCION I'!P637</f>
        <v>#REF!</v>
      </c>
      <c r="AD355" s="2436" t="e">
        <f>+'Compra -HOJA 1-1-PARA SECCION I'!Q637</f>
        <v>#REF!</v>
      </c>
      <c r="AF355" s="1490" t="e">
        <f t="shared" si="192"/>
        <v>#REF!</v>
      </c>
      <c r="AG355" s="1490" t="e">
        <f t="shared" si="192"/>
        <v>#REF!</v>
      </c>
      <c r="AH355" s="1490" t="e">
        <f t="shared" si="192"/>
        <v>#REF!</v>
      </c>
    </row>
    <row r="356" spans="1:34" ht="62.1" hidden="1" customHeight="1" thickBot="1" x14ac:dyDescent="0.5">
      <c r="A356" s="4598" t="s">
        <v>627</v>
      </c>
      <c r="B356" s="2426" t="s">
        <v>322</v>
      </c>
      <c r="C356" s="4601" t="s">
        <v>535</v>
      </c>
      <c r="D356" s="4601"/>
      <c r="E356" s="1679" t="e">
        <f>+'Compra -HOJA 1-1-PARA SECCION I'!G638</f>
        <v>#REF!</v>
      </c>
      <c r="F356" s="1679"/>
      <c r="G356" s="1679"/>
      <c r="H356" s="1679"/>
      <c r="I356" s="1680" t="e">
        <f t="shared" si="185"/>
        <v>#REF!</v>
      </c>
      <c r="J356" s="1680" t="e">
        <f t="shared" si="186"/>
        <v>#REF!</v>
      </c>
      <c r="K356" s="1680" t="e">
        <f t="shared" si="187"/>
        <v>#REF!</v>
      </c>
      <c r="L356" s="1680" t="e">
        <f t="shared" si="188"/>
        <v>#REF!</v>
      </c>
      <c r="M356" s="1680" t="e">
        <f t="shared" si="189"/>
        <v>#REF!</v>
      </c>
      <c r="N356" s="1680" t="e">
        <f t="shared" si="190"/>
        <v>#REF!</v>
      </c>
      <c r="O356" s="1619" t="e">
        <f t="shared" si="191"/>
        <v>#REF!</v>
      </c>
      <c r="P356" s="1619" t="e">
        <f t="shared" si="191"/>
        <v>#REF!</v>
      </c>
      <c r="Q356" s="1619" t="e">
        <f t="shared" si="191"/>
        <v>#REF!</v>
      </c>
      <c r="R356" s="4598" t="s">
        <v>627</v>
      </c>
      <c r="S356" s="2426" t="s">
        <v>322</v>
      </c>
      <c r="T356" s="4601" t="s">
        <v>535</v>
      </c>
      <c r="U356" s="4601"/>
      <c r="V356" s="2436" t="e">
        <f>+'Compra -HOJA 1-1-PARA SECCION I'!I638</f>
        <v>#REF!</v>
      </c>
      <c r="W356" s="2436" t="e">
        <f>+'Compra -HOJA 1-1-PARA SECCION I'!J638</f>
        <v>#REF!</v>
      </c>
      <c r="X356" s="2436" t="e">
        <f>+'Compra -HOJA 1-1-PARA SECCION I'!K638</f>
        <v>#REF!</v>
      </c>
      <c r="Y356" s="2436" t="e">
        <f>+'Compra -HOJA 1-1-PARA SECCION I'!L638</f>
        <v>#REF!</v>
      </c>
      <c r="Z356" s="2436" t="e">
        <f>+'Compra -HOJA 1-1-PARA SECCION I'!M638</f>
        <v>#REF!</v>
      </c>
      <c r="AA356" s="2436" t="e">
        <f>+'Compra -HOJA 1-1-PARA SECCION I'!N638</f>
        <v>#REF!</v>
      </c>
      <c r="AB356" s="2436" t="e">
        <f>+'Compra -HOJA 1-1-PARA SECCION I'!O638</f>
        <v>#REF!</v>
      </c>
      <c r="AC356" s="2436" t="e">
        <f>+'Compra -HOJA 1-1-PARA SECCION I'!P638</f>
        <v>#REF!</v>
      </c>
      <c r="AD356" s="2436" t="e">
        <f>+'Compra -HOJA 1-1-PARA SECCION I'!Q638</f>
        <v>#REF!</v>
      </c>
      <c r="AF356" s="1490" t="e">
        <f t="shared" si="192"/>
        <v>#REF!</v>
      </c>
      <c r="AG356" s="1490" t="e">
        <f t="shared" si="192"/>
        <v>#REF!</v>
      </c>
      <c r="AH356" s="1490" t="e">
        <f t="shared" si="192"/>
        <v>#REF!</v>
      </c>
    </row>
    <row r="357" spans="1:34" ht="62.1" hidden="1" customHeight="1" thickBot="1" x14ac:dyDescent="0.5">
      <c r="A357" s="4599"/>
      <c r="B357" s="2423" t="s">
        <v>323</v>
      </c>
      <c r="C357" s="4601" t="s">
        <v>535</v>
      </c>
      <c r="D357" s="4601"/>
      <c r="E357" s="1679" t="e">
        <f>+'Compra -HOJA 1-1-PARA SECCION I'!G639</f>
        <v>#REF!</v>
      </c>
      <c r="F357" s="1679"/>
      <c r="G357" s="1679"/>
      <c r="H357" s="1679"/>
      <c r="I357" s="1680" t="e">
        <f t="shared" si="185"/>
        <v>#REF!</v>
      </c>
      <c r="J357" s="1680" t="e">
        <f t="shared" si="186"/>
        <v>#REF!</v>
      </c>
      <c r="K357" s="1680" t="e">
        <f t="shared" si="187"/>
        <v>#REF!</v>
      </c>
      <c r="L357" s="1680" t="e">
        <f t="shared" si="188"/>
        <v>#REF!</v>
      </c>
      <c r="M357" s="1680" t="e">
        <f t="shared" si="189"/>
        <v>#REF!</v>
      </c>
      <c r="N357" s="1680" t="e">
        <f t="shared" si="190"/>
        <v>#REF!</v>
      </c>
      <c r="O357" s="1619" t="e">
        <f t="shared" si="191"/>
        <v>#REF!</v>
      </c>
      <c r="P357" s="1619" t="e">
        <f t="shared" si="191"/>
        <v>#REF!</v>
      </c>
      <c r="Q357" s="1619" t="e">
        <f t="shared" si="191"/>
        <v>#REF!</v>
      </c>
      <c r="R357" s="4599"/>
      <c r="S357" s="2423" t="s">
        <v>323</v>
      </c>
      <c r="T357" s="4601" t="s">
        <v>535</v>
      </c>
      <c r="U357" s="4601"/>
      <c r="V357" s="2436" t="e">
        <f>+'Compra -HOJA 1-1-PARA SECCION I'!I639</f>
        <v>#REF!</v>
      </c>
      <c r="W357" s="2436" t="e">
        <f>+'Compra -HOJA 1-1-PARA SECCION I'!J639</f>
        <v>#REF!</v>
      </c>
      <c r="X357" s="2436" t="e">
        <f>+'Compra -HOJA 1-1-PARA SECCION I'!K639</f>
        <v>#REF!</v>
      </c>
      <c r="Y357" s="2436" t="e">
        <f>+'Compra -HOJA 1-1-PARA SECCION I'!L639</f>
        <v>#REF!</v>
      </c>
      <c r="Z357" s="2436" t="e">
        <f>+'Compra -HOJA 1-1-PARA SECCION I'!M639</f>
        <v>#REF!</v>
      </c>
      <c r="AA357" s="2436" t="e">
        <f>+'Compra -HOJA 1-1-PARA SECCION I'!N639</f>
        <v>#REF!</v>
      </c>
      <c r="AB357" s="2436" t="e">
        <f>+'Compra -HOJA 1-1-PARA SECCION I'!O639</f>
        <v>#REF!</v>
      </c>
      <c r="AC357" s="2436" t="e">
        <f>+'Compra -HOJA 1-1-PARA SECCION I'!P639</f>
        <v>#REF!</v>
      </c>
      <c r="AD357" s="2436" t="e">
        <f>+'Compra -HOJA 1-1-PARA SECCION I'!Q639</f>
        <v>#REF!</v>
      </c>
      <c r="AF357" s="1490" t="e">
        <f t="shared" si="192"/>
        <v>#REF!</v>
      </c>
      <c r="AG357" s="1490" t="e">
        <f t="shared" si="192"/>
        <v>#REF!</v>
      </c>
      <c r="AH357" s="1490" t="e">
        <f t="shared" si="192"/>
        <v>#REF!</v>
      </c>
    </row>
    <row r="358" spans="1:34" ht="62.1" hidden="1" customHeight="1" thickBot="1" x14ac:dyDescent="0.5">
      <c r="A358" s="4599"/>
      <c r="B358" s="2423" t="s">
        <v>324</v>
      </c>
      <c r="C358" s="4601" t="s">
        <v>535</v>
      </c>
      <c r="D358" s="4601"/>
      <c r="E358" s="1679" t="e">
        <f>+'Compra -HOJA 1-1-PARA SECCION I'!G640</f>
        <v>#REF!</v>
      </c>
      <c r="F358" s="1679"/>
      <c r="G358" s="1679"/>
      <c r="H358" s="1679"/>
      <c r="I358" s="1680" t="e">
        <f t="shared" si="185"/>
        <v>#REF!</v>
      </c>
      <c r="J358" s="1680" t="e">
        <f t="shared" si="186"/>
        <v>#REF!</v>
      </c>
      <c r="K358" s="1680" t="e">
        <f t="shared" si="187"/>
        <v>#REF!</v>
      </c>
      <c r="L358" s="1680" t="e">
        <f t="shared" si="188"/>
        <v>#REF!</v>
      </c>
      <c r="M358" s="1680" t="e">
        <f t="shared" si="189"/>
        <v>#REF!</v>
      </c>
      <c r="N358" s="1680" t="e">
        <f t="shared" si="190"/>
        <v>#REF!</v>
      </c>
      <c r="O358" s="1619" t="e">
        <f t="shared" si="191"/>
        <v>#REF!</v>
      </c>
      <c r="P358" s="1619" t="e">
        <f t="shared" si="191"/>
        <v>#REF!</v>
      </c>
      <c r="Q358" s="1619" t="e">
        <f t="shared" si="191"/>
        <v>#REF!</v>
      </c>
      <c r="R358" s="4599"/>
      <c r="S358" s="2423" t="s">
        <v>324</v>
      </c>
      <c r="T358" s="4601" t="s">
        <v>535</v>
      </c>
      <c r="U358" s="4601"/>
      <c r="V358" s="2436" t="e">
        <f>+'Compra -HOJA 1-1-PARA SECCION I'!I640</f>
        <v>#REF!</v>
      </c>
      <c r="W358" s="2436" t="e">
        <f>+'Compra -HOJA 1-1-PARA SECCION I'!J640</f>
        <v>#REF!</v>
      </c>
      <c r="X358" s="2436" t="e">
        <f>+'Compra -HOJA 1-1-PARA SECCION I'!K640</f>
        <v>#REF!</v>
      </c>
      <c r="Y358" s="2436" t="e">
        <f>+'Compra -HOJA 1-1-PARA SECCION I'!L640</f>
        <v>#REF!</v>
      </c>
      <c r="Z358" s="2436" t="e">
        <f>+'Compra -HOJA 1-1-PARA SECCION I'!M640</f>
        <v>#REF!</v>
      </c>
      <c r="AA358" s="2436" t="e">
        <f>+'Compra -HOJA 1-1-PARA SECCION I'!N640</f>
        <v>#REF!</v>
      </c>
      <c r="AB358" s="2436" t="e">
        <f>+'Compra -HOJA 1-1-PARA SECCION I'!O640</f>
        <v>#REF!</v>
      </c>
      <c r="AC358" s="2436" t="e">
        <f>+'Compra -HOJA 1-1-PARA SECCION I'!P640</f>
        <v>#REF!</v>
      </c>
      <c r="AD358" s="2436" t="e">
        <f>+'Compra -HOJA 1-1-PARA SECCION I'!Q640</f>
        <v>#REF!</v>
      </c>
      <c r="AF358" s="1490"/>
      <c r="AG358" s="1490"/>
      <c r="AH358" s="1490"/>
    </row>
    <row r="359" spans="1:34" ht="62.1" hidden="1" customHeight="1" thickBot="1" x14ac:dyDescent="0.5">
      <c r="A359" s="4599"/>
      <c r="B359" s="2423" t="s">
        <v>325</v>
      </c>
      <c r="C359" s="4601" t="s">
        <v>535</v>
      </c>
      <c r="D359" s="4601"/>
      <c r="E359" s="1679" t="e">
        <f>+'Compra -HOJA 1-1-PARA SECCION I'!G641</f>
        <v>#REF!</v>
      </c>
      <c r="F359" s="1679"/>
      <c r="G359" s="1679"/>
      <c r="H359" s="1679"/>
      <c r="I359" s="1680" t="e">
        <f t="shared" si="185"/>
        <v>#REF!</v>
      </c>
      <c r="J359" s="1680" t="e">
        <f t="shared" si="186"/>
        <v>#REF!</v>
      </c>
      <c r="K359" s="1680" t="e">
        <f t="shared" si="187"/>
        <v>#REF!</v>
      </c>
      <c r="L359" s="1680" t="e">
        <f t="shared" si="188"/>
        <v>#REF!</v>
      </c>
      <c r="M359" s="1680" t="e">
        <f t="shared" si="189"/>
        <v>#REF!</v>
      </c>
      <c r="N359" s="1680" t="e">
        <f t="shared" si="190"/>
        <v>#REF!</v>
      </c>
      <c r="O359" s="1619" t="e">
        <f t="shared" si="191"/>
        <v>#REF!</v>
      </c>
      <c r="P359" s="1619" t="e">
        <f t="shared" si="191"/>
        <v>#REF!</v>
      </c>
      <c r="Q359" s="1619" t="e">
        <f t="shared" si="191"/>
        <v>#REF!</v>
      </c>
      <c r="R359" s="4599"/>
      <c r="S359" s="2423" t="s">
        <v>325</v>
      </c>
      <c r="T359" s="4601" t="s">
        <v>535</v>
      </c>
      <c r="U359" s="4601"/>
      <c r="V359" s="2436" t="e">
        <f>+'Compra -HOJA 1-1-PARA SECCION I'!I641</f>
        <v>#REF!</v>
      </c>
      <c r="W359" s="2436" t="e">
        <f>+'Compra -HOJA 1-1-PARA SECCION I'!J641</f>
        <v>#REF!</v>
      </c>
      <c r="X359" s="2436" t="e">
        <f>+'Compra -HOJA 1-1-PARA SECCION I'!K641</f>
        <v>#REF!</v>
      </c>
      <c r="Y359" s="2436" t="e">
        <f>+'Compra -HOJA 1-1-PARA SECCION I'!L641</f>
        <v>#REF!</v>
      </c>
      <c r="Z359" s="2436" t="e">
        <f>+'Compra -HOJA 1-1-PARA SECCION I'!M641</f>
        <v>#REF!</v>
      </c>
      <c r="AA359" s="2436" t="e">
        <f>+'Compra -HOJA 1-1-PARA SECCION I'!N641</f>
        <v>#REF!</v>
      </c>
      <c r="AB359" s="2436" t="e">
        <f>+'Compra -HOJA 1-1-PARA SECCION I'!O641</f>
        <v>#REF!</v>
      </c>
      <c r="AC359" s="2436" t="e">
        <f>+'Compra -HOJA 1-1-PARA SECCION I'!P641</f>
        <v>#REF!</v>
      </c>
      <c r="AD359" s="2436" t="e">
        <f>+'Compra -HOJA 1-1-PARA SECCION I'!Q641</f>
        <v>#REF!</v>
      </c>
      <c r="AF359" s="1490" t="e">
        <f t="shared" ref="AF359:AH359" si="195">+V359+Y359</f>
        <v>#REF!</v>
      </c>
      <c r="AG359" s="1490" t="e">
        <f t="shared" si="195"/>
        <v>#REF!</v>
      </c>
      <c r="AH359" s="1490" t="e">
        <f t="shared" si="195"/>
        <v>#REF!</v>
      </c>
    </row>
    <row r="360" spans="1:34" ht="62.1" hidden="1" customHeight="1" thickBot="1" x14ac:dyDescent="0.5">
      <c r="A360" s="4600"/>
      <c r="B360" s="2423" t="s">
        <v>326</v>
      </c>
      <c r="C360" s="4601" t="s">
        <v>535</v>
      </c>
      <c r="D360" s="4601"/>
      <c r="E360" s="1679" t="e">
        <f>+'Compra -HOJA 1-1-PARA SECCION I'!G642</f>
        <v>#REF!</v>
      </c>
      <c r="F360" s="1679"/>
      <c r="G360" s="1679"/>
      <c r="H360" s="1679"/>
      <c r="I360" s="1680" t="e">
        <f t="shared" si="185"/>
        <v>#REF!</v>
      </c>
      <c r="J360" s="1680" t="e">
        <f t="shared" si="186"/>
        <v>#REF!</v>
      </c>
      <c r="K360" s="1680" t="e">
        <f t="shared" si="187"/>
        <v>#REF!</v>
      </c>
      <c r="L360" s="1680" t="e">
        <f t="shared" si="188"/>
        <v>#REF!</v>
      </c>
      <c r="M360" s="1680" t="e">
        <f t="shared" si="189"/>
        <v>#REF!</v>
      </c>
      <c r="N360" s="1680" t="e">
        <f t="shared" si="190"/>
        <v>#REF!</v>
      </c>
      <c r="O360" s="1619" t="e">
        <f t="shared" si="191"/>
        <v>#REF!</v>
      </c>
      <c r="P360" s="1619" t="e">
        <f t="shared" si="191"/>
        <v>#REF!</v>
      </c>
      <c r="Q360" s="1619" t="e">
        <f t="shared" si="191"/>
        <v>#REF!</v>
      </c>
      <c r="R360" s="4600"/>
      <c r="S360" s="2423" t="s">
        <v>326</v>
      </c>
      <c r="T360" s="4601" t="s">
        <v>535</v>
      </c>
      <c r="U360" s="4601"/>
      <c r="V360" s="2436" t="e">
        <f>+'Compra -HOJA 1-1-PARA SECCION I'!I642</f>
        <v>#REF!</v>
      </c>
      <c r="W360" s="2436" t="e">
        <f>+'Compra -HOJA 1-1-PARA SECCION I'!J642</f>
        <v>#REF!</v>
      </c>
      <c r="X360" s="2436" t="e">
        <f>+'Compra -HOJA 1-1-PARA SECCION I'!K642</f>
        <v>#REF!</v>
      </c>
      <c r="Y360" s="2436" t="e">
        <f>+'Compra -HOJA 1-1-PARA SECCION I'!L642</f>
        <v>#REF!</v>
      </c>
      <c r="Z360" s="2436" t="e">
        <f>+'Compra -HOJA 1-1-PARA SECCION I'!M642</f>
        <v>#REF!</v>
      </c>
      <c r="AA360" s="2436" t="e">
        <f>+'Compra -HOJA 1-1-PARA SECCION I'!N642</f>
        <v>#REF!</v>
      </c>
      <c r="AB360" s="2436" t="e">
        <f>+'Compra -HOJA 1-1-PARA SECCION I'!O642</f>
        <v>#REF!</v>
      </c>
      <c r="AC360" s="2436" t="e">
        <f>+'Compra -HOJA 1-1-PARA SECCION I'!P642</f>
        <v>#REF!</v>
      </c>
      <c r="AD360" s="2436" t="e">
        <f>+'Compra -HOJA 1-1-PARA SECCION I'!Q642</f>
        <v>#REF!</v>
      </c>
      <c r="AF360" s="1490" t="e">
        <f t="shared" si="192"/>
        <v>#REF!</v>
      </c>
      <c r="AG360" s="1490" t="e">
        <f t="shared" si="192"/>
        <v>#REF!</v>
      </c>
      <c r="AH360" s="1490" t="e">
        <f t="shared" si="192"/>
        <v>#REF!</v>
      </c>
    </row>
    <row r="361" spans="1:34" ht="62.1" hidden="1" customHeight="1" thickBot="1" x14ac:dyDescent="0.5">
      <c r="A361" s="3944" t="s">
        <v>21</v>
      </c>
      <c r="B361" s="4592" t="s">
        <v>210</v>
      </c>
      <c r="C361" s="4593"/>
      <c r="D361" s="4593"/>
      <c r="E361" s="1679">
        <f>+'Compra -HOJA 1-1-PARA SECCION I'!G643</f>
        <v>0</v>
      </c>
      <c r="F361" s="1679"/>
      <c r="G361" s="1679"/>
      <c r="H361" s="1679"/>
      <c r="I361" s="1680">
        <f t="shared" si="185"/>
        <v>0</v>
      </c>
      <c r="J361" s="1680">
        <f t="shared" si="186"/>
        <v>0</v>
      </c>
      <c r="K361" s="1680">
        <f t="shared" si="187"/>
        <v>0</v>
      </c>
      <c r="L361" s="1680" t="e">
        <f t="shared" si="188"/>
        <v>#REF!</v>
      </c>
      <c r="M361" s="1680" t="e">
        <f t="shared" si="189"/>
        <v>#REF!</v>
      </c>
      <c r="N361" s="1680" t="e">
        <f t="shared" si="190"/>
        <v>#REF!</v>
      </c>
      <c r="O361" s="1619" t="e">
        <f t="shared" si="191"/>
        <v>#REF!</v>
      </c>
      <c r="P361" s="1619" t="e">
        <f t="shared" si="191"/>
        <v>#REF!</v>
      </c>
      <c r="Q361" s="1619" t="e">
        <f t="shared" si="191"/>
        <v>#REF!</v>
      </c>
      <c r="R361" s="3944" t="s">
        <v>21</v>
      </c>
      <c r="S361" s="4592" t="s">
        <v>210</v>
      </c>
      <c r="T361" s="4593"/>
      <c r="U361" s="4593"/>
      <c r="V361" s="2436">
        <f>+'Compra -HOJA 1-1-PARA SECCION I'!I643</f>
        <v>0</v>
      </c>
      <c r="W361" s="2436">
        <f>+'Compra -HOJA 1-1-PARA SECCION I'!J643</f>
        <v>0</v>
      </c>
      <c r="X361" s="2436">
        <f>+'Compra -HOJA 1-1-PARA SECCION I'!K643</f>
        <v>0</v>
      </c>
      <c r="Y361" s="2436" t="e">
        <f>+'Compra -HOJA 1-1-PARA SECCION I'!L643</f>
        <v>#REF!</v>
      </c>
      <c r="Z361" s="2436" t="e">
        <f>+'Compra -HOJA 1-1-PARA SECCION I'!M643</f>
        <v>#REF!</v>
      </c>
      <c r="AA361" s="2436" t="e">
        <f>+'Compra -HOJA 1-1-PARA SECCION I'!N643</f>
        <v>#REF!</v>
      </c>
      <c r="AB361" s="2436" t="e">
        <f>+'Compra -HOJA 1-1-PARA SECCION I'!O643</f>
        <v>#REF!</v>
      </c>
      <c r="AC361" s="2436" t="e">
        <f>+'Compra -HOJA 1-1-PARA SECCION I'!P643</f>
        <v>#REF!</v>
      </c>
      <c r="AD361" s="2436" t="e">
        <f>+'Compra -HOJA 1-1-PARA SECCION I'!Q643</f>
        <v>#REF!</v>
      </c>
      <c r="AF361" s="1490" t="e">
        <f t="shared" si="192"/>
        <v>#REF!</v>
      </c>
      <c r="AG361" s="1490" t="e">
        <f t="shared" si="192"/>
        <v>#REF!</v>
      </c>
      <c r="AH361" s="1490" t="e">
        <f t="shared" si="192"/>
        <v>#REF!</v>
      </c>
    </row>
    <row r="362" spans="1:34" ht="62.1" hidden="1" customHeight="1" thickBot="1" x14ac:dyDescent="0.5">
      <c r="A362" s="3945"/>
      <c r="B362" s="4592" t="s">
        <v>211</v>
      </c>
      <c r="C362" s="4593"/>
      <c r="D362" s="4593"/>
      <c r="E362" s="1679">
        <f>+'Compra -HOJA 1-1-PARA SECCION I'!G644</f>
        <v>0</v>
      </c>
      <c r="F362" s="1679"/>
      <c r="G362" s="1679"/>
      <c r="H362" s="1679"/>
      <c r="I362" s="1680">
        <f t="shared" si="185"/>
        <v>0</v>
      </c>
      <c r="J362" s="1680">
        <f t="shared" si="186"/>
        <v>0</v>
      </c>
      <c r="K362" s="1680">
        <f t="shared" si="187"/>
        <v>0</v>
      </c>
      <c r="L362" s="1680" t="e">
        <f t="shared" si="188"/>
        <v>#REF!</v>
      </c>
      <c r="M362" s="1680" t="e">
        <f t="shared" si="189"/>
        <v>#REF!</v>
      </c>
      <c r="N362" s="1680" t="e">
        <f t="shared" si="190"/>
        <v>#REF!</v>
      </c>
      <c r="O362" s="1619" t="e">
        <f t="shared" si="191"/>
        <v>#REF!</v>
      </c>
      <c r="P362" s="1619" t="e">
        <f t="shared" si="191"/>
        <v>#REF!</v>
      </c>
      <c r="Q362" s="1619" t="e">
        <f t="shared" si="191"/>
        <v>#REF!</v>
      </c>
      <c r="R362" s="3945"/>
      <c r="S362" s="4592" t="s">
        <v>211</v>
      </c>
      <c r="T362" s="4593"/>
      <c r="U362" s="4593"/>
      <c r="V362" s="2436">
        <f>+'Compra -HOJA 1-1-PARA SECCION I'!I644</f>
        <v>0</v>
      </c>
      <c r="W362" s="2436">
        <f>+'Compra -HOJA 1-1-PARA SECCION I'!J644</f>
        <v>0</v>
      </c>
      <c r="X362" s="2436">
        <f>+'Compra -HOJA 1-1-PARA SECCION I'!K644</f>
        <v>0</v>
      </c>
      <c r="Y362" s="2436" t="e">
        <f>+'Compra -HOJA 1-1-PARA SECCION I'!L644</f>
        <v>#REF!</v>
      </c>
      <c r="Z362" s="2436" t="e">
        <f>+'Compra -HOJA 1-1-PARA SECCION I'!M644</f>
        <v>#REF!</v>
      </c>
      <c r="AA362" s="2436" t="e">
        <f>+'Compra -HOJA 1-1-PARA SECCION I'!N644</f>
        <v>#REF!</v>
      </c>
      <c r="AB362" s="2436" t="e">
        <f>+'Compra -HOJA 1-1-PARA SECCION I'!O644</f>
        <v>#REF!</v>
      </c>
      <c r="AC362" s="2436" t="e">
        <f>+'Compra -HOJA 1-1-PARA SECCION I'!P644</f>
        <v>#REF!</v>
      </c>
      <c r="AD362" s="2436" t="e">
        <f>+'Compra -HOJA 1-1-PARA SECCION I'!Q644</f>
        <v>#REF!</v>
      </c>
      <c r="AF362" s="1490" t="e">
        <f t="shared" si="192"/>
        <v>#REF!</v>
      </c>
      <c r="AG362" s="1490" t="e">
        <f t="shared" si="192"/>
        <v>#REF!</v>
      </c>
      <c r="AH362" s="1490" t="e">
        <f t="shared" si="192"/>
        <v>#REF!</v>
      </c>
    </row>
    <row r="363" spans="1:34" ht="62.1" hidden="1" customHeight="1" thickBot="1" x14ac:dyDescent="0.5">
      <c r="A363" s="2157"/>
      <c r="B363" s="4594" t="s">
        <v>619</v>
      </c>
      <c r="C363" s="4594"/>
      <c r="D363" s="4594"/>
      <c r="E363" s="1679" t="e">
        <f>+'Compra -HOJA 1-1-PARA SECCION I'!G645</f>
        <v>#REF!</v>
      </c>
      <c r="F363" s="1679"/>
      <c r="G363" s="1679"/>
      <c r="H363" s="1679"/>
      <c r="I363" s="1680" t="e">
        <f t="shared" si="185"/>
        <v>#REF!</v>
      </c>
      <c r="J363" s="1680" t="e">
        <f t="shared" si="186"/>
        <v>#REF!</v>
      </c>
      <c r="K363" s="1680" t="e">
        <f t="shared" si="187"/>
        <v>#REF!</v>
      </c>
      <c r="L363" s="1680" t="e">
        <f t="shared" si="188"/>
        <v>#REF!</v>
      </c>
      <c r="M363" s="1680" t="e">
        <f t="shared" si="189"/>
        <v>#REF!</v>
      </c>
      <c r="N363" s="1680" t="e">
        <f t="shared" si="190"/>
        <v>#REF!</v>
      </c>
      <c r="O363" s="1619" t="e">
        <f t="shared" si="191"/>
        <v>#REF!</v>
      </c>
      <c r="P363" s="1619" t="e">
        <f t="shared" si="191"/>
        <v>#REF!</v>
      </c>
      <c r="Q363" s="1619" t="e">
        <f t="shared" si="191"/>
        <v>#REF!</v>
      </c>
      <c r="R363" s="2157"/>
      <c r="S363" s="4594" t="s">
        <v>619</v>
      </c>
      <c r="T363" s="4594"/>
      <c r="U363" s="4594"/>
      <c r="V363" s="2436" t="e">
        <f>+'Compra -HOJA 1-1-PARA SECCION I'!I645</f>
        <v>#REF!</v>
      </c>
      <c r="W363" s="2436" t="e">
        <f>+'Compra -HOJA 1-1-PARA SECCION I'!J645</f>
        <v>#REF!</v>
      </c>
      <c r="X363" s="2436" t="e">
        <f>+'Compra -HOJA 1-1-PARA SECCION I'!K645</f>
        <v>#REF!</v>
      </c>
      <c r="Y363" s="2436" t="e">
        <f>+'Compra -HOJA 1-1-PARA SECCION I'!L645</f>
        <v>#REF!</v>
      </c>
      <c r="Z363" s="2436" t="e">
        <f>+'Compra -HOJA 1-1-PARA SECCION I'!M645</f>
        <v>#REF!</v>
      </c>
      <c r="AA363" s="2436" t="e">
        <f>+'Compra -HOJA 1-1-PARA SECCION I'!N645</f>
        <v>#REF!</v>
      </c>
      <c r="AB363" s="2436" t="e">
        <f>+'Compra -HOJA 1-1-PARA SECCION I'!O645</f>
        <v>#REF!</v>
      </c>
      <c r="AC363" s="2436" t="e">
        <f>+'Compra -HOJA 1-1-PARA SECCION I'!P645</f>
        <v>#REF!</v>
      </c>
      <c r="AD363" s="2436" t="e">
        <f>+'Compra -HOJA 1-1-PARA SECCION I'!Q645</f>
        <v>#REF!</v>
      </c>
      <c r="AF363" s="1490" t="e">
        <f t="shared" si="192"/>
        <v>#REF!</v>
      </c>
      <c r="AG363" s="1490" t="e">
        <f t="shared" si="192"/>
        <v>#REF!</v>
      </c>
      <c r="AH363" s="1490" t="e">
        <f t="shared" si="192"/>
        <v>#REF!</v>
      </c>
    </row>
    <row r="364" spans="1:34" ht="62.1" hidden="1" customHeight="1" thickBot="1" x14ac:dyDescent="0.5">
      <c r="A364" s="3956" t="s">
        <v>71</v>
      </c>
      <c r="B364" s="3794" t="s">
        <v>212</v>
      </c>
      <c r="C364" s="3795"/>
      <c r="D364" s="3795"/>
      <c r="E364" s="1679">
        <f>+'Compra -HOJA 1-1-PARA SECCION I'!G646</f>
        <v>0</v>
      </c>
      <c r="F364" s="1679"/>
      <c r="G364" s="1679"/>
      <c r="H364" s="1679"/>
      <c r="I364" s="1680">
        <f t="shared" si="185"/>
        <v>0</v>
      </c>
      <c r="J364" s="1680">
        <f t="shared" si="186"/>
        <v>0</v>
      </c>
      <c r="K364" s="1680">
        <f t="shared" si="187"/>
        <v>0</v>
      </c>
      <c r="L364" s="1680" t="e">
        <f t="shared" si="188"/>
        <v>#REF!</v>
      </c>
      <c r="M364" s="1680" t="e">
        <f t="shared" si="189"/>
        <v>#REF!</v>
      </c>
      <c r="N364" s="1680" t="e">
        <f t="shared" si="190"/>
        <v>#REF!</v>
      </c>
      <c r="O364" s="1619" t="e">
        <f t="shared" si="191"/>
        <v>#REF!</v>
      </c>
      <c r="P364" s="1619" t="e">
        <f t="shared" si="191"/>
        <v>#REF!</v>
      </c>
      <c r="Q364" s="1619" t="e">
        <f t="shared" si="191"/>
        <v>#REF!</v>
      </c>
      <c r="R364" s="3956" t="s">
        <v>71</v>
      </c>
      <c r="S364" s="3794" t="s">
        <v>212</v>
      </c>
      <c r="T364" s="3795"/>
      <c r="U364" s="3795"/>
      <c r="V364" s="2436">
        <f>+'Compra -HOJA 1-1-PARA SECCION I'!I646</f>
        <v>0</v>
      </c>
      <c r="W364" s="2436">
        <f>+'Compra -HOJA 1-1-PARA SECCION I'!J646</f>
        <v>0</v>
      </c>
      <c r="X364" s="2436">
        <f>+'Compra -HOJA 1-1-PARA SECCION I'!K646</f>
        <v>0</v>
      </c>
      <c r="Y364" s="2436" t="e">
        <f>+'Compra -HOJA 1-1-PARA SECCION I'!L646</f>
        <v>#REF!</v>
      </c>
      <c r="Z364" s="2436" t="e">
        <f>+'Compra -HOJA 1-1-PARA SECCION I'!M646</f>
        <v>#REF!</v>
      </c>
      <c r="AA364" s="2436" t="e">
        <f>+'Compra -HOJA 1-1-PARA SECCION I'!N646</f>
        <v>#REF!</v>
      </c>
      <c r="AB364" s="2436" t="e">
        <f>+'Compra -HOJA 1-1-PARA SECCION I'!O646</f>
        <v>#REF!</v>
      </c>
      <c r="AC364" s="2436" t="e">
        <f>+'Compra -HOJA 1-1-PARA SECCION I'!P646</f>
        <v>#REF!</v>
      </c>
      <c r="AD364" s="2436" t="e">
        <f>+'Compra -HOJA 1-1-PARA SECCION I'!Q646</f>
        <v>#REF!</v>
      </c>
      <c r="AF364" s="1490" t="e">
        <f t="shared" si="192"/>
        <v>#REF!</v>
      </c>
      <c r="AG364" s="1490" t="e">
        <f t="shared" si="192"/>
        <v>#REF!</v>
      </c>
      <c r="AH364" s="1490" t="e">
        <f t="shared" si="192"/>
        <v>#REF!</v>
      </c>
    </row>
    <row r="365" spans="1:34" ht="62.1" hidden="1" customHeight="1" thickBot="1" x14ac:dyDescent="0.5">
      <c r="A365" s="3957"/>
      <c r="B365" s="3794" t="s">
        <v>213</v>
      </c>
      <c r="C365" s="3795"/>
      <c r="D365" s="3795"/>
      <c r="E365" s="1679">
        <f>+'Compra -HOJA 1-1-PARA SECCION I'!G647</f>
        <v>0</v>
      </c>
      <c r="F365" s="1679"/>
      <c r="G365" s="1679"/>
      <c r="H365" s="1679"/>
      <c r="I365" s="1680">
        <f t="shared" si="185"/>
        <v>0</v>
      </c>
      <c r="J365" s="1680">
        <f t="shared" si="186"/>
        <v>0</v>
      </c>
      <c r="K365" s="1680">
        <f t="shared" si="187"/>
        <v>0</v>
      </c>
      <c r="L365" s="1680" t="e">
        <f t="shared" si="188"/>
        <v>#REF!</v>
      </c>
      <c r="M365" s="1680" t="e">
        <f t="shared" si="189"/>
        <v>#REF!</v>
      </c>
      <c r="N365" s="1680" t="e">
        <f t="shared" si="190"/>
        <v>#REF!</v>
      </c>
      <c r="O365" s="1619" t="e">
        <f t="shared" si="191"/>
        <v>#REF!</v>
      </c>
      <c r="P365" s="1619" t="e">
        <f t="shared" si="191"/>
        <v>#REF!</v>
      </c>
      <c r="Q365" s="1619" t="e">
        <f t="shared" si="191"/>
        <v>#REF!</v>
      </c>
      <c r="R365" s="3957"/>
      <c r="S365" s="3794" t="s">
        <v>213</v>
      </c>
      <c r="T365" s="3795"/>
      <c r="U365" s="3795"/>
      <c r="V365" s="2436">
        <f>+'Compra -HOJA 1-1-PARA SECCION I'!I647</f>
        <v>0</v>
      </c>
      <c r="W365" s="2436">
        <f>+'Compra -HOJA 1-1-PARA SECCION I'!J647</f>
        <v>0</v>
      </c>
      <c r="X365" s="2436">
        <f>+'Compra -HOJA 1-1-PARA SECCION I'!K647</f>
        <v>0</v>
      </c>
      <c r="Y365" s="2436" t="e">
        <f>+'Compra -HOJA 1-1-PARA SECCION I'!L647</f>
        <v>#REF!</v>
      </c>
      <c r="Z365" s="2436" t="e">
        <f>+'Compra -HOJA 1-1-PARA SECCION I'!M647</f>
        <v>#REF!</v>
      </c>
      <c r="AA365" s="2436" t="e">
        <f>+'Compra -HOJA 1-1-PARA SECCION I'!N647</f>
        <v>#REF!</v>
      </c>
      <c r="AB365" s="2436" t="e">
        <f>+'Compra -HOJA 1-1-PARA SECCION I'!O647</f>
        <v>#REF!</v>
      </c>
      <c r="AC365" s="2436" t="e">
        <f>+'Compra -HOJA 1-1-PARA SECCION I'!P647</f>
        <v>#REF!</v>
      </c>
      <c r="AD365" s="2436" t="e">
        <f>+'Compra -HOJA 1-1-PARA SECCION I'!Q647</f>
        <v>#REF!</v>
      </c>
      <c r="AF365" s="1490"/>
      <c r="AG365" s="1490"/>
      <c r="AH365" s="1490"/>
    </row>
    <row r="366" spans="1:34" ht="62.1" hidden="1" customHeight="1" thickBot="1" x14ac:dyDescent="0.5">
      <c r="A366" s="4595"/>
      <c r="B366" s="4594" t="s">
        <v>619</v>
      </c>
      <c r="C366" s="4594"/>
      <c r="D366" s="4594"/>
      <c r="E366" s="1679" t="e">
        <f>+'Compra -HOJA 1-1-PARA SECCION I'!G648</f>
        <v>#REF!</v>
      </c>
      <c r="F366" s="1679"/>
      <c r="G366" s="1679"/>
      <c r="H366" s="1679"/>
      <c r="I366" s="1680" t="e">
        <f t="shared" si="185"/>
        <v>#REF!</v>
      </c>
      <c r="J366" s="1680" t="e">
        <f t="shared" si="186"/>
        <v>#REF!</v>
      </c>
      <c r="K366" s="1680" t="e">
        <f t="shared" si="187"/>
        <v>#REF!</v>
      </c>
      <c r="L366" s="1680" t="e">
        <f t="shared" si="188"/>
        <v>#REF!</v>
      </c>
      <c r="M366" s="1680" t="e">
        <f t="shared" si="189"/>
        <v>#REF!</v>
      </c>
      <c r="N366" s="1680" t="e">
        <f t="shared" si="190"/>
        <v>#REF!</v>
      </c>
      <c r="O366" s="1619" t="e">
        <f t="shared" si="191"/>
        <v>#REF!</v>
      </c>
      <c r="P366" s="1619" t="e">
        <f t="shared" si="191"/>
        <v>#REF!</v>
      </c>
      <c r="Q366" s="1619" t="e">
        <f t="shared" si="191"/>
        <v>#REF!</v>
      </c>
      <c r="R366" s="4595"/>
      <c r="S366" s="4594" t="s">
        <v>619</v>
      </c>
      <c r="T366" s="4594"/>
      <c r="U366" s="4594"/>
      <c r="V366" s="2436" t="e">
        <f>+'Compra -HOJA 1-1-PARA SECCION I'!I648</f>
        <v>#REF!</v>
      </c>
      <c r="W366" s="2436" t="e">
        <f>+'Compra -HOJA 1-1-PARA SECCION I'!J648</f>
        <v>#REF!</v>
      </c>
      <c r="X366" s="2436" t="e">
        <f>+'Compra -HOJA 1-1-PARA SECCION I'!K648</f>
        <v>#REF!</v>
      </c>
      <c r="Y366" s="2436" t="e">
        <f>+'Compra -HOJA 1-1-PARA SECCION I'!L648</f>
        <v>#REF!</v>
      </c>
      <c r="Z366" s="2436" t="e">
        <f>+'Compra -HOJA 1-1-PARA SECCION I'!M648</f>
        <v>#REF!</v>
      </c>
      <c r="AA366" s="2436" t="e">
        <f>+'Compra -HOJA 1-1-PARA SECCION I'!N648</f>
        <v>#REF!</v>
      </c>
      <c r="AB366" s="2436" t="e">
        <f>+'Compra -HOJA 1-1-PARA SECCION I'!O648</f>
        <v>#REF!</v>
      </c>
      <c r="AC366" s="2436" t="e">
        <f>+'Compra -HOJA 1-1-PARA SECCION I'!P648</f>
        <v>#REF!</v>
      </c>
      <c r="AD366" s="2436" t="e">
        <f>+'Compra -HOJA 1-1-PARA SECCION I'!Q648</f>
        <v>#REF!</v>
      </c>
      <c r="AF366" s="1490"/>
      <c r="AG366" s="1490"/>
      <c r="AH366" s="1490"/>
    </row>
    <row r="367" spans="1:34" ht="62.1" hidden="1" customHeight="1" x14ac:dyDescent="0.45">
      <c r="A367" s="2447"/>
      <c r="B367" s="2448"/>
      <c r="C367" s="2449"/>
      <c r="D367" s="2450"/>
      <c r="E367" s="1679"/>
      <c r="F367" s="1679"/>
      <c r="G367" s="1679"/>
      <c r="H367" s="1679"/>
      <c r="I367" s="1680"/>
      <c r="J367" s="1680"/>
      <c r="K367" s="1680"/>
      <c r="L367" s="1680"/>
      <c r="M367" s="1680"/>
      <c r="N367" s="1680"/>
      <c r="O367" s="1619">
        <f t="shared" si="191"/>
        <v>0</v>
      </c>
      <c r="P367" s="1619">
        <f t="shared" si="191"/>
        <v>0</v>
      </c>
      <c r="Q367" s="1619">
        <f t="shared" si="191"/>
        <v>0</v>
      </c>
      <c r="R367" s="2447"/>
      <c r="S367" s="2448"/>
      <c r="T367" s="2449"/>
      <c r="U367" s="2450"/>
      <c r="V367" s="2436"/>
      <c r="W367" s="1659"/>
      <c r="X367" s="1659"/>
      <c r="Y367" s="1659"/>
      <c r="Z367" s="1659"/>
      <c r="AA367" s="1659"/>
      <c r="AB367" s="1659"/>
      <c r="AC367" s="1659"/>
      <c r="AD367" s="1659"/>
      <c r="AF367" s="1490"/>
      <c r="AG367" s="1490">
        <f t="shared" si="192"/>
        <v>0</v>
      </c>
      <c r="AH367" s="1490">
        <f t="shared" si="192"/>
        <v>0</v>
      </c>
    </row>
    <row r="368" spans="1:34" ht="62.1" hidden="1" customHeight="1" x14ac:dyDescent="0.45">
      <c r="A368" s="2447"/>
      <c r="B368" s="2448"/>
      <c r="C368" s="2449"/>
      <c r="D368" s="2450"/>
      <c r="E368" s="1679"/>
      <c r="F368" s="1679"/>
      <c r="G368" s="1679"/>
      <c r="H368" s="1679"/>
      <c r="I368" s="1680"/>
      <c r="J368" s="1680"/>
      <c r="K368" s="1680"/>
      <c r="L368" s="1680"/>
      <c r="M368" s="1680"/>
      <c r="N368" s="1680"/>
      <c r="O368" s="1619">
        <f t="shared" si="191"/>
        <v>0</v>
      </c>
      <c r="P368" s="1619">
        <f t="shared" si="191"/>
        <v>0</v>
      </c>
      <c r="Q368" s="1619">
        <f t="shared" si="191"/>
        <v>0</v>
      </c>
      <c r="R368" s="2447"/>
      <c r="S368" s="2448"/>
      <c r="T368" s="2449"/>
      <c r="U368" s="2450"/>
      <c r="V368" s="2436"/>
      <c r="W368" s="1659"/>
      <c r="X368" s="1659"/>
      <c r="Y368" s="1659"/>
      <c r="Z368" s="1659"/>
      <c r="AA368" s="1659"/>
      <c r="AB368" s="1659"/>
      <c r="AC368" s="1659"/>
      <c r="AD368" s="1659"/>
      <c r="AF368" s="1490"/>
      <c r="AG368" s="1490"/>
      <c r="AH368" s="1490"/>
    </row>
    <row r="369" spans="1:34" ht="62.1" hidden="1" customHeight="1" x14ac:dyDescent="0.45">
      <c r="A369" s="2447"/>
      <c r="B369" s="2448"/>
      <c r="C369" s="2449"/>
      <c r="D369" s="2450"/>
      <c r="E369" s="1679"/>
      <c r="F369" s="1679"/>
      <c r="G369" s="1679"/>
      <c r="H369" s="1679"/>
      <c r="I369" s="1680"/>
      <c r="J369" s="1680"/>
      <c r="K369" s="1680"/>
      <c r="L369" s="1680"/>
      <c r="M369" s="1680"/>
      <c r="N369" s="1680"/>
      <c r="O369" s="1619">
        <f t="shared" si="191"/>
        <v>0</v>
      </c>
      <c r="P369" s="1619">
        <f t="shared" si="191"/>
        <v>0</v>
      </c>
      <c r="Q369" s="1619">
        <f t="shared" si="191"/>
        <v>0</v>
      </c>
      <c r="R369" s="2447"/>
      <c r="S369" s="2448"/>
      <c r="T369" s="2449"/>
      <c r="U369" s="2450"/>
      <c r="V369" s="2436"/>
      <c r="W369" s="1659"/>
      <c r="X369" s="1659"/>
      <c r="Y369" s="1659"/>
      <c r="Z369" s="1659"/>
      <c r="AA369" s="1659"/>
      <c r="AB369" s="1659"/>
      <c r="AC369" s="1659"/>
      <c r="AD369" s="1659"/>
      <c r="AF369" s="1490"/>
      <c r="AG369" s="1490"/>
      <c r="AH369" s="1490"/>
    </row>
    <row r="370" spans="1:34" ht="62.1" hidden="1" customHeight="1" x14ac:dyDescent="0.45">
      <c r="A370" s="2447"/>
      <c r="B370" s="2451"/>
      <c r="C370" s="2449"/>
      <c r="D370" s="2450"/>
      <c r="E370" s="1679"/>
      <c r="F370" s="1679"/>
      <c r="G370" s="1679"/>
      <c r="H370" s="1679"/>
      <c r="I370" s="1680"/>
      <c r="J370" s="1680"/>
      <c r="K370" s="1680"/>
      <c r="L370" s="1680"/>
      <c r="M370" s="1680"/>
      <c r="N370" s="1680"/>
      <c r="O370" s="1619">
        <f t="shared" si="191"/>
        <v>0</v>
      </c>
      <c r="P370" s="1619">
        <f t="shared" si="191"/>
        <v>0</v>
      </c>
      <c r="Q370" s="1619">
        <f t="shared" si="191"/>
        <v>0</v>
      </c>
      <c r="R370" s="2447"/>
      <c r="S370" s="2451"/>
      <c r="T370" s="2452"/>
      <c r="U370" s="2453"/>
      <c r="V370" s="2436"/>
      <c r="W370" s="1659"/>
      <c r="X370" s="1659"/>
      <c r="Y370" s="1659"/>
      <c r="Z370" s="1659"/>
      <c r="AA370" s="1659"/>
      <c r="AB370" s="1659"/>
      <c r="AC370" s="1659"/>
      <c r="AD370" s="1659"/>
    </row>
    <row r="371" spans="1:34" ht="62.1" hidden="1" customHeight="1" x14ac:dyDescent="0.45">
      <c r="A371" s="2447"/>
      <c r="B371" s="2451"/>
      <c r="C371" s="2449"/>
      <c r="D371" s="2450"/>
      <c r="E371" s="1679"/>
      <c r="F371" s="1679"/>
      <c r="G371" s="1679"/>
      <c r="H371" s="1679"/>
      <c r="I371" s="1680"/>
      <c r="J371" s="1680"/>
      <c r="K371" s="1680"/>
      <c r="L371" s="1680"/>
      <c r="M371" s="1680"/>
      <c r="N371" s="1680"/>
      <c r="O371" s="1619">
        <f t="shared" si="191"/>
        <v>0</v>
      </c>
      <c r="P371" s="1619">
        <f t="shared" si="191"/>
        <v>0</v>
      </c>
      <c r="Q371" s="1619">
        <f t="shared" si="191"/>
        <v>0</v>
      </c>
      <c r="R371" s="2447"/>
      <c r="S371" s="2451"/>
      <c r="T371" s="2452"/>
      <c r="U371" s="2453"/>
      <c r="V371" s="2436"/>
      <c r="W371" s="1659"/>
      <c r="X371" s="1659"/>
      <c r="Y371" s="1659"/>
      <c r="Z371" s="1659"/>
      <c r="AA371" s="1659"/>
      <c r="AB371" s="1659"/>
      <c r="AC371" s="1659"/>
      <c r="AD371" s="1659"/>
    </row>
    <row r="372" spans="1:34" ht="62.1" hidden="1" customHeight="1" x14ac:dyDescent="0.45">
      <c r="A372" s="2447"/>
      <c r="B372" s="2451"/>
      <c r="C372" s="2449"/>
      <c r="D372" s="2450"/>
      <c r="E372" s="1679"/>
      <c r="F372" s="1679"/>
      <c r="G372" s="1679"/>
      <c r="H372" s="1679"/>
      <c r="I372" s="1680"/>
      <c r="J372" s="1680"/>
      <c r="K372" s="1680"/>
      <c r="L372" s="1680"/>
      <c r="M372" s="1680"/>
      <c r="N372" s="1680"/>
      <c r="O372" s="1619">
        <f t="shared" si="191"/>
        <v>0</v>
      </c>
      <c r="P372" s="1619">
        <f t="shared" si="191"/>
        <v>0</v>
      </c>
      <c r="Q372" s="1619">
        <f t="shared" si="191"/>
        <v>0</v>
      </c>
      <c r="R372" s="2447"/>
      <c r="S372" s="2451"/>
      <c r="T372" s="2452"/>
      <c r="U372" s="2453"/>
      <c r="V372" s="2436"/>
      <c r="W372" s="1659"/>
      <c r="X372" s="1659"/>
      <c r="Y372" s="1659"/>
      <c r="Z372" s="1659"/>
      <c r="AA372" s="1659"/>
      <c r="AB372" s="1659"/>
      <c r="AC372" s="1659"/>
      <c r="AD372" s="1659"/>
    </row>
    <row r="373" spans="1:34" ht="62.1" hidden="1" customHeight="1" x14ac:dyDescent="0.45">
      <c r="A373" s="2447"/>
      <c r="B373" s="2452"/>
      <c r="C373" s="2479"/>
      <c r="D373" s="2455"/>
      <c r="E373" s="1679"/>
      <c r="F373" s="1679"/>
      <c r="G373" s="1679"/>
      <c r="H373" s="1679"/>
      <c r="I373" s="1680"/>
      <c r="J373" s="1680"/>
      <c r="K373" s="1680"/>
      <c r="L373" s="1680"/>
      <c r="M373" s="1680"/>
      <c r="N373" s="1680"/>
      <c r="O373" s="1619">
        <f t="shared" si="191"/>
        <v>0</v>
      </c>
      <c r="P373" s="1619">
        <f t="shared" si="191"/>
        <v>0</v>
      </c>
      <c r="Q373" s="1619">
        <f t="shared" si="191"/>
        <v>0</v>
      </c>
      <c r="R373" s="2447"/>
      <c r="S373" s="2452"/>
      <c r="T373" s="2454"/>
      <c r="U373" s="2455"/>
      <c r="V373" s="2436"/>
      <c r="W373" s="1659"/>
      <c r="X373" s="1659"/>
      <c r="Y373" s="1659"/>
      <c r="Z373" s="1659"/>
      <c r="AA373" s="1659"/>
      <c r="AB373" s="1659"/>
      <c r="AC373" s="1659"/>
      <c r="AD373" s="1659"/>
    </row>
    <row r="374" spans="1:34" ht="62.1" hidden="1" customHeight="1" x14ac:dyDescent="0.45">
      <c r="A374" s="2447"/>
      <c r="B374" s="2452"/>
      <c r="C374" s="2480"/>
      <c r="D374" s="2455"/>
      <c r="E374" s="1679"/>
      <c r="F374" s="1679"/>
      <c r="G374" s="1679"/>
      <c r="H374" s="1679"/>
      <c r="I374" s="1680"/>
      <c r="J374" s="1680"/>
      <c r="K374" s="1680"/>
      <c r="L374" s="1680"/>
      <c r="M374" s="1680"/>
      <c r="N374" s="1680"/>
      <c r="O374" s="1619">
        <f t="shared" si="191"/>
        <v>0</v>
      </c>
      <c r="P374" s="1619">
        <f t="shared" si="191"/>
        <v>0</v>
      </c>
      <c r="Q374" s="1619">
        <f t="shared" si="191"/>
        <v>0</v>
      </c>
      <c r="R374" s="2447"/>
      <c r="S374" s="2452"/>
      <c r="T374" s="2454"/>
      <c r="U374" s="2455"/>
      <c r="V374" s="2436"/>
      <c r="W374" s="1659"/>
      <c r="X374" s="1659"/>
      <c r="Y374" s="1659"/>
      <c r="Z374" s="1659"/>
      <c r="AA374" s="1659"/>
      <c r="AB374" s="1659"/>
      <c r="AC374" s="1659"/>
      <c r="AD374" s="1659"/>
    </row>
    <row r="375" spans="1:34" ht="62.1" hidden="1" customHeight="1" x14ac:dyDescent="0.45">
      <c r="A375" s="2447"/>
      <c r="B375" s="2452"/>
      <c r="C375" s="2481"/>
      <c r="D375" s="2455"/>
      <c r="E375" s="1679"/>
      <c r="F375" s="1679"/>
      <c r="G375" s="1679"/>
      <c r="H375" s="1679"/>
      <c r="I375" s="1680"/>
      <c r="J375" s="1680"/>
      <c r="K375" s="1680"/>
      <c r="L375" s="1680"/>
      <c r="M375" s="1680"/>
      <c r="N375" s="1680"/>
      <c r="O375" s="1619">
        <f t="shared" si="191"/>
        <v>0</v>
      </c>
      <c r="P375" s="1619">
        <f t="shared" si="191"/>
        <v>0</v>
      </c>
      <c r="Q375" s="1619">
        <f t="shared" si="191"/>
        <v>0</v>
      </c>
      <c r="R375" s="2447"/>
      <c r="S375" s="2452"/>
      <c r="T375" s="2454"/>
      <c r="U375" s="2455"/>
      <c r="V375" s="2436"/>
      <c r="W375" s="1659"/>
      <c r="X375" s="1659"/>
      <c r="Y375" s="1659"/>
      <c r="Z375" s="1659"/>
      <c r="AA375" s="1659"/>
      <c r="AB375" s="1659"/>
      <c r="AC375" s="1659"/>
      <c r="AD375" s="1659"/>
    </row>
    <row r="376" spans="1:34" ht="62.1" hidden="1" customHeight="1" x14ac:dyDescent="0.45">
      <c r="A376" s="2447"/>
      <c r="B376" s="2452"/>
      <c r="C376" s="2456"/>
      <c r="D376" s="2455"/>
      <c r="E376" s="1679"/>
      <c r="F376" s="1679"/>
      <c r="G376" s="1679"/>
      <c r="H376" s="1679"/>
      <c r="I376" s="1680"/>
      <c r="J376" s="1680"/>
      <c r="K376" s="1680"/>
      <c r="L376" s="1680"/>
      <c r="M376" s="1680"/>
      <c r="N376" s="1680"/>
      <c r="O376" s="1619">
        <f t="shared" si="191"/>
        <v>0</v>
      </c>
      <c r="P376" s="1619">
        <f t="shared" si="191"/>
        <v>0</v>
      </c>
      <c r="Q376" s="1619">
        <f t="shared" si="191"/>
        <v>0</v>
      </c>
      <c r="R376" s="2447"/>
      <c r="S376" s="2452"/>
      <c r="T376" s="2456"/>
      <c r="U376" s="2455"/>
      <c r="V376" s="2436"/>
      <c r="W376" s="1659"/>
      <c r="X376" s="1659"/>
      <c r="Y376" s="1659"/>
      <c r="Z376" s="1659"/>
      <c r="AA376" s="1659"/>
      <c r="AB376" s="1659"/>
      <c r="AC376" s="1659"/>
      <c r="AD376" s="1659"/>
    </row>
    <row r="377" spans="1:34" ht="62.1" hidden="1" customHeight="1" thickBot="1" x14ac:dyDescent="0.5">
      <c r="A377" s="2457"/>
      <c r="B377" s="2458"/>
      <c r="C377" s="2482"/>
      <c r="D377" s="2483"/>
      <c r="E377" s="1679"/>
      <c r="F377" s="1679"/>
      <c r="G377" s="1679"/>
      <c r="H377" s="1679"/>
      <c r="I377" s="1680"/>
      <c r="J377" s="1680"/>
      <c r="K377" s="1680"/>
      <c r="L377" s="1680"/>
      <c r="M377" s="1680"/>
      <c r="N377" s="1680"/>
      <c r="O377" s="1619">
        <f t="shared" si="191"/>
        <v>0</v>
      </c>
      <c r="P377" s="1619">
        <f t="shared" si="191"/>
        <v>0</v>
      </c>
      <c r="Q377" s="1619">
        <f t="shared" si="191"/>
        <v>0</v>
      </c>
      <c r="R377" s="2457"/>
      <c r="S377" s="2458"/>
      <c r="T377" s="2459"/>
      <c r="U377" s="2460"/>
      <c r="V377" s="2436"/>
      <c r="W377" s="1659"/>
      <c r="X377" s="1659"/>
      <c r="Y377" s="1659"/>
      <c r="Z377" s="1659"/>
      <c r="AA377" s="1659"/>
      <c r="AB377" s="1659"/>
      <c r="AC377" s="1659"/>
      <c r="AD377" s="1659"/>
    </row>
    <row r="378" spans="1:34" ht="62.1" hidden="1" customHeight="1" thickBot="1" x14ac:dyDescent="0.5">
      <c r="A378" s="5062"/>
      <c r="B378" s="2462"/>
      <c r="C378" s="5059"/>
      <c r="D378" s="5060"/>
      <c r="E378" s="1679"/>
      <c r="F378" s="1679"/>
      <c r="G378" s="1679"/>
      <c r="H378" s="1679"/>
      <c r="I378" s="1680"/>
      <c r="J378" s="1680"/>
      <c r="K378" s="1680"/>
      <c r="L378" s="1680"/>
      <c r="M378" s="1680"/>
      <c r="N378" s="1680"/>
      <c r="O378" s="1619">
        <f t="shared" si="191"/>
        <v>0</v>
      </c>
      <c r="P378" s="1619">
        <f t="shared" si="191"/>
        <v>0</v>
      </c>
      <c r="Q378" s="1619">
        <f t="shared" si="191"/>
        <v>0</v>
      </c>
      <c r="R378" s="2461"/>
      <c r="S378" s="2462"/>
      <c r="T378" s="2463"/>
      <c r="U378" s="2464"/>
      <c r="V378" s="2436"/>
      <c r="W378" s="1659"/>
      <c r="X378" s="1659"/>
      <c r="Y378" s="1659"/>
      <c r="Z378" s="1659"/>
      <c r="AA378" s="1659"/>
      <c r="AB378" s="1659"/>
      <c r="AC378" s="1659"/>
      <c r="AD378" s="1659"/>
    </row>
    <row r="379" spans="1:34" ht="62.1" hidden="1" customHeight="1" thickBot="1" x14ac:dyDescent="0.5">
      <c r="A379" s="5063"/>
      <c r="B379" s="2466"/>
      <c r="C379" s="5059"/>
      <c r="D379" s="5060"/>
      <c r="E379" s="1679"/>
      <c r="F379" s="1679"/>
      <c r="G379" s="1679"/>
      <c r="H379" s="1679"/>
      <c r="I379" s="1680"/>
      <c r="J379" s="1680"/>
      <c r="K379" s="1680"/>
      <c r="L379" s="1680"/>
      <c r="M379" s="1680"/>
      <c r="N379" s="1680"/>
      <c r="O379" s="1619">
        <f t="shared" si="191"/>
        <v>0</v>
      </c>
      <c r="P379" s="1619">
        <f t="shared" si="191"/>
        <v>0</v>
      </c>
      <c r="Q379" s="1619">
        <f t="shared" si="191"/>
        <v>0</v>
      </c>
      <c r="R379" s="2465"/>
      <c r="S379" s="2466"/>
      <c r="T379" s="2463"/>
      <c r="U379" s="2464"/>
      <c r="V379" s="2436"/>
      <c r="W379" s="1659"/>
      <c r="X379" s="1659"/>
      <c r="Y379" s="1659"/>
      <c r="Z379" s="1659"/>
      <c r="AA379" s="1659"/>
      <c r="AB379" s="1659"/>
      <c r="AC379" s="1659"/>
      <c r="AD379" s="1659"/>
    </row>
    <row r="380" spans="1:34" ht="62.1" hidden="1" customHeight="1" thickBot="1" x14ac:dyDescent="0.5">
      <c r="A380" s="5063"/>
      <c r="B380" s="2466"/>
      <c r="C380" s="5059"/>
      <c r="D380" s="5060"/>
      <c r="E380" s="1679"/>
      <c r="F380" s="1679"/>
      <c r="G380" s="1679"/>
      <c r="H380" s="1679"/>
      <c r="I380" s="1680"/>
      <c r="J380" s="1680"/>
      <c r="K380" s="1680"/>
      <c r="L380" s="1680"/>
      <c r="M380" s="1680"/>
      <c r="N380" s="1680"/>
      <c r="O380" s="1619">
        <f t="shared" si="191"/>
        <v>0</v>
      </c>
      <c r="P380" s="1619">
        <f t="shared" si="191"/>
        <v>0</v>
      </c>
      <c r="Q380" s="1619">
        <f t="shared" si="191"/>
        <v>0</v>
      </c>
      <c r="R380" s="2465"/>
      <c r="S380" s="2466"/>
      <c r="T380" s="2463"/>
      <c r="U380" s="2464"/>
      <c r="V380" s="2436"/>
      <c r="W380" s="1659"/>
      <c r="X380" s="1659"/>
      <c r="Y380" s="1659"/>
      <c r="Z380" s="1659"/>
      <c r="AA380" s="1659"/>
      <c r="AB380" s="1659"/>
      <c r="AC380" s="1659"/>
      <c r="AD380" s="1659"/>
    </row>
    <row r="381" spans="1:34" ht="62.1" hidden="1" customHeight="1" thickBot="1" x14ac:dyDescent="0.5">
      <c r="A381" s="5063"/>
      <c r="B381" s="2466"/>
      <c r="C381" s="5059"/>
      <c r="D381" s="5060"/>
      <c r="E381" s="1679"/>
      <c r="F381" s="1679"/>
      <c r="G381" s="1679"/>
      <c r="H381" s="1679"/>
      <c r="I381" s="1680"/>
      <c r="J381" s="1680"/>
      <c r="K381" s="1680"/>
      <c r="L381" s="1680"/>
      <c r="M381" s="1680"/>
      <c r="N381" s="1680"/>
      <c r="O381" s="1619">
        <f t="shared" si="191"/>
        <v>0</v>
      </c>
      <c r="P381" s="1619">
        <f t="shared" si="191"/>
        <v>0</v>
      </c>
      <c r="Q381" s="1619">
        <f t="shared" si="191"/>
        <v>0</v>
      </c>
      <c r="R381" s="2465"/>
      <c r="S381" s="2466"/>
      <c r="T381" s="2463"/>
      <c r="U381" s="2464"/>
      <c r="V381" s="2436"/>
      <c r="W381" s="1659"/>
      <c r="X381" s="1659"/>
      <c r="Y381" s="1659"/>
      <c r="Z381" s="1659"/>
      <c r="AA381" s="1659"/>
      <c r="AB381" s="1659"/>
      <c r="AC381" s="1659"/>
      <c r="AD381" s="1659"/>
    </row>
    <row r="382" spans="1:34" ht="62.1" hidden="1" customHeight="1" thickBot="1" x14ac:dyDescent="0.5">
      <c r="A382" s="5064"/>
      <c r="B382" s="2466"/>
      <c r="C382" s="5059"/>
      <c r="D382" s="5060"/>
      <c r="E382" s="1679"/>
      <c r="F382" s="1679"/>
      <c r="G382" s="1679"/>
      <c r="H382" s="1679"/>
      <c r="I382" s="1680"/>
      <c r="J382" s="1680"/>
      <c r="K382" s="1680"/>
      <c r="L382" s="1680"/>
      <c r="M382" s="1680"/>
      <c r="N382" s="1680"/>
      <c r="O382" s="1619">
        <f t="shared" si="191"/>
        <v>0</v>
      </c>
      <c r="P382" s="1619">
        <f t="shared" si="191"/>
        <v>0</v>
      </c>
      <c r="Q382" s="1619">
        <f t="shared" si="191"/>
        <v>0</v>
      </c>
      <c r="R382" s="2467"/>
      <c r="S382" s="2466"/>
      <c r="T382" s="2463"/>
      <c r="U382" s="2464"/>
      <c r="V382" s="2436"/>
      <c r="W382" s="1659"/>
      <c r="X382" s="1659"/>
      <c r="Y382" s="1659"/>
      <c r="Z382" s="1659"/>
      <c r="AA382" s="1659"/>
      <c r="AB382" s="1659"/>
      <c r="AC382" s="1659"/>
      <c r="AD382" s="1659"/>
    </row>
    <row r="383" spans="1:34" ht="62.1" hidden="1" customHeight="1" thickBot="1" x14ac:dyDescent="0.5">
      <c r="A383" s="4537"/>
      <c r="B383" s="5055"/>
      <c r="C383" s="5056"/>
      <c r="D383" s="5056"/>
      <c r="E383" s="1679"/>
      <c r="F383" s="1679"/>
      <c r="G383" s="1679"/>
      <c r="H383" s="1679"/>
      <c r="I383" s="1680"/>
      <c r="J383" s="1680"/>
      <c r="K383" s="1680"/>
      <c r="L383" s="1680"/>
      <c r="M383" s="1680"/>
      <c r="N383" s="1680"/>
      <c r="O383" s="1619">
        <f t="shared" si="191"/>
        <v>0</v>
      </c>
      <c r="P383" s="1619">
        <f t="shared" si="191"/>
        <v>0</v>
      </c>
      <c r="Q383" s="1619">
        <f t="shared" si="191"/>
        <v>0</v>
      </c>
      <c r="R383" s="2468"/>
      <c r="S383" s="2469"/>
      <c r="T383" s="2470"/>
      <c r="U383" s="2470"/>
      <c r="V383" s="2436"/>
      <c r="W383" s="2436"/>
      <c r="X383" s="2436"/>
      <c r="Y383" s="2436"/>
      <c r="Z383" s="2436"/>
      <c r="AA383" s="2436"/>
      <c r="AB383" s="2436"/>
      <c r="AC383" s="2436"/>
      <c r="AD383" s="2436"/>
    </row>
    <row r="384" spans="1:34" ht="62.1" hidden="1" customHeight="1" thickBot="1" x14ac:dyDescent="0.5">
      <c r="A384" s="5061"/>
      <c r="B384" s="5055"/>
      <c r="C384" s="5056"/>
      <c r="D384" s="5056"/>
      <c r="E384" s="1679"/>
      <c r="F384" s="1679"/>
      <c r="G384" s="1679"/>
      <c r="H384" s="1679"/>
      <c r="I384" s="1680"/>
      <c r="J384" s="1680"/>
      <c r="K384" s="1680"/>
      <c r="L384" s="1680"/>
      <c r="M384" s="1680"/>
      <c r="N384" s="1680"/>
      <c r="O384" s="1619">
        <f t="shared" si="191"/>
        <v>0</v>
      </c>
      <c r="P384" s="1619">
        <f t="shared" si="191"/>
        <v>0</v>
      </c>
      <c r="Q384" s="1619">
        <f t="shared" si="191"/>
        <v>0</v>
      </c>
      <c r="R384" s="2471"/>
      <c r="S384" s="2469"/>
      <c r="T384" s="2470"/>
      <c r="U384" s="2470"/>
      <c r="V384" s="2436"/>
      <c r="W384" s="2436"/>
      <c r="X384" s="2436"/>
      <c r="Y384" s="2436"/>
      <c r="Z384" s="2436"/>
      <c r="AA384" s="2436"/>
      <c r="AB384" s="2436"/>
      <c r="AC384" s="2436"/>
      <c r="AD384" s="2436"/>
    </row>
    <row r="385" spans="1:30" ht="62.1" hidden="1" customHeight="1" thickBot="1" x14ac:dyDescent="0.5">
      <c r="A385" s="4538"/>
      <c r="B385" s="5050"/>
      <c r="C385" s="5051"/>
      <c r="D385" s="5051"/>
      <c r="E385" s="1679"/>
      <c r="F385" s="1679"/>
      <c r="G385" s="1679"/>
      <c r="H385" s="1679"/>
      <c r="I385" s="1680"/>
      <c r="J385" s="1680"/>
      <c r="K385" s="1680"/>
      <c r="L385" s="1680"/>
      <c r="M385" s="1680"/>
      <c r="N385" s="1680"/>
      <c r="O385" s="1619">
        <f t="shared" ref="O385:Q392" si="196">+I385+L385</f>
        <v>0</v>
      </c>
      <c r="P385" s="1619">
        <f t="shared" si="196"/>
        <v>0</v>
      </c>
      <c r="Q385" s="1619">
        <f t="shared" si="196"/>
        <v>0</v>
      </c>
      <c r="R385" s="2472"/>
      <c r="S385" s="2473"/>
      <c r="T385" s="2473"/>
      <c r="U385" s="2473"/>
      <c r="V385" s="2436"/>
      <c r="W385" s="2436"/>
      <c r="X385" s="2436"/>
      <c r="Y385" s="2436"/>
      <c r="Z385" s="2436"/>
      <c r="AA385" s="2436"/>
      <c r="AB385" s="2436"/>
      <c r="AC385" s="2436"/>
      <c r="AD385" s="2436"/>
    </row>
    <row r="386" spans="1:30" ht="62.1" hidden="1" customHeight="1" thickBot="1" x14ac:dyDescent="0.5">
      <c r="A386" s="5052"/>
      <c r="B386" s="5055"/>
      <c r="C386" s="5056"/>
      <c r="D386" s="5057"/>
      <c r="E386" s="1679"/>
      <c r="F386" s="1679"/>
      <c r="G386" s="1679"/>
      <c r="H386" s="1679"/>
      <c r="I386" s="1680"/>
      <c r="J386" s="1680"/>
      <c r="K386" s="1680"/>
      <c r="L386" s="1680"/>
      <c r="M386" s="1680"/>
      <c r="N386" s="1680"/>
      <c r="O386" s="1619">
        <f t="shared" si="196"/>
        <v>0</v>
      </c>
      <c r="P386" s="1619">
        <f t="shared" si="196"/>
        <v>0</v>
      </c>
      <c r="Q386" s="1619">
        <f t="shared" si="196"/>
        <v>0</v>
      </c>
      <c r="R386" s="2474"/>
      <c r="S386" s="2475"/>
      <c r="T386" s="2476"/>
      <c r="U386" s="2477"/>
      <c r="V386" s="2436"/>
      <c r="W386" s="2436"/>
      <c r="X386" s="2436"/>
      <c r="Y386" s="2436"/>
      <c r="Z386" s="2436"/>
      <c r="AA386" s="2436"/>
      <c r="AB386" s="2436"/>
      <c r="AC386" s="2436"/>
      <c r="AD386" s="2436"/>
    </row>
    <row r="387" spans="1:30" ht="62.1" hidden="1" customHeight="1" thickBot="1" x14ac:dyDescent="0.5">
      <c r="A387" s="5053"/>
      <c r="B387" s="5055"/>
      <c r="C387" s="5056"/>
      <c r="D387" s="5057"/>
      <c r="E387" s="1679"/>
      <c r="F387" s="1679"/>
      <c r="G387" s="1679"/>
      <c r="H387" s="1679"/>
      <c r="I387" s="1680"/>
      <c r="J387" s="1680"/>
      <c r="K387" s="1680"/>
      <c r="L387" s="1680"/>
      <c r="M387" s="1680"/>
      <c r="N387" s="1680"/>
      <c r="O387" s="1619">
        <f t="shared" si="196"/>
        <v>0</v>
      </c>
      <c r="P387" s="1619">
        <f t="shared" si="196"/>
        <v>0</v>
      </c>
      <c r="Q387" s="1619">
        <f t="shared" si="196"/>
        <v>0</v>
      </c>
      <c r="R387" s="1633"/>
      <c r="S387" s="2475"/>
      <c r="T387" s="2476"/>
      <c r="U387" s="2477"/>
      <c r="V387" s="2436"/>
      <c r="W387" s="2436"/>
      <c r="X387" s="2436"/>
      <c r="Y387" s="2436"/>
      <c r="Z387" s="2436"/>
      <c r="AA387" s="2436"/>
      <c r="AB387" s="2436"/>
      <c r="AC387" s="2436"/>
      <c r="AD387" s="2436"/>
    </row>
    <row r="388" spans="1:30" ht="62.1" hidden="1" customHeight="1" thickBot="1" x14ac:dyDescent="0.5">
      <c r="A388" s="5054"/>
      <c r="B388" s="5058"/>
      <c r="C388" s="5058"/>
      <c r="D388" s="5058"/>
      <c r="E388" s="1679"/>
      <c r="F388" s="1679"/>
      <c r="G388" s="1679"/>
      <c r="H388" s="1679"/>
      <c r="I388" s="1680"/>
      <c r="J388" s="1680"/>
      <c r="K388" s="1680"/>
      <c r="L388" s="1680"/>
      <c r="M388" s="1680"/>
      <c r="N388" s="1680"/>
      <c r="O388" s="1619">
        <f t="shared" si="196"/>
        <v>0</v>
      </c>
      <c r="P388" s="1619">
        <f t="shared" si="196"/>
        <v>0</v>
      </c>
      <c r="Q388" s="1619">
        <f t="shared" si="196"/>
        <v>0</v>
      </c>
      <c r="R388" s="2478"/>
      <c r="S388" s="2473"/>
      <c r="T388" s="2473"/>
      <c r="U388" s="2473"/>
      <c r="V388" s="2436"/>
      <c r="W388" s="2436"/>
      <c r="X388" s="2436"/>
      <c r="Y388" s="2436"/>
      <c r="Z388" s="2436"/>
      <c r="AA388" s="2436"/>
      <c r="AB388" s="2436"/>
      <c r="AC388" s="2436"/>
      <c r="AD388" s="2436"/>
    </row>
    <row r="389" spans="1:30" ht="62.1" hidden="1" customHeight="1" thickBot="1" x14ac:dyDescent="0.5">
      <c r="A389" s="1616"/>
      <c r="B389" s="1532"/>
      <c r="C389" s="1551"/>
      <c r="D389" s="1591"/>
      <c r="E389" s="1679"/>
      <c r="F389" s="1679"/>
      <c r="G389" s="1679"/>
      <c r="H389" s="1679"/>
      <c r="I389" s="1680"/>
      <c r="J389" s="1680"/>
      <c r="K389" s="1680"/>
      <c r="L389" s="1680"/>
      <c r="M389" s="1680"/>
      <c r="N389" s="1680"/>
      <c r="O389" s="1619"/>
      <c r="P389" s="1619"/>
      <c r="Q389" s="1619"/>
      <c r="S389" s="1532"/>
      <c r="T389" s="1532"/>
      <c r="U389" s="1532"/>
      <c r="V389" s="1659"/>
      <c r="W389" s="1659"/>
      <c r="X389" s="1659"/>
      <c r="Y389" s="1659"/>
      <c r="Z389" s="1659"/>
      <c r="AA389" s="1659"/>
      <c r="AB389" s="1659"/>
      <c r="AC389" s="1548"/>
      <c r="AD389" s="1548"/>
    </row>
    <row r="390" spans="1:30" ht="62.1" hidden="1" customHeight="1" thickBot="1" x14ac:dyDescent="0.5">
      <c r="A390" s="1612"/>
      <c r="B390" s="1620"/>
      <c r="C390" s="2198"/>
      <c r="D390" s="2199"/>
      <c r="E390" s="1679"/>
      <c r="F390" s="1679"/>
      <c r="G390" s="1679"/>
      <c r="H390" s="1679"/>
      <c r="I390" s="1680"/>
      <c r="J390" s="1680"/>
      <c r="K390" s="1680"/>
      <c r="L390" s="1680"/>
      <c r="M390" s="1680"/>
      <c r="N390" s="1680"/>
      <c r="O390" s="1619"/>
      <c r="P390" s="1619"/>
      <c r="Q390" s="1619"/>
      <c r="S390" s="1682"/>
      <c r="T390" s="1683"/>
      <c r="U390" s="1683"/>
      <c r="V390" s="1659"/>
      <c r="W390" s="1659"/>
      <c r="X390" s="1659"/>
      <c r="Y390" s="1659"/>
      <c r="Z390" s="1659"/>
      <c r="AA390" s="1659"/>
      <c r="AB390" s="1659"/>
      <c r="AC390" s="1548"/>
      <c r="AD390" s="1548"/>
    </row>
    <row r="391" spans="1:30" ht="62.1" hidden="1" customHeight="1" thickBot="1" x14ac:dyDescent="0.5">
      <c r="A391" s="1613"/>
      <c r="B391" s="1624"/>
      <c r="C391" s="2200"/>
      <c r="D391" s="2201"/>
      <c r="E391" s="1679"/>
      <c r="F391" s="1679"/>
      <c r="G391" s="1679"/>
      <c r="H391" s="1679"/>
      <c r="I391" s="1680"/>
      <c r="J391" s="1680"/>
      <c r="K391" s="1680"/>
      <c r="L391" s="1680"/>
      <c r="M391" s="1680"/>
      <c r="N391" s="1680"/>
      <c r="O391" s="1619"/>
      <c r="P391" s="1619"/>
      <c r="Q391" s="1619"/>
      <c r="S391" s="1684"/>
      <c r="T391" s="1685"/>
      <c r="U391" s="1685"/>
      <c r="V391" s="1659"/>
      <c r="W391" s="1659"/>
      <c r="X391" s="1659"/>
      <c r="Y391" s="1659"/>
      <c r="Z391" s="1659"/>
      <c r="AA391" s="1659"/>
      <c r="AB391" s="1659"/>
      <c r="AC391" s="1548"/>
      <c r="AD391" s="1548"/>
    </row>
    <row r="392" spans="1:30" ht="62.1" hidden="1" customHeight="1" x14ac:dyDescent="0.45">
      <c r="A392" s="4288" t="s">
        <v>417</v>
      </c>
      <c r="B392" s="4289"/>
      <c r="C392" s="4289"/>
      <c r="D392" s="4290"/>
      <c r="E392" s="1679" t="e">
        <f>+'Compra -HOJA1'!#REF!</f>
        <v>#REF!</v>
      </c>
      <c r="F392" s="1679"/>
      <c r="G392" s="1679"/>
      <c r="H392" s="1679"/>
      <c r="I392" s="1680">
        <f>(V392)</f>
        <v>0</v>
      </c>
      <c r="J392" s="1680">
        <f>(X392)</f>
        <v>0</v>
      </c>
      <c r="K392" s="1680">
        <f>(W392)</f>
        <v>0</v>
      </c>
      <c r="L392" s="1680">
        <f>(Y392)</f>
        <v>0</v>
      </c>
      <c r="M392" s="1680">
        <f>(AA392)</f>
        <v>0</v>
      </c>
      <c r="N392" s="1680">
        <f>(Z392)</f>
        <v>0</v>
      </c>
      <c r="O392" s="1619">
        <f t="shared" si="196"/>
        <v>0</v>
      </c>
      <c r="P392" s="1619">
        <f t="shared" si="196"/>
        <v>0</v>
      </c>
      <c r="Q392" s="1619">
        <f t="shared" si="196"/>
        <v>0</v>
      </c>
      <c r="S392" s="1531" t="s">
        <v>470</v>
      </c>
      <c r="T392" s="1531"/>
      <c r="U392" s="1531"/>
      <c r="V392" s="1659">
        <f>+'Compra -HOJA1'!H67</f>
        <v>0</v>
      </c>
      <c r="W392" s="1659">
        <f>+'Compra -HOJA1'!I67</f>
        <v>0</v>
      </c>
      <c r="X392" s="1659">
        <f>+'Compra -HOJA1'!J67</f>
        <v>0</v>
      </c>
      <c r="Y392" s="1659">
        <f>+'Compra -HOJA1'!K67</f>
        <v>0</v>
      </c>
      <c r="Z392" s="1659">
        <f>+'Compra -HOJA1'!L67</f>
        <v>0</v>
      </c>
      <c r="AA392" s="1659">
        <f>+'Compra -HOJA1'!M67</f>
        <v>0</v>
      </c>
      <c r="AB392" s="1659">
        <f>+'Compra -HOJA1'!N67</f>
        <v>0</v>
      </c>
      <c r="AC392" s="1659">
        <f>+'Compra -HOJA1'!O67</f>
        <v>0</v>
      </c>
      <c r="AD392" s="1659">
        <f>+'Compra -HOJA1'!P67</f>
        <v>0</v>
      </c>
    </row>
    <row r="393" spans="1:30" ht="62.1" hidden="1" customHeight="1" x14ac:dyDescent="0.45">
      <c r="S393" s="1531"/>
      <c r="T393" s="1686"/>
      <c r="U393" s="1686"/>
      <c r="V393" s="1490"/>
      <c r="W393" s="1490"/>
      <c r="X393" s="1490"/>
      <c r="Y393" s="1490"/>
      <c r="Z393" s="1490"/>
      <c r="AA393" s="1490"/>
      <c r="AB393" s="1490"/>
    </row>
    <row r="394" spans="1:30" ht="62.1" hidden="1" customHeight="1" x14ac:dyDescent="0.5">
      <c r="A394" s="5048" t="s">
        <v>471</v>
      </c>
      <c r="B394" s="5048"/>
      <c r="C394" s="5048"/>
      <c r="D394" s="5049"/>
      <c r="E394" s="2315" t="e">
        <f>SUM(E320:E392)</f>
        <v>#REF!</v>
      </c>
      <c r="F394" s="2315"/>
      <c r="G394" s="2315"/>
      <c r="H394" s="2315"/>
      <c r="I394" s="1632" t="e">
        <f t="shared" ref="I394:N394" si="197">SUM(I320:I392)</f>
        <v>#REF!</v>
      </c>
      <c r="J394" s="1632" t="e">
        <f t="shared" si="197"/>
        <v>#REF!</v>
      </c>
      <c r="K394" s="1632" t="e">
        <f t="shared" si="197"/>
        <v>#REF!</v>
      </c>
      <c r="L394" s="1632" t="e">
        <f t="shared" si="197"/>
        <v>#REF!</v>
      </c>
      <c r="M394" s="1632" t="e">
        <f t="shared" si="197"/>
        <v>#REF!</v>
      </c>
      <c r="N394" s="1632" t="e">
        <f t="shared" si="197"/>
        <v>#REF!</v>
      </c>
      <c r="O394" s="1632" t="e">
        <f>SUM(O320:O392)</f>
        <v>#REF!</v>
      </c>
      <c r="P394" s="1632" t="e">
        <f>SUM(P320:P392)</f>
        <v>#REF!</v>
      </c>
      <c r="Q394" s="1632" t="e">
        <f>SUM(Q320:Q392)</f>
        <v>#REF!</v>
      </c>
      <c r="S394" s="1688" t="e">
        <f>SUM(V394:AD394)</f>
        <v>#REF!</v>
      </c>
      <c r="T394" s="1689"/>
      <c r="U394" s="1689"/>
      <c r="V394" s="1656" t="e">
        <f>SUM(V320:V393)</f>
        <v>#REF!</v>
      </c>
      <c r="W394" s="1656" t="e">
        <f t="shared" ref="W394:AA394" si="198">SUM(W320:W393)</f>
        <v>#REF!</v>
      </c>
      <c r="X394" s="1656" t="e">
        <f t="shared" si="198"/>
        <v>#REF!</v>
      </c>
      <c r="Y394" s="1656" t="e">
        <f t="shared" si="198"/>
        <v>#REF!</v>
      </c>
      <c r="Z394" s="1656" t="e">
        <f t="shared" si="198"/>
        <v>#REF!</v>
      </c>
      <c r="AA394" s="1656" t="e">
        <f t="shared" si="198"/>
        <v>#REF!</v>
      </c>
      <c r="AB394" s="1656" t="e">
        <f>SUM(AB320:AB393)</f>
        <v>#REF!</v>
      </c>
      <c r="AC394" s="1656" t="e">
        <f t="shared" ref="AC394:AD394" si="199">SUM(AC320:AC393)</f>
        <v>#REF!</v>
      </c>
      <c r="AD394" s="1656" t="e">
        <f t="shared" si="199"/>
        <v>#REF!</v>
      </c>
    </row>
    <row r="395" spans="1:30" s="1540" customFormat="1" ht="62.1" hidden="1" customHeight="1" x14ac:dyDescent="0.5">
      <c r="A395" s="1691"/>
      <c r="B395" s="1691"/>
      <c r="C395" s="1691"/>
      <c r="D395" s="1691"/>
      <c r="E395" s="1691"/>
      <c r="F395" s="1691"/>
      <c r="G395" s="1691"/>
      <c r="H395" s="1691"/>
      <c r="I395" s="1693"/>
      <c r="J395" s="1693"/>
      <c r="K395" s="1693"/>
      <c r="L395" s="1693"/>
      <c r="M395" s="1693"/>
      <c r="N395" s="1693"/>
      <c r="O395" s="1693"/>
      <c r="P395" s="1694"/>
      <c r="Q395" s="1695"/>
      <c r="U395" s="1540" t="s">
        <v>873</v>
      </c>
      <c r="V395" s="1541" t="e">
        <f>+SUM(V320:V369)+SUM(W320:W369)+SUM(X320:X369)</f>
        <v>#REF!</v>
      </c>
      <c r="W395" s="1541" t="e">
        <f>+V395-SUM('Compra -HOJA1'!F84:F175)</f>
        <v>#REF!</v>
      </c>
    </row>
    <row r="396" spans="1:30" ht="62.1" hidden="1" customHeight="1" x14ac:dyDescent="0.45">
      <c r="I396" s="4237" t="s">
        <v>304</v>
      </c>
      <c r="J396" s="4238"/>
      <c r="K396" s="4240"/>
      <c r="L396" s="4237" t="s">
        <v>439</v>
      </c>
      <c r="M396" s="4238"/>
      <c r="N396" s="4240"/>
      <c r="O396" s="4237" t="s">
        <v>449</v>
      </c>
      <c r="P396" s="4238"/>
      <c r="Q396" s="4240"/>
      <c r="U396" s="1489" t="s">
        <v>874</v>
      </c>
      <c r="V396" s="1490">
        <f>+V392+W392+X392</f>
        <v>0</v>
      </c>
      <c r="W396" s="1490">
        <f>+V396-'Compra -HOJA1'!F67</f>
        <v>0</v>
      </c>
    </row>
    <row r="397" spans="1:30" ht="62.1" hidden="1" customHeight="1" x14ac:dyDescent="0.5">
      <c r="A397" s="4197" t="s">
        <v>875</v>
      </c>
      <c r="B397" s="4197"/>
      <c r="C397" s="4197"/>
      <c r="D397" s="4197"/>
      <c r="E397" s="1658"/>
      <c r="F397" s="1658"/>
      <c r="G397" s="1658"/>
      <c r="H397" s="1658"/>
      <c r="I397" s="1515" t="s">
        <v>287</v>
      </c>
      <c r="J397" s="1515" t="s">
        <v>289</v>
      </c>
      <c r="K397" s="1515" t="s">
        <v>288</v>
      </c>
      <c r="L397" s="1515" t="s">
        <v>287</v>
      </c>
      <c r="M397" s="1515" t="s">
        <v>289</v>
      </c>
      <c r="N397" s="1515" t="s">
        <v>288</v>
      </c>
      <c r="O397" s="1515" t="s">
        <v>287</v>
      </c>
      <c r="P397" s="1515" t="s">
        <v>289</v>
      </c>
      <c r="Q397" s="1515" t="s">
        <v>288</v>
      </c>
      <c r="V397" s="4253" t="s">
        <v>191</v>
      </c>
      <c r="W397" s="4253"/>
      <c r="X397" s="4253"/>
      <c r="Y397" s="4253" t="s">
        <v>464</v>
      </c>
      <c r="Z397" s="4253"/>
      <c r="AA397" s="4253"/>
      <c r="AB397" s="4253" t="s">
        <v>465</v>
      </c>
      <c r="AC397" s="4253"/>
      <c r="AD397" s="4253"/>
    </row>
    <row r="398" spans="1:30" ht="62.1" hidden="1" customHeight="1" x14ac:dyDescent="0.45">
      <c r="A398" s="1639" t="s">
        <v>445</v>
      </c>
      <c r="B398" s="1640"/>
      <c r="C398" s="1640"/>
      <c r="D398" s="1640" t="s">
        <v>446</v>
      </c>
      <c r="E398" s="1640"/>
      <c r="F398" s="1640"/>
      <c r="G398" s="1640"/>
      <c r="H398" s="1640"/>
      <c r="I398" s="1640" t="s">
        <v>447</v>
      </c>
      <c r="J398" s="4278" t="s">
        <v>304</v>
      </c>
      <c r="K398" s="4279"/>
      <c r="L398" s="4280"/>
      <c r="M398" s="4278" t="s">
        <v>448</v>
      </c>
      <c r="N398" s="4279"/>
      <c r="O398" s="4280"/>
      <c r="P398" s="4237" t="s">
        <v>449</v>
      </c>
      <c r="Q398" s="4238"/>
      <c r="R398" s="4240"/>
      <c r="V398" s="1515" t="s">
        <v>5</v>
      </c>
      <c r="W398" s="1515" t="s">
        <v>6</v>
      </c>
      <c r="X398" s="1515" t="s">
        <v>7</v>
      </c>
      <c r="Y398" s="1515" t="s">
        <v>5</v>
      </c>
      <c r="Z398" s="1515" t="s">
        <v>6</v>
      </c>
      <c r="AA398" s="1515" t="s">
        <v>7</v>
      </c>
      <c r="AB398" s="1515" t="s">
        <v>5</v>
      </c>
      <c r="AC398" s="1515" t="s">
        <v>6</v>
      </c>
      <c r="AD398" s="1515" t="s">
        <v>7</v>
      </c>
    </row>
    <row r="399" spans="1:30" ht="62.1" hidden="1" customHeight="1" x14ac:dyDescent="0.45">
      <c r="A399" s="1639"/>
      <c r="B399" s="1640"/>
      <c r="C399" s="1640"/>
      <c r="D399" s="1640"/>
      <c r="E399" s="1640"/>
      <c r="F399" s="1640"/>
      <c r="G399" s="1640"/>
      <c r="H399" s="1640"/>
      <c r="I399" s="1640"/>
      <c r="J399" s="1641" t="s">
        <v>287</v>
      </c>
      <c r="K399" s="1641" t="s">
        <v>450</v>
      </c>
      <c r="L399" s="1641" t="s">
        <v>288</v>
      </c>
      <c r="M399" s="1641" t="s">
        <v>287</v>
      </c>
      <c r="N399" s="1641" t="s">
        <v>450</v>
      </c>
      <c r="O399" s="1641" t="s">
        <v>288</v>
      </c>
      <c r="P399" s="1515" t="s">
        <v>287</v>
      </c>
      <c r="Q399" s="1515" t="s">
        <v>289</v>
      </c>
      <c r="R399" s="1515" t="s">
        <v>288</v>
      </c>
    </row>
    <row r="400" spans="1:30" ht="62.1" hidden="1" customHeight="1" thickBot="1" x14ac:dyDescent="0.5">
      <c r="A400" s="1510"/>
      <c r="B400" s="1510"/>
      <c r="C400" s="1510"/>
      <c r="D400" s="1510"/>
      <c r="E400" s="1510"/>
      <c r="F400" s="1510"/>
      <c r="G400" s="1510"/>
      <c r="H400" s="1510"/>
      <c r="I400" s="1510"/>
      <c r="J400" s="1510"/>
      <c r="K400" s="1510"/>
      <c r="L400" s="1510"/>
    </row>
    <row r="401" spans="1:30" ht="62.1" hidden="1" customHeight="1" thickBot="1" x14ac:dyDescent="0.5">
      <c r="A401" s="1643" t="s">
        <v>23</v>
      </c>
      <c r="B401" s="1644" t="s">
        <v>454</v>
      </c>
      <c r="C401" s="2323"/>
      <c r="D401" s="1646">
        <f>'Compra -HOJA1'!K57</f>
        <v>0</v>
      </c>
      <c r="E401" s="1646"/>
      <c r="F401" s="1646"/>
      <c r="G401" s="1646"/>
      <c r="H401" s="1646"/>
      <c r="I401" s="1646">
        <f>IF('Compra -HOJA1'!J57=0,0,'Compra -HOJA1'!J57/D401)</f>
        <v>0</v>
      </c>
      <c r="J401" s="1667">
        <f>+(V401)</f>
        <v>0</v>
      </c>
      <c r="K401" s="1667">
        <f>+(X401)</f>
        <v>0</v>
      </c>
      <c r="L401" s="1667">
        <f>+(W401)</f>
        <v>0</v>
      </c>
      <c r="M401" s="1667">
        <f>+(Y401)</f>
        <v>0</v>
      </c>
      <c r="N401" s="1667">
        <f>+(AA401)</f>
        <v>0</v>
      </c>
      <c r="O401" s="1666">
        <f>+(Z401)</f>
        <v>0</v>
      </c>
      <c r="P401" s="1648">
        <f t="shared" ref="P401:R403" si="200">+J401+M401</f>
        <v>0</v>
      </c>
      <c r="Q401" s="1648">
        <f t="shared" si="200"/>
        <v>0</v>
      </c>
      <c r="R401" s="1649">
        <f t="shared" si="200"/>
        <v>0</v>
      </c>
      <c r="V401" s="1548">
        <f>'Compra -HOJA1'!G57</f>
        <v>0</v>
      </c>
      <c r="W401" s="1548">
        <f>'Compra -HOJA1'!H57</f>
        <v>0</v>
      </c>
      <c r="X401" s="1548">
        <f>'Compra -HOJA1'!I57</f>
        <v>0</v>
      </c>
      <c r="Y401" s="1548">
        <f>+'Compra -HOJA1'!L57</f>
        <v>0</v>
      </c>
      <c r="Z401" s="1548">
        <f>+'Compra -HOJA1'!M57</f>
        <v>0</v>
      </c>
      <c r="AA401" s="1548">
        <f>+'Compra -HOJA1'!N57</f>
        <v>0</v>
      </c>
      <c r="AB401" s="1548">
        <f>+'Compra -HOJA1'!O57</f>
        <v>0</v>
      </c>
      <c r="AC401" s="1548">
        <f>+'Compra -HOJA1'!P57</f>
        <v>0</v>
      </c>
      <c r="AD401" s="1548">
        <f>+'Compra -HOJA1'!Q57</f>
        <v>0</v>
      </c>
    </row>
    <row r="402" spans="1:30" ht="62.1" hidden="1" customHeight="1" thickBot="1" x14ac:dyDescent="0.5">
      <c r="A402" s="1643" t="s">
        <v>24</v>
      </c>
      <c r="B402" s="1644" t="s">
        <v>454</v>
      </c>
      <c r="C402" s="2323"/>
      <c r="D402" s="1646">
        <f>'Compra -HOJA1'!K58</f>
        <v>0</v>
      </c>
      <c r="E402" s="1646"/>
      <c r="F402" s="1646"/>
      <c r="G402" s="1646"/>
      <c r="H402" s="1646"/>
      <c r="I402" s="1646">
        <f>IF('Compra -HOJA1'!J58=0,0,'Compra -HOJA1'!J58/D402)</f>
        <v>0</v>
      </c>
      <c r="J402" s="1667">
        <f>+(V402)</f>
        <v>0</v>
      </c>
      <c r="K402" s="1667">
        <f>+(X402)</f>
        <v>0</v>
      </c>
      <c r="L402" s="1667">
        <f>+(W402)</f>
        <v>0</v>
      </c>
      <c r="M402" s="1667">
        <f>+(Y402)</f>
        <v>0</v>
      </c>
      <c r="N402" s="1667">
        <f>+(AA402)</f>
        <v>0</v>
      </c>
      <c r="O402" s="1666">
        <f>+(Z402)</f>
        <v>0</v>
      </c>
      <c r="P402" s="1648">
        <f t="shared" si="200"/>
        <v>0</v>
      </c>
      <c r="Q402" s="1648">
        <f t="shared" si="200"/>
        <v>0</v>
      </c>
      <c r="R402" s="1649">
        <f t="shared" si="200"/>
        <v>0</v>
      </c>
      <c r="S402" s="1573"/>
      <c r="T402" s="1573"/>
      <c r="U402" s="1573"/>
      <c r="V402" s="1696">
        <f>'Compra -HOJA1'!G58</f>
        <v>0</v>
      </c>
      <c r="W402" s="1696">
        <f>'Compra -HOJA1'!H58</f>
        <v>0</v>
      </c>
      <c r="X402" s="1696">
        <f>'Compra -HOJA1'!I58</f>
        <v>0</v>
      </c>
      <c r="Y402" s="1696">
        <f>+'Compra -HOJA1'!L58</f>
        <v>0</v>
      </c>
      <c r="Z402" s="1696">
        <f>+'Compra -HOJA1'!M58</f>
        <v>0</v>
      </c>
      <c r="AA402" s="1696">
        <f>+'Compra -HOJA1'!N58</f>
        <v>0</v>
      </c>
      <c r="AB402" s="1548">
        <f>+'Compra -HOJA1'!O58</f>
        <v>0</v>
      </c>
      <c r="AC402" s="1548">
        <f>+'Compra -HOJA1'!P58</f>
        <v>0</v>
      </c>
      <c r="AD402" s="1548">
        <f>+'Compra -HOJA1'!Q58</f>
        <v>0</v>
      </c>
    </row>
    <row r="403" spans="1:30" ht="62.1" hidden="1" customHeight="1" x14ac:dyDescent="0.45">
      <c r="A403" s="1643" t="s">
        <v>24</v>
      </c>
      <c r="B403" s="1503" t="s">
        <v>876</v>
      </c>
      <c r="C403" s="1500"/>
      <c r="D403" s="1646" t="e">
        <f>'Compra -HOJA1'!#REF!</f>
        <v>#REF!</v>
      </c>
      <c r="E403" s="1646"/>
      <c r="F403" s="1646"/>
      <c r="G403" s="1646"/>
      <c r="H403" s="1646"/>
      <c r="I403" s="1646" t="e">
        <f>IF('Compra -HOJA1'!#REF!=0,0,'Compra -HOJA1'!#REF!/D403)</f>
        <v>#REF!</v>
      </c>
      <c r="J403" s="2171" t="e">
        <f>+(V403)</f>
        <v>#REF!</v>
      </c>
      <c r="K403" s="2171" t="e">
        <f>+(X403)</f>
        <v>#REF!</v>
      </c>
      <c r="L403" s="2171" t="e">
        <f>+(W403)</f>
        <v>#REF!</v>
      </c>
      <c r="M403" s="2171" t="e">
        <f>+(Y403)</f>
        <v>#REF!</v>
      </c>
      <c r="N403" s="2171" t="e">
        <f>+(AA403)</f>
        <v>#REF!</v>
      </c>
      <c r="O403" s="2172" t="e">
        <f>+(Z403)</f>
        <v>#REF!</v>
      </c>
      <c r="P403" s="2173" t="e">
        <f t="shared" si="200"/>
        <v>#REF!</v>
      </c>
      <c r="Q403" s="2173" t="e">
        <f t="shared" si="200"/>
        <v>#REF!</v>
      </c>
      <c r="R403" s="2169" t="e">
        <f t="shared" si="200"/>
        <v>#REF!</v>
      </c>
      <c r="S403" s="1573"/>
      <c r="T403" s="1573"/>
      <c r="U403" s="1573"/>
      <c r="V403" s="2169" t="e">
        <f>'Compra -HOJA1'!#REF!</f>
        <v>#REF!</v>
      </c>
      <c r="W403" s="2169" t="e">
        <f>'Compra -HOJA1'!#REF!</f>
        <v>#REF!</v>
      </c>
      <c r="X403" s="2169" t="e">
        <f>'Compra -HOJA1'!#REF!</f>
        <v>#REF!</v>
      </c>
      <c r="Y403" s="2169" t="e">
        <f>+'Compra -HOJA1'!#REF!</f>
        <v>#REF!</v>
      </c>
      <c r="Z403" s="2169" t="e">
        <f>+'Compra -HOJA1'!#REF!</f>
        <v>#REF!</v>
      </c>
      <c r="AA403" s="2169" t="e">
        <f>+'Compra -HOJA1'!#REF!</f>
        <v>#REF!</v>
      </c>
      <c r="AB403" s="1548" t="e">
        <f>+'Compra -HOJA1'!#REF!</f>
        <v>#REF!</v>
      </c>
      <c r="AC403" s="1548" t="e">
        <f>+'Compra -HOJA1'!#REF!</f>
        <v>#REF!</v>
      </c>
      <c r="AD403" s="1548" t="e">
        <f>+'Compra -HOJA1'!#REF!</f>
        <v>#REF!</v>
      </c>
    </row>
    <row r="404" spans="1:30" ht="62.1" hidden="1" customHeight="1" x14ac:dyDescent="0.45">
      <c r="A404" s="1697" t="s">
        <v>471</v>
      </c>
      <c r="B404" s="1697"/>
      <c r="C404" s="1697"/>
      <c r="D404" s="1656" t="e">
        <f>SUM(D401:D403)</f>
        <v>#REF!</v>
      </c>
      <c r="E404" s="1656">
        <f t="shared" ref="E404:R404" si="201">SUM(E401:E403)</f>
        <v>0</v>
      </c>
      <c r="F404" s="1656"/>
      <c r="G404" s="1656"/>
      <c r="H404" s="1656"/>
      <c r="I404" s="1656" t="e">
        <f t="shared" si="201"/>
        <v>#REF!</v>
      </c>
      <c r="J404" s="1656" t="e">
        <f t="shared" si="201"/>
        <v>#REF!</v>
      </c>
      <c r="K404" s="1656" t="e">
        <f t="shared" si="201"/>
        <v>#REF!</v>
      </c>
      <c r="L404" s="1656" t="e">
        <f t="shared" si="201"/>
        <v>#REF!</v>
      </c>
      <c r="M404" s="1656" t="e">
        <f t="shared" si="201"/>
        <v>#REF!</v>
      </c>
      <c r="N404" s="1656" t="e">
        <f t="shared" si="201"/>
        <v>#REF!</v>
      </c>
      <c r="O404" s="1656" t="e">
        <f t="shared" si="201"/>
        <v>#REF!</v>
      </c>
      <c r="P404" s="1656" t="e">
        <f t="shared" si="201"/>
        <v>#REF!</v>
      </c>
      <c r="Q404" s="1656" t="e">
        <f t="shared" si="201"/>
        <v>#REF!</v>
      </c>
      <c r="R404" s="1656" t="e">
        <f t="shared" si="201"/>
        <v>#REF!</v>
      </c>
      <c r="S404" s="1490"/>
      <c r="T404" s="1490"/>
      <c r="U404" s="1490"/>
      <c r="V404" s="1656" t="e">
        <f t="shared" ref="V404:AD404" si="202">SUM(V401:V403)</f>
        <v>#REF!</v>
      </c>
      <c r="W404" s="1656" t="e">
        <f t="shared" si="202"/>
        <v>#REF!</v>
      </c>
      <c r="X404" s="1656" t="e">
        <f t="shared" si="202"/>
        <v>#REF!</v>
      </c>
      <c r="Y404" s="1656" t="e">
        <f t="shared" si="202"/>
        <v>#REF!</v>
      </c>
      <c r="Z404" s="1656" t="e">
        <f t="shared" si="202"/>
        <v>#REF!</v>
      </c>
      <c r="AA404" s="1656" t="e">
        <f t="shared" si="202"/>
        <v>#REF!</v>
      </c>
      <c r="AB404" s="1656" t="e">
        <f t="shared" si="202"/>
        <v>#REF!</v>
      </c>
      <c r="AC404" s="1656" t="e">
        <f t="shared" si="202"/>
        <v>#REF!</v>
      </c>
      <c r="AD404" s="1656" t="e">
        <f t="shared" si="202"/>
        <v>#REF!</v>
      </c>
    </row>
    <row r="405" spans="1:30" ht="62.1" hidden="1" customHeight="1" x14ac:dyDescent="0.45">
      <c r="J405" s="1653">
        <f>+'Compra -HOJA1'!G46</f>
        <v>0</v>
      </c>
      <c r="K405" s="1653">
        <f>+'Compra -HOJA1'!H46</f>
        <v>0</v>
      </c>
      <c r="L405" s="1653">
        <f>+'Compra -HOJA1'!I46</f>
        <v>0</v>
      </c>
      <c r="M405" s="1653">
        <f>+'Compra -HOJA1'!L46</f>
        <v>0</v>
      </c>
      <c r="N405" s="1653">
        <f>+'Compra -HOJA1'!M46</f>
        <v>0</v>
      </c>
      <c r="O405" s="1653">
        <f>+'Compra -HOJA1'!N46</f>
        <v>0</v>
      </c>
      <c r="U405" s="1489" t="s">
        <v>877</v>
      </c>
      <c r="V405" s="1573">
        <f>+V401+W401+X401</f>
        <v>0</v>
      </c>
      <c r="W405" s="1573">
        <f>+'Compra -HOJA1'!F36</f>
        <v>0</v>
      </c>
    </row>
    <row r="406" spans="1:30" ht="62.1" hidden="1" customHeight="1" x14ac:dyDescent="0.45">
      <c r="U406" s="1489" t="s">
        <v>878</v>
      </c>
      <c r="V406" s="1573">
        <f>+V402+W402+X402</f>
        <v>0</v>
      </c>
      <c r="W406" s="1573">
        <f>+'Compra -HOJA1'!F37+'Compra -HOJA1'!F40+'Compra -HOJA1'!F41+'Compra -HOJA1'!F42+'Compra -HOJA1'!F43+'Compra -HOJA1'!F44</f>
        <v>0</v>
      </c>
      <c r="AA406" s="1699"/>
      <c r="AB406" s="1699"/>
    </row>
    <row r="407" spans="1:30" ht="62.1" hidden="1" customHeight="1" x14ac:dyDescent="0.45">
      <c r="U407" s="1489" t="s">
        <v>879</v>
      </c>
      <c r="V407" s="1573" t="e">
        <f>+V403+W403+X403</f>
        <v>#REF!</v>
      </c>
      <c r="W407" s="1489" t="e">
        <f>+'Compra -HOJA1'!#REF!</f>
        <v>#REF!</v>
      </c>
      <c r="AA407" s="1699"/>
      <c r="AB407" s="1699"/>
    </row>
    <row r="408" spans="1:30" ht="62.1" hidden="1" customHeight="1" x14ac:dyDescent="0.45">
      <c r="A408" s="4197" t="s">
        <v>452</v>
      </c>
      <c r="B408" s="4197"/>
      <c r="C408" s="4197"/>
      <c r="D408" s="4197"/>
      <c r="E408" s="1658"/>
      <c r="F408" s="1658"/>
      <c r="G408" s="1658"/>
      <c r="H408" s="1658"/>
      <c r="I408" s="1658"/>
      <c r="J408" s="1658"/>
      <c r="K408" s="1658"/>
      <c r="L408" s="1658"/>
      <c r="AA408" s="1699"/>
      <c r="AB408" s="1699"/>
    </row>
    <row r="409" spans="1:30" ht="62.1" hidden="1" customHeight="1" x14ac:dyDescent="0.5">
      <c r="A409" s="1639" t="s">
        <v>445</v>
      </c>
      <c r="B409" s="1640"/>
      <c r="C409" s="1640"/>
      <c r="D409" s="1640" t="s">
        <v>446</v>
      </c>
      <c r="E409" s="1640"/>
      <c r="F409" s="1640"/>
      <c r="G409" s="1640"/>
      <c r="H409" s="1640"/>
      <c r="I409" s="1640" t="s">
        <v>447</v>
      </c>
      <c r="J409" s="4274" t="s">
        <v>304</v>
      </c>
      <c r="K409" s="4274"/>
      <c r="L409" s="4274"/>
      <c r="M409" s="4274" t="s">
        <v>453</v>
      </c>
      <c r="N409" s="4274"/>
      <c r="O409" s="4275"/>
      <c r="P409" s="4237" t="s">
        <v>449</v>
      </c>
      <c r="Q409" s="4238"/>
      <c r="R409" s="4240"/>
      <c r="V409" s="4253" t="s">
        <v>191</v>
      </c>
      <c r="W409" s="4253"/>
      <c r="X409" s="4253"/>
      <c r="Y409" s="4253" t="s">
        <v>464</v>
      </c>
      <c r="Z409" s="4253"/>
      <c r="AA409" s="4253"/>
      <c r="AB409" s="4253" t="s">
        <v>465</v>
      </c>
      <c r="AC409" s="4253"/>
      <c r="AD409" s="4253"/>
    </row>
    <row r="410" spans="1:30" ht="62.1" hidden="1" customHeight="1" x14ac:dyDescent="0.45">
      <c r="A410" s="1639"/>
      <c r="B410" s="1640"/>
      <c r="C410" s="1640"/>
      <c r="D410" s="1640"/>
      <c r="E410" s="1640"/>
      <c r="F410" s="1640"/>
      <c r="G410" s="1640"/>
      <c r="H410" s="1640"/>
      <c r="I410" s="1640"/>
      <c r="J410" s="1640" t="s">
        <v>287</v>
      </c>
      <c r="K410" s="1640" t="s">
        <v>450</v>
      </c>
      <c r="L410" s="1640" t="s">
        <v>288</v>
      </c>
      <c r="M410" s="1640" t="s">
        <v>287</v>
      </c>
      <c r="N410" s="1640" t="s">
        <v>450</v>
      </c>
      <c r="O410" s="1640" t="s">
        <v>288</v>
      </c>
      <c r="P410" s="1515" t="s">
        <v>287</v>
      </c>
      <c r="Q410" s="1515" t="s">
        <v>289</v>
      </c>
      <c r="R410" s="1515" t="s">
        <v>288</v>
      </c>
      <c r="V410" s="1515" t="s">
        <v>5</v>
      </c>
      <c r="W410" s="1515" t="s">
        <v>6</v>
      </c>
      <c r="X410" s="1515" t="s">
        <v>7</v>
      </c>
      <c r="Y410" s="1515" t="s">
        <v>5</v>
      </c>
      <c r="Z410" s="1515" t="s">
        <v>6</v>
      </c>
      <c r="AA410" s="1515" t="s">
        <v>7</v>
      </c>
      <c r="AB410" s="1515" t="s">
        <v>5</v>
      </c>
      <c r="AC410" s="1515" t="s">
        <v>6</v>
      </c>
      <c r="AD410" s="1515" t="s">
        <v>7</v>
      </c>
    </row>
    <row r="411" spans="1:30" ht="62.1" hidden="1" customHeight="1" x14ac:dyDescent="0.45">
      <c r="A411" s="1510"/>
      <c r="B411" s="1510"/>
      <c r="C411" s="1510"/>
      <c r="D411" s="1510"/>
      <c r="E411" s="1510"/>
      <c r="F411" s="1510"/>
      <c r="G411" s="1510"/>
      <c r="H411" s="1510"/>
      <c r="I411" s="1510"/>
      <c r="J411" s="1510"/>
      <c r="K411" s="1510"/>
      <c r="L411" s="1510"/>
      <c r="AA411" s="1699"/>
      <c r="AB411" s="1699"/>
    </row>
    <row r="412" spans="1:30" ht="62.1" hidden="1" customHeight="1" x14ac:dyDescent="0.45">
      <c r="A412" s="1652" t="s">
        <v>24</v>
      </c>
      <c r="B412" s="1645" t="s">
        <v>454</v>
      </c>
      <c r="C412" s="2323"/>
      <c r="D412" s="1646">
        <f>'Compra -HOJA1'!K59</f>
        <v>0</v>
      </c>
      <c r="E412" s="1646"/>
      <c r="F412" s="1646"/>
      <c r="G412" s="1646"/>
      <c r="H412" s="1646"/>
      <c r="I412" s="1646">
        <f>IF('Compra -HOJA1'!J59=0,0,('Compra -HOJA1'!J59)/D412)</f>
        <v>0</v>
      </c>
      <c r="J412" s="1700">
        <f>+(V412)</f>
        <v>0</v>
      </c>
      <c r="K412" s="1700">
        <f>+(X412)</f>
        <v>0</v>
      </c>
      <c r="L412" s="1700">
        <f>+(W412)</f>
        <v>0</v>
      </c>
      <c r="M412" s="1700">
        <f>+(Y412)</f>
        <v>0</v>
      </c>
      <c r="N412" s="1700">
        <f>+(AA412)</f>
        <v>0</v>
      </c>
      <c r="O412" s="1666">
        <f>+(Z412)</f>
        <v>0</v>
      </c>
      <c r="P412" s="2180">
        <f t="shared" ref="P412:R413" si="203">+J412+M412</f>
        <v>0</v>
      </c>
      <c r="Q412" s="2180">
        <f t="shared" si="203"/>
        <v>0</v>
      </c>
      <c r="R412" s="1548">
        <f t="shared" si="203"/>
        <v>0</v>
      </c>
      <c r="V412" s="1701">
        <f>'Compra -HOJA1'!G59</f>
        <v>0</v>
      </c>
      <c r="W412" s="1701">
        <f>'Compra -HOJA1'!H59</f>
        <v>0</v>
      </c>
      <c r="X412" s="1701">
        <f>'Compra -HOJA1'!I59</f>
        <v>0</v>
      </c>
      <c r="Y412" s="1696">
        <f>+'Compra -HOJA1'!L59</f>
        <v>0</v>
      </c>
      <c r="Z412" s="1696">
        <f>+'Compra -HOJA1'!M59</f>
        <v>0</v>
      </c>
      <c r="AA412" s="1696">
        <f>+'Compra -HOJA1'!N59</f>
        <v>0</v>
      </c>
      <c r="AB412" s="1548">
        <f>+'Compra -HOJA1'!O59</f>
        <v>0</v>
      </c>
      <c r="AC412" s="1548">
        <f>+'Compra -HOJA1'!P59</f>
        <v>0</v>
      </c>
      <c r="AD412" s="1548">
        <f>+'Compra -HOJA1'!Q59</f>
        <v>0</v>
      </c>
    </row>
    <row r="413" spans="1:30" ht="62.1" hidden="1" customHeight="1" x14ac:dyDescent="0.45">
      <c r="A413" s="1654"/>
      <c r="B413" s="2170" t="s">
        <v>880</v>
      </c>
      <c r="C413" s="2324"/>
      <c r="D413" s="1646" t="e">
        <f>'Compra -HOJA1'!#REF!</f>
        <v>#REF!</v>
      </c>
      <c r="E413" s="1655"/>
      <c r="F413" s="1655"/>
      <c r="G413" s="1655"/>
      <c r="H413" s="1655"/>
      <c r="I413" s="1646" t="e">
        <f>IF('Compra -HOJA1'!#REF!=0,0,('Compra -HOJA1'!#REF!)/D413)</f>
        <v>#REF!</v>
      </c>
      <c r="J413" s="1700" t="e">
        <f>+(V413)</f>
        <v>#REF!</v>
      </c>
      <c r="K413" s="1700" t="e">
        <f>+(X413)</f>
        <v>#REF!</v>
      </c>
      <c r="L413" s="1700" t="e">
        <f>+(W413)</f>
        <v>#REF!</v>
      </c>
      <c r="M413" s="1700" t="e">
        <f>+(Y413)</f>
        <v>#REF!</v>
      </c>
      <c r="N413" s="1700" t="e">
        <f>+(AA413)</f>
        <v>#REF!</v>
      </c>
      <c r="O413" s="1666" t="e">
        <f>+(Z413)</f>
        <v>#REF!</v>
      </c>
      <c r="P413" s="2180" t="e">
        <f t="shared" si="203"/>
        <v>#REF!</v>
      </c>
      <c r="Q413" s="2180" t="e">
        <f t="shared" si="203"/>
        <v>#REF!</v>
      </c>
      <c r="R413" s="1548" t="e">
        <f t="shared" si="203"/>
        <v>#REF!</v>
      </c>
      <c r="V413" s="2168" t="e">
        <f>'Compra -HOJA1'!#REF!</f>
        <v>#REF!</v>
      </c>
      <c r="W413" s="2168" t="e">
        <f>'Compra -HOJA1'!#REF!</f>
        <v>#REF!</v>
      </c>
      <c r="X413" s="2168" t="e">
        <f>'Compra -HOJA1'!#REF!</f>
        <v>#REF!</v>
      </c>
      <c r="Y413" s="2169" t="e">
        <f>+'Compra -HOJA1'!#REF!</f>
        <v>#REF!</v>
      </c>
      <c r="Z413" s="2169" t="e">
        <f>+'Compra -HOJA1'!#REF!</f>
        <v>#REF!</v>
      </c>
      <c r="AA413" s="2169" t="e">
        <f>+'Compra -HOJA1'!#REF!</f>
        <v>#REF!</v>
      </c>
      <c r="AB413" s="2169" t="e">
        <f>+'Compra -HOJA1'!#REF!</f>
        <v>#REF!</v>
      </c>
      <c r="AC413" s="2169" t="e">
        <f>+'Compra -HOJA1'!#REF!</f>
        <v>#REF!</v>
      </c>
      <c r="AD413" s="2169" t="e">
        <f>+'Compra -HOJA1'!#REF!</f>
        <v>#REF!</v>
      </c>
    </row>
    <row r="414" spans="1:30" ht="62.1" hidden="1" customHeight="1" x14ac:dyDescent="0.45">
      <c r="A414" s="1697" t="s">
        <v>471</v>
      </c>
      <c r="B414" s="1697"/>
      <c r="C414" s="1697"/>
      <c r="D414" s="1656" t="e">
        <f>SUM(D412:D413)</f>
        <v>#REF!</v>
      </c>
      <c r="E414" s="1656"/>
      <c r="F414" s="1656"/>
      <c r="G414" s="1656"/>
      <c r="H414" s="1656"/>
      <c r="I414" s="1656" t="e">
        <f>SUM(I412:I413)</f>
        <v>#REF!</v>
      </c>
      <c r="J414" s="1656" t="e">
        <f t="shared" ref="J414:R414" si="204">SUM(J412:J413)</f>
        <v>#REF!</v>
      </c>
      <c r="K414" s="1656" t="e">
        <f t="shared" si="204"/>
        <v>#REF!</v>
      </c>
      <c r="L414" s="1656" t="e">
        <f t="shared" si="204"/>
        <v>#REF!</v>
      </c>
      <c r="M414" s="1656" t="e">
        <f t="shared" si="204"/>
        <v>#REF!</v>
      </c>
      <c r="N414" s="1656" t="e">
        <f t="shared" si="204"/>
        <v>#REF!</v>
      </c>
      <c r="O414" s="1656" t="e">
        <f t="shared" si="204"/>
        <v>#REF!</v>
      </c>
      <c r="P414" s="1656" t="e">
        <f t="shared" si="204"/>
        <v>#REF!</v>
      </c>
      <c r="Q414" s="1656" t="e">
        <f t="shared" si="204"/>
        <v>#REF!</v>
      </c>
      <c r="R414" s="1656" t="e">
        <f t="shared" si="204"/>
        <v>#REF!</v>
      </c>
      <c r="V414" s="1656" t="e">
        <f t="shared" ref="V414:AD414" si="205">SUM(V412:V413)</f>
        <v>#REF!</v>
      </c>
      <c r="W414" s="1656" t="e">
        <f t="shared" si="205"/>
        <v>#REF!</v>
      </c>
      <c r="X414" s="1656" t="e">
        <f t="shared" si="205"/>
        <v>#REF!</v>
      </c>
      <c r="Y414" s="1656" t="e">
        <f t="shared" si="205"/>
        <v>#REF!</v>
      </c>
      <c r="Z414" s="1656" t="e">
        <f t="shared" si="205"/>
        <v>#REF!</v>
      </c>
      <c r="AA414" s="1656" t="e">
        <f t="shared" si="205"/>
        <v>#REF!</v>
      </c>
      <c r="AB414" s="1656" t="e">
        <f t="shared" si="205"/>
        <v>#REF!</v>
      </c>
      <c r="AC414" s="1656" t="e">
        <f t="shared" si="205"/>
        <v>#REF!</v>
      </c>
      <c r="AD414" s="1656" t="e">
        <f t="shared" si="205"/>
        <v>#REF!</v>
      </c>
    </row>
    <row r="415" spans="1:30" ht="62.1" hidden="1" customHeight="1" x14ac:dyDescent="0.45">
      <c r="J415" s="1653">
        <f>+'Compra -HOJA1'!G53</f>
        <v>0</v>
      </c>
      <c r="K415" s="1653">
        <f>+'Compra -HOJA1'!H53</f>
        <v>0</v>
      </c>
      <c r="L415" s="1653">
        <f>+'Compra -HOJA1'!I53</f>
        <v>0</v>
      </c>
      <c r="M415" s="1653">
        <f>+'Compra -HOJA1'!L53</f>
        <v>0</v>
      </c>
      <c r="N415" s="1653">
        <f>+'Compra -HOJA1'!M53</f>
        <v>0</v>
      </c>
      <c r="O415" s="1653">
        <f>+'Compra -HOJA1'!N53</f>
        <v>0</v>
      </c>
      <c r="U415" s="1489" t="s">
        <v>878</v>
      </c>
      <c r="V415" s="1489">
        <f>+V412+W412+X412</f>
        <v>0</v>
      </c>
      <c r="W415" s="1489">
        <f>+'Compra -HOJA1'!F48+'Compra -HOJA1'!F49+'Compra -HOJA1'!F50+'Compra -HOJA1'!F51+'Compra -HOJA1'!F52</f>
        <v>0</v>
      </c>
    </row>
    <row r="416" spans="1:30" ht="62.1" hidden="1" customHeight="1" x14ac:dyDescent="0.45">
      <c r="U416" s="1489" t="s">
        <v>881</v>
      </c>
      <c r="V416" s="1489" t="e">
        <f>+V413+W413+X413</f>
        <v>#REF!</v>
      </c>
      <c r="W416" s="1489" t="e">
        <f>+'Compra -HOJA1'!#REF!</f>
        <v>#REF!</v>
      </c>
      <c r="AA416" s="1573"/>
    </row>
    <row r="417" spans="1:30" ht="62.1" hidden="1" customHeight="1" x14ac:dyDescent="0.45">
      <c r="T417" s="1489" t="s">
        <v>882</v>
      </c>
      <c r="V417" s="1490" t="e">
        <f>+V416+V415+V405+V406+V407</f>
        <v>#REF!</v>
      </c>
      <c r="W417" s="1490">
        <f>+'Compra -HOJA1'!F62</f>
        <v>0</v>
      </c>
      <c r="X417" s="1490"/>
      <c r="Y417" s="1490"/>
      <c r="Z417" s="1490"/>
      <c r="AA417" s="1490"/>
    </row>
    <row r="418" spans="1:30" ht="62.1" hidden="1" customHeight="1" x14ac:dyDescent="0.45">
      <c r="A418" s="4197" t="s">
        <v>456</v>
      </c>
      <c r="B418" s="4197"/>
      <c r="C418" s="4197"/>
      <c r="D418" s="4197"/>
      <c r="E418" s="1658"/>
      <c r="F418" s="1658"/>
      <c r="G418" s="1658"/>
      <c r="H418" s="1658"/>
      <c r="I418" s="1658"/>
      <c r="J418" s="1658"/>
      <c r="K418" s="1658"/>
      <c r="L418" s="1658"/>
      <c r="M418" s="1658"/>
      <c r="N418" s="1658"/>
      <c r="O418" s="1658"/>
      <c r="P418" s="1658"/>
      <c r="Q418" s="1658"/>
      <c r="R418" s="1594"/>
      <c r="S418" s="1594"/>
      <c r="T418" s="1594"/>
      <c r="U418" s="1594"/>
      <c r="V418" s="1594"/>
    </row>
    <row r="419" spans="1:30" ht="62.1" hidden="1" customHeight="1" x14ac:dyDescent="0.5">
      <c r="A419" s="1594"/>
      <c r="B419" s="1594"/>
      <c r="C419" s="1658"/>
      <c r="D419" s="1658"/>
      <c r="E419" s="1658"/>
      <c r="F419" s="1658"/>
      <c r="G419" s="1658"/>
      <c r="H419" s="1658"/>
      <c r="I419" s="1658"/>
      <c r="J419" s="1658"/>
      <c r="K419" s="1658"/>
      <c r="L419" s="1658"/>
      <c r="M419" s="1658"/>
      <c r="N419" s="1658"/>
      <c r="O419" s="1658"/>
      <c r="P419" s="1658"/>
      <c r="Q419" s="1658"/>
      <c r="R419" s="1594"/>
      <c r="S419" s="1594"/>
      <c r="T419" s="1594"/>
      <c r="U419" s="1594"/>
      <c r="V419" s="4253" t="s">
        <v>191</v>
      </c>
      <c r="W419" s="4253"/>
      <c r="X419" s="4253"/>
      <c r="Y419" s="4253" t="s">
        <v>464</v>
      </c>
      <c r="Z419" s="4253"/>
      <c r="AA419" s="4253"/>
      <c r="AB419" s="4253" t="s">
        <v>465</v>
      </c>
      <c r="AC419" s="4253"/>
      <c r="AD419" s="4253"/>
    </row>
    <row r="420" spans="1:30" ht="62.1" hidden="1" customHeight="1" x14ac:dyDescent="0.45">
      <c r="V420" s="1515" t="s">
        <v>5</v>
      </c>
      <c r="W420" s="1515" t="s">
        <v>6</v>
      </c>
      <c r="X420" s="1515" t="s">
        <v>7</v>
      </c>
      <c r="Y420" s="1515" t="s">
        <v>5</v>
      </c>
      <c r="Z420" s="1515" t="s">
        <v>6</v>
      </c>
      <c r="AA420" s="1515" t="s">
        <v>7</v>
      </c>
      <c r="AB420" s="1515" t="s">
        <v>5</v>
      </c>
      <c r="AC420" s="1515" t="s">
        <v>6</v>
      </c>
      <c r="AD420" s="1515" t="s">
        <v>7</v>
      </c>
    </row>
    <row r="421" spans="1:30" ht="62.1" hidden="1" customHeight="1" x14ac:dyDescent="0.45">
      <c r="A421" s="1639" t="s">
        <v>457</v>
      </c>
      <c r="B421" s="1640"/>
      <c r="C421" s="1640"/>
      <c r="D421" s="1640" t="s">
        <v>26</v>
      </c>
      <c r="E421" s="1640"/>
      <c r="F421" s="1640"/>
      <c r="G421" s="1640"/>
      <c r="H421" s="1640"/>
      <c r="I421" s="1640" t="s">
        <v>458</v>
      </c>
      <c r="J421" s="4274" t="s">
        <v>304</v>
      </c>
      <c r="K421" s="4274"/>
      <c r="L421" s="4274"/>
      <c r="M421" s="4274" t="s">
        <v>453</v>
      </c>
      <c r="N421" s="4274"/>
      <c r="O421" s="4275"/>
      <c r="P421" s="4237" t="s">
        <v>449</v>
      </c>
      <c r="Q421" s="4238"/>
      <c r="R421" s="4240"/>
      <c r="V421" s="1490"/>
      <c r="W421" s="1490"/>
      <c r="X421" s="1490"/>
    </row>
    <row r="422" spans="1:30" ht="62.1" hidden="1" customHeight="1" x14ac:dyDescent="0.45">
      <c r="A422" s="1639"/>
      <c r="B422" s="1640"/>
      <c r="C422" s="1640"/>
      <c r="D422" s="1640"/>
      <c r="E422" s="1640"/>
      <c r="F422" s="1640"/>
      <c r="G422" s="1640"/>
      <c r="H422" s="1640"/>
      <c r="I422" s="1640"/>
      <c r="J422" s="1640" t="s">
        <v>287</v>
      </c>
      <c r="K422" s="1640" t="s">
        <v>450</v>
      </c>
      <c r="L422" s="1640" t="s">
        <v>288</v>
      </c>
      <c r="M422" s="1640" t="s">
        <v>287</v>
      </c>
      <c r="N422" s="1640" t="s">
        <v>450</v>
      </c>
      <c r="O422" s="1640" t="s">
        <v>288</v>
      </c>
      <c r="P422" s="1515" t="s">
        <v>287</v>
      </c>
      <c r="Q422" s="1515" t="s">
        <v>289</v>
      </c>
      <c r="R422" s="1515" t="s">
        <v>288</v>
      </c>
      <c r="T422" s="1489" t="s">
        <v>883</v>
      </c>
      <c r="U422" s="1489" t="s">
        <v>884</v>
      </c>
      <c r="V422" s="1489">
        <f ca="1">+V424+V425+W424+W425+X424+X425</f>
        <v>0</v>
      </c>
      <c r="W422" s="1573">
        <f>+'GUDI  -HOJA2'!P9+'GUDI  -HOJA2'!Q9+'GUDI  -HOJA2'!R9</f>
        <v>0</v>
      </c>
    </row>
    <row r="423" spans="1:30" ht="62.1" hidden="1" customHeight="1" x14ac:dyDescent="0.45"/>
    <row r="424" spans="1:30" ht="62.1" hidden="1" customHeight="1" x14ac:dyDescent="0.45">
      <c r="A424" s="1652" t="s">
        <v>23</v>
      </c>
      <c r="B424" s="1645"/>
      <c r="C424" s="2323"/>
      <c r="D424" s="1660">
        <f>'Compra -HOJA1'!K24</f>
        <v>0</v>
      </c>
      <c r="E424" s="1660"/>
      <c r="F424" s="1660"/>
      <c r="G424" s="1660"/>
      <c r="H424" s="1660"/>
      <c r="I424" s="1660">
        <f ca="1">'Compra -HOJA1'!J24</f>
        <v>0</v>
      </c>
      <c r="J424" s="1666">
        <f ca="1">+(V424)</f>
        <v>0</v>
      </c>
      <c r="K424" s="1666">
        <f ca="1">+(X424)</f>
        <v>0</v>
      </c>
      <c r="L424" s="1666">
        <f ca="1">+(W424)</f>
        <v>0</v>
      </c>
      <c r="M424" s="1666">
        <f ca="1">+(Y424)</f>
        <v>0</v>
      </c>
      <c r="N424" s="1666">
        <f ca="1">+(AA424)</f>
        <v>0</v>
      </c>
      <c r="O424" s="1666">
        <f ca="1">+(Z424)</f>
        <v>0</v>
      </c>
      <c r="P424" s="1661">
        <f t="shared" ref="P424:R425" ca="1" si="206">+M424+J424</f>
        <v>0</v>
      </c>
      <c r="Q424" s="1661">
        <f t="shared" ca="1" si="206"/>
        <v>0</v>
      </c>
      <c r="R424" s="1662">
        <f t="shared" ca="1" si="206"/>
        <v>0</v>
      </c>
      <c r="V424" s="1489">
        <f ca="1">'Compra -HOJA1'!G24</f>
        <v>0</v>
      </c>
      <c r="W424" s="1489">
        <f ca="1">'Compra -HOJA1'!H24</f>
        <v>0</v>
      </c>
      <c r="X424" s="1489">
        <f ca="1">'Compra -HOJA1'!I24</f>
        <v>0</v>
      </c>
      <c r="Y424" s="1489">
        <f ca="1">+'Compra -HOJA1'!L24</f>
        <v>0</v>
      </c>
      <c r="Z424" s="1489">
        <f ca="1">+'Compra -HOJA1'!M24</f>
        <v>0</v>
      </c>
      <c r="AA424" s="1489">
        <f ca="1">+'Compra -HOJA1'!N24</f>
        <v>0</v>
      </c>
      <c r="AB424" s="1489">
        <f ca="1">+'Compra -HOJA1'!O24</f>
        <v>0</v>
      </c>
      <c r="AC424" s="1489">
        <f ca="1">+'Compra -HOJA1'!P24</f>
        <v>0</v>
      </c>
      <c r="AD424" s="1489">
        <f ca="1">+'Compra -HOJA1'!Q24</f>
        <v>0</v>
      </c>
    </row>
    <row r="425" spans="1:30" ht="62.1" hidden="1" customHeight="1" x14ac:dyDescent="0.45">
      <c r="A425" s="1652" t="s">
        <v>24</v>
      </c>
      <c r="B425" s="1645"/>
      <c r="C425" s="2323"/>
      <c r="D425" s="1660">
        <f>'Compra -HOJA1'!K27</f>
        <v>0</v>
      </c>
      <c r="E425" s="1660"/>
      <c r="F425" s="1660"/>
      <c r="G425" s="1660"/>
      <c r="H425" s="1660"/>
      <c r="I425" s="1660">
        <f ca="1">'Compra -HOJA1'!J27</f>
        <v>0</v>
      </c>
      <c r="J425" s="1666">
        <f ca="1">+(V425)</f>
        <v>0</v>
      </c>
      <c r="K425" s="1666">
        <f ca="1">+(X425)</f>
        <v>0</v>
      </c>
      <c r="L425" s="1666">
        <f ca="1">+(W425)</f>
        <v>0</v>
      </c>
      <c r="M425" s="1666">
        <f ca="1">+(Y425)</f>
        <v>0</v>
      </c>
      <c r="N425" s="1666">
        <f ca="1">+(AA425)</f>
        <v>0</v>
      </c>
      <c r="O425" s="1666">
        <f ca="1">+(Z425)</f>
        <v>0</v>
      </c>
      <c r="P425" s="1661">
        <f t="shared" ca="1" si="206"/>
        <v>0</v>
      </c>
      <c r="Q425" s="1661">
        <f t="shared" ca="1" si="206"/>
        <v>0</v>
      </c>
      <c r="R425" s="1662">
        <f t="shared" ca="1" si="206"/>
        <v>0</v>
      </c>
      <c r="V425" s="1489">
        <f ca="1">+'Compra -HOJA1'!G27</f>
        <v>0</v>
      </c>
      <c r="W425" s="1489">
        <f ca="1">+'Compra -HOJA1'!H27</f>
        <v>0</v>
      </c>
      <c r="X425" s="1489">
        <f ca="1">+'Compra -HOJA1'!I27</f>
        <v>0</v>
      </c>
      <c r="Y425" s="1489">
        <f ca="1">'Compra -HOJA1'!L27</f>
        <v>0</v>
      </c>
      <c r="Z425" s="1489">
        <f ca="1">'Compra -HOJA1'!M27</f>
        <v>0</v>
      </c>
      <c r="AA425" s="1489">
        <f ca="1">'Compra -HOJA1'!N27</f>
        <v>0</v>
      </c>
      <c r="AB425" s="1489">
        <f ca="1">'Compra -HOJA1'!O27</f>
        <v>0</v>
      </c>
      <c r="AC425" s="1489">
        <f ca="1">'Compra -HOJA1'!P27</f>
        <v>0</v>
      </c>
      <c r="AD425" s="1489">
        <f ca="1">'Compra -HOJA1'!Q27</f>
        <v>0</v>
      </c>
    </row>
    <row r="426" spans="1:30" ht="62.1" hidden="1" customHeight="1" x14ac:dyDescent="0.5">
      <c r="A426" s="1702" t="s">
        <v>471</v>
      </c>
      <c r="B426" s="1702"/>
      <c r="C426" s="1697"/>
      <c r="D426" s="1664">
        <f>SUM(D424:D425)</f>
        <v>0</v>
      </c>
      <c r="E426" s="1664"/>
      <c r="F426" s="1664"/>
      <c r="G426" s="1664"/>
      <c r="H426" s="1664"/>
      <c r="I426" s="1664">
        <f t="shared" ref="I426:O426" ca="1" si="207">SUM(I424:I425)</f>
        <v>0</v>
      </c>
      <c r="J426" s="1664">
        <f t="shared" ca="1" si="207"/>
        <v>0</v>
      </c>
      <c r="K426" s="1664">
        <f t="shared" ca="1" si="207"/>
        <v>0</v>
      </c>
      <c r="L426" s="1664">
        <f t="shared" ca="1" si="207"/>
        <v>0</v>
      </c>
      <c r="M426" s="1664">
        <f t="shared" ca="1" si="207"/>
        <v>0</v>
      </c>
      <c r="N426" s="1664">
        <f t="shared" ca="1" si="207"/>
        <v>0</v>
      </c>
      <c r="O426" s="1664">
        <f t="shared" ca="1" si="207"/>
        <v>0</v>
      </c>
      <c r="P426" s="1664">
        <f ca="1">SUM(P424:P425)</f>
        <v>0</v>
      </c>
      <c r="Q426" s="1664">
        <f ca="1">SUM(Q424:Q425)</f>
        <v>0</v>
      </c>
      <c r="R426" s="1663">
        <f ca="1">SUM(R424:R425)</f>
        <v>0</v>
      </c>
      <c r="V426" s="1663">
        <f t="shared" ref="V426:AD426" ca="1" si="208">SUM(V424:V425)</f>
        <v>0</v>
      </c>
      <c r="W426" s="1663">
        <f t="shared" ca="1" si="208"/>
        <v>0</v>
      </c>
      <c r="X426" s="1663">
        <f t="shared" ca="1" si="208"/>
        <v>0</v>
      </c>
      <c r="Y426" s="1663">
        <f t="shared" ca="1" si="208"/>
        <v>0</v>
      </c>
      <c r="Z426" s="1663">
        <f t="shared" ca="1" si="208"/>
        <v>0</v>
      </c>
      <c r="AA426" s="1663">
        <f t="shared" ca="1" si="208"/>
        <v>0</v>
      </c>
      <c r="AB426" s="1663">
        <f t="shared" ca="1" si="208"/>
        <v>0</v>
      </c>
      <c r="AC426" s="1663">
        <f t="shared" ca="1" si="208"/>
        <v>0</v>
      </c>
      <c r="AD426" s="1663">
        <f t="shared" ca="1" si="208"/>
        <v>0</v>
      </c>
    </row>
    <row r="427" spans="1:30" s="1540" customFormat="1" ht="62.1" hidden="1" customHeight="1" x14ac:dyDescent="0.5">
      <c r="A427" s="1703"/>
      <c r="B427" s="1703"/>
      <c r="C427" s="2328"/>
      <c r="D427" s="2316"/>
      <c r="E427" s="2316"/>
      <c r="F427" s="2316"/>
      <c r="G427" s="2316"/>
      <c r="H427" s="2316"/>
      <c r="I427" s="2316"/>
      <c r="J427" s="1706">
        <f ca="1">+'Compra -HOJA1'!G29</f>
        <v>0</v>
      </c>
      <c r="K427" s="1706">
        <f ca="1">+'Compra -HOJA1'!H29</f>
        <v>0</v>
      </c>
      <c r="L427" s="1706">
        <f ca="1">+'Compra -HOJA1'!I29</f>
        <v>0</v>
      </c>
      <c r="M427" s="1706">
        <f ca="1">+'Compra -HOJA1'!L29</f>
        <v>0</v>
      </c>
      <c r="N427" s="1706">
        <f ca="1">+'Compra -HOJA1'!M29</f>
        <v>0</v>
      </c>
      <c r="O427" s="1706">
        <f ca="1">+'Compra -HOJA1'!N29</f>
        <v>0</v>
      </c>
      <c r="P427" s="1706"/>
      <c r="Q427" s="1706"/>
      <c r="R427" s="1704"/>
      <c r="V427" s="1574"/>
    </row>
    <row r="428" spans="1:30" ht="62.1" hidden="1" customHeight="1" x14ac:dyDescent="0.5">
      <c r="B428" s="1665" t="s">
        <v>429</v>
      </c>
      <c r="C428" s="1717"/>
      <c r="J428" s="1666" t="e">
        <f>+(V428)</f>
        <v>#REF!</v>
      </c>
      <c r="K428" s="1666" t="e">
        <f>+(X428)</f>
        <v>#REF!</v>
      </c>
      <c r="L428" s="1666" t="e">
        <f>+(W428)</f>
        <v>#REF!</v>
      </c>
      <c r="M428" s="1666" t="e">
        <f>+(Y428)</f>
        <v>#REF!</v>
      </c>
      <c r="N428" s="1666" t="e">
        <f>+(AA428)</f>
        <v>#REF!</v>
      </c>
      <c r="O428" s="1666" t="e">
        <f>+(Z428)</f>
        <v>#REF!</v>
      </c>
      <c r="P428" s="1661" t="e">
        <f t="shared" ref="P428:R429" si="209">+M428+J428</f>
        <v>#REF!</v>
      </c>
      <c r="Q428" s="1661" t="e">
        <f t="shared" si="209"/>
        <v>#REF!</v>
      </c>
      <c r="R428" s="1662" t="e">
        <f t="shared" si="209"/>
        <v>#REF!</v>
      </c>
      <c r="V428" s="1489" t="e">
        <f>+'Compra -HOJA1'!#REF!</f>
        <v>#REF!</v>
      </c>
      <c r="W428" s="1489" t="e">
        <f>+'Compra -HOJA1'!#REF!</f>
        <v>#REF!</v>
      </c>
      <c r="X428" s="1489" t="e">
        <f>+'Compra -HOJA1'!#REF!</f>
        <v>#REF!</v>
      </c>
      <c r="Y428" s="1489" t="e">
        <f>+'Compra -HOJA1'!#REF!</f>
        <v>#REF!</v>
      </c>
      <c r="Z428" s="1489" t="e">
        <f>+'Compra -HOJA1'!#REF!</f>
        <v>#REF!</v>
      </c>
      <c r="AA428" s="1489" t="e">
        <f>+'Compra -HOJA1'!#REF!</f>
        <v>#REF!</v>
      </c>
      <c r="AB428" s="1489" t="e">
        <f>+'Compra -HOJA1'!#REF!</f>
        <v>#REF!</v>
      </c>
      <c r="AC428" s="1489" t="e">
        <f>+'Compra -HOJA1'!#REF!</f>
        <v>#REF!</v>
      </c>
      <c r="AD428" s="1489" t="e">
        <f>+'Compra -HOJA1'!#REF!</f>
        <v>#REF!</v>
      </c>
    </row>
    <row r="429" spans="1:30" ht="62.1" hidden="1" customHeight="1" x14ac:dyDescent="0.5">
      <c r="A429" s="1498"/>
      <c r="B429" s="1665" t="s">
        <v>430</v>
      </c>
      <c r="C429" s="2310"/>
      <c r="D429" s="2310"/>
      <c r="E429" s="2310"/>
      <c r="F429" s="2310"/>
      <c r="G429" s="2310"/>
      <c r="H429" s="2310"/>
      <c r="I429" s="2310"/>
      <c r="J429" s="1666">
        <f>+(V429)</f>
        <v>0</v>
      </c>
      <c r="K429" s="1666">
        <f>+(X429)</f>
        <v>0</v>
      </c>
      <c r="L429" s="1666">
        <f>+(W429)</f>
        <v>0</v>
      </c>
      <c r="M429" s="1666"/>
      <c r="N429" s="1666"/>
      <c r="O429" s="1666"/>
      <c r="P429" s="1661">
        <f t="shared" si="209"/>
        <v>0</v>
      </c>
      <c r="Q429" s="1661">
        <f t="shared" si="209"/>
        <v>0</v>
      </c>
      <c r="R429" s="1662">
        <f t="shared" si="209"/>
        <v>0</v>
      </c>
      <c r="S429" s="1498"/>
      <c r="T429" s="1498"/>
      <c r="U429" s="1498"/>
      <c r="V429" s="1498">
        <f>'Compra -HOJA1'!G14</f>
        <v>0</v>
      </c>
      <c r="W429" s="1498">
        <f>'Compra -HOJA1'!H14</f>
        <v>0</v>
      </c>
      <c r="X429" s="1498">
        <f>'Compra -HOJA1'!I14</f>
        <v>0</v>
      </c>
    </row>
    <row r="430" spans="1:30" ht="62.1" hidden="1" customHeight="1" x14ac:dyDescent="0.45">
      <c r="A430" s="1668"/>
      <c r="B430" s="4300" t="s">
        <v>460</v>
      </c>
      <c r="C430" s="4301"/>
      <c r="D430" s="4301"/>
      <c r="E430" s="4301"/>
      <c r="F430" s="4301"/>
      <c r="G430" s="4301"/>
      <c r="H430" s="4301"/>
      <c r="I430" s="4302"/>
      <c r="J430" s="1671" t="e">
        <f t="shared" ref="J430:O430" si="210">SUM(J428:J429)</f>
        <v>#REF!</v>
      </c>
      <c r="K430" s="1671" t="e">
        <f t="shared" si="210"/>
        <v>#REF!</v>
      </c>
      <c r="L430" s="1671" t="e">
        <f t="shared" si="210"/>
        <v>#REF!</v>
      </c>
      <c r="M430" s="1671" t="e">
        <f t="shared" si="210"/>
        <v>#REF!</v>
      </c>
      <c r="N430" s="1671" t="e">
        <f t="shared" si="210"/>
        <v>#REF!</v>
      </c>
      <c r="O430" s="1671" t="e">
        <f t="shared" si="210"/>
        <v>#REF!</v>
      </c>
      <c r="P430" s="1671" t="e">
        <f>SUM(P428:P429)</f>
        <v>#REF!</v>
      </c>
      <c r="Q430" s="1671" t="e">
        <f>SUM(Q428:Q429)</f>
        <v>#REF!</v>
      </c>
      <c r="R430" s="1669" t="e">
        <f>SUM(R428:R429)</f>
        <v>#REF!</v>
      </c>
      <c r="V430" s="1669" t="e">
        <f t="shared" ref="V430:AD430" si="211">SUM(V428:V429)</f>
        <v>#REF!</v>
      </c>
      <c r="W430" s="1669" t="e">
        <f t="shared" si="211"/>
        <v>#REF!</v>
      </c>
      <c r="X430" s="1669" t="e">
        <f t="shared" si="211"/>
        <v>#REF!</v>
      </c>
      <c r="Y430" s="1669" t="e">
        <f t="shared" si="211"/>
        <v>#REF!</v>
      </c>
      <c r="Z430" s="1669" t="e">
        <f t="shared" si="211"/>
        <v>#REF!</v>
      </c>
      <c r="AA430" s="1669" t="e">
        <f t="shared" si="211"/>
        <v>#REF!</v>
      </c>
      <c r="AB430" s="1669" t="e">
        <f t="shared" si="211"/>
        <v>#REF!</v>
      </c>
      <c r="AC430" s="1669" t="e">
        <f t="shared" si="211"/>
        <v>#REF!</v>
      </c>
      <c r="AD430" s="1669" t="e">
        <f t="shared" si="211"/>
        <v>#REF!</v>
      </c>
    </row>
    <row r="431" spans="1:30" ht="62.1" hidden="1" customHeight="1" x14ac:dyDescent="0.5">
      <c r="A431" s="1672"/>
      <c r="B431" s="1672"/>
      <c r="J431" s="4278" t="s">
        <v>304</v>
      </c>
      <c r="K431" s="4279"/>
      <c r="L431" s="4280"/>
      <c r="M431" s="4278" t="s">
        <v>453</v>
      </c>
      <c r="N431" s="4279"/>
      <c r="O431" s="4280"/>
      <c r="P431" s="4237" t="s">
        <v>449</v>
      </c>
      <c r="Q431" s="4238"/>
      <c r="R431" s="4240"/>
      <c r="V431" s="4253" t="s">
        <v>191</v>
      </c>
      <c r="W431" s="4253"/>
      <c r="X431" s="4253"/>
      <c r="Y431" s="4253" t="s">
        <v>464</v>
      </c>
      <c r="Z431" s="4253"/>
      <c r="AA431" s="4253"/>
      <c r="AB431" s="4253" t="s">
        <v>465</v>
      </c>
      <c r="AC431" s="4253"/>
      <c r="AD431" s="4253"/>
    </row>
    <row r="432" spans="1:30" ht="62.1" hidden="1" customHeight="1" x14ac:dyDescent="0.45">
      <c r="A432" s="1672"/>
      <c r="B432" s="1672"/>
      <c r="J432" s="1641" t="s">
        <v>287</v>
      </c>
      <c r="K432" s="1641" t="s">
        <v>450</v>
      </c>
      <c r="L432" s="1641" t="s">
        <v>288</v>
      </c>
      <c r="M432" s="1641" t="s">
        <v>287</v>
      </c>
      <c r="N432" s="1641" t="s">
        <v>450</v>
      </c>
      <c r="O432" s="1641" t="s">
        <v>288</v>
      </c>
      <c r="P432" s="1515" t="s">
        <v>287</v>
      </c>
      <c r="Q432" s="1515" t="s">
        <v>289</v>
      </c>
      <c r="R432" s="1515" t="s">
        <v>288</v>
      </c>
      <c r="V432" s="1515" t="s">
        <v>5</v>
      </c>
      <c r="W432" s="1515" t="s">
        <v>6</v>
      </c>
      <c r="X432" s="1515" t="s">
        <v>7</v>
      </c>
      <c r="Y432" s="1515" t="s">
        <v>5</v>
      </c>
      <c r="Z432" s="1515" t="s">
        <v>6</v>
      </c>
      <c r="AA432" s="1515" t="s">
        <v>7</v>
      </c>
      <c r="AB432" s="1515" t="s">
        <v>5</v>
      </c>
      <c r="AC432" s="1515" t="s">
        <v>6</v>
      </c>
      <c r="AD432" s="1515" t="s">
        <v>7</v>
      </c>
    </row>
    <row r="433" spans="1:30" ht="62.1" hidden="1" customHeight="1" x14ac:dyDescent="0.45">
      <c r="A433" s="4278" t="s">
        <v>431</v>
      </c>
      <c r="B433" s="4279"/>
      <c r="C433" s="4279"/>
      <c r="D433" s="4279"/>
      <c r="E433" s="4279"/>
      <c r="F433" s="4279"/>
      <c r="G433" s="4279"/>
      <c r="H433" s="4279"/>
      <c r="I433" s="4280"/>
      <c r="J433" s="1673" t="e">
        <f t="shared" ref="J433:O433" ca="1" si="212">+I394+J404+J414+J426+J430</f>
        <v>#REF!</v>
      </c>
      <c r="K433" s="1673" t="e">
        <f t="shared" ca="1" si="212"/>
        <v>#REF!</v>
      </c>
      <c r="L433" s="1673" t="e">
        <f t="shared" ca="1" si="212"/>
        <v>#REF!</v>
      </c>
      <c r="M433" s="1673" t="e">
        <f t="shared" ca="1" si="212"/>
        <v>#REF!</v>
      </c>
      <c r="N433" s="1673" t="e">
        <f t="shared" ca="1" si="212"/>
        <v>#REF!</v>
      </c>
      <c r="O433" s="1673" t="e">
        <f t="shared" ca="1" si="212"/>
        <v>#REF!</v>
      </c>
      <c r="P433" s="1673" t="e">
        <f ca="1">+J433+M433</f>
        <v>#REF!</v>
      </c>
      <c r="Q433" s="1673" t="e">
        <f ca="1">+K433+N433</f>
        <v>#REF!</v>
      </c>
      <c r="R433" s="1673" t="e">
        <f ca="1">+L433+O433</f>
        <v>#REF!</v>
      </c>
      <c r="V433" s="1548" t="e">
        <f ca="1">+V430+V426+V414+V404+V394</f>
        <v>#REF!</v>
      </c>
      <c r="W433" s="1548" t="e">
        <f t="shared" ref="W433:AD433" ca="1" si="213">+W430+W426+W414+W404+W394</f>
        <v>#REF!</v>
      </c>
      <c r="X433" s="1548" t="e">
        <f t="shared" ca="1" si="213"/>
        <v>#REF!</v>
      </c>
      <c r="Y433" s="1548" t="e">
        <f t="shared" ca="1" si="213"/>
        <v>#REF!</v>
      </c>
      <c r="Z433" s="1548" t="e">
        <f t="shared" ca="1" si="213"/>
        <v>#REF!</v>
      </c>
      <c r="AA433" s="1548" t="e">
        <f t="shared" ca="1" si="213"/>
        <v>#REF!</v>
      </c>
      <c r="AB433" s="1548" t="e">
        <f t="shared" ca="1" si="213"/>
        <v>#REF!</v>
      </c>
      <c r="AC433" s="1548" t="e">
        <f t="shared" ca="1" si="213"/>
        <v>#REF!</v>
      </c>
      <c r="AD433" s="1548" t="e">
        <f t="shared" ca="1" si="213"/>
        <v>#REF!</v>
      </c>
    </row>
    <row r="434" spans="1:30" ht="62.1" hidden="1" customHeight="1" x14ac:dyDescent="0.45">
      <c r="A434" s="1641"/>
      <c r="B434" s="1641"/>
      <c r="C434" s="1641"/>
      <c r="D434" s="1641"/>
      <c r="E434" s="1641"/>
      <c r="F434" s="1641"/>
      <c r="G434" s="1641"/>
      <c r="H434" s="1641"/>
      <c r="I434" s="1641"/>
      <c r="J434" s="4237" t="s">
        <v>449</v>
      </c>
      <c r="K434" s="4238"/>
      <c r="L434" s="4240"/>
      <c r="V434" s="4395" t="s">
        <v>449</v>
      </c>
      <c r="W434" s="4323"/>
      <c r="X434" s="4396"/>
    </row>
    <row r="435" spans="1:30" ht="62.1" hidden="1" customHeight="1" x14ac:dyDescent="0.45">
      <c r="A435" s="4278" t="s">
        <v>431</v>
      </c>
      <c r="B435" s="4279"/>
      <c r="C435" s="4279"/>
      <c r="D435" s="4279"/>
      <c r="E435" s="4279"/>
      <c r="F435" s="4279"/>
      <c r="G435" s="4279"/>
      <c r="H435" s="4279"/>
      <c r="I435" s="4280"/>
      <c r="J435" s="1674" t="e">
        <f ca="1">+J433+M433</f>
        <v>#REF!</v>
      </c>
      <c r="K435" s="1674" t="e">
        <f ca="1">+K433+N433</f>
        <v>#REF!</v>
      </c>
      <c r="L435" s="1674" t="e">
        <f ca="1">+L433+O433</f>
        <v>#REF!</v>
      </c>
      <c r="M435" s="2317" t="e">
        <f ca="1">+M433/J433</f>
        <v>#REF!</v>
      </c>
      <c r="N435" s="2317" t="e">
        <f ca="1">+N433/K433</f>
        <v>#REF!</v>
      </c>
      <c r="O435" s="1653">
        <v>574588</v>
      </c>
      <c r="V435" s="1674" t="e">
        <f ca="1">+V433+Y433</f>
        <v>#REF!</v>
      </c>
      <c r="W435" s="1674" t="e">
        <f ca="1">+W433+Z433</f>
        <v>#REF!</v>
      </c>
      <c r="X435" s="1674" t="e">
        <f ca="1">+X433+AA433</f>
        <v>#REF!</v>
      </c>
      <c r="Y435" s="1573" t="e">
        <f ca="1">SUM(V435:X435)</f>
        <v>#REF!</v>
      </c>
    </row>
    <row r="436" spans="1:30" ht="62.1" hidden="1" customHeight="1" x14ac:dyDescent="0.45">
      <c r="A436" s="4278" t="s">
        <v>433</v>
      </c>
      <c r="B436" s="4279"/>
      <c r="C436" s="4279"/>
      <c r="D436" s="4279"/>
      <c r="E436" s="4279"/>
      <c r="F436" s="4279"/>
      <c r="G436" s="4279"/>
      <c r="H436" s="4279"/>
      <c r="I436" s="4280"/>
      <c r="J436" s="1675">
        <f>+'Compra -HOJA1'!G10</f>
        <v>0</v>
      </c>
      <c r="K436" s="1675">
        <f>+'Compra -HOJA1'!I10</f>
        <v>0</v>
      </c>
      <c r="L436" s="1675">
        <f>+'Compra -HOJA1'!H10</f>
        <v>0</v>
      </c>
      <c r="M436" s="1653"/>
      <c r="N436" s="1653"/>
      <c r="O436" s="1653" t="e">
        <f ca="1">+L435-O435</f>
        <v>#REF!</v>
      </c>
      <c r="V436" s="1675">
        <f>+J436</f>
        <v>0</v>
      </c>
      <c r="W436" s="1675">
        <f>+L436</f>
        <v>0</v>
      </c>
      <c r="X436" s="1675">
        <f>+K436</f>
        <v>0</v>
      </c>
      <c r="Y436" s="1573">
        <f>SUM(V436:X436)</f>
        <v>0</v>
      </c>
      <c r="Z436" s="1573" t="e">
        <f ca="1">+Y436-Y435</f>
        <v>#REF!</v>
      </c>
    </row>
    <row r="437" spans="1:30" ht="62.1" hidden="1" customHeight="1" x14ac:dyDescent="0.45">
      <c r="A437" s="1676"/>
      <c r="B437" s="1676"/>
      <c r="C437" s="2325"/>
      <c r="U437" s="1489" t="s">
        <v>477</v>
      </c>
      <c r="V437" s="1592" t="e">
        <f ca="1">+'Compra -HOJA1'!F285+'Compra -HOJA1'!F67+'Compra -HOJA1'!F52+'Compra -HOJA1'!#REF!+'Compra -HOJA1'!F51+'Compra -HOJA1'!F50+'Compra -HOJA1'!F49+'Compra -HOJA1'!F48+'Compra -HOJA1'!F44+'Compra -HOJA1'!#REF!+'Compra -HOJA1'!F43+'Compra -HOJA1'!F42+'Compra -HOJA1'!F41+'Compra -HOJA1'!F40+'Compra -HOJA1'!F37+'Compra -HOJA1'!F36+'Compra -HOJA1'!F28+'Compra -HOJA1'!F25</f>
        <v>#REF!</v>
      </c>
      <c r="W437" s="1573" t="e">
        <f ca="1">+V433+W433+X433</f>
        <v>#REF!</v>
      </c>
      <c r="Y437" s="1573" t="e">
        <f ca="1">+Y433+Z433+AA433</f>
        <v>#REF!</v>
      </c>
      <c r="Z437" s="1592">
        <f ca="1">+'Compra -HOJA1'!L29+'Compra -HOJA1'!M29+'Compra -HOJA1'!N29+'Compra -HOJA1'!L38+'Compra -HOJA1'!M38+'Compra -HOJA1'!N38+'Compra -HOJA1'!L45+'Compra -HOJA1'!M45+'Compra -HOJA1'!N45+'Compra -HOJA1'!L53+'Compra -HOJA1'!M53+'Compra -HOJA1'!N53+'Compra -HOJA1'!K67+'Compra -HOJA1'!L67+'Compra -HOJA1'!M67+'Compra -HOJA1'!L392+'Compra -HOJA1'!M392+'Compra -HOJA1'!N392</f>
        <v>0</v>
      </c>
      <c r="AA437" s="1573" t="e">
        <f ca="1">+V437+Y437</f>
        <v>#REF!</v>
      </c>
    </row>
    <row r="438" spans="1:30" ht="62.1" hidden="1" customHeight="1" x14ac:dyDescent="0.45">
      <c r="A438" s="1676"/>
      <c r="B438" s="1676"/>
      <c r="C438" s="2325"/>
      <c r="D438" s="1491" t="s">
        <v>435</v>
      </c>
      <c r="J438" s="1653" t="e">
        <f ca="1">IF((J436-J435)=0,"O.K.","VERIFICAR¨")</f>
        <v>#REF!</v>
      </c>
      <c r="K438" s="1653" t="e">
        <f ca="1">IF((K436-K435)=0,"O.K.","VERIFICAR¨")</f>
        <v>#REF!</v>
      </c>
      <c r="L438" s="1653" t="e">
        <f ca="1">IF((L436-L435)=0,"O.K.","VERIFICAR¨")</f>
        <v>#REF!</v>
      </c>
    </row>
    <row r="439" spans="1:30" ht="62.1" hidden="1" customHeight="1" x14ac:dyDescent="0.45">
      <c r="A439" s="1677"/>
      <c r="B439" s="1677"/>
      <c r="C439" s="2326"/>
      <c r="J439" s="2318" t="e">
        <f ca="1">+J436-J435</f>
        <v>#REF!</v>
      </c>
      <c r="K439" s="2318" t="e">
        <f ca="1">+K436-K435</f>
        <v>#REF!</v>
      </c>
      <c r="L439" s="2318" t="e">
        <f ca="1">+L436-L435</f>
        <v>#REF!</v>
      </c>
      <c r="M439" s="2319" t="e">
        <f ca="1">SUM(J439:L439)</f>
        <v>#REF!</v>
      </c>
      <c r="S439" s="1489" t="s">
        <v>157</v>
      </c>
      <c r="V439" s="1610">
        <v>156746.49797894555</v>
      </c>
      <c r="W439" s="1610">
        <v>309925.00195551571</v>
      </c>
      <c r="X439" s="1610">
        <v>119409.50006553871</v>
      </c>
      <c r="Y439" s="1709">
        <v>10627.412562972509</v>
      </c>
      <c r="Z439" s="1709">
        <v>21012.915132583963</v>
      </c>
      <c r="AA439" s="1709">
        <v>8095.9641044435248</v>
      </c>
      <c r="AB439" s="1610">
        <f>SUM(V439:AA439)</f>
        <v>625817.29180000001</v>
      </c>
      <c r="AC439" s="1489">
        <v>330937.91708809964</v>
      </c>
      <c r="AD439" s="1489">
        <v>127505.46416998224</v>
      </c>
    </row>
    <row r="440" spans="1:30" ht="62.1" hidden="1" customHeight="1" x14ac:dyDescent="0.45">
      <c r="A440" s="1677"/>
      <c r="B440" s="1677"/>
      <c r="C440" s="2326"/>
      <c r="J440" s="1653"/>
      <c r="K440" s="1653"/>
      <c r="L440" s="1653"/>
      <c r="S440" s="1489" t="s">
        <v>158</v>
      </c>
      <c r="V440" s="1610">
        <v>132079.20000000001</v>
      </c>
      <c r="W440" s="1610">
        <v>48028.799999999996</v>
      </c>
      <c r="X440" s="1610">
        <v>220132.00000000003</v>
      </c>
      <c r="Y440" s="1709">
        <v>8954.96976</v>
      </c>
      <c r="Z440" s="1709">
        <v>3256.3526399999996</v>
      </c>
      <c r="AA440" s="1709">
        <v>14924.949600000002</v>
      </c>
      <c r="AB440" s="1610">
        <f>SUM(V440:AA440)</f>
        <v>427376.272</v>
      </c>
      <c r="AC440" s="1489">
        <v>51285.152639999993</v>
      </c>
      <c r="AD440" s="1489">
        <v>235056.94960000002</v>
      </c>
    </row>
    <row r="441" spans="1:30" ht="62.1" hidden="1" customHeight="1" x14ac:dyDescent="0.45">
      <c r="A441" s="1677"/>
      <c r="B441" s="1677"/>
      <c r="C441" s="2326"/>
      <c r="J441" s="1653"/>
      <c r="K441" s="1653"/>
      <c r="L441" s="1653"/>
      <c r="S441" s="1489" t="s">
        <v>21</v>
      </c>
      <c r="V441" s="1710">
        <f>+'Compra -HOJA1'!I379</f>
        <v>0</v>
      </c>
      <c r="W441" s="1710">
        <f>+'Compra -HOJA1'!J379</f>
        <v>0</v>
      </c>
      <c r="X441" s="1710">
        <f>+'Compra -HOJA1'!K379</f>
        <v>0</v>
      </c>
      <c r="Y441" s="1711">
        <f ca="1">+'Compra -HOJA1'!L379</f>
        <v>0</v>
      </c>
      <c r="Z441" s="1711">
        <f ca="1">+'Compra -HOJA1'!M379</f>
        <v>0</v>
      </c>
      <c r="AA441" s="1711">
        <f ca="1">+'Compra -HOJA1'!N379</f>
        <v>0</v>
      </c>
      <c r="AB441" s="1610">
        <f ca="1">SUM(V441:AA441)</f>
        <v>0</v>
      </c>
    </row>
    <row r="442" spans="1:30" ht="62.1" hidden="1" customHeight="1" x14ac:dyDescent="0.45">
      <c r="D442" s="2313" t="s">
        <v>478</v>
      </c>
      <c r="E442" s="2313"/>
      <c r="F442" s="2313"/>
      <c r="G442" s="2313"/>
      <c r="H442" s="2313"/>
      <c r="I442" s="2313"/>
      <c r="J442" s="2313"/>
      <c r="K442" s="2313"/>
      <c r="L442" s="2313"/>
      <c r="S442" s="1489" t="s">
        <v>71</v>
      </c>
      <c r="V442" s="1710">
        <f>+'Compra -HOJA1'!I381</f>
        <v>0</v>
      </c>
      <c r="W442" s="1710">
        <f>+'Compra -HOJA1'!J381</f>
        <v>0</v>
      </c>
      <c r="X442" s="1710">
        <f>+'Compra -HOJA1'!K381</f>
        <v>0</v>
      </c>
      <c r="Y442" s="1711">
        <f ca="1">+'Compra -HOJA1'!L381</f>
        <v>0</v>
      </c>
      <c r="Z442" s="1711">
        <f ca="1">+'Compra -HOJA1'!M381</f>
        <v>0</v>
      </c>
      <c r="AA442" s="1711">
        <f ca="1">+'Compra -HOJA1'!N381</f>
        <v>0</v>
      </c>
      <c r="AB442" s="1610">
        <f ca="1">SUM(V442:AA442)</f>
        <v>0</v>
      </c>
    </row>
    <row r="443" spans="1:30" ht="62.1" hidden="1" customHeight="1" x14ac:dyDescent="0.45">
      <c r="D443" s="2313"/>
      <c r="E443" s="2313"/>
      <c r="F443" s="2313"/>
      <c r="G443" s="2313"/>
      <c r="H443" s="2313"/>
      <c r="I443" s="2313"/>
      <c r="J443" s="2313"/>
      <c r="K443" s="2313"/>
      <c r="L443" s="2313"/>
      <c r="S443" s="1489">
        <v>5000</v>
      </c>
      <c r="V443" s="1710">
        <f>+SUM('Compra -HOJA1'!I290:I371)</f>
        <v>0</v>
      </c>
      <c r="W443" s="1710">
        <f>+SUM('Compra -HOJA1'!J290:J371)</f>
        <v>0</v>
      </c>
      <c r="X443" s="1710">
        <f>+SUM('Compra -HOJA1'!K290:K371)</f>
        <v>0</v>
      </c>
      <c r="Y443" s="1711">
        <f ca="1">+SUM('Compra -HOJA1'!L290:L371)</f>
        <v>0</v>
      </c>
      <c r="Z443" s="1711">
        <f ca="1">+SUM('Compra -HOJA1'!M290:M371)</f>
        <v>0</v>
      </c>
      <c r="AA443" s="1711">
        <f ca="1">+SUM('Compra -HOJA1'!N290:N371)</f>
        <v>0</v>
      </c>
      <c r="AB443" s="1610">
        <f ca="1">SUM(V443:AA443)</f>
        <v>0</v>
      </c>
    </row>
    <row r="444" spans="1:30" ht="62.1" hidden="1" customHeight="1" x14ac:dyDescent="0.5">
      <c r="A444" s="1676"/>
      <c r="B444" s="1676"/>
      <c r="C444" s="2325"/>
      <c r="D444" s="2313"/>
      <c r="E444" s="2313"/>
      <c r="F444" s="2313"/>
      <c r="G444" s="2313"/>
      <c r="H444" s="2313"/>
      <c r="I444" s="2313"/>
      <c r="J444" s="2313"/>
      <c r="K444" s="2313"/>
      <c r="L444" s="2313"/>
      <c r="AB444" s="1504">
        <f ca="1">SUM(AB439:AB443)</f>
        <v>1053193.5638000001</v>
      </c>
      <c r="AC444" s="1573">
        <f>+'Compra -HOJA1'!F10</f>
        <v>0</v>
      </c>
      <c r="AD444" s="1573">
        <f ca="1">+AB444-AC444</f>
        <v>1053193.5638000001</v>
      </c>
    </row>
    <row r="445" spans="1:30" ht="62.1" hidden="1" customHeight="1" x14ac:dyDescent="0.45"/>
    <row r="446" spans="1:30" ht="62.1" hidden="1" customHeight="1" x14ac:dyDescent="0.45">
      <c r="A446" s="1640" t="s">
        <v>479</v>
      </c>
      <c r="B446" s="1640"/>
      <c r="C446" s="1640"/>
    </row>
    <row r="447" spans="1:30" ht="62.1" hidden="1" customHeight="1" x14ac:dyDescent="0.45">
      <c r="S447" s="1489" t="s">
        <v>157</v>
      </c>
      <c r="V447" s="1573">
        <f t="shared" ref="V447:AA447" si="214">+V402+V412</f>
        <v>0</v>
      </c>
      <c r="W447" s="1573">
        <f t="shared" si="214"/>
        <v>0</v>
      </c>
      <c r="X447" s="1573">
        <f t="shared" si="214"/>
        <v>0</v>
      </c>
      <c r="Y447" s="1711">
        <f t="shared" si="214"/>
        <v>0</v>
      </c>
      <c r="Z447" s="1711">
        <f t="shared" si="214"/>
        <v>0</v>
      </c>
      <c r="AA447" s="1711">
        <f t="shared" si="214"/>
        <v>0</v>
      </c>
      <c r="AB447" s="1712">
        <f>SUM(V447:AA447)</f>
        <v>0</v>
      </c>
    </row>
    <row r="448" spans="1:30" ht="62.1" hidden="1" customHeight="1" x14ac:dyDescent="0.45">
      <c r="S448" s="1489" t="s">
        <v>158</v>
      </c>
      <c r="V448" s="1490">
        <f t="shared" ref="V448:AA448" si="215">+V392</f>
        <v>0</v>
      </c>
      <c r="W448" s="1490">
        <f t="shared" si="215"/>
        <v>0</v>
      </c>
      <c r="X448" s="1490">
        <f t="shared" si="215"/>
        <v>0</v>
      </c>
      <c r="Y448" s="1713">
        <f t="shared" si="215"/>
        <v>0</v>
      </c>
      <c r="Z448" s="1713">
        <f t="shared" si="215"/>
        <v>0</v>
      </c>
      <c r="AA448" s="1713">
        <f t="shared" si="215"/>
        <v>0</v>
      </c>
      <c r="AB448" s="1712">
        <f>SUM(V448:AA448)</f>
        <v>0</v>
      </c>
    </row>
    <row r="449" spans="15:30" ht="62.1" hidden="1" customHeight="1" x14ac:dyDescent="0.45">
      <c r="S449" s="1489" t="s">
        <v>21</v>
      </c>
      <c r="V449" s="1714">
        <f t="shared" ref="V449:AA450" si="216">+V390</f>
        <v>0</v>
      </c>
      <c r="W449" s="1714">
        <f t="shared" si="216"/>
        <v>0</v>
      </c>
      <c r="X449" s="1714">
        <f t="shared" si="216"/>
        <v>0</v>
      </c>
      <c r="Y449" s="1715">
        <f t="shared" si="216"/>
        <v>0</v>
      </c>
      <c r="Z449" s="1715">
        <f t="shared" si="216"/>
        <v>0</v>
      </c>
      <c r="AA449" s="1715">
        <f t="shared" si="216"/>
        <v>0</v>
      </c>
      <c r="AB449" s="1712">
        <f>SUM(V449:AA449)</f>
        <v>0</v>
      </c>
    </row>
    <row r="450" spans="15:30" ht="62.1" hidden="1" customHeight="1" x14ac:dyDescent="0.45">
      <c r="S450" s="1489" t="s">
        <v>71</v>
      </c>
      <c r="V450" s="1714">
        <f t="shared" si="216"/>
        <v>0</v>
      </c>
      <c r="W450" s="1714">
        <f t="shared" si="216"/>
        <v>0</v>
      </c>
      <c r="X450" s="1714">
        <f t="shared" si="216"/>
        <v>0</v>
      </c>
      <c r="Y450" s="1715">
        <f t="shared" si="216"/>
        <v>0</v>
      </c>
      <c r="Z450" s="1715">
        <f t="shared" si="216"/>
        <v>0</v>
      </c>
      <c r="AA450" s="1715">
        <f t="shared" si="216"/>
        <v>0</v>
      </c>
      <c r="AB450" s="1712">
        <f>SUM(V450:AA450)</f>
        <v>0</v>
      </c>
    </row>
    <row r="451" spans="15:30" ht="62.1" hidden="1" customHeight="1" x14ac:dyDescent="0.45">
      <c r="S451" s="1489">
        <v>5000</v>
      </c>
      <c r="V451" s="1714" t="e">
        <f t="shared" ref="V451:AA451" si="217">+SUM(V320:V389)</f>
        <v>#REF!</v>
      </c>
      <c r="W451" s="1714" t="e">
        <f t="shared" si="217"/>
        <v>#REF!</v>
      </c>
      <c r="X451" s="1714" t="e">
        <f t="shared" si="217"/>
        <v>#REF!</v>
      </c>
      <c r="Y451" s="1714" t="e">
        <f t="shared" si="217"/>
        <v>#REF!</v>
      </c>
      <c r="Z451" s="1714" t="e">
        <f t="shared" si="217"/>
        <v>#REF!</v>
      </c>
      <c r="AA451" s="1714" t="e">
        <f t="shared" si="217"/>
        <v>#REF!</v>
      </c>
      <c r="AB451" s="1712" t="e">
        <f>SUM(V451:AA451)</f>
        <v>#REF!</v>
      </c>
    </row>
    <row r="452" spans="15:30" ht="62.1" hidden="1" customHeight="1" x14ac:dyDescent="0.5">
      <c r="V452" s="1716" t="e">
        <f t="shared" ref="V452:AA452" si="218">SUM(V449:V451)</f>
        <v>#REF!</v>
      </c>
      <c r="W452" s="1716" t="e">
        <f t="shared" si="218"/>
        <v>#REF!</v>
      </c>
      <c r="X452" s="1716" t="e">
        <f t="shared" si="218"/>
        <v>#REF!</v>
      </c>
      <c r="Y452" s="1716" t="e">
        <f t="shared" si="218"/>
        <v>#REF!</v>
      </c>
      <c r="Z452" s="1716" t="e">
        <f t="shared" si="218"/>
        <v>#REF!</v>
      </c>
      <c r="AA452" s="1716" t="e">
        <f t="shared" si="218"/>
        <v>#REF!</v>
      </c>
      <c r="AB452" s="1712" t="e">
        <f>SUM(AB447:AB451)</f>
        <v>#REF!</v>
      </c>
      <c r="AC452" s="1573">
        <f>+AC444</f>
        <v>0</v>
      </c>
      <c r="AD452" s="1573" t="e">
        <f>+AB452-AC452</f>
        <v>#REF!</v>
      </c>
    </row>
    <row r="453" spans="15:30" ht="62.1" hidden="1" customHeight="1" x14ac:dyDescent="0.45"/>
    <row r="454" spans="15:30" ht="62.1" hidden="1" customHeight="1" x14ac:dyDescent="0.45">
      <c r="S454" s="5047" t="s">
        <v>480</v>
      </c>
      <c r="T454" s="5047"/>
      <c r="U454" s="5047"/>
      <c r="V454" s="5047"/>
      <c r="W454" s="5047"/>
      <c r="X454" s="5047"/>
      <c r="Y454" s="5047"/>
      <c r="Z454" s="5047"/>
      <c r="AA454" s="5047"/>
      <c r="AB454" s="5047"/>
    </row>
    <row r="455" spans="15:30" ht="62.1" hidden="1" customHeight="1" x14ac:dyDescent="0.5">
      <c r="S455" s="1519" t="s">
        <v>157</v>
      </c>
      <c r="T455" s="1717"/>
      <c r="U455" s="1717"/>
      <c r="V455" s="1573">
        <f>+'Compra -HOJA1'!H75</f>
        <v>0</v>
      </c>
      <c r="W455" s="1573">
        <f>+'Compra -HOJA1'!I75</f>
        <v>0</v>
      </c>
      <c r="X455" s="1573">
        <f>+'Compra -HOJA1'!J75</f>
        <v>0</v>
      </c>
      <c r="Y455" s="1573">
        <f>+'Compra -HOJA1'!K75</f>
        <v>0</v>
      </c>
      <c r="Z455" s="1573">
        <f>+'Compra -HOJA1'!L75</f>
        <v>0</v>
      </c>
      <c r="AA455" s="1573">
        <f>+'Compra -HOJA1'!M75</f>
        <v>0</v>
      </c>
    </row>
    <row r="456" spans="15:30" ht="62.1" hidden="1" customHeight="1" x14ac:dyDescent="0.5">
      <c r="O456" s="1489"/>
      <c r="P456" s="1489"/>
      <c r="Q456" s="1489"/>
      <c r="S456" s="1519" t="s">
        <v>158</v>
      </c>
      <c r="T456" s="1717"/>
      <c r="U456" s="1717"/>
      <c r="V456" s="1573">
        <f>+'Compra -HOJA1'!H76</f>
        <v>0</v>
      </c>
      <c r="W456" s="1573">
        <f>+'Compra -HOJA1'!I76</f>
        <v>0</v>
      </c>
      <c r="X456" s="1573">
        <f>+'Compra -HOJA1'!J76</f>
        <v>0</v>
      </c>
      <c r="Y456" s="1573">
        <f>+'Compra -HOJA1'!K76</f>
        <v>0</v>
      </c>
      <c r="Z456" s="1573">
        <f>+'Compra -HOJA1'!L76</f>
        <v>0</v>
      </c>
      <c r="AA456" s="1573">
        <f>+'Compra -HOJA1'!M76</f>
        <v>0</v>
      </c>
    </row>
    <row r="457" spans="15:30" ht="62.1" hidden="1" customHeight="1" x14ac:dyDescent="0.5">
      <c r="O457" s="1489"/>
      <c r="P457" s="1489"/>
      <c r="Q457" s="1489"/>
      <c r="S457" s="1519" t="s">
        <v>481</v>
      </c>
      <c r="T457" s="1717"/>
      <c r="U457" s="1717"/>
      <c r="V457" s="1573">
        <f ca="1">+'Compra -HOJA1'!I392</f>
        <v>0</v>
      </c>
      <c r="W457" s="1573">
        <f ca="1">+'Compra -HOJA1'!J392</f>
        <v>0</v>
      </c>
      <c r="X457" s="1573">
        <f ca="1">+'Compra -HOJA1'!K392</f>
        <v>0</v>
      </c>
      <c r="Y457" s="1573">
        <f ca="1">+'Compra -HOJA1'!L392</f>
        <v>0</v>
      </c>
      <c r="Z457" s="1573">
        <f ca="1">+'Compra -HOJA1'!M392</f>
        <v>0</v>
      </c>
      <c r="AA457" s="1573">
        <f ca="1">+'Compra -HOJA1'!N392</f>
        <v>0</v>
      </c>
    </row>
    <row r="458" spans="15:30" ht="62.1" hidden="1" customHeight="1" x14ac:dyDescent="0.45">
      <c r="O458" s="1489"/>
      <c r="P458" s="1489"/>
      <c r="Q458" s="1489"/>
      <c r="V458" s="1573">
        <f t="shared" ref="V458:AA458" ca="1" si="219">SUM(V455:V457)</f>
        <v>0</v>
      </c>
      <c r="W458" s="1573">
        <f t="shared" ca="1" si="219"/>
        <v>0</v>
      </c>
      <c r="X458" s="1573">
        <f t="shared" ca="1" si="219"/>
        <v>0</v>
      </c>
      <c r="Y458" s="1573">
        <f t="shared" ca="1" si="219"/>
        <v>0</v>
      </c>
      <c r="Z458" s="1573">
        <f t="shared" ca="1" si="219"/>
        <v>0</v>
      </c>
      <c r="AA458" s="1573">
        <f t="shared" ca="1" si="219"/>
        <v>0</v>
      </c>
    </row>
    <row r="459" spans="15:30" ht="62.1" hidden="1" customHeight="1" x14ac:dyDescent="0.45"/>
    <row r="460" spans="15:30" ht="62.1" hidden="1" customHeight="1" x14ac:dyDescent="0.45">
      <c r="O460" s="1489"/>
      <c r="P460" s="1489"/>
      <c r="Q460" s="1489"/>
      <c r="V460" s="1718">
        <f ca="1">+V458+Y458</f>
        <v>0</v>
      </c>
      <c r="W460" s="1718">
        <f ca="1">+W458+Z458</f>
        <v>0</v>
      </c>
      <c r="X460" s="1718">
        <f ca="1">+X458+AA458</f>
        <v>0</v>
      </c>
      <c r="Y460" s="1711" t="e">
        <f ca="1">+Y452-Y457</f>
        <v>#REF!</v>
      </c>
      <c r="Z460" s="1711" t="e">
        <f ca="1">+Z452-Z457</f>
        <v>#REF!</v>
      </c>
      <c r="AA460" s="1711" t="e">
        <f ca="1">+AA452-AA457</f>
        <v>#REF!</v>
      </c>
      <c r="AB460" s="1573" t="e">
        <f ca="1">SUM(Y460:AA460)</f>
        <v>#REF!</v>
      </c>
    </row>
    <row r="461" spans="15:30" hidden="1" x14ac:dyDescent="0.45">
      <c r="O461" s="1489"/>
      <c r="P461" s="1489"/>
      <c r="Q461" s="1489"/>
      <c r="V461" s="1573">
        <f>+'Compra -HOJA1'!G10</f>
        <v>0</v>
      </c>
      <c r="W461" s="1573">
        <f>+'Compra -HOJA1'!H10</f>
        <v>0</v>
      </c>
      <c r="X461" s="1573">
        <f>+'Compra -HOJA1'!I10</f>
        <v>0</v>
      </c>
    </row>
    <row r="462" spans="15:30" hidden="1" x14ac:dyDescent="0.45"/>
    <row r="463" spans="15:30" hidden="1" x14ac:dyDescent="0.45"/>
    <row r="464" spans="15:30" hidden="1" x14ac:dyDescent="0.45"/>
    <row r="465" spans="15:17" hidden="1" x14ac:dyDescent="0.45"/>
    <row r="466" spans="15:17" hidden="1" x14ac:dyDescent="0.45"/>
    <row r="467" spans="15:17" hidden="1" x14ac:dyDescent="0.45"/>
    <row r="468" spans="15:17" hidden="1" x14ac:dyDescent="0.45"/>
    <row r="469" spans="15:17" hidden="1" x14ac:dyDescent="0.45"/>
    <row r="470" spans="15:17" hidden="1" x14ac:dyDescent="0.45"/>
    <row r="471" spans="15:17" hidden="1" x14ac:dyDescent="0.45">
      <c r="O471" s="1489"/>
      <c r="P471" s="1489"/>
      <c r="Q471" s="1489"/>
    </row>
    <row r="472" spans="15:17" hidden="1" x14ac:dyDescent="0.45">
      <c r="O472" s="1489"/>
      <c r="P472" s="1489"/>
      <c r="Q472" s="1489"/>
    </row>
    <row r="473" spans="15:17" hidden="1" x14ac:dyDescent="0.45">
      <c r="O473" s="1489"/>
      <c r="P473" s="1489"/>
      <c r="Q473" s="1489"/>
    </row>
    <row r="474" spans="15:17" hidden="1" x14ac:dyDescent="0.45">
      <c r="O474" s="1489"/>
      <c r="P474" s="1489"/>
      <c r="Q474" s="1489"/>
    </row>
    <row r="475" spans="15:17" hidden="1" x14ac:dyDescent="0.45">
      <c r="O475" s="1489"/>
      <c r="P475" s="1489"/>
      <c r="Q475" s="1489"/>
    </row>
    <row r="476" spans="15:17" hidden="1" x14ac:dyDescent="0.45">
      <c r="O476" s="1489"/>
      <c r="P476" s="1489"/>
      <c r="Q476" s="1489"/>
    </row>
    <row r="477" spans="15:17" hidden="1" x14ac:dyDescent="0.45">
      <c r="O477" s="1489"/>
      <c r="P477" s="1489"/>
      <c r="Q477" s="1489"/>
    </row>
    <row r="478" spans="15:17" hidden="1" x14ac:dyDescent="0.45">
      <c r="O478" s="1489"/>
      <c r="P478" s="1489"/>
      <c r="Q478" s="1489"/>
    </row>
    <row r="479" spans="15:17" hidden="1" x14ac:dyDescent="0.45">
      <c r="O479" s="1489"/>
      <c r="P479" s="1489"/>
      <c r="Q479" s="1489"/>
    </row>
    <row r="480" spans="15:17" hidden="1" x14ac:dyDescent="0.45">
      <c r="O480" s="1489"/>
      <c r="P480" s="1489"/>
      <c r="Q480" s="1489"/>
    </row>
    <row r="481" spans="15:17" hidden="1" x14ac:dyDescent="0.45">
      <c r="O481" s="1489"/>
      <c r="P481" s="1489"/>
      <c r="Q481" s="1489"/>
    </row>
    <row r="482" spans="15:17" hidden="1" x14ac:dyDescent="0.45">
      <c r="O482" s="1489"/>
      <c r="P482" s="1489"/>
      <c r="Q482" s="1489"/>
    </row>
    <row r="483" spans="15:17" hidden="1" x14ac:dyDescent="0.45">
      <c r="O483" s="1489"/>
      <c r="P483" s="1489"/>
      <c r="Q483" s="1489"/>
    </row>
    <row r="484" spans="15:17" hidden="1" x14ac:dyDescent="0.45">
      <c r="O484" s="1489"/>
      <c r="P484" s="1489"/>
      <c r="Q484" s="1489"/>
    </row>
    <row r="485" spans="15:17" hidden="1" x14ac:dyDescent="0.45">
      <c r="O485" s="1489"/>
      <c r="P485" s="1489"/>
      <c r="Q485" s="1489"/>
    </row>
    <row r="486" spans="15:17" hidden="1" x14ac:dyDescent="0.45">
      <c r="O486" s="1489"/>
      <c r="P486" s="1489"/>
      <c r="Q486" s="1489"/>
    </row>
    <row r="487" spans="15:17" hidden="1" x14ac:dyDescent="0.45">
      <c r="O487" s="1489"/>
      <c r="P487" s="1489"/>
      <c r="Q487" s="1489"/>
    </row>
    <row r="488" spans="15:17" hidden="1" x14ac:dyDescent="0.45">
      <c r="O488" s="1489"/>
      <c r="P488" s="1489"/>
      <c r="Q488" s="1489"/>
    </row>
    <row r="489" spans="15:17" hidden="1" x14ac:dyDescent="0.45">
      <c r="O489" s="1489"/>
      <c r="P489" s="1489"/>
      <c r="Q489" s="1489"/>
    </row>
    <row r="490" spans="15:17" hidden="1" x14ac:dyDescent="0.45">
      <c r="O490" s="1489"/>
      <c r="P490" s="1489"/>
      <c r="Q490" s="1489"/>
    </row>
    <row r="491" spans="15:17" hidden="1" x14ac:dyDescent="0.45">
      <c r="O491" s="1489"/>
      <c r="P491" s="1489"/>
      <c r="Q491" s="1489"/>
    </row>
    <row r="492" spans="15:17" hidden="1" x14ac:dyDescent="0.45">
      <c r="O492" s="1489"/>
      <c r="P492" s="1489"/>
      <c r="Q492" s="1489"/>
    </row>
    <row r="493" spans="15:17" hidden="1" x14ac:dyDescent="0.45">
      <c r="O493" s="1489"/>
      <c r="P493" s="1489"/>
      <c r="Q493" s="1489"/>
    </row>
    <row r="494" spans="15:17" hidden="1" x14ac:dyDescent="0.45">
      <c r="O494" s="1489"/>
      <c r="P494" s="1489"/>
      <c r="Q494" s="1489"/>
    </row>
    <row r="495" spans="15:17" hidden="1" x14ac:dyDescent="0.45">
      <c r="O495" s="1489"/>
      <c r="P495" s="1489"/>
      <c r="Q495" s="1489"/>
    </row>
    <row r="496" spans="15:17" hidden="1" x14ac:dyDescent="0.45">
      <c r="O496" s="1489"/>
      <c r="P496" s="1489"/>
      <c r="Q496" s="1489"/>
    </row>
    <row r="497" spans="15:17" hidden="1" x14ac:dyDescent="0.45">
      <c r="O497" s="1489"/>
      <c r="P497" s="1489"/>
      <c r="Q497" s="1489"/>
    </row>
    <row r="498" spans="15:17" hidden="1" x14ac:dyDescent="0.45">
      <c r="O498" s="1489"/>
      <c r="P498" s="1489"/>
      <c r="Q498" s="1489"/>
    </row>
    <row r="499" spans="15:17" hidden="1" x14ac:dyDescent="0.45">
      <c r="O499" s="1489"/>
      <c r="P499" s="1489"/>
      <c r="Q499" s="1489"/>
    </row>
    <row r="500" spans="15:17" hidden="1" x14ac:dyDescent="0.45">
      <c r="O500" s="1489"/>
      <c r="P500" s="1489"/>
      <c r="Q500" s="1489"/>
    </row>
    <row r="501" spans="15:17" hidden="1" x14ac:dyDescent="0.45">
      <c r="O501" s="1489"/>
      <c r="P501" s="1489"/>
      <c r="Q501" s="1489"/>
    </row>
    <row r="502" spans="15:17" hidden="1" x14ac:dyDescent="0.45">
      <c r="O502" s="1489"/>
      <c r="P502" s="1489"/>
      <c r="Q502" s="1489"/>
    </row>
    <row r="503" spans="15:17" hidden="1" x14ac:dyDescent="0.45">
      <c r="O503" s="1489"/>
      <c r="P503" s="1489"/>
      <c r="Q503" s="1489"/>
    </row>
    <row r="504" spans="15:17" hidden="1" x14ac:dyDescent="0.45">
      <c r="O504" s="1489"/>
      <c r="P504" s="1489"/>
      <c r="Q504" s="1489"/>
    </row>
    <row r="505" spans="15:17" hidden="1" x14ac:dyDescent="0.45">
      <c r="O505" s="1489"/>
      <c r="P505" s="1489"/>
      <c r="Q505" s="1489"/>
    </row>
    <row r="506" spans="15:17" hidden="1" x14ac:dyDescent="0.45">
      <c r="O506" s="1489"/>
      <c r="P506" s="1489"/>
      <c r="Q506" s="1489"/>
    </row>
    <row r="507" spans="15:17" hidden="1" x14ac:dyDescent="0.45">
      <c r="O507" s="1489"/>
      <c r="P507" s="1489"/>
      <c r="Q507" s="1489"/>
    </row>
    <row r="508" spans="15:17" hidden="1" x14ac:dyDescent="0.45">
      <c r="O508" s="1489"/>
      <c r="P508" s="1489"/>
      <c r="Q508" s="1489"/>
    </row>
    <row r="509" spans="15:17" hidden="1" x14ac:dyDescent="0.45">
      <c r="O509" s="1489"/>
      <c r="P509" s="1489"/>
      <c r="Q509" s="1489"/>
    </row>
    <row r="510" spans="15:17" hidden="1" x14ac:dyDescent="0.45">
      <c r="O510" s="1489"/>
      <c r="P510" s="1489"/>
      <c r="Q510" s="1489"/>
    </row>
    <row r="511" spans="15:17" hidden="1" x14ac:dyDescent="0.45">
      <c r="O511" s="1489"/>
      <c r="P511" s="1489"/>
      <c r="Q511" s="1489"/>
    </row>
    <row r="512" spans="15:17" hidden="1" x14ac:dyDescent="0.45">
      <c r="O512" s="1489"/>
      <c r="P512" s="1489"/>
      <c r="Q512" s="1489"/>
    </row>
    <row r="513" spans="15:17" hidden="1" x14ac:dyDescent="0.45">
      <c r="O513" s="1489"/>
      <c r="P513" s="1489"/>
      <c r="Q513" s="1489"/>
    </row>
    <row r="514" spans="15:17" hidden="1" x14ac:dyDescent="0.45">
      <c r="O514" s="1489"/>
      <c r="P514" s="1489"/>
      <c r="Q514" s="1489"/>
    </row>
    <row r="515" spans="15:17" hidden="1" x14ac:dyDescent="0.45">
      <c r="O515" s="1489"/>
      <c r="P515" s="1489"/>
      <c r="Q515" s="1489"/>
    </row>
    <row r="516" spans="15:17" hidden="1" x14ac:dyDescent="0.45">
      <c r="O516" s="1489"/>
      <c r="P516" s="1489"/>
      <c r="Q516" s="1489"/>
    </row>
    <row r="517" spans="15:17" hidden="1" x14ac:dyDescent="0.45">
      <c r="O517" s="1489"/>
      <c r="P517" s="1489"/>
      <c r="Q517" s="1489"/>
    </row>
    <row r="518" spans="15:17" hidden="1" x14ac:dyDescent="0.45">
      <c r="O518" s="1489"/>
      <c r="P518" s="1489"/>
      <c r="Q518" s="1489"/>
    </row>
    <row r="519" spans="15:17" hidden="1" x14ac:dyDescent="0.45">
      <c r="O519" s="1489"/>
      <c r="P519" s="1489"/>
      <c r="Q519" s="1489"/>
    </row>
    <row r="520" spans="15:17" hidden="1" x14ac:dyDescent="0.45">
      <c r="O520" s="1489"/>
      <c r="P520" s="1489"/>
      <c r="Q520" s="1489"/>
    </row>
    <row r="521" spans="15:17" hidden="1" x14ac:dyDescent="0.45">
      <c r="O521" s="1489"/>
      <c r="P521" s="1489"/>
      <c r="Q521" s="1489"/>
    </row>
    <row r="522" spans="15:17" hidden="1" x14ac:dyDescent="0.45">
      <c r="O522" s="1489"/>
      <c r="P522" s="1489"/>
      <c r="Q522" s="1489"/>
    </row>
    <row r="523" spans="15:17" hidden="1" x14ac:dyDescent="0.45">
      <c r="O523" s="1489"/>
      <c r="P523" s="1489"/>
      <c r="Q523" s="1489"/>
    </row>
    <row r="524" spans="15:17" hidden="1" x14ac:dyDescent="0.45">
      <c r="O524" s="1489"/>
      <c r="P524" s="1489"/>
      <c r="Q524" s="1489"/>
    </row>
    <row r="525" spans="15:17" hidden="1" x14ac:dyDescent="0.45">
      <c r="O525" s="1489"/>
      <c r="P525" s="1489"/>
      <c r="Q525" s="1489"/>
    </row>
    <row r="526" spans="15:17" hidden="1" x14ac:dyDescent="0.45">
      <c r="O526" s="1489"/>
      <c r="P526" s="1489"/>
      <c r="Q526" s="1489"/>
    </row>
    <row r="527" spans="15:17" hidden="1" x14ac:dyDescent="0.45">
      <c r="O527" s="1489"/>
      <c r="P527" s="1489"/>
      <c r="Q527" s="1489"/>
    </row>
    <row r="528" spans="15:17" hidden="1" x14ac:dyDescent="0.45">
      <c r="O528" s="1489"/>
      <c r="P528" s="1489"/>
      <c r="Q528" s="1489"/>
    </row>
    <row r="529" spans="15:17" hidden="1" x14ac:dyDescent="0.45">
      <c r="O529" s="1489"/>
      <c r="P529" s="1489"/>
      <c r="Q529" s="1489"/>
    </row>
    <row r="530" spans="15:17" hidden="1" x14ac:dyDescent="0.45">
      <c r="O530" s="1489"/>
      <c r="P530" s="1489"/>
      <c r="Q530" s="1489"/>
    </row>
    <row r="531" spans="15:17" hidden="1" x14ac:dyDescent="0.45">
      <c r="O531" s="1489"/>
      <c r="P531" s="1489"/>
      <c r="Q531" s="1489"/>
    </row>
    <row r="532" spans="15:17" hidden="1" x14ac:dyDescent="0.45">
      <c r="O532" s="1489"/>
      <c r="P532" s="1489"/>
      <c r="Q532" s="1489"/>
    </row>
    <row r="533" spans="15:17" hidden="1" x14ac:dyDescent="0.45">
      <c r="O533" s="1489"/>
      <c r="P533" s="1489"/>
      <c r="Q533" s="1489"/>
    </row>
    <row r="534" spans="15:17" hidden="1" x14ac:dyDescent="0.45">
      <c r="O534" s="1489"/>
      <c r="P534" s="1489"/>
      <c r="Q534" s="1489"/>
    </row>
    <row r="535" spans="15:17" hidden="1" x14ac:dyDescent="0.45">
      <c r="O535" s="1489"/>
      <c r="P535" s="1489"/>
      <c r="Q535" s="1489"/>
    </row>
    <row r="536" spans="15:17" hidden="1" x14ac:dyDescent="0.45">
      <c r="O536" s="1489"/>
      <c r="P536" s="1489"/>
      <c r="Q536" s="1489"/>
    </row>
    <row r="537" spans="15:17" hidden="1" x14ac:dyDescent="0.45">
      <c r="O537" s="1489"/>
      <c r="P537" s="1489"/>
      <c r="Q537" s="1489"/>
    </row>
    <row r="538" spans="15:17" hidden="1" x14ac:dyDescent="0.45">
      <c r="O538" s="1489"/>
      <c r="P538" s="1489"/>
      <c r="Q538" s="1489"/>
    </row>
    <row r="539" spans="15:17" hidden="1" x14ac:dyDescent="0.45">
      <c r="O539" s="1489"/>
      <c r="P539" s="1489"/>
      <c r="Q539" s="1489"/>
    </row>
    <row r="540" spans="15:17" hidden="1" x14ac:dyDescent="0.45">
      <c r="O540" s="1489"/>
      <c r="P540" s="1489"/>
      <c r="Q540" s="1489"/>
    </row>
    <row r="541" spans="15:17" hidden="1" x14ac:dyDescent="0.45">
      <c r="O541" s="1489"/>
      <c r="P541" s="1489"/>
      <c r="Q541" s="1489"/>
    </row>
    <row r="542" spans="15:17" hidden="1" x14ac:dyDescent="0.45">
      <c r="O542" s="1489"/>
      <c r="P542" s="1489"/>
      <c r="Q542" s="1489"/>
    </row>
    <row r="543" spans="15:17" hidden="1" x14ac:dyDescent="0.45">
      <c r="O543" s="1489"/>
      <c r="P543" s="1489"/>
      <c r="Q543" s="1489"/>
    </row>
    <row r="544" spans="15:17" hidden="1" x14ac:dyDescent="0.45">
      <c r="O544" s="1489"/>
      <c r="P544" s="1489"/>
      <c r="Q544" s="1489"/>
    </row>
    <row r="545" spans="15:17" hidden="1" x14ac:dyDescent="0.45">
      <c r="O545" s="1489"/>
      <c r="P545" s="1489"/>
      <c r="Q545" s="1489"/>
    </row>
    <row r="546" spans="15:17" hidden="1" x14ac:dyDescent="0.45">
      <c r="O546" s="1489"/>
      <c r="P546" s="1489"/>
      <c r="Q546" s="1489"/>
    </row>
    <row r="547" spans="15:17" hidden="1" x14ac:dyDescent="0.45">
      <c r="O547" s="1489"/>
      <c r="P547" s="1489"/>
      <c r="Q547" s="1489"/>
    </row>
    <row r="548" spans="15:17" hidden="1" x14ac:dyDescent="0.45">
      <c r="O548" s="1489"/>
      <c r="P548" s="1489"/>
      <c r="Q548" s="1489"/>
    </row>
    <row r="549" spans="15:17" hidden="1" x14ac:dyDescent="0.45">
      <c r="O549" s="1489"/>
      <c r="P549" s="1489"/>
      <c r="Q549" s="1489"/>
    </row>
    <row r="550" spans="15:17" hidden="1" x14ac:dyDescent="0.45">
      <c r="O550" s="1489"/>
      <c r="P550" s="1489"/>
      <c r="Q550" s="1489"/>
    </row>
    <row r="551" spans="15:17" hidden="1" x14ac:dyDescent="0.45">
      <c r="O551" s="1489"/>
      <c r="P551" s="1489"/>
      <c r="Q551" s="1489"/>
    </row>
    <row r="552" spans="15:17" hidden="1" x14ac:dyDescent="0.45">
      <c r="O552" s="1489"/>
      <c r="P552" s="1489"/>
      <c r="Q552" s="1489"/>
    </row>
    <row r="553" spans="15:17" hidden="1" x14ac:dyDescent="0.45">
      <c r="O553" s="1489"/>
      <c r="P553" s="1489"/>
      <c r="Q553" s="1489"/>
    </row>
    <row r="554" spans="15:17" hidden="1" x14ac:dyDescent="0.45">
      <c r="O554" s="1489"/>
      <c r="P554" s="1489"/>
      <c r="Q554" s="1489"/>
    </row>
    <row r="555" spans="15:17" hidden="1" x14ac:dyDescent="0.45">
      <c r="O555" s="1489"/>
      <c r="P555" s="1489"/>
      <c r="Q555" s="1489"/>
    </row>
    <row r="556" spans="15:17" hidden="1" x14ac:dyDescent="0.45">
      <c r="O556" s="1489"/>
      <c r="P556" s="1489"/>
      <c r="Q556" s="1489"/>
    </row>
    <row r="557" spans="15:17" hidden="1" x14ac:dyDescent="0.45">
      <c r="O557" s="1489"/>
      <c r="P557" s="1489"/>
      <c r="Q557" s="1489"/>
    </row>
    <row r="558" spans="15:17" hidden="1" x14ac:dyDescent="0.45">
      <c r="O558" s="1489"/>
      <c r="P558" s="1489"/>
      <c r="Q558" s="1489"/>
    </row>
    <row r="559" spans="15:17" hidden="1" x14ac:dyDescent="0.45">
      <c r="O559" s="1489"/>
      <c r="P559" s="1489"/>
      <c r="Q559" s="1489"/>
    </row>
    <row r="560" spans="15:17" hidden="1" x14ac:dyDescent="0.45">
      <c r="O560" s="1489"/>
      <c r="P560" s="1489"/>
      <c r="Q560" s="1489"/>
    </row>
    <row r="561" spans="15:17" hidden="1" x14ac:dyDescent="0.45">
      <c r="O561" s="1489"/>
      <c r="P561" s="1489"/>
      <c r="Q561" s="1489"/>
    </row>
    <row r="562" spans="15:17" hidden="1" x14ac:dyDescent="0.45">
      <c r="O562" s="1489"/>
      <c r="P562" s="1489"/>
      <c r="Q562" s="1489"/>
    </row>
    <row r="563" spans="15:17" hidden="1" x14ac:dyDescent="0.45">
      <c r="O563" s="1489"/>
      <c r="P563" s="1489"/>
      <c r="Q563" s="1489"/>
    </row>
    <row r="564" spans="15:17" hidden="1" x14ac:dyDescent="0.45">
      <c r="O564" s="1489"/>
      <c r="P564" s="1489"/>
      <c r="Q564" s="1489"/>
    </row>
    <row r="565" spans="15:17" hidden="1" x14ac:dyDescent="0.45"/>
    <row r="566" spans="15:17" hidden="1" x14ac:dyDescent="0.45"/>
    <row r="567" spans="15:17" hidden="1" x14ac:dyDescent="0.45"/>
    <row r="568" spans="15:17" hidden="1" x14ac:dyDescent="0.45"/>
    <row r="569" spans="15:17" hidden="1" x14ac:dyDescent="0.45"/>
    <row r="570" spans="15:17" hidden="1" x14ac:dyDescent="0.45"/>
    <row r="571" spans="15:17" hidden="1" x14ac:dyDescent="0.45"/>
    <row r="572" spans="15:17" hidden="1" x14ac:dyDescent="0.45"/>
    <row r="573" spans="15:17" hidden="1" x14ac:dyDescent="0.45"/>
    <row r="574" spans="15:17" hidden="1" x14ac:dyDescent="0.45"/>
    <row r="575" spans="15:17" hidden="1" x14ac:dyDescent="0.45"/>
    <row r="576" spans="15:17" hidden="1" x14ac:dyDescent="0.45"/>
    <row r="577" hidden="1" x14ac:dyDescent="0.45"/>
    <row r="578" hidden="1" x14ac:dyDescent="0.45"/>
    <row r="579" hidden="1" x14ac:dyDescent="0.45"/>
    <row r="580" hidden="1" x14ac:dyDescent="0.45"/>
    <row r="581" hidden="1" x14ac:dyDescent="0.45"/>
    <row r="582" hidden="1" x14ac:dyDescent="0.45"/>
    <row r="583" hidden="1" x14ac:dyDescent="0.45"/>
    <row r="584" hidden="1" x14ac:dyDescent="0.45"/>
    <row r="585" hidden="1" x14ac:dyDescent="0.45"/>
    <row r="586" hidden="1" x14ac:dyDescent="0.45"/>
    <row r="587" hidden="1" x14ac:dyDescent="0.45"/>
    <row r="588" hidden="1" x14ac:dyDescent="0.45"/>
    <row r="589" hidden="1" x14ac:dyDescent="0.45"/>
    <row r="590" hidden="1" x14ac:dyDescent="0.45"/>
    <row r="591" hidden="1" x14ac:dyDescent="0.45"/>
    <row r="592" hidden="1" x14ac:dyDescent="0.45"/>
    <row r="593" hidden="1" x14ac:dyDescent="0.45"/>
    <row r="594" hidden="1" x14ac:dyDescent="0.45"/>
    <row r="595" hidden="1" x14ac:dyDescent="0.45"/>
    <row r="596" hidden="1" x14ac:dyDescent="0.45"/>
    <row r="597" hidden="1" x14ac:dyDescent="0.45"/>
    <row r="598" hidden="1" x14ac:dyDescent="0.45"/>
    <row r="599" hidden="1" x14ac:dyDescent="0.45"/>
    <row r="600" hidden="1" x14ac:dyDescent="0.45"/>
    <row r="601" hidden="1" x14ac:dyDescent="0.45"/>
    <row r="602" hidden="1" x14ac:dyDescent="0.45"/>
    <row r="603" hidden="1" x14ac:dyDescent="0.45"/>
    <row r="604" hidden="1" x14ac:dyDescent="0.45"/>
    <row r="605" hidden="1" x14ac:dyDescent="0.45"/>
    <row r="606" hidden="1" x14ac:dyDescent="0.45"/>
    <row r="607" hidden="1" x14ac:dyDescent="0.45"/>
    <row r="608" hidden="1" x14ac:dyDescent="0.45"/>
    <row r="609" hidden="1" x14ac:dyDescent="0.45"/>
    <row r="610" hidden="1" x14ac:dyDescent="0.45"/>
    <row r="611" hidden="1" x14ac:dyDescent="0.45"/>
    <row r="612" hidden="1" x14ac:dyDescent="0.45"/>
    <row r="613" hidden="1" x14ac:dyDescent="0.45"/>
    <row r="614" hidden="1" x14ac:dyDescent="0.45"/>
    <row r="615" hidden="1" x14ac:dyDescent="0.45"/>
    <row r="616" hidden="1" x14ac:dyDescent="0.45"/>
    <row r="617" hidden="1" x14ac:dyDescent="0.45"/>
    <row r="618" hidden="1" x14ac:dyDescent="0.45"/>
    <row r="619" hidden="1" x14ac:dyDescent="0.45"/>
    <row r="620" hidden="1" x14ac:dyDescent="0.45"/>
    <row r="621" hidden="1" x14ac:dyDescent="0.45"/>
    <row r="622" hidden="1" x14ac:dyDescent="0.45"/>
    <row r="623" hidden="1" x14ac:dyDescent="0.45"/>
    <row r="624" hidden="1" x14ac:dyDescent="0.45"/>
    <row r="625" hidden="1" x14ac:dyDescent="0.45"/>
    <row r="626" hidden="1" x14ac:dyDescent="0.45"/>
    <row r="627" hidden="1" x14ac:dyDescent="0.45"/>
    <row r="628" hidden="1" x14ac:dyDescent="0.45"/>
    <row r="629" hidden="1" x14ac:dyDescent="0.45"/>
    <row r="630" hidden="1" x14ac:dyDescent="0.45"/>
    <row r="631" hidden="1" x14ac:dyDescent="0.45"/>
    <row r="632" hidden="1" x14ac:dyDescent="0.45"/>
    <row r="633" hidden="1" x14ac:dyDescent="0.45"/>
    <row r="634" hidden="1" x14ac:dyDescent="0.45"/>
    <row r="635" hidden="1" x14ac:dyDescent="0.45"/>
    <row r="636" hidden="1" x14ac:dyDescent="0.45"/>
    <row r="637" hidden="1" x14ac:dyDescent="0.45"/>
    <row r="638" hidden="1" x14ac:dyDescent="0.45"/>
    <row r="639" hidden="1" x14ac:dyDescent="0.45"/>
    <row r="640" hidden="1" x14ac:dyDescent="0.45"/>
    <row r="641" hidden="1" x14ac:dyDescent="0.45"/>
    <row r="642" hidden="1" x14ac:dyDescent="0.45"/>
    <row r="643" hidden="1" x14ac:dyDescent="0.45"/>
    <row r="644" hidden="1" x14ac:dyDescent="0.45"/>
    <row r="645" hidden="1" x14ac:dyDescent="0.45"/>
    <row r="646" hidden="1" x14ac:dyDescent="0.45"/>
    <row r="647" hidden="1" x14ac:dyDescent="0.45"/>
    <row r="648" hidden="1" x14ac:dyDescent="0.45"/>
    <row r="649" hidden="1" x14ac:dyDescent="0.45"/>
    <row r="650" hidden="1" x14ac:dyDescent="0.45"/>
    <row r="651" hidden="1" x14ac:dyDescent="0.45"/>
    <row r="652" hidden="1" x14ac:dyDescent="0.45"/>
    <row r="653" hidden="1" x14ac:dyDescent="0.45"/>
    <row r="654" hidden="1" x14ac:dyDescent="0.45"/>
    <row r="655" hidden="1" x14ac:dyDescent="0.45"/>
    <row r="656" hidden="1" x14ac:dyDescent="0.45"/>
    <row r="657" hidden="1" x14ac:dyDescent="0.45"/>
    <row r="658" hidden="1" x14ac:dyDescent="0.45"/>
    <row r="659" hidden="1" x14ac:dyDescent="0.45"/>
    <row r="660" hidden="1" x14ac:dyDescent="0.45"/>
    <row r="661" hidden="1" x14ac:dyDescent="0.45"/>
    <row r="662" hidden="1" x14ac:dyDescent="0.45"/>
    <row r="663" hidden="1" x14ac:dyDescent="0.45"/>
    <row r="664" hidden="1" x14ac:dyDescent="0.45"/>
    <row r="665" hidden="1" x14ac:dyDescent="0.45"/>
    <row r="666" hidden="1" x14ac:dyDescent="0.45"/>
    <row r="667" hidden="1" x14ac:dyDescent="0.45"/>
    <row r="668" hidden="1" x14ac:dyDescent="0.45"/>
    <row r="669" hidden="1" x14ac:dyDescent="0.45"/>
    <row r="670" hidden="1" x14ac:dyDescent="0.45"/>
    <row r="671" hidden="1" x14ac:dyDescent="0.45"/>
    <row r="672" hidden="1" x14ac:dyDescent="0.45"/>
    <row r="673" hidden="1" x14ac:dyDescent="0.45"/>
    <row r="674" hidden="1" x14ac:dyDescent="0.45"/>
    <row r="675" hidden="1" x14ac:dyDescent="0.45"/>
    <row r="676" hidden="1" x14ac:dyDescent="0.45"/>
    <row r="677" hidden="1" x14ac:dyDescent="0.45"/>
    <row r="678" hidden="1" x14ac:dyDescent="0.45"/>
    <row r="679" hidden="1" x14ac:dyDescent="0.45"/>
    <row r="680" hidden="1" x14ac:dyDescent="0.45"/>
    <row r="681" hidden="1" x14ac:dyDescent="0.45"/>
    <row r="682" hidden="1" x14ac:dyDescent="0.45"/>
    <row r="683" hidden="1" x14ac:dyDescent="0.45"/>
    <row r="684" hidden="1" x14ac:dyDescent="0.45"/>
    <row r="685" hidden="1" x14ac:dyDescent="0.45"/>
    <row r="686" hidden="1" x14ac:dyDescent="0.45"/>
    <row r="687" hidden="1" x14ac:dyDescent="0.45"/>
    <row r="688" hidden="1" x14ac:dyDescent="0.45"/>
    <row r="689" hidden="1" x14ac:dyDescent="0.45"/>
    <row r="690" hidden="1" x14ac:dyDescent="0.45"/>
    <row r="691" hidden="1" x14ac:dyDescent="0.45"/>
    <row r="692" hidden="1" x14ac:dyDescent="0.45"/>
    <row r="693" hidden="1" x14ac:dyDescent="0.45"/>
    <row r="694" hidden="1" x14ac:dyDescent="0.45"/>
    <row r="695" hidden="1" x14ac:dyDescent="0.45"/>
    <row r="696" hidden="1" x14ac:dyDescent="0.45"/>
    <row r="697" hidden="1" x14ac:dyDescent="0.45"/>
    <row r="698" hidden="1" x14ac:dyDescent="0.45"/>
    <row r="699" hidden="1" x14ac:dyDescent="0.45"/>
    <row r="700" hidden="1" x14ac:dyDescent="0.45"/>
    <row r="701" hidden="1" x14ac:dyDescent="0.45"/>
    <row r="702" hidden="1" x14ac:dyDescent="0.45"/>
    <row r="703" hidden="1" x14ac:dyDescent="0.45"/>
    <row r="704" hidden="1" x14ac:dyDescent="0.45"/>
    <row r="705" hidden="1" x14ac:dyDescent="0.45"/>
    <row r="706" hidden="1" x14ac:dyDescent="0.45"/>
    <row r="707" hidden="1" x14ac:dyDescent="0.45"/>
    <row r="708" hidden="1" x14ac:dyDescent="0.45"/>
    <row r="709" hidden="1" x14ac:dyDescent="0.45"/>
    <row r="710" hidden="1" x14ac:dyDescent="0.45"/>
    <row r="711" hidden="1" x14ac:dyDescent="0.45"/>
    <row r="712" hidden="1" x14ac:dyDescent="0.45"/>
    <row r="713" hidden="1" x14ac:dyDescent="0.45"/>
    <row r="714" hidden="1" x14ac:dyDescent="0.45"/>
    <row r="715" hidden="1" x14ac:dyDescent="0.45"/>
    <row r="716" hidden="1" x14ac:dyDescent="0.45"/>
    <row r="717" hidden="1" x14ac:dyDescent="0.45"/>
    <row r="718" hidden="1" x14ac:dyDescent="0.45"/>
    <row r="719" hidden="1" x14ac:dyDescent="0.45"/>
    <row r="720" hidden="1" x14ac:dyDescent="0.45"/>
    <row r="721" hidden="1" x14ac:dyDescent="0.45"/>
    <row r="722" hidden="1" x14ac:dyDescent="0.45"/>
    <row r="723" hidden="1" x14ac:dyDescent="0.45"/>
    <row r="724" hidden="1" x14ac:dyDescent="0.45"/>
    <row r="725" hidden="1" x14ac:dyDescent="0.45"/>
    <row r="726" hidden="1" x14ac:dyDescent="0.45"/>
    <row r="727" hidden="1" x14ac:dyDescent="0.45"/>
    <row r="728" hidden="1" x14ac:dyDescent="0.45"/>
    <row r="729" hidden="1" x14ac:dyDescent="0.45"/>
    <row r="730" hidden="1" x14ac:dyDescent="0.45"/>
    <row r="731" hidden="1" x14ac:dyDescent="0.45"/>
    <row r="732" hidden="1" x14ac:dyDescent="0.45"/>
    <row r="733" hidden="1" x14ac:dyDescent="0.45"/>
    <row r="734" hidden="1" x14ac:dyDescent="0.45"/>
    <row r="735" hidden="1" x14ac:dyDescent="0.45"/>
    <row r="736" hidden="1" x14ac:dyDescent="0.45"/>
    <row r="737" hidden="1" x14ac:dyDescent="0.45"/>
    <row r="738" hidden="1" x14ac:dyDescent="0.45"/>
    <row r="739" hidden="1" x14ac:dyDescent="0.45"/>
    <row r="740" hidden="1" x14ac:dyDescent="0.45"/>
    <row r="741" hidden="1" x14ac:dyDescent="0.45"/>
    <row r="742" hidden="1" x14ac:dyDescent="0.45"/>
    <row r="743" hidden="1" x14ac:dyDescent="0.45"/>
    <row r="744" hidden="1" x14ac:dyDescent="0.45"/>
    <row r="745" hidden="1" x14ac:dyDescent="0.45"/>
    <row r="746" hidden="1" x14ac:dyDescent="0.45"/>
    <row r="747" hidden="1" x14ac:dyDescent="0.45"/>
    <row r="748" hidden="1" x14ac:dyDescent="0.45"/>
    <row r="749" hidden="1" x14ac:dyDescent="0.45"/>
    <row r="750" hidden="1" x14ac:dyDescent="0.45"/>
    <row r="751" hidden="1" x14ac:dyDescent="0.45"/>
    <row r="752" hidden="1" x14ac:dyDescent="0.45"/>
    <row r="753" hidden="1" x14ac:dyDescent="0.45"/>
    <row r="754" hidden="1" x14ac:dyDescent="0.45"/>
    <row r="755" hidden="1" x14ac:dyDescent="0.45"/>
    <row r="756" hidden="1" x14ac:dyDescent="0.45"/>
    <row r="757" hidden="1" x14ac:dyDescent="0.45"/>
    <row r="758" hidden="1" x14ac:dyDescent="0.45"/>
    <row r="759" hidden="1" x14ac:dyDescent="0.45"/>
    <row r="760" hidden="1" x14ac:dyDescent="0.45"/>
    <row r="761" hidden="1" x14ac:dyDescent="0.45"/>
    <row r="762" hidden="1" x14ac:dyDescent="0.45"/>
    <row r="763" hidden="1" x14ac:dyDescent="0.45"/>
    <row r="764" hidden="1" x14ac:dyDescent="0.45"/>
    <row r="765" hidden="1" x14ac:dyDescent="0.45"/>
    <row r="766" hidden="1" x14ac:dyDescent="0.45"/>
    <row r="767" hidden="1" x14ac:dyDescent="0.45"/>
    <row r="768" hidden="1" x14ac:dyDescent="0.45"/>
    <row r="769" hidden="1" x14ac:dyDescent="0.45"/>
    <row r="770" hidden="1" x14ac:dyDescent="0.45"/>
    <row r="771" hidden="1" x14ac:dyDescent="0.45"/>
    <row r="772" hidden="1" x14ac:dyDescent="0.45"/>
    <row r="773" hidden="1" x14ac:dyDescent="0.45"/>
    <row r="774" hidden="1" x14ac:dyDescent="0.45"/>
    <row r="775" hidden="1" x14ac:dyDescent="0.45"/>
    <row r="776" hidden="1" x14ac:dyDescent="0.45"/>
    <row r="777" hidden="1" x14ac:dyDescent="0.45"/>
    <row r="778" hidden="1" x14ac:dyDescent="0.45"/>
    <row r="779" hidden="1" x14ac:dyDescent="0.45"/>
    <row r="780" hidden="1" x14ac:dyDescent="0.45"/>
    <row r="781" hidden="1" x14ac:dyDescent="0.45"/>
    <row r="782" hidden="1" x14ac:dyDescent="0.45"/>
    <row r="783" hidden="1" x14ac:dyDescent="0.45"/>
    <row r="784" hidden="1" x14ac:dyDescent="0.45"/>
    <row r="785" hidden="1" x14ac:dyDescent="0.45"/>
    <row r="786" hidden="1" x14ac:dyDescent="0.45"/>
    <row r="787" hidden="1" x14ac:dyDescent="0.45"/>
    <row r="788" hidden="1" x14ac:dyDescent="0.45"/>
    <row r="789" hidden="1" x14ac:dyDescent="0.45"/>
    <row r="790" hidden="1" x14ac:dyDescent="0.45"/>
    <row r="791" hidden="1" x14ac:dyDescent="0.45"/>
    <row r="792" hidden="1" x14ac:dyDescent="0.45"/>
    <row r="793" hidden="1" x14ac:dyDescent="0.45"/>
    <row r="794" hidden="1" x14ac:dyDescent="0.45"/>
    <row r="795" hidden="1" x14ac:dyDescent="0.45"/>
    <row r="796" hidden="1" x14ac:dyDescent="0.45"/>
    <row r="797" hidden="1" x14ac:dyDescent="0.45"/>
    <row r="798" hidden="1" x14ac:dyDescent="0.45"/>
    <row r="799" hidden="1" x14ac:dyDescent="0.45"/>
    <row r="800" hidden="1" x14ac:dyDescent="0.45"/>
    <row r="801" hidden="1" x14ac:dyDescent="0.45"/>
    <row r="802" hidden="1" x14ac:dyDescent="0.45"/>
    <row r="803" hidden="1" x14ac:dyDescent="0.45"/>
    <row r="804" hidden="1" x14ac:dyDescent="0.45"/>
    <row r="805" hidden="1" x14ac:dyDescent="0.45"/>
    <row r="806" hidden="1" x14ac:dyDescent="0.45"/>
    <row r="807" hidden="1" x14ac:dyDescent="0.45"/>
    <row r="808" hidden="1" x14ac:dyDescent="0.45"/>
    <row r="809" hidden="1" x14ac:dyDescent="0.45"/>
    <row r="810" hidden="1" x14ac:dyDescent="0.45"/>
    <row r="811" hidden="1" x14ac:dyDescent="0.45"/>
    <row r="812" hidden="1" x14ac:dyDescent="0.45"/>
    <row r="813" hidden="1" x14ac:dyDescent="0.45"/>
    <row r="814" hidden="1" x14ac:dyDescent="0.45"/>
    <row r="815" hidden="1" x14ac:dyDescent="0.45"/>
    <row r="816" hidden="1" x14ac:dyDescent="0.45"/>
    <row r="817" hidden="1" x14ac:dyDescent="0.45"/>
    <row r="818" hidden="1" x14ac:dyDescent="0.45"/>
    <row r="819" hidden="1" x14ac:dyDescent="0.45"/>
    <row r="820" hidden="1" x14ac:dyDescent="0.45"/>
    <row r="821" hidden="1" x14ac:dyDescent="0.45"/>
    <row r="822" hidden="1" x14ac:dyDescent="0.45"/>
    <row r="823" hidden="1" x14ac:dyDescent="0.45"/>
    <row r="824" hidden="1" x14ac:dyDescent="0.45"/>
    <row r="825" hidden="1" x14ac:dyDescent="0.45"/>
    <row r="826" hidden="1" x14ac:dyDescent="0.45"/>
    <row r="827" hidden="1" x14ac:dyDescent="0.45"/>
    <row r="828" hidden="1" x14ac:dyDescent="0.45"/>
    <row r="829" hidden="1" x14ac:dyDescent="0.45"/>
    <row r="830" hidden="1" x14ac:dyDescent="0.45"/>
    <row r="831" hidden="1" x14ac:dyDescent="0.45"/>
    <row r="832" hidden="1" x14ac:dyDescent="0.45"/>
    <row r="833" hidden="1" x14ac:dyDescent="0.45"/>
    <row r="834" hidden="1" x14ac:dyDescent="0.45"/>
    <row r="835" hidden="1" x14ac:dyDescent="0.45"/>
    <row r="836" hidden="1" x14ac:dyDescent="0.45"/>
    <row r="837" hidden="1" x14ac:dyDescent="0.45"/>
    <row r="838" hidden="1" x14ac:dyDescent="0.45"/>
    <row r="839" hidden="1" x14ac:dyDescent="0.45"/>
    <row r="840" hidden="1" x14ac:dyDescent="0.45"/>
    <row r="841" hidden="1" x14ac:dyDescent="0.45"/>
    <row r="842" hidden="1" x14ac:dyDescent="0.45"/>
    <row r="843" hidden="1" x14ac:dyDescent="0.45"/>
    <row r="844" hidden="1" x14ac:dyDescent="0.45"/>
    <row r="845" hidden="1" x14ac:dyDescent="0.45"/>
    <row r="846" hidden="1" x14ac:dyDescent="0.45"/>
    <row r="847" hidden="1" x14ac:dyDescent="0.45"/>
    <row r="848" hidden="1" x14ac:dyDescent="0.45"/>
    <row r="849" hidden="1" x14ac:dyDescent="0.45"/>
    <row r="850" hidden="1" x14ac:dyDescent="0.45"/>
    <row r="851" hidden="1" x14ac:dyDescent="0.45"/>
    <row r="852" hidden="1" x14ac:dyDescent="0.45"/>
    <row r="853" hidden="1" x14ac:dyDescent="0.45"/>
    <row r="854" hidden="1" x14ac:dyDescent="0.45"/>
    <row r="855" hidden="1" x14ac:dyDescent="0.45"/>
    <row r="856" hidden="1" x14ac:dyDescent="0.45"/>
    <row r="857" hidden="1" x14ac:dyDescent="0.45"/>
    <row r="858" hidden="1" x14ac:dyDescent="0.45"/>
    <row r="859" hidden="1" x14ac:dyDescent="0.45"/>
    <row r="860" hidden="1" x14ac:dyDescent="0.45"/>
    <row r="861" hidden="1" x14ac:dyDescent="0.45"/>
    <row r="862" hidden="1" x14ac:dyDescent="0.45"/>
    <row r="863" hidden="1" x14ac:dyDescent="0.45"/>
    <row r="864" hidden="1" x14ac:dyDescent="0.45"/>
    <row r="865" hidden="1" x14ac:dyDescent="0.45"/>
    <row r="866" hidden="1" x14ac:dyDescent="0.45"/>
    <row r="867" hidden="1" x14ac:dyDescent="0.45"/>
    <row r="868" hidden="1" x14ac:dyDescent="0.45"/>
    <row r="869" hidden="1" x14ac:dyDescent="0.45"/>
    <row r="870" hidden="1" x14ac:dyDescent="0.45"/>
    <row r="871" hidden="1" x14ac:dyDescent="0.45"/>
    <row r="872" hidden="1" x14ac:dyDescent="0.45"/>
    <row r="873" hidden="1" x14ac:dyDescent="0.45"/>
    <row r="874" hidden="1" x14ac:dyDescent="0.45"/>
    <row r="875" hidden="1" x14ac:dyDescent="0.45"/>
    <row r="876" hidden="1" x14ac:dyDescent="0.45"/>
    <row r="877" hidden="1" x14ac:dyDescent="0.45"/>
    <row r="878" hidden="1" x14ac:dyDescent="0.45"/>
    <row r="879" hidden="1" x14ac:dyDescent="0.45"/>
    <row r="880" hidden="1" x14ac:dyDescent="0.45"/>
    <row r="881" hidden="1" x14ac:dyDescent="0.45"/>
    <row r="882" hidden="1" x14ac:dyDescent="0.45"/>
    <row r="883" hidden="1" x14ac:dyDescent="0.45"/>
    <row r="884" hidden="1" x14ac:dyDescent="0.45"/>
    <row r="885" hidden="1" x14ac:dyDescent="0.45"/>
    <row r="886" hidden="1" x14ac:dyDescent="0.45"/>
    <row r="887" hidden="1" x14ac:dyDescent="0.45"/>
    <row r="888" hidden="1" x14ac:dyDescent="0.45"/>
    <row r="889" hidden="1" x14ac:dyDescent="0.45"/>
    <row r="890" hidden="1" x14ac:dyDescent="0.45"/>
    <row r="891" hidden="1" x14ac:dyDescent="0.45"/>
    <row r="892" hidden="1" x14ac:dyDescent="0.45"/>
    <row r="893" hidden="1" x14ac:dyDescent="0.45"/>
    <row r="894" hidden="1" x14ac:dyDescent="0.45"/>
    <row r="895" hidden="1" x14ac:dyDescent="0.45"/>
    <row r="896" hidden="1" x14ac:dyDescent="0.45"/>
    <row r="897" hidden="1" x14ac:dyDescent="0.45"/>
    <row r="898" hidden="1" x14ac:dyDescent="0.45"/>
    <row r="899" hidden="1" x14ac:dyDescent="0.45"/>
    <row r="900" hidden="1" x14ac:dyDescent="0.45"/>
    <row r="901" hidden="1" x14ac:dyDescent="0.45"/>
    <row r="902" hidden="1" x14ac:dyDescent="0.45"/>
    <row r="903" hidden="1" x14ac:dyDescent="0.45"/>
    <row r="904" hidden="1" x14ac:dyDescent="0.45"/>
    <row r="905" hidden="1" x14ac:dyDescent="0.45"/>
    <row r="906" hidden="1" x14ac:dyDescent="0.45"/>
    <row r="907" hidden="1" x14ac:dyDescent="0.45"/>
    <row r="908" hidden="1" x14ac:dyDescent="0.45"/>
    <row r="909" hidden="1" x14ac:dyDescent="0.45"/>
    <row r="910" hidden="1" x14ac:dyDescent="0.45"/>
    <row r="911" hidden="1" x14ac:dyDescent="0.45"/>
    <row r="912" hidden="1" x14ac:dyDescent="0.45"/>
    <row r="913" hidden="1" x14ac:dyDescent="0.45"/>
    <row r="914" hidden="1" x14ac:dyDescent="0.45"/>
    <row r="915" hidden="1" x14ac:dyDescent="0.45"/>
    <row r="916" hidden="1" x14ac:dyDescent="0.45"/>
    <row r="917" hidden="1" x14ac:dyDescent="0.45"/>
    <row r="918" hidden="1" x14ac:dyDescent="0.45"/>
    <row r="919" hidden="1" x14ac:dyDescent="0.45"/>
    <row r="920" hidden="1" x14ac:dyDescent="0.45"/>
    <row r="921" hidden="1" x14ac:dyDescent="0.45"/>
    <row r="922" hidden="1" x14ac:dyDescent="0.45"/>
    <row r="923" hidden="1" x14ac:dyDescent="0.45"/>
    <row r="924" hidden="1" x14ac:dyDescent="0.45"/>
    <row r="925" hidden="1" x14ac:dyDescent="0.45"/>
    <row r="926" hidden="1" x14ac:dyDescent="0.45"/>
    <row r="927" hidden="1" x14ac:dyDescent="0.45"/>
    <row r="928" hidden="1" x14ac:dyDescent="0.45"/>
    <row r="929" hidden="1" x14ac:dyDescent="0.45"/>
    <row r="930" hidden="1" x14ac:dyDescent="0.45"/>
    <row r="931" hidden="1" x14ac:dyDescent="0.45"/>
    <row r="932" hidden="1" x14ac:dyDescent="0.45"/>
    <row r="933" hidden="1" x14ac:dyDescent="0.45"/>
    <row r="934" hidden="1" x14ac:dyDescent="0.45"/>
    <row r="935" hidden="1" x14ac:dyDescent="0.45"/>
    <row r="936" hidden="1" x14ac:dyDescent="0.45"/>
    <row r="937" hidden="1" x14ac:dyDescent="0.45"/>
    <row r="938" hidden="1" x14ac:dyDescent="0.45"/>
    <row r="939" hidden="1" x14ac:dyDescent="0.45"/>
    <row r="940" hidden="1" x14ac:dyDescent="0.45"/>
    <row r="941" hidden="1" x14ac:dyDescent="0.45"/>
    <row r="942" hidden="1" x14ac:dyDescent="0.45"/>
    <row r="943" hidden="1" x14ac:dyDescent="0.45"/>
    <row r="944" hidden="1" x14ac:dyDescent="0.45"/>
    <row r="945" hidden="1" x14ac:dyDescent="0.45"/>
    <row r="946" hidden="1" x14ac:dyDescent="0.45"/>
    <row r="947" hidden="1" x14ac:dyDescent="0.45"/>
    <row r="948" hidden="1" x14ac:dyDescent="0.45"/>
    <row r="949" hidden="1" x14ac:dyDescent="0.45"/>
    <row r="950" hidden="1" x14ac:dyDescent="0.45"/>
    <row r="951" hidden="1" x14ac:dyDescent="0.45"/>
    <row r="952" hidden="1" x14ac:dyDescent="0.45"/>
    <row r="953" hidden="1" x14ac:dyDescent="0.45"/>
    <row r="954" hidden="1" x14ac:dyDescent="0.45"/>
    <row r="955" hidden="1" x14ac:dyDescent="0.45"/>
    <row r="956" hidden="1" x14ac:dyDescent="0.45"/>
    <row r="957" hidden="1" x14ac:dyDescent="0.45"/>
    <row r="958" hidden="1" x14ac:dyDescent="0.45"/>
    <row r="959" hidden="1" x14ac:dyDescent="0.45"/>
    <row r="960" hidden="1" x14ac:dyDescent="0.45"/>
    <row r="961" hidden="1" x14ac:dyDescent="0.45"/>
    <row r="962" hidden="1" x14ac:dyDescent="0.45"/>
    <row r="963" hidden="1" x14ac:dyDescent="0.45"/>
    <row r="964" hidden="1" x14ac:dyDescent="0.45"/>
    <row r="965" hidden="1" x14ac:dyDescent="0.45"/>
    <row r="966" hidden="1" x14ac:dyDescent="0.45"/>
    <row r="967" hidden="1" x14ac:dyDescent="0.45"/>
    <row r="968" hidden="1" x14ac:dyDescent="0.45"/>
    <row r="969" hidden="1" x14ac:dyDescent="0.45"/>
    <row r="970" hidden="1" x14ac:dyDescent="0.45"/>
    <row r="971" hidden="1" x14ac:dyDescent="0.45"/>
    <row r="972" hidden="1" x14ac:dyDescent="0.45"/>
    <row r="973" hidden="1" x14ac:dyDescent="0.45"/>
    <row r="974" hidden="1" x14ac:dyDescent="0.45"/>
    <row r="975" hidden="1" x14ac:dyDescent="0.45"/>
    <row r="976" hidden="1" x14ac:dyDescent="0.45"/>
    <row r="977" hidden="1" x14ac:dyDescent="0.45"/>
    <row r="978" hidden="1" x14ac:dyDescent="0.45"/>
    <row r="979" hidden="1" x14ac:dyDescent="0.45"/>
    <row r="980" hidden="1" x14ac:dyDescent="0.45"/>
    <row r="981" hidden="1" x14ac:dyDescent="0.45"/>
    <row r="982" hidden="1" x14ac:dyDescent="0.45"/>
    <row r="983" hidden="1" x14ac:dyDescent="0.45"/>
    <row r="984" hidden="1" x14ac:dyDescent="0.45"/>
    <row r="985" hidden="1" x14ac:dyDescent="0.45"/>
    <row r="986" hidden="1" x14ac:dyDescent="0.45"/>
    <row r="987" hidden="1" x14ac:dyDescent="0.45"/>
    <row r="988" hidden="1" x14ac:dyDescent="0.45"/>
    <row r="989" hidden="1" x14ac:dyDescent="0.45"/>
    <row r="990" hidden="1" x14ac:dyDescent="0.45"/>
    <row r="991" hidden="1" x14ac:dyDescent="0.45"/>
    <row r="992" hidden="1" x14ac:dyDescent="0.45"/>
    <row r="993" hidden="1" x14ac:dyDescent="0.45"/>
    <row r="994" hidden="1" x14ac:dyDescent="0.45"/>
    <row r="995" hidden="1" x14ac:dyDescent="0.45"/>
    <row r="996" hidden="1" x14ac:dyDescent="0.45"/>
    <row r="997" hidden="1" x14ac:dyDescent="0.45"/>
    <row r="998" hidden="1" x14ac:dyDescent="0.45"/>
    <row r="999" hidden="1" x14ac:dyDescent="0.45"/>
    <row r="1000" hidden="1" x14ac:dyDescent="0.45"/>
    <row r="1001" hidden="1" x14ac:dyDescent="0.45"/>
    <row r="1002" hidden="1" x14ac:dyDescent="0.45"/>
    <row r="1003" hidden="1" x14ac:dyDescent="0.45"/>
    <row r="1004" hidden="1" x14ac:dyDescent="0.45"/>
    <row r="1005" hidden="1" x14ac:dyDescent="0.45"/>
    <row r="1006" hidden="1" x14ac:dyDescent="0.45"/>
    <row r="1007" hidden="1" x14ac:dyDescent="0.45"/>
    <row r="1008" hidden="1" x14ac:dyDescent="0.45"/>
    <row r="1009" hidden="1" x14ac:dyDescent="0.45"/>
    <row r="1010" hidden="1" x14ac:dyDescent="0.45"/>
    <row r="1011" hidden="1" x14ac:dyDescent="0.45"/>
    <row r="1012" hidden="1" x14ac:dyDescent="0.45"/>
    <row r="1013" hidden="1" x14ac:dyDescent="0.45"/>
    <row r="1014" hidden="1" x14ac:dyDescent="0.45"/>
    <row r="1015" hidden="1" x14ac:dyDescent="0.45"/>
    <row r="1016" hidden="1" x14ac:dyDescent="0.45"/>
    <row r="1017" hidden="1" x14ac:dyDescent="0.45"/>
    <row r="1018" hidden="1" x14ac:dyDescent="0.45"/>
    <row r="1019" hidden="1" x14ac:dyDescent="0.45"/>
    <row r="1020" hidden="1" x14ac:dyDescent="0.45"/>
    <row r="1021" hidden="1" x14ac:dyDescent="0.45"/>
    <row r="1022" hidden="1" x14ac:dyDescent="0.45"/>
    <row r="1023" hidden="1" x14ac:dyDescent="0.45"/>
    <row r="1024" hidden="1" x14ac:dyDescent="0.45"/>
    <row r="1025" hidden="1" x14ac:dyDescent="0.45"/>
    <row r="1026" hidden="1" x14ac:dyDescent="0.45"/>
    <row r="1027" hidden="1" x14ac:dyDescent="0.45"/>
    <row r="1028" hidden="1" x14ac:dyDescent="0.45"/>
    <row r="1029" hidden="1" x14ac:dyDescent="0.45"/>
    <row r="1030" hidden="1" x14ac:dyDescent="0.45"/>
    <row r="1031" hidden="1" x14ac:dyDescent="0.45"/>
    <row r="1032" hidden="1" x14ac:dyDescent="0.45"/>
    <row r="1033" hidden="1" x14ac:dyDescent="0.45"/>
    <row r="1034" hidden="1" x14ac:dyDescent="0.45"/>
    <row r="1035" hidden="1" x14ac:dyDescent="0.45"/>
    <row r="1036" hidden="1" x14ac:dyDescent="0.45"/>
    <row r="1037" hidden="1" x14ac:dyDescent="0.45"/>
    <row r="1038" hidden="1" x14ac:dyDescent="0.45"/>
    <row r="1039" hidden="1" x14ac:dyDescent="0.45"/>
    <row r="1040" hidden="1" x14ac:dyDescent="0.45"/>
    <row r="1041" hidden="1" x14ac:dyDescent="0.45"/>
  </sheetData>
  <mergeCells count="535">
    <mergeCell ref="A1:Q1"/>
    <mergeCell ref="A2:K2"/>
    <mergeCell ref="B4:D4"/>
    <mergeCell ref="B5:D5"/>
    <mergeCell ref="B6:D6"/>
    <mergeCell ref="B7:D7"/>
    <mergeCell ref="A13:N14"/>
    <mergeCell ref="A15:D16"/>
    <mergeCell ref="E15:E16"/>
    <mergeCell ref="I15:K15"/>
    <mergeCell ref="L15:N15"/>
    <mergeCell ref="O15:Q15"/>
    <mergeCell ref="B8:D8"/>
    <mergeCell ref="B9:D9"/>
    <mergeCell ref="A10:C10"/>
    <mergeCell ref="D10:N10"/>
    <mergeCell ref="A11:C11"/>
    <mergeCell ref="D12:Q12"/>
    <mergeCell ref="B21:D21"/>
    <mergeCell ref="A22:Q23"/>
    <mergeCell ref="A24:D25"/>
    <mergeCell ref="E24:E25"/>
    <mergeCell ref="I24:K24"/>
    <mergeCell ref="L24:N24"/>
    <mergeCell ref="O24:Q24"/>
    <mergeCell ref="DL15:DP15"/>
    <mergeCell ref="C17:D17"/>
    <mergeCell ref="C18:D18"/>
    <mergeCell ref="C19:D19"/>
    <mergeCell ref="A17:A20"/>
    <mergeCell ref="C20:D20"/>
    <mergeCell ref="F15:H15"/>
    <mergeCell ref="S15:V15"/>
    <mergeCell ref="F35:H35"/>
    <mergeCell ref="S35:V35"/>
    <mergeCell ref="C30:D30"/>
    <mergeCell ref="B32:D32"/>
    <mergeCell ref="A35:D36"/>
    <mergeCell ref="E35:E36"/>
    <mergeCell ref="AM24:AO24"/>
    <mergeCell ref="AP24:AR24"/>
    <mergeCell ref="DL24:DP24"/>
    <mergeCell ref="C26:D26"/>
    <mergeCell ref="C27:D27"/>
    <mergeCell ref="C28:D28"/>
    <mergeCell ref="C29:D29"/>
    <mergeCell ref="X24:Z24"/>
    <mergeCell ref="AA24:AC24"/>
    <mergeCell ref="AD24:AF24"/>
    <mergeCell ref="AG24:AI24"/>
    <mergeCell ref="AJ24:AL24"/>
    <mergeCell ref="F24:H24"/>
    <mergeCell ref="A26:A31"/>
    <mergeCell ref="C31:D31"/>
    <mergeCell ref="S24:V24"/>
    <mergeCell ref="AD35:AF35"/>
    <mergeCell ref="AG35:AI35"/>
    <mergeCell ref="AJ35:AL35"/>
    <mergeCell ref="AM35:AO35"/>
    <mergeCell ref="AP35:AR35"/>
    <mergeCell ref="DL35:DP35"/>
    <mergeCell ref="I35:K35"/>
    <mergeCell ref="L35:N35"/>
    <mergeCell ref="O35:Q35"/>
    <mergeCell ref="X35:Z35"/>
    <mergeCell ref="AA35:AC35"/>
    <mergeCell ref="AM46:AO46"/>
    <mergeCell ref="AP46:AR46"/>
    <mergeCell ref="DL46:DP46"/>
    <mergeCell ref="C48:D48"/>
    <mergeCell ref="C49:D49"/>
    <mergeCell ref="C50:D50"/>
    <mergeCell ref="C51:D51"/>
    <mergeCell ref="X46:Z46"/>
    <mergeCell ref="AA46:AC46"/>
    <mergeCell ref="AD46:AF46"/>
    <mergeCell ref="AG46:AI46"/>
    <mergeCell ref="AJ46:AL46"/>
    <mergeCell ref="A46:D47"/>
    <mergeCell ref="E46:E47"/>
    <mergeCell ref="I46:K46"/>
    <mergeCell ref="L46:N46"/>
    <mergeCell ref="O46:Q46"/>
    <mergeCell ref="A48:A53"/>
    <mergeCell ref="C53:D53"/>
    <mergeCell ref="F46:H46"/>
    <mergeCell ref="S46:V46"/>
    <mergeCell ref="S57:V57"/>
    <mergeCell ref="DL57:DP57"/>
    <mergeCell ref="C59:D59"/>
    <mergeCell ref="C60:D60"/>
    <mergeCell ref="C61:D61"/>
    <mergeCell ref="C62:D62"/>
    <mergeCell ref="X57:Z57"/>
    <mergeCell ref="AA57:AC57"/>
    <mergeCell ref="AD57:AF57"/>
    <mergeCell ref="AG57:AI57"/>
    <mergeCell ref="AJ57:AL57"/>
    <mergeCell ref="A57:D58"/>
    <mergeCell ref="E57:E58"/>
    <mergeCell ref="I57:K57"/>
    <mergeCell ref="L57:N57"/>
    <mergeCell ref="O57:Q57"/>
    <mergeCell ref="AM57:AO57"/>
    <mergeCell ref="AP57:AR57"/>
    <mergeCell ref="B65:D65"/>
    <mergeCell ref="A66:Q67"/>
    <mergeCell ref="A68:D69"/>
    <mergeCell ref="E68:E69"/>
    <mergeCell ref="I68:K68"/>
    <mergeCell ref="L68:N68"/>
    <mergeCell ref="O68:Q68"/>
    <mergeCell ref="DL82:DO82"/>
    <mergeCell ref="C84:D84"/>
    <mergeCell ref="AM68:AO68"/>
    <mergeCell ref="AP68:AR68"/>
    <mergeCell ref="X68:Z68"/>
    <mergeCell ref="AA68:AC68"/>
    <mergeCell ref="AD68:AF68"/>
    <mergeCell ref="AG68:AI68"/>
    <mergeCell ref="AJ68:AL68"/>
    <mergeCell ref="A70:A75"/>
    <mergeCell ref="C70:D70"/>
    <mergeCell ref="C71:D71"/>
    <mergeCell ref="C72:D72"/>
    <mergeCell ref="C73:D73"/>
    <mergeCell ref="C74:D74"/>
    <mergeCell ref="S68:W68"/>
    <mergeCell ref="F68:H68"/>
    <mergeCell ref="C85:D85"/>
    <mergeCell ref="E86:E88"/>
    <mergeCell ref="I86:K86"/>
    <mergeCell ref="A89:Q90"/>
    <mergeCell ref="A76:D76"/>
    <mergeCell ref="A78:E80"/>
    <mergeCell ref="I78:K78"/>
    <mergeCell ref="A81:Q81"/>
    <mergeCell ref="A82:B88"/>
    <mergeCell ref="E82:E83"/>
    <mergeCell ref="I82:K82"/>
    <mergeCell ref="L82:N82"/>
    <mergeCell ref="O82:Q82"/>
    <mergeCell ref="F82:H82"/>
    <mergeCell ref="F86:H86"/>
    <mergeCell ref="E100:E101"/>
    <mergeCell ref="I100:K100"/>
    <mergeCell ref="L100:N100"/>
    <mergeCell ref="O100:Q100"/>
    <mergeCell ref="E103:E105"/>
    <mergeCell ref="I103:K103"/>
    <mergeCell ref="DL91:DO91"/>
    <mergeCell ref="C93:D93"/>
    <mergeCell ref="C94:D94"/>
    <mergeCell ref="C95:E97"/>
    <mergeCell ref="I95:K95"/>
    <mergeCell ref="A98:Q99"/>
    <mergeCell ref="A91:B97"/>
    <mergeCell ref="C91:D92"/>
    <mergeCell ref="E91:E92"/>
    <mergeCell ref="I91:K91"/>
    <mergeCell ref="L91:N91"/>
    <mergeCell ref="O91:Q91"/>
    <mergeCell ref="F91:H91"/>
    <mergeCell ref="F100:H100"/>
    <mergeCell ref="F95:H95"/>
    <mergeCell ref="A100:D102"/>
    <mergeCell ref="A113:Q113"/>
    <mergeCell ref="E114:E115"/>
    <mergeCell ref="I114:K114"/>
    <mergeCell ref="L114:N114"/>
    <mergeCell ref="O114:Q114"/>
    <mergeCell ref="DL114:DP114"/>
    <mergeCell ref="A115:D115"/>
    <mergeCell ref="A107:D111"/>
    <mergeCell ref="I107:K107"/>
    <mergeCell ref="L107:N107"/>
    <mergeCell ref="O107:Q107"/>
    <mergeCell ref="E110:E111"/>
    <mergeCell ref="I110:K110"/>
    <mergeCell ref="F107:H107"/>
    <mergeCell ref="F114:H114"/>
    <mergeCell ref="O121:Q121"/>
    <mergeCell ref="DL121:DP121"/>
    <mergeCell ref="A122:D122"/>
    <mergeCell ref="A116:D116"/>
    <mergeCell ref="A117:D117"/>
    <mergeCell ref="A118:D118"/>
    <mergeCell ref="A119:D119"/>
    <mergeCell ref="A120:D120"/>
    <mergeCell ref="A121:D121"/>
    <mergeCell ref="A123:D123"/>
    <mergeCell ref="A124:D124"/>
    <mergeCell ref="A125:D125"/>
    <mergeCell ref="A126:D126"/>
    <mergeCell ref="A127:D129"/>
    <mergeCell ref="E127:E128"/>
    <mergeCell ref="E121:E122"/>
    <mergeCell ref="I121:K121"/>
    <mergeCell ref="L121:N121"/>
    <mergeCell ref="F121:H121"/>
    <mergeCell ref="A148:H148"/>
    <mergeCell ref="A139:N139"/>
    <mergeCell ref="I140:K140"/>
    <mergeCell ref="L140:N140"/>
    <mergeCell ref="O140:Q140"/>
    <mergeCell ref="I145:K145"/>
    <mergeCell ref="I127:K127"/>
    <mergeCell ref="L127:N127"/>
    <mergeCell ref="O127:Q127"/>
    <mergeCell ref="A132:N132"/>
    <mergeCell ref="A133:A137"/>
    <mergeCell ref="I133:K133"/>
    <mergeCell ref="L133:N133"/>
    <mergeCell ref="O133:Q133"/>
    <mergeCell ref="B136:E137"/>
    <mergeCell ref="I136:K136"/>
    <mergeCell ref="F127:H127"/>
    <mergeCell ref="F133:H133"/>
    <mergeCell ref="F140:H140"/>
    <mergeCell ref="A157:E161"/>
    <mergeCell ref="I157:K157"/>
    <mergeCell ref="L157:N157"/>
    <mergeCell ref="O157:Q157"/>
    <mergeCell ref="I160:K160"/>
    <mergeCell ref="A163:E165"/>
    <mergeCell ref="I163:K163"/>
    <mergeCell ref="A149:A155"/>
    <mergeCell ref="I149:K149"/>
    <mergeCell ref="L149:N149"/>
    <mergeCell ref="O149:Q149"/>
    <mergeCell ref="I154:K154"/>
    <mergeCell ref="F149:H149"/>
    <mergeCell ref="F157:H157"/>
    <mergeCell ref="F163:H163"/>
    <mergeCell ref="A178:E178"/>
    <mergeCell ref="I186:K186"/>
    <mergeCell ref="L186:N186"/>
    <mergeCell ref="O186:Q186"/>
    <mergeCell ref="C188:D188"/>
    <mergeCell ref="C189:D189"/>
    <mergeCell ref="C190:D190"/>
    <mergeCell ref="C195:D195"/>
    <mergeCell ref="A167:E172"/>
    <mergeCell ref="I167:K167"/>
    <mergeCell ref="L167:N167"/>
    <mergeCell ref="O167:Q167"/>
    <mergeCell ref="I170:K170"/>
    <mergeCell ref="A174:E176"/>
    <mergeCell ref="I174:K174"/>
    <mergeCell ref="O174:Q174"/>
    <mergeCell ref="F186:H186"/>
    <mergeCell ref="F174:H174"/>
    <mergeCell ref="F167:H170"/>
    <mergeCell ref="A249:D249"/>
    <mergeCell ref="A251:D251"/>
    <mergeCell ref="V251:X251"/>
    <mergeCell ref="Y251:AA251"/>
    <mergeCell ref="AB251:AD251"/>
    <mergeCell ref="I252:K252"/>
    <mergeCell ref="L252:N252"/>
    <mergeCell ref="O252:Q252"/>
    <mergeCell ref="C222:D222"/>
    <mergeCell ref="C223:D223"/>
    <mergeCell ref="A224:A225"/>
    <mergeCell ref="B224:D224"/>
    <mergeCell ref="B225:D225"/>
    <mergeCell ref="A226:A227"/>
    <mergeCell ref="B226:D226"/>
    <mergeCell ref="B227:D227"/>
    <mergeCell ref="A257:D257"/>
    <mergeCell ref="A258:D258"/>
    <mergeCell ref="A259:D259"/>
    <mergeCell ref="A260:D260"/>
    <mergeCell ref="A261:D261"/>
    <mergeCell ref="A262:D262"/>
    <mergeCell ref="A254:Q254"/>
    <mergeCell ref="E255:E256"/>
    <mergeCell ref="I255:K255"/>
    <mergeCell ref="L255:N255"/>
    <mergeCell ref="O255:Q255"/>
    <mergeCell ref="A256:D256"/>
    <mergeCell ref="A265:D265"/>
    <mergeCell ref="A266:D266"/>
    <mergeCell ref="A267:D267"/>
    <mergeCell ref="I268:K268"/>
    <mergeCell ref="L268:N268"/>
    <mergeCell ref="O269:Q269"/>
    <mergeCell ref="E262:E263"/>
    <mergeCell ref="I262:K262"/>
    <mergeCell ref="L262:N262"/>
    <mergeCell ref="O262:Q262"/>
    <mergeCell ref="A263:D263"/>
    <mergeCell ref="A264:D264"/>
    <mergeCell ref="J283:L283"/>
    <mergeCell ref="M283:O283"/>
    <mergeCell ref="P283:R283"/>
    <mergeCell ref="A288:C288"/>
    <mergeCell ref="J295:L295"/>
    <mergeCell ref="M295:O295"/>
    <mergeCell ref="P295:R295"/>
    <mergeCell ref="D273:D274"/>
    <mergeCell ref="I273:I274"/>
    <mergeCell ref="J273:L273"/>
    <mergeCell ref="M273:O273"/>
    <mergeCell ref="P273:R273"/>
    <mergeCell ref="A278:C278"/>
    <mergeCell ref="A308:I308"/>
    <mergeCell ref="A309:I309"/>
    <mergeCell ref="I318:K318"/>
    <mergeCell ref="L318:N318"/>
    <mergeCell ref="O318:Q318"/>
    <mergeCell ref="V318:X318"/>
    <mergeCell ref="B303:I303"/>
    <mergeCell ref="J304:L304"/>
    <mergeCell ref="M304:O304"/>
    <mergeCell ref="P304:R304"/>
    <mergeCell ref="A306:I306"/>
    <mergeCell ref="J307:L307"/>
    <mergeCell ref="C327:D327"/>
    <mergeCell ref="T327:U327"/>
    <mergeCell ref="C328:D328"/>
    <mergeCell ref="T328:U328"/>
    <mergeCell ref="C329:D329"/>
    <mergeCell ref="T329:U329"/>
    <mergeCell ref="Y318:AA318"/>
    <mergeCell ref="AB318:AD318"/>
    <mergeCell ref="C320:D320"/>
    <mergeCell ref="T320:U320"/>
    <mergeCell ref="C321:D321"/>
    <mergeCell ref="T321:U321"/>
    <mergeCell ref="C322:D322"/>
    <mergeCell ref="T322:U322"/>
    <mergeCell ref="F318:H318"/>
    <mergeCell ref="T333:U333"/>
    <mergeCell ref="C334:D334"/>
    <mergeCell ref="T334:U334"/>
    <mergeCell ref="T337:U337"/>
    <mergeCell ref="T338:U338"/>
    <mergeCell ref="T339:U339"/>
    <mergeCell ref="C330:D330"/>
    <mergeCell ref="T330:U330"/>
    <mergeCell ref="C331:D331"/>
    <mergeCell ref="T331:U331"/>
    <mergeCell ref="C332:D332"/>
    <mergeCell ref="T332:U332"/>
    <mergeCell ref="T353:U353"/>
    <mergeCell ref="R348:R355"/>
    <mergeCell ref="T349:U349"/>
    <mergeCell ref="T350:U350"/>
    <mergeCell ref="T351:U351"/>
    <mergeCell ref="C345:D345"/>
    <mergeCell ref="T345:U345"/>
    <mergeCell ref="C346:D346"/>
    <mergeCell ref="T346:U346"/>
    <mergeCell ref="C347:D347"/>
    <mergeCell ref="T347:U347"/>
    <mergeCell ref="R340:R347"/>
    <mergeCell ref="T340:U340"/>
    <mergeCell ref="C341:D341"/>
    <mergeCell ref="T341:U341"/>
    <mergeCell ref="C342:D342"/>
    <mergeCell ref="T342:U342"/>
    <mergeCell ref="C343:D343"/>
    <mergeCell ref="T343:U343"/>
    <mergeCell ref="C344:D344"/>
    <mergeCell ref="T344:U344"/>
    <mergeCell ref="B385:D385"/>
    <mergeCell ref="A386:A388"/>
    <mergeCell ref="B386:D386"/>
    <mergeCell ref="B387:D387"/>
    <mergeCell ref="B388:D388"/>
    <mergeCell ref="C381:D381"/>
    <mergeCell ref="C382:D382"/>
    <mergeCell ref="A383:A385"/>
    <mergeCell ref="B383:D383"/>
    <mergeCell ref="B384:D384"/>
    <mergeCell ref="A378:A382"/>
    <mergeCell ref="C378:D378"/>
    <mergeCell ref="C379:D379"/>
    <mergeCell ref="C380:D380"/>
    <mergeCell ref="J398:L398"/>
    <mergeCell ref="M398:O398"/>
    <mergeCell ref="P398:R398"/>
    <mergeCell ref="A392:D392"/>
    <mergeCell ref="A394:D394"/>
    <mergeCell ref="I396:K396"/>
    <mergeCell ref="L396:N396"/>
    <mergeCell ref="O396:Q396"/>
    <mergeCell ref="A397:D397"/>
    <mergeCell ref="A418:D418"/>
    <mergeCell ref="V419:X419"/>
    <mergeCell ref="Y419:AA419"/>
    <mergeCell ref="AB419:AD419"/>
    <mergeCell ref="J421:L421"/>
    <mergeCell ref="M421:O421"/>
    <mergeCell ref="P421:R421"/>
    <mergeCell ref="A408:D408"/>
    <mergeCell ref="J409:L409"/>
    <mergeCell ref="M409:O409"/>
    <mergeCell ref="P409:R409"/>
    <mergeCell ref="V409:X409"/>
    <mergeCell ref="Y409:AA409"/>
    <mergeCell ref="A433:I433"/>
    <mergeCell ref="J434:L434"/>
    <mergeCell ref="V434:X434"/>
    <mergeCell ref="A435:I435"/>
    <mergeCell ref="A436:I436"/>
    <mergeCell ref="B430:I430"/>
    <mergeCell ref="J431:L431"/>
    <mergeCell ref="M431:O431"/>
    <mergeCell ref="P431:R431"/>
    <mergeCell ref="V431:X431"/>
    <mergeCell ref="S454:AB454"/>
    <mergeCell ref="R320:R323"/>
    <mergeCell ref="T323:U323"/>
    <mergeCell ref="R324:R331"/>
    <mergeCell ref="T324:U324"/>
    <mergeCell ref="T325:U325"/>
    <mergeCell ref="T326:U326"/>
    <mergeCell ref="R332:R339"/>
    <mergeCell ref="T335:U335"/>
    <mergeCell ref="T336:U336"/>
    <mergeCell ref="AB431:AD431"/>
    <mergeCell ref="Y431:AA431"/>
    <mergeCell ref="AB409:AD409"/>
    <mergeCell ref="V397:X397"/>
    <mergeCell ref="Y397:AA397"/>
    <mergeCell ref="AB397:AD397"/>
    <mergeCell ref="T358:U358"/>
    <mergeCell ref="T359:U359"/>
    <mergeCell ref="T360:U360"/>
    <mergeCell ref="T354:U354"/>
    <mergeCell ref="T355:U355"/>
    <mergeCell ref="T356:U356"/>
    <mergeCell ref="T357:U357"/>
    <mergeCell ref="T348:U348"/>
    <mergeCell ref="R364:R366"/>
    <mergeCell ref="S364:U364"/>
    <mergeCell ref="S365:U365"/>
    <mergeCell ref="S366:U366"/>
    <mergeCell ref="A320:A323"/>
    <mergeCell ref="C323:D323"/>
    <mergeCell ref="A324:A331"/>
    <mergeCell ref="C324:D324"/>
    <mergeCell ref="C325:D325"/>
    <mergeCell ref="C326:D326"/>
    <mergeCell ref="T352:U352"/>
    <mergeCell ref="R356:R360"/>
    <mergeCell ref="R361:R362"/>
    <mergeCell ref="S361:U361"/>
    <mergeCell ref="S362:U362"/>
    <mergeCell ref="S363:U363"/>
    <mergeCell ref="C358:D358"/>
    <mergeCell ref="C359:D359"/>
    <mergeCell ref="C360:D360"/>
    <mergeCell ref="C354:D354"/>
    <mergeCell ref="C355:D355"/>
    <mergeCell ref="C356:D356"/>
    <mergeCell ref="C357:D357"/>
    <mergeCell ref="C348:D348"/>
    <mergeCell ref="A340:A347"/>
    <mergeCell ref="C340:D340"/>
    <mergeCell ref="A348:A355"/>
    <mergeCell ref="C349:D349"/>
    <mergeCell ref="C350:D350"/>
    <mergeCell ref="C351:D351"/>
    <mergeCell ref="C352:D352"/>
    <mergeCell ref="A332:A339"/>
    <mergeCell ref="C335:D335"/>
    <mergeCell ref="C336:D336"/>
    <mergeCell ref="C337:D337"/>
    <mergeCell ref="C338:D338"/>
    <mergeCell ref="C339:D339"/>
    <mergeCell ref="C353:D353"/>
    <mergeCell ref="C333:D333"/>
    <mergeCell ref="A356:A360"/>
    <mergeCell ref="A361:A362"/>
    <mergeCell ref="B361:D361"/>
    <mergeCell ref="B362:D362"/>
    <mergeCell ref="B363:D363"/>
    <mergeCell ref="A364:A366"/>
    <mergeCell ref="B364:D364"/>
    <mergeCell ref="B365:D365"/>
    <mergeCell ref="B366:D366"/>
    <mergeCell ref="A200:A207"/>
    <mergeCell ref="C203:D203"/>
    <mergeCell ref="C204:D204"/>
    <mergeCell ref="C205:D205"/>
    <mergeCell ref="C206:D206"/>
    <mergeCell ref="C207:D207"/>
    <mergeCell ref="A188:A191"/>
    <mergeCell ref="C191:D191"/>
    <mergeCell ref="A192:A199"/>
    <mergeCell ref="C192:D192"/>
    <mergeCell ref="C193:D193"/>
    <mergeCell ref="C194:D194"/>
    <mergeCell ref="C196:D196"/>
    <mergeCell ref="C197:D197"/>
    <mergeCell ref="C198:D198"/>
    <mergeCell ref="C199:D199"/>
    <mergeCell ref="C200:D200"/>
    <mergeCell ref="C201:D201"/>
    <mergeCell ref="C202:D202"/>
    <mergeCell ref="A208:A215"/>
    <mergeCell ref="C208:D208"/>
    <mergeCell ref="A216:A223"/>
    <mergeCell ref="C217:D217"/>
    <mergeCell ref="C218:D218"/>
    <mergeCell ref="C219:D219"/>
    <mergeCell ref="C220:D220"/>
    <mergeCell ref="C210:D210"/>
    <mergeCell ref="C211:D211"/>
    <mergeCell ref="C212:D212"/>
    <mergeCell ref="C213:D213"/>
    <mergeCell ref="C214:D214"/>
    <mergeCell ref="C215:D215"/>
    <mergeCell ref="C216:D216"/>
    <mergeCell ref="C221:D221"/>
    <mergeCell ref="C209:D209"/>
    <mergeCell ref="A37:A42"/>
    <mergeCell ref="C42:D42"/>
    <mergeCell ref="C63:D63"/>
    <mergeCell ref="C52:D52"/>
    <mergeCell ref="B54:D54"/>
    <mergeCell ref="A55:Q56"/>
    <mergeCell ref="B43:D43"/>
    <mergeCell ref="A44:Q45"/>
    <mergeCell ref="C37:D37"/>
    <mergeCell ref="C38:D38"/>
    <mergeCell ref="C39:D39"/>
    <mergeCell ref="C40:D40"/>
    <mergeCell ref="C41:D41"/>
    <mergeCell ref="A59:A64"/>
    <mergeCell ref="C64:D64"/>
    <mergeCell ref="F57:H57"/>
  </mergeCells>
  <pageMargins left="0.7" right="0.7" top="0.75" bottom="0.75" header="0.3" footer="0.3"/>
  <drawing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C3:T63"/>
  <sheetViews>
    <sheetView topLeftCell="F1" workbookViewId="0">
      <selection activeCell="O5" sqref="O5:Q5"/>
    </sheetView>
  </sheetViews>
  <sheetFormatPr baseColWidth="10" defaultColWidth="11.42578125" defaultRowHeight="12.75" x14ac:dyDescent="0.2"/>
  <cols>
    <col min="6" max="6" width="29.85546875" customWidth="1"/>
    <col min="7" max="7" width="6.5703125" customWidth="1"/>
  </cols>
  <sheetData>
    <row r="3" spans="6:17" x14ac:dyDescent="0.2">
      <c r="H3" s="3608" t="s">
        <v>848</v>
      </c>
      <c r="I3" s="3612"/>
      <c r="J3" s="3612"/>
      <c r="L3" s="3608" t="s">
        <v>848</v>
      </c>
      <c r="M3" s="3612"/>
      <c r="N3" s="3612"/>
    </row>
    <row r="4" spans="6:17" ht="15" x14ac:dyDescent="0.2">
      <c r="F4" s="99"/>
      <c r="G4" s="2600"/>
      <c r="H4" s="2598" t="s">
        <v>287</v>
      </c>
      <c r="I4" s="2598" t="s">
        <v>289</v>
      </c>
      <c r="J4" s="2598" t="s">
        <v>288</v>
      </c>
      <c r="L4" s="2598" t="s">
        <v>287</v>
      </c>
      <c r="M4" s="2598" t="s">
        <v>289</v>
      </c>
      <c r="N4" s="2598" t="s">
        <v>288</v>
      </c>
    </row>
    <row r="5" spans="6:17" x14ac:dyDescent="0.2">
      <c r="F5" s="99" t="s">
        <v>217</v>
      </c>
      <c r="G5" s="101">
        <f>+'DDJJ EPEC S-I '!E70</f>
        <v>0</v>
      </c>
      <c r="H5" s="101" t="e">
        <f ca="1">+'DDJJ EPEC S-I '!F70</f>
        <v>#REF!</v>
      </c>
      <c r="I5" s="101" t="e">
        <f ca="1">+'DDJJ EPEC S-I '!G70</f>
        <v>#REF!</v>
      </c>
      <c r="J5" s="101" t="e">
        <f ca="1">+'DDJJ EPEC S-I '!H70</f>
        <v>#REF!</v>
      </c>
      <c r="L5" s="72">
        <f ca="1">+'DDJJ EPEC S-II'!L131</f>
        <v>0</v>
      </c>
      <c r="M5" s="72">
        <f ca="1">+'DDJJ EPEC S-II'!M131</f>
        <v>0</v>
      </c>
      <c r="N5" s="72">
        <f ca="1">+'DDJJ EPEC S-II'!N131</f>
        <v>0</v>
      </c>
      <c r="O5" s="2705" t="e">
        <f ca="1">+L5-H5</f>
        <v>#REF!</v>
      </c>
      <c r="P5" s="2705" t="e">
        <f t="shared" ref="P5:Q5" ca="1" si="0">+M5-I5</f>
        <v>#REF!</v>
      </c>
      <c r="Q5" s="2705" t="e">
        <f t="shared" ca="1" si="0"/>
        <v>#REF!</v>
      </c>
    </row>
    <row r="6" spans="6:17" x14ac:dyDescent="0.2">
      <c r="F6" s="99" t="s">
        <v>218</v>
      </c>
      <c r="G6" s="101" t="e">
        <f>+'DDJJ EPEC S-I '!E71+'DDJJ EPEC S-I '!#REF!</f>
        <v>#REF!</v>
      </c>
      <c r="H6" s="101" t="e">
        <f>+'DDJJ EPEC S-I '!F71+'DDJJ EPEC S-I '!#REF!</f>
        <v>#REF!</v>
      </c>
      <c r="I6" s="101" t="e">
        <f>+'DDJJ EPEC S-I '!G71+'DDJJ EPEC S-I '!#REF!</f>
        <v>#REF!</v>
      </c>
      <c r="J6" s="101" t="e">
        <f>+'DDJJ EPEC S-I '!H71+'DDJJ EPEC S-I '!#REF!</f>
        <v>#REF!</v>
      </c>
    </row>
    <row r="7" spans="6:17" x14ac:dyDescent="0.2">
      <c r="F7" s="99" t="s">
        <v>219</v>
      </c>
      <c r="G7" s="101" t="e">
        <f>+'DDJJ EPEC S-I '!E73+'DDJJ EPEC S-I '!#REF!</f>
        <v>#REF!</v>
      </c>
      <c r="H7" s="101" t="e">
        <f>+'DDJJ EPEC S-I '!F73+'DDJJ EPEC S-I '!#REF!</f>
        <v>#REF!</v>
      </c>
      <c r="I7" s="101" t="e">
        <f>+'DDJJ EPEC S-I '!G73+'DDJJ EPEC S-I '!#REF!</f>
        <v>#REF!</v>
      </c>
      <c r="J7" s="101" t="e">
        <f>+'DDJJ EPEC S-I '!H73+'DDJJ EPEC S-I '!#REF!</f>
        <v>#REF!</v>
      </c>
    </row>
    <row r="8" spans="6:17" x14ac:dyDescent="0.2">
      <c r="F8" s="1441" t="s">
        <v>885</v>
      </c>
      <c r="G8" s="101" t="e">
        <f>+'DDJJ EPEC S-I '!E72</f>
        <v>#REF!</v>
      </c>
      <c r="H8" s="101" t="e">
        <f>+'DDJJ EPEC S-I '!F72</f>
        <v>#REF!</v>
      </c>
      <c r="I8" s="101" t="e">
        <f>+'DDJJ EPEC S-I '!G72</f>
        <v>#REF!</v>
      </c>
      <c r="J8" s="101" t="e">
        <f>+'DDJJ EPEC S-I '!H72</f>
        <v>#REF!</v>
      </c>
    </row>
    <row r="9" spans="6:17" x14ac:dyDescent="0.2">
      <c r="F9" s="1441" t="s">
        <v>886</v>
      </c>
      <c r="G9" s="101" t="e">
        <f>+'DDJJ EPEC S-I '!E74</f>
        <v>#REF!</v>
      </c>
      <c r="H9" s="101" t="e">
        <f>+'DDJJ EPEC S-I '!F74</f>
        <v>#REF!</v>
      </c>
      <c r="I9" s="101" t="e">
        <f>+'DDJJ EPEC S-I '!G74</f>
        <v>#REF!</v>
      </c>
      <c r="J9" s="101" t="e">
        <f>+'DDJJ EPEC S-I '!H74</f>
        <v>#REF!</v>
      </c>
    </row>
    <row r="10" spans="6:17" x14ac:dyDescent="0.2">
      <c r="F10" s="1441" t="s">
        <v>887</v>
      </c>
      <c r="G10" s="101" t="e">
        <f>+'DDJJ EPEC S-I '!E75</f>
        <v>#REF!</v>
      </c>
      <c r="H10" s="101" t="e">
        <f>+'DDJJ EPEC S-I '!F75</f>
        <v>#REF!</v>
      </c>
      <c r="I10" s="101" t="e">
        <f>+'DDJJ EPEC S-I '!G75</f>
        <v>#REF!</v>
      </c>
      <c r="J10" s="101" t="e">
        <f>+'DDJJ EPEC S-I '!H75</f>
        <v>#REF!</v>
      </c>
      <c r="L10" s="72" t="e">
        <f>+'DDJJ EPEC S-II'!#REF!</f>
        <v>#REF!</v>
      </c>
      <c r="M10" s="72" t="e">
        <f>+'DDJJ EPEC S-II'!#REF!</f>
        <v>#REF!</v>
      </c>
      <c r="N10" s="72" t="e">
        <f>+'DDJJ EPEC S-II'!#REF!</f>
        <v>#REF!</v>
      </c>
    </row>
    <row r="11" spans="6:17" x14ac:dyDescent="0.2">
      <c r="F11" s="1441" t="s">
        <v>627</v>
      </c>
      <c r="G11" s="101" t="e">
        <f>+'DDJJ EPEC S-I '!E129</f>
        <v>#REF!</v>
      </c>
      <c r="H11" s="101" t="e">
        <f>+'DDJJ EPEC S-I '!F129</f>
        <v>#REF!</v>
      </c>
      <c r="I11" s="101" t="e">
        <f>+'DDJJ EPEC S-I '!G129</f>
        <v>#REF!</v>
      </c>
      <c r="J11" s="101" t="e">
        <f>+'DDJJ EPEC S-I '!H129</f>
        <v>#REF!</v>
      </c>
      <c r="L11" s="72" t="e">
        <f>+'DDJJ EPEC S-II'!#REF!</f>
        <v>#REF!</v>
      </c>
      <c r="M11" s="72" t="e">
        <f>+'DDJJ EPEC S-II'!#REF!</f>
        <v>#REF!</v>
      </c>
      <c r="N11" s="72" t="e">
        <f>+'DDJJ EPEC S-II'!#REF!</f>
        <v>#REF!</v>
      </c>
    </row>
    <row r="12" spans="6:17" x14ac:dyDescent="0.2">
      <c r="F12" s="1441" t="s">
        <v>22</v>
      </c>
      <c r="G12" s="101" t="e">
        <f>+'DDJJ EPEC S-I '!E102</f>
        <v>#REF!</v>
      </c>
      <c r="H12" s="101">
        <f>+'DDJJ EPEC S-I '!F102</f>
        <v>0</v>
      </c>
      <c r="I12" s="101">
        <f>+'DDJJ EPEC S-I '!G102</f>
        <v>0</v>
      </c>
      <c r="J12" s="101">
        <f>+'DDJJ EPEC S-I '!H102</f>
        <v>0</v>
      </c>
      <c r="L12" s="72">
        <f>+'DDJJ EPEC S-II'!F224</f>
        <v>0</v>
      </c>
      <c r="M12" s="72">
        <f>+'DDJJ EPEC S-II'!G224</f>
        <v>0</v>
      </c>
      <c r="N12" s="72">
        <f>+'DDJJ EPEC S-II'!H224</f>
        <v>0</v>
      </c>
    </row>
    <row r="13" spans="6:17" x14ac:dyDescent="0.2">
      <c r="F13" s="1441" t="s">
        <v>21</v>
      </c>
      <c r="G13" s="2599">
        <f>+'DDJJ EPEC S-I '!E84+'DDJJ EPEC S-I '!E85</f>
        <v>0</v>
      </c>
      <c r="H13" s="101" t="e">
        <f>+'DDJJ EPEC S-I '!F88</f>
        <v>#REF!</v>
      </c>
      <c r="I13" s="101" t="e">
        <f>+'DDJJ EPEC S-I '!G88</f>
        <v>#REF!</v>
      </c>
      <c r="J13" s="101" t="e">
        <f>+'DDJJ EPEC S-I '!H88</f>
        <v>#REF!</v>
      </c>
      <c r="L13" s="72">
        <f ca="1">+'DDJJ EPEC S-II'!F207</f>
        <v>0</v>
      </c>
      <c r="M13" s="72">
        <f ca="1">+'DDJJ EPEC S-II'!G207</f>
        <v>0</v>
      </c>
      <c r="N13" s="72">
        <f ca="1">+'DDJJ EPEC S-II'!H207</f>
        <v>0</v>
      </c>
    </row>
    <row r="14" spans="6:17" x14ac:dyDescent="0.2">
      <c r="F14" s="1441" t="s">
        <v>71</v>
      </c>
      <c r="G14" s="2599">
        <f>+'DDJJ EPEC S-I '!E93+'DDJJ EPEC S-I '!E94</f>
        <v>0</v>
      </c>
      <c r="H14" s="101" t="e">
        <f>+'DDJJ EPEC S-I '!F97</f>
        <v>#REF!</v>
      </c>
      <c r="I14" s="101" t="e">
        <f>+'DDJJ EPEC S-I '!G97</f>
        <v>#REF!</v>
      </c>
      <c r="J14" s="101" t="e">
        <f>+'DDJJ EPEC S-I '!H97</f>
        <v>#REF!</v>
      </c>
      <c r="L14" s="72">
        <f ca="1">+'DDJJ EPEC S-II'!F216</f>
        <v>0</v>
      </c>
      <c r="M14" s="72">
        <f ca="1">+'DDJJ EPEC S-II'!G216</f>
        <v>0</v>
      </c>
      <c r="N14" s="72">
        <f ca="1">+'DDJJ EPEC S-II'!H216</f>
        <v>0</v>
      </c>
    </row>
    <row r="15" spans="6:17" x14ac:dyDescent="0.2">
      <c r="F15" s="1441" t="s">
        <v>258</v>
      </c>
      <c r="G15" s="2599">
        <f>+'DDJJ EPEC S-I '!C135</f>
        <v>0</v>
      </c>
      <c r="H15" s="101">
        <f>+'DDJJ EPEC S-I '!F135</f>
        <v>0</v>
      </c>
      <c r="I15" s="101">
        <f>+'DDJJ EPEC S-I '!G135</f>
        <v>0</v>
      </c>
      <c r="J15" s="101">
        <f>+'DDJJ EPEC S-I '!H135</f>
        <v>0</v>
      </c>
      <c r="L15" s="72">
        <f>+'DDJJ EPEC S-II'!F267</f>
        <v>0</v>
      </c>
      <c r="M15" s="72">
        <f>+'DDJJ EPEC S-II'!G267</f>
        <v>0</v>
      </c>
      <c r="N15" s="72">
        <f>+'DDJJ EPEC S-II'!H267</f>
        <v>0</v>
      </c>
    </row>
    <row r="16" spans="6:17" x14ac:dyDescent="0.2">
      <c r="F16" s="1441" t="s">
        <v>888</v>
      </c>
      <c r="G16" s="2599">
        <f>+'DDJJ EPEC S-I '!C143+'DDJJ EPEC S-I '!C142</f>
        <v>0</v>
      </c>
      <c r="H16" s="101">
        <f>+'DDJJ EPEC S-I '!F144</f>
        <v>0</v>
      </c>
      <c r="I16" s="101">
        <f>+'DDJJ EPEC S-I '!G144</f>
        <v>0</v>
      </c>
      <c r="J16" s="101">
        <f>+'DDJJ EPEC S-I '!H144</f>
        <v>0</v>
      </c>
      <c r="L16" s="72">
        <f>+'DDJJ EPEC S-II'!F276</f>
        <v>0</v>
      </c>
      <c r="M16" s="72">
        <f>+'DDJJ EPEC S-II'!G276</f>
        <v>0</v>
      </c>
      <c r="N16" s="72">
        <f>+'DDJJ EPEC S-II'!H276</f>
        <v>0</v>
      </c>
    </row>
    <row r="17" spans="3:14" x14ac:dyDescent="0.2">
      <c r="F17" s="1441" t="s">
        <v>889</v>
      </c>
      <c r="G17" s="2599">
        <f>+'DDJJ EPEC S-I '!C151+'DDJJ EPEC S-I '!C152</f>
        <v>0</v>
      </c>
      <c r="H17" s="101">
        <f ca="1">+'DDJJ EPEC S-I '!F153</f>
        <v>0</v>
      </c>
      <c r="I17" s="101">
        <f ca="1">+'DDJJ EPEC S-I '!G153</f>
        <v>0</v>
      </c>
      <c r="J17" s="101">
        <f ca="1">+'DDJJ EPEC S-I '!H153</f>
        <v>0</v>
      </c>
      <c r="L17" s="72">
        <f ca="1">+'DDJJ EPEC S-II'!F285</f>
        <v>0</v>
      </c>
      <c r="M17" s="72">
        <f ca="1">+'DDJJ EPEC S-II'!G285</f>
        <v>0</v>
      </c>
      <c r="N17" s="72">
        <f ca="1">+'DDJJ EPEC S-II'!H285</f>
        <v>0</v>
      </c>
    </row>
    <row r="18" spans="3:14" x14ac:dyDescent="0.2">
      <c r="F18" s="1441" t="s">
        <v>890</v>
      </c>
      <c r="G18" s="99"/>
      <c r="H18" s="101" t="e">
        <f ca="1">SUM(H5:H17)</f>
        <v>#REF!</v>
      </c>
      <c r="I18" s="101" t="e">
        <f t="shared" ref="I18:J18" ca="1" si="1">SUM(I5:I17)</f>
        <v>#REF!</v>
      </c>
      <c r="J18" s="101" t="e">
        <f t="shared" ca="1" si="1"/>
        <v>#REF!</v>
      </c>
    </row>
    <row r="19" spans="3:14" x14ac:dyDescent="0.2">
      <c r="F19" s="2124" t="s">
        <v>833</v>
      </c>
      <c r="H19" s="72">
        <f>+'Compra -HOJA1'!G10</f>
        <v>0</v>
      </c>
      <c r="I19" s="72">
        <f>+'Compra -HOJA1'!I10</f>
        <v>0</v>
      </c>
      <c r="J19" s="72">
        <f>+'Compra -HOJA1'!H10</f>
        <v>0</v>
      </c>
    </row>
    <row r="20" spans="3:14" x14ac:dyDescent="0.2">
      <c r="F20" s="2124" t="s">
        <v>241</v>
      </c>
      <c r="H20" s="72" t="e">
        <f ca="1">+H18-H19</f>
        <v>#REF!</v>
      </c>
      <c r="I20" s="72" t="e">
        <f t="shared" ref="I20:J20" ca="1" si="2">+I18-I19</f>
        <v>#REF!</v>
      </c>
      <c r="J20" s="72" t="e">
        <f t="shared" ca="1" si="2"/>
        <v>#REF!</v>
      </c>
    </row>
    <row r="22" spans="3:14" x14ac:dyDescent="0.2">
      <c r="H22" s="3608" t="s">
        <v>848</v>
      </c>
      <c r="I22" s="3612"/>
      <c r="J22" s="3612"/>
    </row>
    <row r="23" spans="3:14" ht="15" x14ac:dyDescent="0.2">
      <c r="H23" s="2598" t="s">
        <v>287</v>
      </c>
      <c r="I23" s="2598" t="s">
        <v>289</v>
      </c>
      <c r="J23" s="2598" t="s">
        <v>288</v>
      </c>
    </row>
    <row r="24" spans="3:14" ht="16.5" x14ac:dyDescent="0.2">
      <c r="C24" s="5210" t="s">
        <v>404</v>
      </c>
      <c r="D24" s="2611">
        <v>5030</v>
      </c>
      <c r="E24" s="5213" t="s">
        <v>217</v>
      </c>
      <c r="F24" s="5214"/>
      <c r="H24" s="72">
        <f ca="1">+'DDJJ EPEC S-II'!F131+'DDJJ EPEC S-II'!I131</f>
        <v>0</v>
      </c>
      <c r="I24" s="72">
        <f ca="1">+'DDJJ EPEC S-II'!G131+'DDJJ EPEC S-II'!J131</f>
        <v>0</v>
      </c>
      <c r="J24" s="72">
        <f ca="1">+'DDJJ EPEC S-II'!H131+'DDJJ EPEC S-II'!K131</f>
        <v>0</v>
      </c>
    </row>
    <row r="25" spans="3:14" ht="16.5" x14ac:dyDescent="0.2">
      <c r="C25" s="5211"/>
      <c r="D25" s="2517">
        <v>5040</v>
      </c>
      <c r="E25" s="5007" t="s">
        <v>218</v>
      </c>
      <c r="F25" s="5009"/>
      <c r="H25" s="72">
        <f ca="1">+'DDJJ EPEC S-II'!F132+'DDJJ EPEC S-II'!I132</f>
        <v>0</v>
      </c>
      <c r="I25" s="72">
        <f ca="1">+'DDJJ EPEC S-II'!G132+'DDJJ EPEC S-II'!J132</f>
        <v>0</v>
      </c>
      <c r="J25" s="72">
        <f ca="1">+'DDJJ EPEC S-II'!H132+'DDJJ EPEC S-II'!K132</f>
        <v>0</v>
      </c>
    </row>
    <row r="26" spans="3:14" ht="16.5" x14ac:dyDescent="0.2">
      <c r="C26" s="5211"/>
      <c r="D26" s="2517">
        <v>5041</v>
      </c>
      <c r="E26" s="5215" t="s">
        <v>620</v>
      </c>
      <c r="F26" s="5216"/>
      <c r="H26" s="72" t="e">
        <f>+'DDJJ EPEC S-II'!#REF!+'DDJJ EPEC S-II'!#REF!</f>
        <v>#REF!</v>
      </c>
      <c r="I26" s="72" t="e">
        <f>+'DDJJ EPEC S-II'!#REF!+'DDJJ EPEC S-II'!#REF!</f>
        <v>#REF!</v>
      </c>
      <c r="J26" s="72" t="e">
        <f>+'DDJJ EPEC S-II'!#REF!+'DDJJ EPEC S-II'!#REF!</f>
        <v>#REF!</v>
      </c>
    </row>
    <row r="27" spans="3:14" ht="16.5" x14ac:dyDescent="0.2">
      <c r="C27" s="5211"/>
      <c r="D27" s="2517">
        <v>5045</v>
      </c>
      <c r="E27" s="5007" t="s">
        <v>221</v>
      </c>
      <c r="F27" s="5009"/>
      <c r="H27" s="72">
        <f ca="1">+'DDJJ EPEC S-II'!F134+'DDJJ EPEC S-II'!I134</f>
        <v>0</v>
      </c>
      <c r="I27" s="72">
        <f ca="1">+'DDJJ EPEC S-II'!G134+'DDJJ EPEC S-II'!J134</f>
        <v>0</v>
      </c>
      <c r="J27" s="72">
        <f ca="1">+'DDJJ EPEC S-II'!H134+'DDJJ EPEC S-II'!K134</f>
        <v>0</v>
      </c>
    </row>
    <row r="28" spans="3:14" ht="16.5" x14ac:dyDescent="0.2">
      <c r="C28" s="5211"/>
      <c r="D28" s="2612">
        <v>5050</v>
      </c>
      <c r="E28" s="5217" t="s">
        <v>219</v>
      </c>
      <c r="F28" s="5218"/>
      <c r="H28" s="72">
        <f ca="1">+'DDJJ EPEC S-II'!F135+'DDJJ EPEC S-II'!I135</f>
        <v>0</v>
      </c>
      <c r="I28" s="72">
        <f ca="1">+'DDJJ EPEC S-II'!G135+'DDJJ EPEC S-II'!J135</f>
        <v>0</v>
      </c>
      <c r="J28" s="72">
        <f ca="1">+'DDJJ EPEC S-II'!H135+'DDJJ EPEC S-II'!K135</f>
        <v>0</v>
      </c>
    </row>
    <row r="29" spans="3:14" ht="16.5" x14ac:dyDescent="0.2">
      <c r="C29" s="5211"/>
      <c r="D29" s="2612">
        <v>5051</v>
      </c>
      <c r="E29" s="5219" t="s">
        <v>621</v>
      </c>
      <c r="F29" s="5220"/>
      <c r="H29" s="72" t="e">
        <f>+'DDJJ EPEC S-II'!#REF!+'DDJJ EPEC S-II'!#REF!</f>
        <v>#REF!</v>
      </c>
      <c r="I29" s="72" t="e">
        <f>+'DDJJ EPEC S-II'!#REF!+'DDJJ EPEC S-II'!#REF!</f>
        <v>#REF!</v>
      </c>
      <c r="J29" s="72" t="e">
        <f>+'DDJJ EPEC S-II'!#REF!+'DDJJ EPEC S-II'!#REF!</f>
        <v>#REF!</v>
      </c>
    </row>
    <row r="30" spans="3:14" ht="16.5" x14ac:dyDescent="0.2">
      <c r="C30" s="5211"/>
      <c r="D30" s="2612">
        <v>5055</v>
      </c>
      <c r="E30" s="5217" t="s">
        <v>222</v>
      </c>
      <c r="F30" s="5218"/>
      <c r="H30" s="72">
        <f ca="1">+'DDJJ EPEC S-II'!F137+'DDJJ EPEC S-II'!I137</f>
        <v>0</v>
      </c>
      <c r="I30" s="72">
        <f ca="1">+'DDJJ EPEC S-II'!G137+'DDJJ EPEC S-II'!J137</f>
        <v>0</v>
      </c>
      <c r="J30" s="72">
        <f ca="1">+'DDJJ EPEC S-II'!H137+'DDJJ EPEC S-II'!K137</f>
        <v>0</v>
      </c>
    </row>
    <row r="31" spans="3:14" ht="49.5" x14ac:dyDescent="0.2">
      <c r="C31" s="5211"/>
      <c r="D31" s="2613">
        <v>5501</v>
      </c>
      <c r="E31" s="4996" t="s">
        <v>891</v>
      </c>
      <c r="F31" s="2613" t="s">
        <v>46</v>
      </c>
      <c r="H31" s="72">
        <f ca="1">+'DDJJ EPEC S-II'!F138+'DDJJ EPEC S-II'!I138</f>
        <v>0</v>
      </c>
      <c r="I31" s="72">
        <f ca="1">+'DDJJ EPEC S-II'!G138+'DDJJ EPEC S-II'!J138</f>
        <v>0</v>
      </c>
      <c r="J31" s="72">
        <f ca="1">+'DDJJ EPEC S-II'!H138+'DDJJ EPEC S-II'!K138</f>
        <v>0</v>
      </c>
    </row>
    <row r="32" spans="3:14" ht="49.5" x14ac:dyDescent="0.2">
      <c r="C32" s="5211"/>
      <c r="D32" s="2613">
        <v>5502</v>
      </c>
      <c r="E32" s="4997"/>
      <c r="F32" s="2613" t="s">
        <v>47</v>
      </c>
      <c r="H32" s="72">
        <f ca="1">+'DDJJ EPEC S-II'!F139+'DDJJ EPEC S-II'!I139</f>
        <v>0</v>
      </c>
      <c r="I32" s="72">
        <f ca="1">+'DDJJ EPEC S-II'!G139+'DDJJ EPEC S-II'!J139</f>
        <v>0</v>
      </c>
      <c r="J32" s="72">
        <f ca="1">+'DDJJ EPEC S-II'!H139+'DDJJ EPEC S-II'!K139</f>
        <v>0</v>
      </c>
    </row>
    <row r="33" spans="3:10" ht="49.5" x14ac:dyDescent="0.2">
      <c r="C33" s="5211"/>
      <c r="D33" s="2613">
        <v>5503</v>
      </c>
      <c r="E33" s="4997"/>
      <c r="F33" s="2613" t="s">
        <v>53</v>
      </c>
      <c r="H33" s="72">
        <f ca="1">+'DDJJ EPEC S-II'!F140+'DDJJ EPEC S-II'!I140</f>
        <v>0</v>
      </c>
      <c r="I33" s="72">
        <f ca="1">+'DDJJ EPEC S-II'!G140+'DDJJ EPEC S-II'!J140</f>
        <v>0</v>
      </c>
      <c r="J33" s="72">
        <f ca="1">+'DDJJ EPEC S-II'!H140+'DDJJ EPEC S-II'!K140</f>
        <v>0</v>
      </c>
    </row>
    <row r="34" spans="3:10" ht="49.5" x14ac:dyDescent="0.2">
      <c r="C34" s="5211"/>
      <c r="D34" s="2613">
        <v>5504</v>
      </c>
      <c r="E34" s="4997"/>
      <c r="F34" s="2613" t="s">
        <v>54</v>
      </c>
      <c r="H34" s="72">
        <f ca="1">+'DDJJ EPEC S-II'!F141+'DDJJ EPEC S-II'!I141</f>
        <v>0</v>
      </c>
      <c r="I34" s="72">
        <f ca="1">+'DDJJ EPEC S-II'!G141+'DDJJ EPEC S-II'!J141</f>
        <v>0</v>
      </c>
      <c r="J34" s="72">
        <f ca="1">+'DDJJ EPEC S-II'!H141+'DDJJ EPEC S-II'!K141</f>
        <v>0</v>
      </c>
    </row>
    <row r="35" spans="3:10" ht="66" x14ac:dyDescent="0.2">
      <c r="C35" s="5211"/>
      <c r="D35" s="2613">
        <v>5505</v>
      </c>
      <c r="E35" s="4997"/>
      <c r="F35" s="2613" t="s">
        <v>604</v>
      </c>
      <c r="H35" s="72" t="e">
        <f>+'DDJJ EPEC S-II'!#REF!+'DDJJ EPEC S-II'!#REF!</f>
        <v>#REF!</v>
      </c>
      <c r="I35" s="72" t="e">
        <f>+'DDJJ EPEC S-II'!#REF!+'DDJJ EPEC S-II'!#REF!</f>
        <v>#REF!</v>
      </c>
      <c r="J35" s="72" t="e">
        <f>+'DDJJ EPEC S-II'!#REF!+'DDJJ EPEC S-II'!#REF!</f>
        <v>#REF!</v>
      </c>
    </row>
    <row r="36" spans="3:10" ht="49.5" x14ac:dyDescent="0.2">
      <c r="C36" s="5211"/>
      <c r="D36" s="2613">
        <v>5506</v>
      </c>
      <c r="E36" s="4997"/>
      <c r="F36" s="2613" t="s">
        <v>59</v>
      </c>
      <c r="H36" s="72">
        <f ca="1">+'DDJJ EPEC S-II'!F143+'DDJJ EPEC S-II'!I143</f>
        <v>0</v>
      </c>
      <c r="I36" s="72">
        <f ca="1">+'DDJJ EPEC S-II'!G143+'DDJJ EPEC S-II'!J143</f>
        <v>0</v>
      </c>
      <c r="J36" s="72">
        <f ca="1">+'DDJJ EPEC S-II'!H143+'DDJJ EPEC S-II'!K143</f>
        <v>0</v>
      </c>
    </row>
    <row r="37" spans="3:10" ht="66" x14ac:dyDescent="0.2">
      <c r="C37" s="5211"/>
      <c r="D37" s="2613">
        <v>5507</v>
      </c>
      <c r="E37" s="4997"/>
      <c r="F37" s="2613" t="s">
        <v>590</v>
      </c>
      <c r="H37" s="72" t="e">
        <f>+'DDJJ EPEC S-II'!#REF!+'DDJJ EPEC S-II'!#REF!</f>
        <v>#REF!</v>
      </c>
      <c r="I37" s="72" t="e">
        <f>+'DDJJ EPEC S-II'!#REF!+'DDJJ EPEC S-II'!#REF!</f>
        <v>#REF!</v>
      </c>
      <c r="J37" s="72" t="e">
        <f>+'DDJJ EPEC S-II'!#REF!+'DDJJ EPEC S-II'!#REF!</f>
        <v>#REF!</v>
      </c>
    </row>
    <row r="38" spans="3:10" ht="49.5" x14ac:dyDescent="0.2">
      <c r="C38" s="5211"/>
      <c r="D38" s="2613">
        <v>5508</v>
      </c>
      <c r="E38" s="4997"/>
      <c r="F38" s="2613" t="s">
        <v>64</v>
      </c>
      <c r="H38" s="72">
        <f ca="1">+'DDJJ EPEC S-II'!F145+'DDJJ EPEC S-II'!I145</f>
        <v>0</v>
      </c>
      <c r="I38" s="72">
        <f ca="1">+'DDJJ EPEC S-II'!G145+'DDJJ EPEC S-II'!J145</f>
        <v>0</v>
      </c>
      <c r="J38" s="72">
        <f ca="1">+'DDJJ EPEC S-II'!H145+'DDJJ EPEC S-II'!K145</f>
        <v>0</v>
      </c>
    </row>
    <row r="39" spans="3:10" ht="66" x14ac:dyDescent="0.2">
      <c r="C39" s="5211"/>
      <c r="D39" s="2613">
        <v>5509</v>
      </c>
      <c r="E39" s="4997"/>
      <c r="F39" s="2613" t="s">
        <v>624</v>
      </c>
      <c r="H39" s="72" t="e">
        <f>+'DDJJ EPEC S-II'!#REF!+'DDJJ EPEC S-II'!#REF!</f>
        <v>#REF!</v>
      </c>
      <c r="I39" s="72" t="e">
        <f>+'DDJJ EPEC S-II'!#REF!+'DDJJ EPEC S-II'!#REF!</f>
        <v>#REF!</v>
      </c>
      <c r="J39" s="72" t="e">
        <f>+'DDJJ EPEC S-II'!#REF!+'DDJJ EPEC S-II'!#REF!</f>
        <v>#REF!</v>
      </c>
    </row>
    <row r="40" spans="3:10" ht="49.5" x14ac:dyDescent="0.2">
      <c r="C40" s="5211"/>
      <c r="D40" s="2613">
        <v>5510</v>
      </c>
      <c r="E40" s="4997"/>
      <c r="F40" s="2613" t="s">
        <v>68</v>
      </c>
      <c r="H40" s="72">
        <f ca="1">+'DDJJ EPEC S-II'!F147+'DDJJ EPEC S-II'!I147</f>
        <v>0</v>
      </c>
      <c r="I40" s="72">
        <f ca="1">+'DDJJ EPEC S-II'!G147+'DDJJ EPEC S-II'!J147</f>
        <v>0</v>
      </c>
      <c r="J40" s="72">
        <f ca="1">+'DDJJ EPEC S-II'!H147+'DDJJ EPEC S-II'!K147</f>
        <v>0</v>
      </c>
    </row>
    <row r="41" spans="3:10" ht="49.5" x14ac:dyDescent="0.2">
      <c r="C41" s="5211"/>
      <c r="D41" s="2613">
        <v>5511</v>
      </c>
      <c r="E41" s="4997"/>
      <c r="F41" s="2613" t="s">
        <v>626</v>
      </c>
      <c r="H41" s="72" t="e">
        <f>+'DDJJ EPEC S-II'!#REF!+'DDJJ EPEC S-II'!#REF!</f>
        <v>#REF!</v>
      </c>
      <c r="I41" s="72" t="e">
        <f>+'DDJJ EPEC S-II'!#REF!+'DDJJ EPEC S-II'!#REF!</f>
        <v>#REF!</v>
      </c>
      <c r="J41" s="72" t="e">
        <f>+'DDJJ EPEC S-II'!#REF!+'DDJJ EPEC S-II'!#REF!</f>
        <v>#REF!</v>
      </c>
    </row>
    <row r="42" spans="3:10" ht="33" x14ac:dyDescent="0.2">
      <c r="C42" s="5211"/>
      <c r="D42" s="1351">
        <v>5551</v>
      </c>
      <c r="E42" s="4997"/>
      <c r="F42" s="2614" t="s">
        <v>169</v>
      </c>
      <c r="H42" s="72">
        <f ca="1">+'DDJJ EPEC S-II'!F149+'DDJJ EPEC S-II'!I149</f>
        <v>0</v>
      </c>
      <c r="I42" s="72">
        <f ca="1">+'DDJJ EPEC S-II'!G149+'DDJJ EPEC S-II'!J149</f>
        <v>0</v>
      </c>
      <c r="J42" s="72">
        <f ca="1">+'DDJJ EPEC S-II'!H149+'DDJJ EPEC S-II'!K149</f>
        <v>0</v>
      </c>
    </row>
    <row r="43" spans="3:10" ht="49.5" x14ac:dyDescent="0.2">
      <c r="C43" s="5211"/>
      <c r="D43" s="1351">
        <v>5552</v>
      </c>
      <c r="E43" s="4997"/>
      <c r="F43" s="2614" t="s">
        <v>49</v>
      </c>
      <c r="H43" s="72">
        <f ca="1">+'DDJJ EPEC S-II'!F150+'DDJJ EPEC S-II'!I150</f>
        <v>0</v>
      </c>
      <c r="I43" s="72">
        <f ca="1">+'DDJJ EPEC S-II'!G150+'DDJJ EPEC S-II'!J150</f>
        <v>0</v>
      </c>
      <c r="J43" s="72">
        <f ca="1">+'DDJJ EPEC S-II'!H150+'DDJJ EPEC S-II'!K150</f>
        <v>0</v>
      </c>
    </row>
    <row r="44" spans="3:10" ht="49.5" x14ac:dyDescent="0.2">
      <c r="C44" s="5211"/>
      <c r="D44" s="1351">
        <v>5553</v>
      </c>
      <c r="E44" s="4997"/>
      <c r="F44" s="2614" t="s">
        <v>55</v>
      </c>
      <c r="H44" s="72">
        <f ca="1">+'DDJJ EPEC S-II'!F151+'DDJJ EPEC S-II'!I151</f>
        <v>0</v>
      </c>
      <c r="I44" s="72">
        <f ca="1">+'DDJJ EPEC S-II'!G151+'DDJJ EPEC S-II'!J151</f>
        <v>0</v>
      </c>
      <c r="J44" s="72">
        <f ca="1">+'DDJJ EPEC S-II'!H151+'DDJJ EPEC S-II'!K151</f>
        <v>0</v>
      </c>
    </row>
    <row r="45" spans="3:10" ht="49.5" x14ac:dyDescent="0.2">
      <c r="C45" s="5211"/>
      <c r="D45" s="1351">
        <v>5554</v>
      </c>
      <c r="E45" s="4997"/>
      <c r="F45" s="2614" t="s">
        <v>56</v>
      </c>
      <c r="H45" s="72">
        <f ca="1">+'DDJJ EPEC S-II'!F152+'DDJJ EPEC S-II'!I152</f>
        <v>0</v>
      </c>
      <c r="I45" s="72">
        <f ca="1">+'DDJJ EPEC S-II'!G152+'DDJJ EPEC S-II'!J152</f>
        <v>0</v>
      </c>
      <c r="J45" s="72">
        <f ca="1">+'DDJJ EPEC S-II'!H152+'DDJJ EPEC S-II'!K152</f>
        <v>0</v>
      </c>
    </row>
    <row r="46" spans="3:10" ht="49.5" x14ac:dyDescent="0.2">
      <c r="C46" s="5211"/>
      <c r="D46" s="1351">
        <v>5555</v>
      </c>
      <c r="E46" s="4997"/>
      <c r="F46" s="2614" t="s">
        <v>605</v>
      </c>
      <c r="H46" s="72" t="e">
        <f>+'DDJJ EPEC S-II'!#REF!+'DDJJ EPEC S-II'!#REF!</f>
        <v>#REF!</v>
      </c>
      <c r="I46" s="72" t="e">
        <f>+'DDJJ EPEC S-II'!#REF!+'DDJJ EPEC S-II'!#REF!</f>
        <v>#REF!</v>
      </c>
      <c r="J46" s="72" t="e">
        <f>+'DDJJ EPEC S-II'!#REF!+'DDJJ EPEC S-II'!#REF!</f>
        <v>#REF!</v>
      </c>
    </row>
    <row r="47" spans="3:10" ht="49.5" x14ac:dyDescent="0.2">
      <c r="C47" s="5211"/>
      <c r="D47" s="1351">
        <v>5556</v>
      </c>
      <c r="E47" s="4997"/>
      <c r="F47" s="2614" t="s">
        <v>60</v>
      </c>
      <c r="H47" s="72">
        <f ca="1">+'DDJJ EPEC S-II'!F154+'DDJJ EPEC S-II'!I154</f>
        <v>0</v>
      </c>
      <c r="I47" s="72">
        <f ca="1">+'DDJJ EPEC S-II'!G154+'DDJJ EPEC S-II'!J154</f>
        <v>0</v>
      </c>
      <c r="J47" s="72">
        <f ca="1">+'DDJJ EPEC S-II'!H154+'DDJJ EPEC S-II'!K154</f>
        <v>0</v>
      </c>
    </row>
    <row r="48" spans="3:10" ht="49.5" x14ac:dyDescent="0.2">
      <c r="C48" s="5211"/>
      <c r="D48" s="1351">
        <v>5557</v>
      </c>
      <c r="E48" s="4997"/>
      <c r="F48" s="2614" t="s">
        <v>591</v>
      </c>
      <c r="H48" s="72" t="e">
        <f>+'DDJJ EPEC S-II'!#REF!+'DDJJ EPEC S-II'!#REF!</f>
        <v>#REF!</v>
      </c>
      <c r="I48" s="72" t="e">
        <f>+'DDJJ EPEC S-II'!#REF!+'DDJJ EPEC S-II'!#REF!</f>
        <v>#REF!</v>
      </c>
      <c r="J48" s="72" t="e">
        <f>+'DDJJ EPEC S-II'!#REF!+'DDJJ EPEC S-II'!#REF!</f>
        <v>#REF!</v>
      </c>
    </row>
    <row r="49" spans="3:20" ht="49.5" x14ac:dyDescent="0.2">
      <c r="C49" s="5211"/>
      <c r="D49" s="1351">
        <v>5558</v>
      </c>
      <c r="E49" s="4997"/>
      <c r="F49" s="2614" t="s">
        <v>65</v>
      </c>
      <c r="H49" s="72">
        <f ca="1">+'DDJJ EPEC S-II'!F156+'DDJJ EPEC S-II'!I156</f>
        <v>0</v>
      </c>
      <c r="I49" s="72">
        <f ca="1">+'DDJJ EPEC S-II'!G156+'DDJJ EPEC S-II'!J156</f>
        <v>0</v>
      </c>
      <c r="J49" s="72">
        <f ca="1">+'DDJJ EPEC S-II'!H156+'DDJJ EPEC S-II'!K156</f>
        <v>0</v>
      </c>
    </row>
    <row r="50" spans="3:20" ht="49.5" x14ac:dyDescent="0.2">
      <c r="C50" s="5211"/>
      <c r="D50" s="1351">
        <v>5559</v>
      </c>
      <c r="E50" s="4997"/>
      <c r="F50" s="2614" t="s">
        <v>625</v>
      </c>
      <c r="H50" s="72" t="e">
        <f>+'DDJJ EPEC S-II'!#REF!+'DDJJ EPEC S-II'!#REF!</f>
        <v>#REF!</v>
      </c>
      <c r="I50" s="72" t="e">
        <f>+'DDJJ EPEC S-II'!#REF!+'DDJJ EPEC S-II'!#REF!</f>
        <v>#REF!</v>
      </c>
      <c r="J50" s="72" t="e">
        <f>+'DDJJ EPEC S-II'!#REF!+'DDJJ EPEC S-II'!#REF!</f>
        <v>#REF!</v>
      </c>
    </row>
    <row r="51" spans="3:20" ht="33" x14ac:dyDescent="0.2">
      <c r="C51" s="5211"/>
      <c r="D51" s="1351">
        <v>5560</v>
      </c>
      <c r="E51" s="4997"/>
      <c r="F51" s="2614" t="s">
        <v>69</v>
      </c>
      <c r="H51" s="72">
        <f ca="1">+'DDJJ EPEC S-II'!F158+'DDJJ EPEC S-II'!I158</f>
        <v>0</v>
      </c>
      <c r="I51" s="72">
        <f ca="1">+'DDJJ EPEC S-II'!G158+'DDJJ EPEC S-II'!J158</f>
        <v>0</v>
      </c>
      <c r="J51" s="72">
        <f ca="1">+'DDJJ EPEC S-II'!H158+'DDJJ EPEC S-II'!K158</f>
        <v>0</v>
      </c>
    </row>
    <row r="52" spans="3:20" ht="49.5" x14ac:dyDescent="0.2">
      <c r="C52" s="5211"/>
      <c r="D52" s="1351">
        <v>5561</v>
      </c>
      <c r="E52" s="4998"/>
      <c r="F52" s="2614" t="s">
        <v>595</v>
      </c>
      <c r="H52" s="72" t="e">
        <f>+'DDJJ EPEC S-II'!#REF!+'DDJJ EPEC S-II'!#REF!</f>
        <v>#REF!</v>
      </c>
      <c r="I52" s="72" t="e">
        <f>+'DDJJ EPEC S-II'!#REF!+'DDJJ EPEC S-II'!#REF!</f>
        <v>#REF!</v>
      </c>
      <c r="J52" s="72" t="e">
        <f>+'DDJJ EPEC S-II'!#REF!+'DDJJ EPEC S-II'!#REF!</f>
        <v>#REF!</v>
      </c>
      <c r="L52" s="5221" t="s">
        <v>892</v>
      </c>
      <c r="M52" s="5221"/>
      <c r="N52" s="5221"/>
      <c r="O52" s="5221" t="s">
        <v>893</v>
      </c>
      <c r="P52" s="5221"/>
      <c r="Q52" s="5221"/>
      <c r="R52" s="2696" t="s">
        <v>892</v>
      </c>
      <c r="S52" s="2696" t="s">
        <v>893</v>
      </c>
      <c r="T52" s="208" t="s">
        <v>894</v>
      </c>
    </row>
    <row r="53" spans="3:20" ht="49.5" x14ac:dyDescent="0.2">
      <c r="C53" s="5212"/>
      <c r="D53" s="1344">
        <v>6000</v>
      </c>
      <c r="E53" s="1345" t="s">
        <v>66</v>
      </c>
      <c r="F53" s="2615" t="s">
        <v>854</v>
      </c>
      <c r="H53" s="72" t="e">
        <f>+'DDJJ EPEC S-II'!#REF!+'DDJJ EPEC S-II'!#REF!</f>
        <v>#REF!</v>
      </c>
      <c r="I53" s="72" t="e">
        <f>+'DDJJ EPEC S-II'!#REF!+'DDJJ EPEC S-II'!#REF!</f>
        <v>#REF!</v>
      </c>
      <c r="J53" s="72" t="e">
        <f>+'DDJJ EPEC S-II'!#REF!+'DDJJ EPEC S-II'!#REF!</f>
        <v>#REF!</v>
      </c>
      <c r="L53" s="2694" t="e">
        <f ca="1">SUM(H24:H53)</f>
        <v>#REF!</v>
      </c>
      <c r="M53" s="2695" t="e">
        <f t="shared" ref="M53:N53" ca="1" si="3">SUM(I24:I53)</f>
        <v>#REF!</v>
      </c>
      <c r="N53" s="2695" t="e">
        <f t="shared" ca="1" si="3"/>
        <v>#REF!</v>
      </c>
      <c r="O53" s="2695" t="e">
        <f ca="1">+SUM(H5:H10)</f>
        <v>#REF!</v>
      </c>
      <c r="P53" s="2695" t="e">
        <f ca="1">+SUM(I5:I10)</f>
        <v>#REF!</v>
      </c>
      <c r="Q53" s="2695" t="e">
        <f ca="1">+SUM(J5:J10)</f>
        <v>#REF!</v>
      </c>
      <c r="R53" s="72" t="e">
        <f ca="1">SUM(L53:N53)</f>
        <v>#REF!</v>
      </c>
      <c r="S53" s="72" t="e">
        <f ca="1">SUM(O53:Q53)</f>
        <v>#REF!</v>
      </c>
      <c r="T53" s="2677" t="e">
        <f ca="1">+R53-S53</f>
        <v>#REF!</v>
      </c>
    </row>
    <row r="54" spans="3:20" x14ac:dyDescent="0.2">
      <c r="F54" s="1441" t="s">
        <v>627</v>
      </c>
      <c r="G54" s="99"/>
      <c r="H54" s="101" t="e">
        <f>+'DDJJ EPEC S-II'!#REF!</f>
        <v>#REF!</v>
      </c>
      <c r="I54" s="101" t="e">
        <f>+'DDJJ EPEC S-II'!#REF!</f>
        <v>#REF!</v>
      </c>
      <c r="J54" s="101" t="e">
        <f>+'DDJJ EPEC S-II'!#REF!</f>
        <v>#REF!</v>
      </c>
      <c r="L54" s="2673" t="e">
        <f>+H54</f>
        <v>#REF!</v>
      </c>
      <c r="M54" s="101" t="e">
        <f t="shared" ref="M54:N54" si="4">+I54</f>
        <v>#REF!</v>
      </c>
      <c r="N54" s="101" t="e">
        <f t="shared" si="4"/>
        <v>#REF!</v>
      </c>
      <c r="O54" s="101" t="e">
        <f>+H11</f>
        <v>#REF!</v>
      </c>
      <c r="P54" s="101" t="e">
        <f t="shared" ref="P54:Q54" si="5">+I11</f>
        <v>#REF!</v>
      </c>
      <c r="Q54" s="101" t="e">
        <f t="shared" si="5"/>
        <v>#REF!</v>
      </c>
      <c r="R54" s="72" t="e">
        <f t="shared" ref="R54:R61" si="6">SUM(L54:N54)</f>
        <v>#REF!</v>
      </c>
      <c r="S54" s="72" t="e">
        <f t="shared" ref="S54:S61" si="7">SUM(O54:Q54)</f>
        <v>#REF!</v>
      </c>
      <c r="T54" s="2677" t="e">
        <f t="shared" ref="T54:T61" si="8">+R54-S54</f>
        <v>#REF!</v>
      </c>
    </row>
    <row r="55" spans="3:20" x14ac:dyDescent="0.2">
      <c r="F55" s="1441" t="s">
        <v>22</v>
      </c>
      <c r="G55" s="99"/>
      <c r="H55" s="101">
        <f>+'DDJJ EPEC S-II'!F224</f>
        <v>0</v>
      </c>
      <c r="I55" s="101">
        <f>+'DDJJ EPEC S-II'!G224</f>
        <v>0</v>
      </c>
      <c r="J55" s="101">
        <f>+'DDJJ EPEC S-II'!H224</f>
        <v>0</v>
      </c>
      <c r="L55" s="2673">
        <f t="shared" ref="L55:L60" si="9">+H55</f>
        <v>0</v>
      </c>
      <c r="M55" s="101">
        <f t="shared" ref="M55:M60" si="10">+I55</f>
        <v>0</v>
      </c>
      <c r="N55" s="101">
        <f t="shared" ref="N55:N60" si="11">+J55</f>
        <v>0</v>
      </c>
      <c r="O55" s="101">
        <f t="shared" ref="O55:O61" si="12">+H12</f>
        <v>0</v>
      </c>
      <c r="P55" s="101">
        <f t="shared" ref="P55:P61" si="13">+I12</f>
        <v>0</v>
      </c>
      <c r="Q55" s="101">
        <f t="shared" ref="Q55:Q61" si="14">+J12</f>
        <v>0</v>
      </c>
      <c r="R55" s="72">
        <f t="shared" si="6"/>
        <v>0</v>
      </c>
      <c r="S55" s="72">
        <f t="shared" si="7"/>
        <v>0</v>
      </c>
      <c r="T55" s="2677">
        <f t="shared" si="8"/>
        <v>0</v>
      </c>
    </row>
    <row r="56" spans="3:20" x14ac:dyDescent="0.2">
      <c r="F56" s="1441" t="s">
        <v>21</v>
      </c>
      <c r="G56" s="99"/>
      <c r="H56" s="101">
        <f ca="1">+'DDJJ EPEC S-II'!F207</f>
        <v>0</v>
      </c>
      <c r="I56" s="101">
        <f ca="1">+'DDJJ EPEC S-II'!G207</f>
        <v>0</v>
      </c>
      <c r="J56" s="101">
        <f ca="1">+'DDJJ EPEC S-II'!H207</f>
        <v>0</v>
      </c>
      <c r="L56" s="2673">
        <f t="shared" ca="1" si="9"/>
        <v>0</v>
      </c>
      <c r="M56" s="101">
        <f t="shared" ca="1" si="10"/>
        <v>0</v>
      </c>
      <c r="N56" s="101">
        <f t="shared" ca="1" si="11"/>
        <v>0</v>
      </c>
      <c r="O56" s="101" t="e">
        <f t="shared" si="12"/>
        <v>#REF!</v>
      </c>
      <c r="P56" s="101" t="e">
        <f t="shared" si="13"/>
        <v>#REF!</v>
      </c>
      <c r="Q56" s="101" t="e">
        <f t="shared" si="14"/>
        <v>#REF!</v>
      </c>
      <c r="R56" s="72">
        <f t="shared" ca="1" si="6"/>
        <v>0</v>
      </c>
      <c r="S56" s="72" t="e">
        <f t="shared" si="7"/>
        <v>#REF!</v>
      </c>
      <c r="T56" s="2677" t="e">
        <f t="shared" ca="1" si="8"/>
        <v>#REF!</v>
      </c>
    </row>
    <row r="57" spans="3:20" x14ac:dyDescent="0.2">
      <c r="F57" s="1441" t="s">
        <v>71</v>
      </c>
      <c r="G57" s="99"/>
      <c r="H57" s="101">
        <f ca="1">+'DDJJ EPEC S-II'!F216</f>
        <v>0</v>
      </c>
      <c r="I57" s="101">
        <f ca="1">+'DDJJ EPEC S-II'!G216</f>
        <v>0</v>
      </c>
      <c r="J57" s="101">
        <f ca="1">+'DDJJ EPEC S-II'!H216</f>
        <v>0</v>
      </c>
      <c r="L57" s="2673">
        <f t="shared" ca="1" si="9"/>
        <v>0</v>
      </c>
      <c r="M57" s="101">
        <f t="shared" ca="1" si="10"/>
        <v>0</v>
      </c>
      <c r="N57" s="101">
        <f t="shared" ca="1" si="11"/>
        <v>0</v>
      </c>
      <c r="O57" s="101" t="e">
        <f t="shared" si="12"/>
        <v>#REF!</v>
      </c>
      <c r="P57" s="101" t="e">
        <f t="shared" si="13"/>
        <v>#REF!</v>
      </c>
      <c r="Q57" s="101" t="e">
        <f t="shared" si="14"/>
        <v>#REF!</v>
      </c>
      <c r="R57" s="72">
        <f t="shared" ca="1" si="6"/>
        <v>0</v>
      </c>
      <c r="S57" s="72" t="e">
        <f t="shared" si="7"/>
        <v>#REF!</v>
      </c>
      <c r="T57" s="2677" t="e">
        <f t="shared" ca="1" si="8"/>
        <v>#REF!</v>
      </c>
    </row>
    <row r="58" spans="3:20" x14ac:dyDescent="0.2">
      <c r="F58" s="1441" t="s">
        <v>258</v>
      </c>
      <c r="G58" s="99"/>
      <c r="H58" s="101">
        <f>+'DDJJ EPEC S-II'!F267</f>
        <v>0</v>
      </c>
      <c r="I58" s="101">
        <f>+'DDJJ EPEC S-II'!G267</f>
        <v>0</v>
      </c>
      <c r="J58" s="101">
        <f>+'DDJJ EPEC S-II'!H267</f>
        <v>0</v>
      </c>
      <c r="L58" s="2673">
        <f t="shared" si="9"/>
        <v>0</v>
      </c>
      <c r="M58" s="101">
        <f t="shared" si="10"/>
        <v>0</v>
      </c>
      <c r="N58" s="101">
        <f t="shared" si="11"/>
        <v>0</v>
      </c>
      <c r="O58" s="101">
        <f t="shared" si="12"/>
        <v>0</v>
      </c>
      <c r="P58" s="101">
        <f t="shared" si="13"/>
        <v>0</v>
      </c>
      <c r="Q58" s="101">
        <f t="shared" si="14"/>
        <v>0</v>
      </c>
      <c r="R58" s="72">
        <f t="shared" si="6"/>
        <v>0</v>
      </c>
      <c r="S58" s="72">
        <f t="shared" si="7"/>
        <v>0</v>
      </c>
      <c r="T58" s="2677">
        <f t="shared" si="8"/>
        <v>0</v>
      </c>
    </row>
    <row r="59" spans="3:20" x14ac:dyDescent="0.2">
      <c r="F59" s="1441" t="s">
        <v>888</v>
      </c>
      <c r="G59" s="99"/>
      <c r="H59" s="101">
        <f>+'DDJJ EPEC S-II'!F276</f>
        <v>0</v>
      </c>
      <c r="I59" s="101">
        <f>+'DDJJ EPEC S-II'!G276</f>
        <v>0</v>
      </c>
      <c r="J59" s="101">
        <f>+'DDJJ EPEC S-II'!H276</f>
        <v>0</v>
      </c>
      <c r="L59" s="2673">
        <f t="shared" si="9"/>
        <v>0</v>
      </c>
      <c r="M59" s="101">
        <f t="shared" si="10"/>
        <v>0</v>
      </c>
      <c r="N59" s="101">
        <f t="shared" si="11"/>
        <v>0</v>
      </c>
      <c r="O59" s="101">
        <f t="shared" si="12"/>
        <v>0</v>
      </c>
      <c r="P59" s="101">
        <f t="shared" si="13"/>
        <v>0</v>
      </c>
      <c r="Q59" s="101">
        <f t="shared" si="14"/>
        <v>0</v>
      </c>
      <c r="R59" s="72">
        <f t="shared" si="6"/>
        <v>0</v>
      </c>
      <c r="S59" s="72">
        <f t="shared" si="7"/>
        <v>0</v>
      </c>
      <c r="T59" s="2677">
        <f t="shared" si="8"/>
        <v>0</v>
      </c>
    </row>
    <row r="60" spans="3:20" x14ac:dyDescent="0.2">
      <c r="F60" s="1441" t="s">
        <v>889</v>
      </c>
      <c r="G60" s="99"/>
      <c r="H60" s="101">
        <f ca="1">+'DDJJ EPEC S-II'!F285</f>
        <v>0</v>
      </c>
      <c r="I60" s="101">
        <f ca="1">+'DDJJ EPEC S-II'!G285</f>
        <v>0</v>
      </c>
      <c r="J60" s="101">
        <f ca="1">+'DDJJ EPEC S-II'!H285</f>
        <v>0</v>
      </c>
      <c r="L60" s="2673">
        <f t="shared" ca="1" si="9"/>
        <v>0</v>
      </c>
      <c r="M60" s="101">
        <f t="shared" ca="1" si="10"/>
        <v>0</v>
      </c>
      <c r="N60" s="101">
        <f t="shared" ca="1" si="11"/>
        <v>0</v>
      </c>
      <c r="O60" s="101">
        <f t="shared" ca="1" si="12"/>
        <v>0</v>
      </c>
      <c r="P60" s="101">
        <f t="shared" ca="1" si="13"/>
        <v>0</v>
      </c>
      <c r="Q60" s="101">
        <f t="shared" ca="1" si="14"/>
        <v>0</v>
      </c>
      <c r="R60" s="72">
        <f t="shared" ca="1" si="6"/>
        <v>0</v>
      </c>
      <c r="S60" s="72">
        <f t="shared" ca="1" si="7"/>
        <v>0</v>
      </c>
      <c r="T60" s="2677">
        <f t="shared" ca="1" si="8"/>
        <v>0</v>
      </c>
    </row>
    <row r="61" spans="3:20" ht="13.5" thickBot="1" x14ac:dyDescent="0.25">
      <c r="F61" s="1441" t="s">
        <v>4</v>
      </c>
      <c r="G61" s="99"/>
      <c r="H61" s="101" t="e">
        <f ca="1">SUM(H24:H60)</f>
        <v>#REF!</v>
      </c>
      <c r="I61" s="101" t="e">
        <f t="shared" ref="I61:J61" ca="1" si="15">SUM(I24:I60)</f>
        <v>#REF!</v>
      </c>
      <c r="J61" s="101" t="e">
        <f t="shared" ca="1" si="15"/>
        <v>#REF!</v>
      </c>
      <c r="L61" s="2674" t="e">
        <f ca="1">SUM(L53:L60)</f>
        <v>#REF!</v>
      </c>
      <c r="M61" s="2675" t="e">
        <f t="shared" ref="M61:N61" ca="1" si="16">SUM(M53:M60)</f>
        <v>#REF!</v>
      </c>
      <c r="N61" s="2675" t="e">
        <f t="shared" ca="1" si="16"/>
        <v>#REF!</v>
      </c>
      <c r="O61" s="2675" t="e">
        <f t="shared" ca="1" si="12"/>
        <v>#REF!</v>
      </c>
      <c r="P61" s="2675" t="e">
        <f t="shared" ca="1" si="13"/>
        <v>#REF!</v>
      </c>
      <c r="Q61" s="2675" t="e">
        <f t="shared" ca="1" si="14"/>
        <v>#REF!</v>
      </c>
      <c r="R61" s="2676" t="e">
        <f t="shared" ca="1" si="6"/>
        <v>#REF!</v>
      </c>
      <c r="S61" s="2676" t="e">
        <f t="shared" ca="1" si="7"/>
        <v>#REF!</v>
      </c>
      <c r="T61" s="2678" t="e">
        <f t="shared" ca="1" si="8"/>
        <v>#REF!</v>
      </c>
    </row>
    <row r="62" spans="3:20" x14ac:dyDescent="0.2">
      <c r="F62" s="2124" t="s">
        <v>895</v>
      </c>
      <c r="H62" s="72">
        <f>+H19</f>
        <v>0</v>
      </c>
      <c r="I62" s="72">
        <f t="shared" ref="I62:J62" si="17">+I19</f>
        <v>0</v>
      </c>
      <c r="J62" s="72">
        <f t="shared" si="17"/>
        <v>0</v>
      </c>
    </row>
    <row r="63" spans="3:20" x14ac:dyDescent="0.2">
      <c r="F63" s="2124" t="s">
        <v>241</v>
      </c>
      <c r="H63" s="72" t="e">
        <f ca="1">+H61-H62</f>
        <v>#REF!</v>
      </c>
      <c r="I63" s="72" t="e">
        <f t="shared" ref="I63" ca="1" si="18">+I61-I62</f>
        <v>#REF!</v>
      </c>
      <c r="J63" s="72" t="e">
        <f t="shared" ref="J63" ca="1" si="19">+J61-J62</f>
        <v>#REF!</v>
      </c>
    </row>
  </sheetData>
  <mergeCells count="14">
    <mergeCell ref="L52:N52"/>
    <mergeCell ref="O52:Q52"/>
    <mergeCell ref="H3:J3"/>
    <mergeCell ref="L3:N3"/>
    <mergeCell ref="H22:J22"/>
    <mergeCell ref="C24:C53"/>
    <mergeCell ref="E24:F24"/>
    <mergeCell ref="E25:F25"/>
    <mergeCell ref="E26:F26"/>
    <mergeCell ref="E27:F27"/>
    <mergeCell ref="E28:F28"/>
    <mergeCell ref="E29:F29"/>
    <mergeCell ref="E30:F30"/>
    <mergeCell ref="E31:E5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/>
  <dimension ref="A1:DT590"/>
  <sheetViews>
    <sheetView topLeftCell="A87" zoomScale="23" zoomScaleNormal="23" workbookViewId="0">
      <selection activeCell="A103" sqref="A103:Q103"/>
    </sheetView>
  </sheetViews>
  <sheetFormatPr baseColWidth="10" defaultColWidth="24.42578125" defaultRowHeight="34.5" x14ac:dyDescent="0.45"/>
  <cols>
    <col min="1" max="1" width="45.5703125" style="1489" customWidth="1"/>
    <col min="2" max="2" width="24.5703125" style="1489" bestFit="1" customWidth="1"/>
    <col min="3" max="3" width="34.140625" style="1489" customWidth="1"/>
    <col min="4" max="4" width="101.140625" style="1489" customWidth="1"/>
    <col min="5" max="5" width="38.140625" style="1489" customWidth="1"/>
    <col min="6" max="6" width="80.42578125" style="1489" customWidth="1"/>
    <col min="7" max="7" width="78.85546875" style="1489" customWidth="1"/>
    <col min="8" max="8" width="83.140625" style="1489" customWidth="1"/>
    <col min="9" max="14" width="38.85546875" style="1489" customWidth="1"/>
    <col min="15" max="21" width="38.85546875" style="1491" customWidth="1"/>
    <col min="22" max="22" width="34.42578125" style="1489" customWidth="1"/>
    <col min="23" max="25" width="44.5703125" style="1489" customWidth="1"/>
    <col min="26" max="28" width="40.85546875" style="1489" customWidth="1"/>
    <col min="29" max="29" width="33.42578125" style="1489" customWidth="1"/>
    <col min="30" max="31" width="35.42578125" style="1489" customWidth="1"/>
    <col min="32" max="32" width="40.42578125" style="1489" customWidth="1"/>
    <col min="33" max="33" width="39.42578125" style="1489" customWidth="1"/>
    <col min="34" max="34" width="38.85546875" style="1489" customWidth="1"/>
    <col min="35" max="35" width="24.42578125" style="1489" customWidth="1"/>
    <col min="36" max="36" width="33.140625" style="1489" customWidth="1"/>
    <col min="37" max="37" width="26" style="1489" customWidth="1"/>
    <col min="38" max="119" width="24.42578125" style="1489" customWidth="1"/>
    <col min="120" max="120" width="33.85546875" style="1489" customWidth="1"/>
    <col min="121" max="121" width="33.140625" style="1489" customWidth="1"/>
    <col min="122" max="122" width="24.5703125" style="1489" customWidth="1"/>
    <col min="123" max="123" width="24.42578125" style="1489" customWidth="1"/>
    <col min="124" max="124" width="24.5703125" style="1489" customWidth="1"/>
    <col min="125" max="404" width="24.42578125" style="1489" customWidth="1"/>
    <col min="405" max="16384" width="24.42578125" style="1489"/>
  </cols>
  <sheetData>
    <row r="1" spans="1:124" ht="149.25" customHeight="1" x14ac:dyDescent="0.45">
      <c r="A1" s="5299" t="s">
        <v>896</v>
      </c>
      <c r="B1" s="5300"/>
      <c r="C1" s="5300"/>
      <c r="D1" s="5300"/>
      <c r="E1" s="5300"/>
      <c r="F1" s="5300"/>
      <c r="G1" s="5300"/>
      <c r="H1" s="5300"/>
      <c r="I1" s="5300"/>
      <c r="J1" s="5300"/>
      <c r="K1" s="5300"/>
      <c r="L1" s="5300"/>
      <c r="M1" s="5300"/>
      <c r="N1" s="5300"/>
      <c r="O1" s="5300"/>
      <c r="P1" s="5300"/>
      <c r="Q1" s="5301"/>
      <c r="R1" s="2234"/>
      <c r="S1" s="2234"/>
      <c r="T1" s="2234"/>
      <c r="U1" s="2234"/>
    </row>
    <row r="2" spans="1:124" ht="57.75" customHeight="1" x14ac:dyDescent="0.45">
      <c r="A2" s="5302" t="s">
        <v>897</v>
      </c>
      <c r="B2" s="4376"/>
      <c r="C2" s="4376"/>
      <c r="D2" s="4376"/>
      <c r="E2" s="4376"/>
      <c r="F2" s="4376"/>
      <c r="G2" s="4376"/>
      <c r="H2" s="4376"/>
      <c r="I2" s="4376"/>
      <c r="J2" s="4376"/>
      <c r="K2" s="4376"/>
      <c r="Q2" s="1492"/>
    </row>
    <row r="3" spans="1:124" ht="36" thickBot="1" x14ac:dyDescent="0.5">
      <c r="A3" s="1493"/>
      <c r="B3" s="1494"/>
      <c r="C3" s="1494"/>
      <c r="Q3" s="1492"/>
    </row>
    <row r="4" spans="1:124" ht="32.85" customHeight="1" x14ac:dyDescent="0.5">
      <c r="A4" s="1495"/>
      <c r="B4" s="5295" t="s">
        <v>354</v>
      </c>
      <c r="C4" s="5296"/>
      <c r="D4" s="5296"/>
      <c r="E4" s="1984"/>
      <c r="F4" s="2254"/>
      <c r="G4" s="2254"/>
      <c r="H4" s="2254"/>
      <c r="Q4" s="1492"/>
    </row>
    <row r="5" spans="1:124" ht="32.85" customHeight="1" x14ac:dyDescent="0.45">
      <c r="A5" s="1496"/>
      <c r="B5" s="5297" t="s">
        <v>358</v>
      </c>
      <c r="C5" s="5298"/>
      <c r="D5" s="5298"/>
      <c r="E5" s="1985"/>
      <c r="F5" s="2254"/>
      <c r="G5" s="2254"/>
      <c r="H5" s="2254"/>
      <c r="I5" s="1962"/>
      <c r="J5" s="1962"/>
      <c r="K5" s="1962"/>
      <c r="Q5" s="1492"/>
    </row>
    <row r="6" spans="1:124" ht="32.85" customHeight="1" x14ac:dyDescent="0.5">
      <c r="A6" s="1497"/>
      <c r="B6" s="5291" t="s">
        <v>359</v>
      </c>
      <c r="C6" s="5292"/>
      <c r="D6" s="5292"/>
      <c r="E6" s="1985"/>
      <c r="F6" s="2254"/>
      <c r="G6" s="2254"/>
      <c r="H6" s="2254"/>
      <c r="Q6" s="1492"/>
    </row>
    <row r="7" spans="1:124" ht="32.85" customHeight="1" x14ac:dyDescent="0.5">
      <c r="A7" s="1499"/>
      <c r="B7" s="5291" t="s">
        <v>360</v>
      </c>
      <c r="C7" s="5292"/>
      <c r="D7" s="5292"/>
      <c r="E7" s="1985"/>
      <c r="F7" s="2254"/>
      <c r="G7" s="2254"/>
      <c r="H7" s="2254"/>
      <c r="Q7" s="1492"/>
    </row>
    <row r="8" spans="1:124" ht="32.85" customHeight="1" x14ac:dyDescent="0.5">
      <c r="A8" s="1499"/>
      <c r="B8" s="5291" t="s">
        <v>361</v>
      </c>
      <c r="C8" s="5292"/>
      <c r="D8" s="5292"/>
      <c r="E8" s="1985"/>
      <c r="F8" s="2254"/>
      <c r="G8" s="2254"/>
      <c r="H8" s="2254"/>
      <c r="Q8" s="1492"/>
    </row>
    <row r="9" spans="1:124" ht="32.85" customHeight="1" thickBot="1" x14ac:dyDescent="0.55000000000000004">
      <c r="A9" s="1499"/>
      <c r="B9" s="5293" t="s">
        <v>362</v>
      </c>
      <c r="C9" s="5294"/>
      <c r="D9" s="5294"/>
      <c r="E9" s="1986"/>
      <c r="F9" s="2254"/>
      <c r="G9" s="2254"/>
      <c r="H9" s="2254"/>
      <c r="Q9" s="1492"/>
    </row>
    <row r="10" spans="1:124" ht="45.6" customHeight="1" x14ac:dyDescent="0.45">
      <c r="A10" s="4196" t="s">
        <v>363</v>
      </c>
      <c r="B10" s="4197"/>
      <c r="C10" s="4197"/>
      <c r="D10" s="4377">
        <f>'Compra -HOJA1'!D2</f>
        <v>0</v>
      </c>
      <c r="E10" s="4377"/>
      <c r="F10" s="4377"/>
      <c r="G10" s="4377"/>
      <c r="H10" s="4377"/>
      <c r="I10" s="4377"/>
      <c r="J10" s="4377"/>
      <c r="K10" s="4377"/>
      <c r="L10" s="4377"/>
      <c r="M10" s="4377"/>
      <c r="N10" s="4377"/>
      <c r="Q10" s="1492"/>
    </row>
    <row r="11" spans="1:124" ht="56.45" customHeight="1" x14ac:dyDescent="0.45">
      <c r="A11" s="4196" t="s">
        <v>364</v>
      </c>
      <c r="B11" s="4197"/>
      <c r="C11" s="4197"/>
      <c r="D11" s="1502">
        <f>'Compra -HOJA1'!F4</f>
        <v>45536</v>
      </c>
      <c r="E11" s="1502"/>
      <c r="F11" s="1502"/>
      <c r="G11" s="1502"/>
      <c r="H11" s="1502"/>
      <c r="I11" s="1503"/>
      <c r="J11" s="1503"/>
      <c r="K11" s="1503"/>
      <c r="Q11" s="1492"/>
    </row>
    <row r="12" spans="1:124" ht="30.75" customHeight="1" x14ac:dyDescent="0.45">
      <c r="A12" s="1505"/>
      <c r="B12" s="1506"/>
      <c r="C12" s="1506"/>
      <c r="D12" s="4194" t="s">
        <v>898</v>
      </c>
      <c r="E12" s="4194"/>
      <c r="F12" s="4194"/>
      <c r="G12" s="4194"/>
      <c r="H12" s="4194"/>
      <c r="I12" s="4194"/>
      <c r="J12" s="4194"/>
      <c r="K12" s="4194"/>
      <c r="L12" s="4194"/>
      <c r="M12" s="4194"/>
      <c r="N12" s="4194"/>
      <c r="O12" s="4194"/>
      <c r="P12" s="4194"/>
      <c r="Q12" s="4195"/>
      <c r="R12" s="2240"/>
      <c r="S12" s="2240"/>
      <c r="T12" s="2240"/>
      <c r="U12" s="2240"/>
    </row>
    <row r="13" spans="1:124" ht="18" customHeight="1" x14ac:dyDescent="0.45">
      <c r="A13" s="4378" t="s">
        <v>366</v>
      </c>
      <c r="B13" s="4379"/>
      <c r="C13" s="4379"/>
      <c r="D13" s="4379"/>
      <c r="E13" s="4379"/>
      <c r="F13" s="4379"/>
      <c r="G13" s="4379"/>
      <c r="H13" s="4379"/>
      <c r="I13" s="4379"/>
      <c r="J13" s="4379"/>
      <c r="K13" s="4379"/>
      <c r="L13" s="4379"/>
      <c r="M13" s="4379"/>
      <c r="N13" s="4379"/>
      <c r="O13" s="1510"/>
      <c r="P13" s="1510"/>
      <c r="Q13" s="1511"/>
      <c r="R13" s="1510"/>
      <c r="S13" s="1510"/>
      <c r="T13" s="1510"/>
      <c r="U13" s="1510"/>
    </row>
    <row r="14" spans="1:124" ht="18" customHeight="1" thickBot="1" x14ac:dyDescent="0.5">
      <c r="A14" s="4378"/>
      <c r="B14" s="4379"/>
      <c r="C14" s="4379"/>
      <c r="D14" s="4379"/>
      <c r="E14" s="4379"/>
      <c r="F14" s="4379"/>
      <c r="G14" s="4379"/>
      <c r="H14" s="4379"/>
      <c r="I14" s="4379"/>
      <c r="J14" s="4379"/>
      <c r="K14" s="4379"/>
      <c r="L14" s="4379"/>
      <c r="M14" s="4379"/>
      <c r="N14" s="4379"/>
      <c r="Q14" s="1492"/>
    </row>
    <row r="15" spans="1:124" ht="57.75" customHeight="1" x14ac:dyDescent="0.5">
      <c r="A15" s="5209" t="s">
        <v>367</v>
      </c>
      <c r="B15" s="5189"/>
      <c r="C15" s="5189"/>
      <c r="D15" s="5189"/>
      <c r="E15" s="4243" t="s">
        <v>101</v>
      </c>
      <c r="F15" s="5348" t="s">
        <v>899</v>
      </c>
      <c r="G15" s="5349"/>
      <c r="H15" s="5350"/>
      <c r="I15" s="4234" t="s">
        <v>304</v>
      </c>
      <c r="J15" s="4235"/>
      <c r="K15" s="4244"/>
      <c r="L15" s="4234" t="s">
        <v>368</v>
      </c>
      <c r="M15" s="4235"/>
      <c r="N15" s="4244"/>
      <c r="O15" s="4216" t="s">
        <v>900</v>
      </c>
      <c r="P15" s="4217"/>
      <c r="Q15" s="4218"/>
      <c r="R15" s="5311" t="s">
        <v>370</v>
      </c>
      <c r="S15" s="4296" t="s">
        <v>901</v>
      </c>
      <c r="T15" s="4297"/>
      <c r="U15" s="4316"/>
      <c r="DP15" s="4253" t="s">
        <v>241</v>
      </c>
      <c r="DQ15" s="4253"/>
      <c r="DR15" s="4253"/>
      <c r="DS15" s="4253"/>
      <c r="DT15" s="4253"/>
    </row>
    <row r="16" spans="1:124" ht="54.95" customHeight="1" thickBot="1" x14ac:dyDescent="0.5">
      <c r="A16" s="5289"/>
      <c r="B16" s="5290"/>
      <c r="C16" s="5290"/>
      <c r="D16" s="5290"/>
      <c r="E16" s="4242"/>
      <c r="F16" s="2104" t="s">
        <v>287</v>
      </c>
      <c r="G16" s="2104" t="s">
        <v>289</v>
      </c>
      <c r="H16" s="2105" t="s">
        <v>288</v>
      </c>
      <c r="I16" s="1515" t="s">
        <v>287</v>
      </c>
      <c r="J16" s="1515" t="s">
        <v>289</v>
      </c>
      <c r="K16" s="1516" t="s">
        <v>288</v>
      </c>
      <c r="L16" s="1515" t="s">
        <v>287</v>
      </c>
      <c r="M16" s="1515" t="s">
        <v>289</v>
      </c>
      <c r="N16" s="1516" t="s">
        <v>288</v>
      </c>
      <c r="O16" s="1730" t="s">
        <v>287</v>
      </c>
      <c r="P16" s="1730" t="s">
        <v>289</v>
      </c>
      <c r="Q16" s="1731" t="s">
        <v>288</v>
      </c>
      <c r="R16" s="5287"/>
      <c r="S16" s="1730" t="s">
        <v>287</v>
      </c>
      <c r="T16" s="1730" t="s">
        <v>289</v>
      </c>
      <c r="U16" s="1731" t="s">
        <v>288</v>
      </c>
      <c r="DP16" s="979" t="s">
        <v>370</v>
      </c>
      <c r="DQ16" s="979" t="s">
        <v>25</v>
      </c>
      <c r="DR16" s="979" t="s">
        <v>371</v>
      </c>
      <c r="DS16" s="979" t="s">
        <v>241</v>
      </c>
      <c r="DT16" s="979"/>
    </row>
    <row r="17" spans="1:124" ht="65.25" customHeight="1" x14ac:dyDescent="0.45">
      <c r="A17" s="4100" t="s">
        <v>41</v>
      </c>
      <c r="B17" s="1947">
        <v>5030</v>
      </c>
      <c r="C17" s="4597" t="s">
        <v>164</v>
      </c>
      <c r="D17" s="4597"/>
      <c r="E17" s="1520">
        <f>+E210</f>
        <v>0</v>
      </c>
      <c r="F17" s="2273" t="e">
        <f ca="1">+O17</f>
        <v>#REF!</v>
      </c>
      <c r="G17" s="2273" t="e">
        <f t="shared" ref="G17:H25" ca="1" si="0">+P17</f>
        <v>#REF!</v>
      </c>
      <c r="H17" s="2273" t="e">
        <f t="shared" ca="1" si="0"/>
        <v>#REF!</v>
      </c>
      <c r="I17" s="1520" t="e">
        <f ca="1">+I210+J338</f>
        <v>#REF!</v>
      </c>
      <c r="J17" s="1520" t="e">
        <f ca="1">+J210+K338</f>
        <v>#REF!</v>
      </c>
      <c r="K17" s="1520" t="e">
        <f ca="1">+K210+L338</f>
        <v>#REF!</v>
      </c>
      <c r="L17" s="1520">
        <f t="shared" ref="L17:N18" ca="1" si="1">+L210</f>
        <v>0</v>
      </c>
      <c r="M17" s="1520">
        <f t="shared" ca="1" si="1"/>
        <v>0</v>
      </c>
      <c r="N17" s="1520">
        <f t="shared" ca="1" si="1"/>
        <v>0</v>
      </c>
      <c r="O17" s="2083" t="e">
        <f ca="1">+S17</f>
        <v>#REF!</v>
      </c>
      <c r="P17" s="2083" t="e">
        <f t="shared" ref="P17:Q17" ca="1" si="2">+T17</f>
        <v>#REF!</v>
      </c>
      <c r="Q17" s="2083" t="e">
        <f t="shared" ca="1" si="2"/>
        <v>#REF!</v>
      </c>
      <c r="R17" s="2084">
        <f>+IF(E17=0,0,SUM(I17:K17)/E17)</f>
        <v>0</v>
      </c>
      <c r="S17" s="2085" t="e">
        <f ca="1">+I17+L17</f>
        <v>#REF!</v>
      </c>
      <c r="T17" s="2085" t="e">
        <f ca="1">+J17+M17</f>
        <v>#REF!</v>
      </c>
      <c r="U17" s="2085" t="e">
        <f ca="1">+K17+N17</f>
        <v>#REF!</v>
      </c>
      <c r="DP17" s="2021">
        <f t="shared" ref="DP17:DP25" si="3">+IF(E17=0,0,DQ17/DR17)</f>
        <v>0</v>
      </c>
      <c r="DQ17" s="1938" t="e">
        <f t="shared" ref="DQ17:DQ25" ca="1" si="4">+SUM(I17:K17)</f>
        <v>#REF!</v>
      </c>
      <c r="DR17" s="1938">
        <f t="shared" ref="DR17:DR25" si="5">+E17</f>
        <v>0</v>
      </c>
      <c r="DS17" s="1569" t="str">
        <f>+IF(DR17=0,"S.D.",IF((DQ17/DR17)&lt;151,"O.K.","VERIFICAR"))</f>
        <v>S.D.</v>
      </c>
      <c r="DT17" s="1659"/>
    </row>
    <row r="18" spans="1:124" ht="65.25" customHeight="1" x14ac:dyDescent="0.45">
      <c r="A18" s="4101"/>
      <c r="B18" s="1954">
        <v>5040</v>
      </c>
      <c r="C18" s="3743" t="s">
        <v>902</v>
      </c>
      <c r="D18" s="3744"/>
      <c r="E18" s="1520">
        <f>+E211</f>
        <v>0</v>
      </c>
      <c r="F18" s="2273">
        <f t="shared" ref="F18:F25" ca="1" si="6">+O18</f>
        <v>0</v>
      </c>
      <c r="G18" s="2273">
        <f t="shared" ca="1" si="0"/>
        <v>0</v>
      </c>
      <c r="H18" s="2273">
        <f t="shared" ca="1" si="0"/>
        <v>0</v>
      </c>
      <c r="I18" s="1520">
        <f t="shared" ref="I18:K19" si="7">+I211</f>
        <v>0</v>
      </c>
      <c r="J18" s="1520">
        <f t="shared" si="7"/>
        <v>0</v>
      </c>
      <c r="K18" s="1520">
        <f t="shared" si="7"/>
        <v>0</v>
      </c>
      <c r="L18" s="1520">
        <f t="shared" ca="1" si="1"/>
        <v>0</v>
      </c>
      <c r="M18" s="1520">
        <f t="shared" ca="1" si="1"/>
        <v>0</v>
      </c>
      <c r="N18" s="1520">
        <f t="shared" ca="1" si="1"/>
        <v>0</v>
      </c>
      <c r="O18" s="2083">
        <f ca="1">+I18+L18+SUM(I20:I23)+SUM(L20:L23)</f>
        <v>0</v>
      </c>
      <c r="P18" s="2083">
        <f ca="1">+J18+M18+SUM(J20:J23)+SUM(M20:M23)</f>
        <v>0</v>
      </c>
      <c r="Q18" s="2083">
        <f ca="1">+K18+N18+SUM(K20:K23)+SUM(N20:N23)</f>
        <v>0</v>
      </c>
      <c r="R18" s="2084">
        <f t="shared" ref="R18:R25" si="8">+IF(E18=0,0,SUM(I18:K18)/E18)</f>
        <v>0</v>
      </c>
      <c r="S18" s="2085">
        <f t="shared" ref="S18:U24" ca="1" si="9">+I18+L18</f>
        <v>0</v>
      </c>
      <c r="T18" s="2085">
        <f t="shared" ca="1" si="9"/>
        <v>0</v>
      </c>
      <c r="U18" s="2085">
        <f t="shared" ca="1" si="9"/>
        <v>0</v>
      </c>
      <c r="DP18" s="2021">
        <f t="shared" si="3"/>
        <v>0</v>
      </c>
      <c r="DQ18" s="1938">
        <f t="shared" si="4"/>
        <v>0</v>
      </c>
      <c r="DR18" s="1938">
        <f t="shared" si="5"/>
        <v>0</v>
      </c>
      <c r="DS18" s="1569" t="str">
        <f>+IF(DR18=0,"S.D.",IF((DQ18/DR18)&lt;151,"O.K.","VERIFICAR"))</f>
        <v>S.D.</v>
      </c>
      <c r="DT18" s="1659"/>
    </row>
    <row r="19" spans="1:124" ht="65.25" customHeight="1" x14ac:dyDescent="0.45">
      <c r="A19" s="4101"/>
      <c r="B19" s="1955">
        <v>5050</v>
      </c>
      <c r="C19" s="3742" t="s">
        <v>903</v>
      </c>
      <c r="D19" s="3742"/>
      <c r="E19" s="1520">
        <f>+E212</f>
        <v>0</v>
      </c>
      <c r="F19" s="2273">
        <f t="shared" ca="1" si="6"/>
        <v>0</v>
      </c>
      <c r="G19" s="2273">
        <f t="shared" ca="1" si="0"/>
        <v>0</v>
      </c>
      <c r="H19" s="2273">
        <f t="shared" ca="1" si="0"/>
        <v>0</v>
      </c>
      <c r="I19" s="1520">
        <f t="shared" si="7"/>
        <v>0</v>
      </c>
      <c r="J19" s="1520">
        <f t="shared" si="7"/>
        <v>0</v>
      </c>
      <c r="K19" s="1520">
        <f t="shared" si="7"/>
        <v>0</v>
      </c>
      <c r="L19" s="1520">
        <f ca="1">+L212</f>
        <v>0</v>
      </c>
      <c r="M19" s="1520">
        <f ca="1">+M212</f>
        <v>0</v>
      </c>
      <c r="N19" s="1520">
        <f ca="1">+N212</f>
        <v>0</v>
      </c>
      <c r="O19" s="2083">
        <f ca="1">+I19+L19</f>
        <v>0</v>
      </c>
      <c r="P19" s="2083">
        <f t="shared" ref="P19:Q19" ca="1" si="10">+J19+M19</f>
        <v>0</v>
      </c>
      <c r="Q19" s="2083">
        <f t="shared" ca="1" si="10"/>
        <v>0</v>
      </c>
      <c r="R19" s="2084"/>
      <c r="S19" s="2085">
        <f t="shared" ca="1" si="9"/>
        <v>0</v>
      </c>
      <c r="T19" s="2085">
        <f t="shared" ca="1" si="9"/>
        <v>0</v>
      </c>
      <c r="U19" s="2085">
        <f t="shared" ca="1" si="9"/>
        <v>0</v>
      </c>
      <c r="DP19" s="2021">
        <f t="shared" si="3"/>
        <v>0</v>
      </c>
      <c r="DQ19" s="1938">
        <f t="shared" si="4"/>
        <v>0</v>
      </c>
      <c r="DR19" s="1938">
        <f t="shared" si="5"/>
        <v>0</v>
      </c>
      <c r="DS19" s="1569" t="str">
        <f>+IF(DR19=0,"S.D.",IF((DQ19/DR19)&lt;151,"O.K.","VERIFICAR"))</f>
        <v>S.D.</v>
      </c>
      <c r="DT19" s="1659"/>
    </row>
    <row r="20" spans="1:124" ht="65.25" customHeight="1" x14ac:dyDescent="0.45">
      <c r="A20" s="4101"/>
      <c r="B20" s="1721">
        <v>5501</v>
      </c>
      <c r="C20" s="3751" t="s">
        <v>220</v>
      </c>
      <c r="D20" s="1721" t="s">
        <v>46</v>
      </c>
      <c r="E20" s="1520">
        <f t="shared" ref="E20:N24" si="11">+E214</f>
        <v>0</v>
      </c>
      <c r="F20" s="2273">
        <f t="shared" si="6"/>
        <v>0</v>
      </c>
      <c r="G20" s="2273">
        <f t="shared" si="0"/>
        <v>0</v>
      </c>
      <c r="H20" s="2273">
        <f t="shared" si="0"/>
        <v>0</v>
      </c>
      <c r="I20" s="1520">
        <f t="shared" si="11"/>
        <v>0</v>
      </c>
      <c r="J20" s="1520">
        <f t="shared" si="11"/>
        <v>0</v>
      </c>
      <c r="K20" s="1520">
        <f t="shared" si="11"/>
        <v>0</v>
      </c>
      <c r="L20" s="1520">
        <f t="shared" ca="1" si="11"/>
        <v>0</v>
      </c>
      <c r="M20" s="1520">
        <f t="shared" ca="1" si="11"/>
        <v>0</v>
      </c>
      <c r="N20" s="1520">
        <f t="shared" ca="1" si="11"/>
        <v>0</v>
      </c>
      <c r="O20" s="2086"/>
      <c r="P20" s="2086"/>
      <c r="Q20" s="2086"/>
      <c r="R20" s="2084">
        <f t="shared" si="8"/>
        <v>0</v>
      </c>
      <c r="S20" s="2085">
        <f t="shared" ca="1" si="9"/>
        <v>0</v>
      </c>
      <c r="T20" s="2085">
        <f t="shared" ca="1" si="9"/>
        <v>0</v>
      </c>
      <c r="U20" s="2085">
        <f t="shared" ca="1" si="9"/>
        <v>0</v>
      </c>
      <c r="DP20" s="2021">
        <f t="shared" si="3"/>
        <v>0</v>
      </c>
      <c r="DQ20" s="1938">
        <f t="shared" si="4"/>
        <v>0</v>
      </c>
      <c r="DR20" s="1938">
        <f t="shared" si="5"/>
        <v>0</v>
      </c>
      <c r="DS20" s="1569" t="str">
        <f>+IF(DR20=0,"S.D.",IF((DQ20/DR20)&lt;=120,"O.K.","VERIFICAR"))</f>
        <v>S.D.</v>
      </c>
      <c r="DT20" s="1659"/>
    </row>
    <row r="21" spans="1:124" ht="65.25" customHeight="1" x14ac:dyDescent="0.45">
      <c r="A21" s="4101"/>
      <c r="B21" s="1721">
        <v>5502</v>
      </c>
      <c r="C21" s="3746"/>
      <c r="D21" s="1721" t="s">
        <v>47</v>
      </c>
      <c r="E21" s="1520">
        <f t="shared" si="11"/>
        <v>0</v>
      </c>
      <c r="F21" s="2273">
        <f t="shared" si="6"/>
        <v>0</v>
      </c>
      <c r="G21" s="2273">
        <f t="shared" si="0"/>
        <v>0</v>
      </c>
      <c r="H21" s="2273">
        <f t="shared" si="0"/>
        <v>0</v>
      </c>
      <c r="I21" s="1520">
        <f t="shared" si="11"/>
        <v>0</v>
      </c>
      <c r="J21" s="1520">
        <f t="shared" si="11"/>
        <v>0</v>
      </c>
      <c r="K21" s="1520">
        <f t="shared" si="11"/>
        <v>0</v>
      </c>
      <c r="L21" s="1520">
        <f t="shared" ca="1" si="11"/>
        <v>0</v>
      </c>
      <c r="M21" s="1520">
        <f t="shared" ca="1" si="11"/>
        <v>0</v>
      </c>
      <c r="N21" s="1520">
        <f t="shared" ca="1" si="11"/>
        <v>0</v>
      </c>
      <c r="O21" s="2086"/>
      <c r="P21" s="2086"/>
      <c r="Q21" s="2086"/>
      <c r="R21" s="2084">
        <f t="shared" si="8"/>
        <v>0</v>
      </c>
      <c r="S21" s="2085">
        <f t="shared" ca="1" si="9"/>
        <v>0</v>
      </c>
      <c r="T21" s="2085">
        <f t="shared" ca="1" si="9"/>
        <v>0</v>
      </c>
      <c r="U21" s="2085">
        <f t="shared" ca="1" si="9"/>
        <v>0</v>
      </c>
      <c r="DP21" s="2021">
        <f t="shared" si="3"/>
        <v>0</v>
      </c>
      <c r="DQ21" s="1938">
        <f t="shared" si="4"/>
        <v>0</v>
      </c>
      <c r="DR21" s="1938">
        <f t="shared" si="5"/>
        <v>0</v>
      </c>
      <c r="DS21" s="1569" t="str">
        <f>+IF(DR21=0,"S.D.",IF(AND((DQ21/DR21)&gt;120,(DQ21/DR21)&lt;=150),"O.K.","VERIFICAR"))</f>
        <v>S.D.</v>
      </c>
      <c r="DT21" s="1659"/>
    </row>
    <row r="22" spans="1:124" ht="65.25" customHeight="1" x14ac:dyDescent="0.45">
      <c r="A22" s="4101"/>
      <c r="B22" s="1949">
        <v>5511</v>
      </c>
      <c r="C22" s="3746"/>
      <c r="D22" s="1949" t="s">
        <v>169</v>
      </c>
      <c r="E22" s="1520">
        <f t="shared" si="11"/>
        <v>0</v>
      </c>
      <c r="F22" s="2273">
        <f t="shared" si="6"/>
        <v>0</v>
      </c>
      <c r="G22" s="2273">
        <f t="shared" si="0"/>
        <v>0</v>
      </c>
      <c r="H22" s="2273">
        <f t="shared" si="0"/>
        <v>0</v>
      </c>
      <c r="I22" s="1520">
        <f t="shared" si="11"/>
        <v>0</v>
      </c>
      <c r="J22" s="1520">
        <f t="shared" si="11"/>
        <v>0</v>
      </c>
      <c r="K22" s="1520">
        <f t="shared" si="11"/>
        <v>0</v>
      </c>
      <c r="L22" s="1520">
        <f t="shared" ca="1" si="11"/>
        <v>0</v>
      </c>
      <c r="M22" s="1520">
        <f t="shared" ca="1" si="11"/>
        <v>0</v>
      </c>
      <c r="N22" s="1520">
        <f t="shared" ca="1" si="11"/>
        <v>0</v>
      </c>
      <c r="O22" s="2086"/>
      <c r="P22" s="2086"/>
      <c r="Q22" s="2086"/>
      <c r="R22" s="2084">
        <f t="shared" si="8"/>
        <v>0</v>
      </c>
      <c r="S22" s="2085">
        <f t="shared" ca="1" si="9"/>
        <v>0</v>
      </c>
      <c r="T22" s="2085">
        <f t="shared" ca="1" si="9"/>
        <v>0</v>
      </c>
      <c r="U22" s="2085">
        <f t="shared" ca="1" si="9"/>
        <v>0</v>
      </c>
      <c r="DP22" s="2021">
        <f t="shared" si="3"/>
        <v>0</v>
      </c>
      <c r="DQ22" s="1938">
        <f t="shared" si="4"/>
        <v>0</v>
      </c>
      <c r="DR22" s="1938">
        <f t="shared" si="5"/>
        <v>0</v>
      </c>
      <c r="DS22" s="1569" t="str">
        <f>+IF(DR22=0,"S.D.",IF((DQ22/DR22)&lt;=120,"O.K.","VERIFICAR"))</f>
        <v>S.D.</v>
      </c>
      <c r="DT22" s="1659"/>
    </row>
    <row r="23" spans="1:124" ht="65.25" customHeight="1" x14ac:dyDescent="0.45">
      <c r="A23" s="4101"/>
      <c r="B23" s="1949">
        <v>5512</v>
      </c>
      <c r="C23" s="3752"/>
      <c r="D23" s="1949" t="s">
        <v>49</v>
      </c>
      <c r="E23" s="1520">
        <f t="shared" si="11"/>
        <v>0</v>
      </c>
      <c r="F23" s="2273">
        <f t="shared" si="6"/>
        <v>0</v>
      </c>
      <c r="G23" s="2273">
        <f t="shared" si="0"/>
        <v>0</v>
      </c>
      <c r="H23" s="2273">
        <f t="shared" si="0"/>
        <v>0</v>
      </c>
      <c r="I23" s="1520">
        <f t="shared" si="11"/>
        <v>0</v>
      </c>
      <c r="J23" s="1520">
        <f t="shared" si="11"/>
        <v>0</v>
      </c>
      <c r="K23" s="1520">
        <f t="shared" si="11"/>
        <v>0</v>
      </c>
      <c r="L23" s="1520">
        <f t="shared" ca="1" si="11"/>
        <v>0</v>
      </c>
      <c r="M23" s="1520">
        <f t="shared" ca="1" si="11"/>
        <v>0</v>
      </c>
      <c r="N23" s="1520">
        <f t="shared" ca="1" si="11"/>
        <v>0</v>
      </c>
      <c r="O23" s="2086"/>
      <c r="P23" s="2086"/>
      <c r="Q23" s="2086"/>
      <c r="R23" s="2084">
        <f t="shared" si="8"/>
        <v>0</v>
      </c>
      <c r="S23" s="2085">
        <f t="shared" ca="1" si="9"/>
        <v>0</v>
      </c>
      <c r="T23" s="2085">
        <f t="shared" ca="1" si="9"/>
        <v>0</v>
      </c>
      <c r="U23" s="2085">
        <f t="shared" ca="1" si="9"/>
        <v>0</v>
      </c>
      <c r="DP23" s="2021">
        <f t="shared" si="3"/>
        <v>0</v>
      </c>
      <c r="DQ23" s="1938">
        <f t="shared" si="4"/>
        <v>0</v>
      </c>
      <c r="DR23" s="1938">
        <f t="shared" si="5"/>
        <v>0</v>
      </c>
      <c r="DS23" s="1569" t="str">
        <f>+IF(DR23=0,"S.D.",IF(AND((DQ23/DR23)&gt;120,(DQ23/DR23)&lt;=150),"O.K.","VERIFICAR"))</f>
        <v>S.D.</v>
      </c>
      <c r="DT23" s="1659"/>
    </row>
    <row r="24" spans="1:124" ht="65.25" customHeight="1" x14ac:dyDescent="0.45">
      <c r="A24" s="4101"/>
      <c r="B24" s="1959">
        <v>6000</v>
      </c>
      <c r="C24" s="4590" t="s">
        <v>580</v>
      </c>
      <c r="D24" s="4591"/>
      <c r="E24" s="1520" t="e">
        <f t="shared" si="11"/>
        <v>#REF!</v>
      </c>
      <c r="F24" s="2273" t="e">
        <f t="shared" si="6"/>
        <v>#REF!</v>
      </c>
      <c r="G24" s="2273" t="e">
        <f t="shared" si="0"/>
        <v>#REF!</v>
      </c>
      <c r="H24" s="2273" t="e">
        <f t="shared" si="0"/>
        <v>#REF!</v>
      </c>
      <c r="I24" s="1520" t="e">
        <f t="shared" si="11"/>
        <v>#REF!</v>
      </c>
      <c r="J24" s="1520" t="e">
        <f t="shared" si="11"/>
        <v>#REF!</v>
      </c>
      <c r="K24" s="1520" t="e">
        <f t="shared" si="11"/>
        <v>#REF!</v>
      </c>
      <c r="L24" s="1520" t="e">
        <f t="shared" si="11"/>
        <v>#REF!</v>
      </c>
      <c r="M24" s="1520" t="e">
        <f t="shared" si="11"/>
        <v>#REF!</v>
      </c>
      <c r="N24" s="1520" t="e">
        <f t="shared" si="11"/>
        <v>#REF!</v>
      </c>
      <c r="O24" s="2083" t="e">
        <f>+I24+L24</f>
        <v>#REF!</v>
      </c>
      <c r="P24" s="2083" t="e">
        <f t="shared" ref="P24:Q24" si="12">+J24+M24</f>
        <v>#REF!</v>
      </c>
      <c r="Q24" s="2083" t="e">
        <f t="shared" si="12"/>
        <v>#REF!</v>
      </c>
      <c r="R24" s="2084" t="e">
        <f t="shared" si="8"/>
        <v>#REF!</v>
      </c>
      <c r="S24" s="2085" t="e">
        <f t="shared" si="9"/>
        <v>#REF!</v>
      </c>
      <c r="T24" s="2085" t="e">
        <f t="shared" si="9"/>
        <v>#REF!</v>
      </c>
      <c r="U24" s="2085" t="e">
        <f t="shared" si="9"/>
        <v>#REF!</v>
      </c>
      <c r="DP24" s="2021" t="e">
        <f t="shared" si="3"/>
        <v>#REF!</v>
      </c>
      <c r="DQ24" s="1938" t="e">
        <f t="shared" si="4"/>
        <v>#REF!</v>
      </c>
      <c r="DR24" s="1938" t="e">
        <f t="shared" si="5"/>
        <v>#REF!</v>
      </c>
      <c r="DS24" s="1569" t="e">
        <f>+IF(DR24=0,"S.D.",IF((DQ24/DR24)&lt;151,"O.K.","VERIFICAR"))</f>
        <v>#REF!</v>
      </c>
      <c r="DT24" s="1659"/>
    </row>
    <row r="25" spans="1:124" ht="65.25" customHeight="1" thickBot="1" x14ac:dyDescent="0.5">
      <c r="A25" s="1533"/>
      <c r="B25" s="5200" t="s">
        <v>375</v>
      </c>
      <c r="C25" s="5201"/>
      <c r="D25" s="5202"/>
      <c r="E25" s="1534" t="e">
        <f>SUM(E17:E24)</f>
        <v>#REF!</v>
      </c>
      <c r="F25" s="2106" t="e">
        <f t="shared" ca="1" si="6"/>
        <v>#REF!</v>
      </c>
      <c r="G25" s="2106" t="e">
        <f t="shared" ca="1" si="0"/>
        <v>#REF!</v>
      </c>
      <c r="H25" s="2106" t="e">
        <f t="shared" ca="1" si="0"/>
        <v>#REF!</v>
      </c>
      <c r="I25" s="1534" t="e">
        <f t="shared" ref="I25:Q25" ca="1" si="13">SUM(I17:I24)</f>
        <v>#REF!</v>
      </c>
      <c r="J25" s="1534" t="e">
        <f t="shared" ca="1" si="13"/>
        <v>#REF!</v>
      </c>
      <c r="K25" s="1534" t="e">
        <f t="shared" ca="1" si="13"/>
        <v>#REF!</v>
      </c>
      <c r="L25" s="1534" t="e">
        <f t="shared" ca="1" si="13"/>
        <v>#REF!</v>
      </c>
      <c r="M25" s="1534" t="e">
        <f t="shared" ca="1" si="13"/>
        <v>#REF!</v>
      </c>
      <c r="N25" s="1534" t="e">
        <f t="shared" ca="1" si="13"/>
        <v>#REF!</v>
      </c>
      <c r="O25" s="2087" t="e">
        <f t="shared" ca="1" si="13"/>
        <v>#REF!</v>
      </c>
      <c r="P25" s="2087" t="e">
        <f t="shared" ca="1" si="13"/>
        <v>#REF!</v>
      </c>
      <c r="Q25" s="2088" t="e">
        <f t="shared" ca="1" si="13"/>
        <v>#REF!</v>
      </c>
      <c r="R25" s="2084" t="e">
        <f t="shared" si="8"/>
        <v>#REF!</v>
      </c>
      <c r="S25" s="2078" t="e">
        <f ca="1">SUM(S17:S24)</f>
        <v>#REF!</v>
      </c>
      <c r="T25" s="2078" t="e">
        <f ca="1">SUM(T17:T24)</f>
        <v>#REF!</v>
      </c>
      <c r="U25" s="2079" t="e">
        <f ca="1">SUM(U17:U24)</f>
        <v>#REF!</v>
      </c>
      <c r="V25" s="1539" t="e">
        <f ca="1">SUM(O25:Q25)</f>
        <v>#REF!</v>
      </c>
      <c r="DP25" s="2021" t="e">
        <f t="shared" si="3"/>
        <v>#REF!</v>
      </c>
      <c r="DQ25" s="1938" t="e">
        <f t="shared" ca="1" si="4"/>
        <v>#REF!</v>
      </c>
      <c r="DR25" s="1938" t="e">
        <f t="shared" si="5"/>
        <v>#REF!</v>
      </c>
      <c r="DS25" s="1569"/>
      <c r="DT25" s="1659"/>
    </row>
    <row r="26" spans="1:124" s="1540" customFormat="1" ht="65.25" customHeight="1" x14ac:dyDescent="0.45">
      <c r="A26" s="5203"/>
      <c r="B26" s="5204"/>
      <c r="C26" s="5204"/>
      <c r="D26" s="5204"/>
      <c r="E26" s="5204"/>
      <c r="F26" s="5204"/>
      <c r="G26" s="5204"/>
      <c r="H26" s="5204"/>
      <c r="I26" s="5204"/>
      <c r="J26" s="5204"/>
      <c r="K26" s="5204"/>
      <c r="L26" s="5204"/>
      <c r="M26" s="5204"/>
      <c r="N26" s="5204"/>
      <c r="O26" s="5204"/>
      <c r="P26" s="5204"/>
      <c r="Q26" s="5205"/>
      <c r="R26" s="2239"/>
      <c r="S26" s="2239"/>
      <c r="T26" s="2239"/>
      <c r="U26" s="2239"/>
      <c r="DP26" s="1541"/>
    </row>
    <row r="27" spans="1:124" s="1540" customFormat="1" ht="65.25" customHeight="1" thickBot="1" x14ac:dyDescent="0.5">
      <c r="A27" s="5206"/>
      <c r="B27" s="5207"/>
      <c r="C27" s="5207"/>
      <c r="D27" s="5207"/>
      <c r="E27" s="5207"/>
      <c r="F27" s="5207"/>
      <c r="G27" s="5207"/>
      <c r="H27" s="5207"/>
      <c r="I27" s="5207"/>
      <c r="J27" s="5207"/>
      <c r="K27" s="5207"/>
      <c r="L27" s="5207"/>
      <c r="M27" s="5207"/>
      <c r="N27" s="5207"/>
      <c r="O27" s="5207"/>
      <c r="P27" s="5207"/>
      <c r="Q27" s="5208"/>
      <c r="R27" s="2239"/>
      <c r="S27" s="2239"/>
      <c r="T27" s="2239"/>
      <c r="U27" s="2239"/>
      <c r="DP27" s="1541"/>
    </row>
    <row r="28" spans="1:124" ht="65.25" customHeight="1" x14ac:dyDescent="0.5">
      <c r="A28" s="5209" t="s">
        <v>376</v>
      </c>
      <c r="B28" s="5189"/>
      <c r="C28" s="5189"/>
      <c r="D28" s="5190"/>
      <c r="E28" s="5303" t="s">
        <v>101</v>
      </c>
      <c r="F28" s="5348" t="s">
        <v>899</v>
      </c>
      <c r="G28" s="5349"/>
      <c r="H28" s="5350"/>
      <c r="I28" s="4395" t="s">
        <v>304</v>
      </c>
      <c r="J28" s="4323"/>
      <c r="K28" s="4396"/>
      <c r="L28" s="4395" t="s">
        <v>368</v>
      </c>
      <c r="M28" s="4323"/>
      <c r="N28" s="4396"/>
      <c r="O28" s="4216" t="s">
        <v>900</v>
      </c>
      <c r="P28" s="4217"/>
      <c r="Q28" s="4218"/>
      <c r="R28" s="5286" t="s">
        <v>370</v>
      </c>
      <c r="S28" s="4216" t="s">
        <v>377</v>
      </c>
      <c r="T28" s="4217"/>
      <c r="U28" s="4218"/>
      <c r="W28" s="4395" t="s">
        <v>304</v>
      </c>
      <c r="X28" s="4323"/>
      <c r="Y28" s="4323"/>
      <c r="Z28" s="4323"/>
      <c r="AA28" s="4396"/>
      <c r="AB28" s="4395" t="s">
        <v>368</v>
      </c>
      <c r="AC28" s="4323"/>
      <c r="AD28" s="4396"/>
      <c r="AE28" s="4510" t="s">
        <v>850</v>
      </c>
      <c r="AF28" s="4510"/>
      <c r="AG28" s="4510"/>
      <c r="AH28" s="4237" t="s">
        <v>851</v>
      </c>
      <c r="AI28" s="4238"/>
      <c r="AJ28" s="4240"/>
      <c r="AK28" s="4237" t="s">
        <v>852</v>
      </c>
      <c r="AL28" s="4238"/>
      <c r="AM28" s="4240"/>
      <c r="AN28" s="4237" t="s">
        <v>853</v>
      </c>
      <c r="AO28" s="4238"/>
      <c r="AP28" s="4240"/>
      <c r="AQ28" s="4237" t="s">
        <v>377</v>
      </c>
      <c r="AR28" s="4238"/>
      <c r="AS28" s="4240"/>
      <c r="AT28" s="4237" t="s">
        <v>241</v>
      </c>
      <c r="AU28" s="4238"/>
      <c r="AV28" s="4240"/>
      <c r="DP28" s="4253" t="s">
        <v>241</v>
      </c>
      <c r="DQ28" s="4253"/>
      <c r="DR28" s="4253"/>
      <c r="DS28" s="4253"/>
      <c r="DT28" s="4253"/>
    </row>
    <row r="29" spans="1:124" ht="65.25" customHeight="1" thickBot="1" x14ac:dyDescent="0.5">
      <c r="A29" s="5181"/>
      <c r="B29" s="5182"/>
      <c r="C29" s="5182"/>
      <c r="D29" s="5183"/>
      <c r="E29" s="4393"/>
      <c r="F29" s="2104" t="s">
        <v>287</v>
      </c>
      <c r="G29" s="2104" t="s">
        <v>289</v>
      </c>
      <c r="H29" s="2105" t="s">
        <v>288</v>
      </c>
      <c r="I29" s="1515" t="s">
        <v>287</v>
      </c>
      <c r="J29" s="1515" t="s">
        <v>289</v>
      </c>
      <c r="K29" s="1516" t="s">
        <v>288</v>
      </c>
      <c r="L29" s="1515" t="s">
        <v>287</v>
      </c>
      <c r="M29" s="1515" t="s">
        <v>289</v>
      </c>
      <c r="N29" s="1516" t="s">
        <v>288</v>
      </c>
      <c r="O29" s="1730" t="s">
        <v>287</v>
      </c>
      <c r="P29" s="1730" t="s">
        <v>289</v>
      </c>
      <c r="Q29" s="1731" t="s">
        <v>288</v>
      </c>
      <c r="R29" s="5287"/>
      <c r="S29" s="1730" t="s">
        <v>287</v>
      </c>
      <c r="T29" s="1730" t="s">
        <v>289</v>
      </c>
      <c r="U29" s="1731" t="s">
        <v>288</v>
      </c>
      <c r="W29" s="1515" t="s">
        <v>287</v>
      </c>
      <c r="X29" s="1515"/>
      <c r="Y29" s="1515"/>
      <c r="Z29" s="1515" t="s">
        <v>289</v>
      </c>
      <c r="AA29" s="1516" t="s">
        <v>288</v>
      </c>
      <c r="AB29" s="1515" t="s">
        <v>287</v>
      </c>
      <c r="AC29" s="1515" t="s">
        <v>289</v>
      </c>
      <c r="AD29" s="1516" t="s">
        <v>288</v>
      </c>
      <c r="AE29" s="1515" t="s">
        <v>287</v>
      </c>
      <c r="AF29" s="1515" t="s">
        <v>289</v>
      </c>
      <c r="AG29" s="1516" t="s">
        <v>288</v>
      </c>
      <c r="AH29" s="1515" t="s">
        <v>287</v>
      </c>
      <c r="AI29" s="1515" t="s">
        <v>289</v>
      </c>
      <c r="AJ29" s="1515" t="s">
        <v>288</v>
      </c>
      <c r="AK29" s="1515" t="s">
        <v>287</v>
      </c>
      <c r="AL29" s="1515" t="s">
        <v>289</v>
      </c>
      <c r="AM29" s="1515" t="s">
        <v>288</v>
      </c>
      <c r="AN29" s="1515" t="s">
        <v>287</v>
      </c>
      <c r="AO29" s="1515" t="s">
        <v>289</v>
      </c>
      <c r="AP29" s="1515" t="s">
        <v>288</v>
      </c>
      <c r="AQ29" s="1515" t="s">
        <v>287</v>
      </c>
      <c r="AR29" s="1515" t="s">
        <v>289</v>
      </c>
      <c r="AS29" s="1515" t="s">
        <v>288</v>
      </c>
      <c r="AT29" s="1515" t="s">
        <v>287</v>
      </c>
      <c r="AU29" s="1515" t="s">
        <v>289</v>
      </c>
      <c r="AV29" s="1515" t="s">
        <v>288</v>
      </c>
      <c r="DP29" s="979" t="s">
        <v>370</v>
      </c>
      <c r="DQ29" s="979" t="s">
        <v>25</v>
      </c>
      <c r="DR29" s="979" t="s">
        <v>371</v>
      </c>
      <c r="DS29" s="979" t="s">
        <v>241</v>
      </c>
      <c r="DT29" s="979"/>
    </row>
    <row r="30" spans="1:124" ht="65.25" customHeight="1" x14ac:dyDescent="0.45">
      <c r="A30" s="4607" t="s">
        <v>52</v>
      </c>
      <c r="B30" s="1947">
        <v>5030</v>
      </c>
      <c r="C30" s="4597" t="s">
        <v>164</v>
      </c>
      <c r="D30" s="4597"/>
      <c r="E30" s="1543">
        <f>+E219</f>
        <v>0</v>
      </c>
      <c r="F30" s="2273">
        <f ca="1">+O30</f>
        <v>0</v>
      </c>
      <c r="G30" s="2273">
        <f t="shared" ref="G30:H39" ca="1" si="14">+P30</f>
        <v>0</v>
      </c>
      <c r="H30" s="2273">
        <f t="shared" ca="1" si="14"/>
        <v>0</v>
      </c>
      <c r="I30" s="1543">
        <f t="shared" ref="I30:N31" si="15">+I219</f>
        <v>0</v>
      </c>
      <c r="J30" s="1543">
        <f t="shared" si="15"/>
        <v>0</v>
      </c>
      <c r="K30" s="1543">
        <f t="shared" si="15"/>
        <v>0</v>
      </c>
      <c r="L30" s="1543">
        <f t="shared" ca="1" si="15"/>
        <v>0</v>
      </c>
      <c r="M30" s="1543">
        <f t="shared" ca="1" si="15"/>
        <v>0</v>
      </c>
      <c r="N30" s="1543">
        <f t="shared" ca="1" si="15"/>
        <v>0</v>
      </c>
      <c r="O30" s="2083">
        <f ca="1">+S30</f>
        <v>0</v>
      </c>
      <c r="P30" s="2083">
        <f t="shared" ref="P30:Q30" ca="1" si="16">+T30</f>
        <v>0</v>
      </c>
      <c r="Q30" s="2083">
        <f t="shared" ca="1" si="16"/>
        <v>0</v>
      </c>
      <c r="R30" s="2089">
        <f t="shared" ref="R30:R39" si="17">+IF(E30=0,0,SUM(I30:K30)/E30)</f>
        <v>0</v>
      </c>
      <c r="S30" s="2085">
        <f ca="1">+I30+L30</f>
        <v>0</v>
      </c>
      <c r="T30" s="2085">
        <f ca="1">+J30+M30</f>
        <v>0</v>
      </c>
      <c r="U30" s="2085">
        <f ca="1">+K30+N30</f>
        <v>0</v>
      </c>
      <c r="V30" s="1546"/>
      <c r="W30" s="1544"/>
      <c r="X30" s="1544"/>
      <c r="Y30" s="1544"/>
      <c r="Z30" s="1544"/>
      <c r="AA30" s="1544"/>
      <c r="AB30" s="1544"/>
      <c r="AC30" s="1544"/>
      <c r="AD30" s="1544"/>
      <c r="AH30" s="1547"/>
      <c r="AI30" s="1547"/>
      <c r="AJ30" s="1547"/>
      <c r="AK30" s="1521"/>
      <c r="AL30" s="1521"/>
      <c r="AM30" s="1521"/>
      <c r="AN30" s="1521"/>
      <c r="AO30" s="1521"/>
      <c r="AP30" s="1521"/>
      <c r="AQ30" s="1521"/>
      <c r="AR30" s="1521"/>
      <c r="AS30" s="1521"/>
      <c r="AT30" s="1548"/>
      <c r="AU30" s="1549"/>
      <c r="AV30" s="1549"/>
      <c r="DP30" s="2021">
        <f t="shared" ref="DP30:DP39" si="18">+IF(E30=0,0,DQ30/DR30)</f>
        <v>0</v>
      </c>
      <c r="DQ30" s="1938">
        <f t="shared" ref="DQ30:DQ39" si="19">+SUM(I30:K30)</f>
        <v>0</v>
      </c>
      <c r="DR30" s="1938">
        <f t="shared" ref="DR30:DR39" si="20">+E30</f>
        <v>0</v>
      </c>
      <c r="DS30" s="1569" t="str">
        <f>+IF(DR30=0,"S.D.",IF(AND((DQ30/DR30)&gt;150,(DQ30/DR30)&lt;=500),"O.K.","VERIFICAR"))</f>
        <v>S.D.</v>
      </c>
      <c r="DT30" s="1659"/>
    </row>
    <row r="31" spans="1:124" ht="65.25" customHeight="1" x14ac:dyDescent="0.45">
      <c r="A31" s="4608"/>
      <c r="B31" s="1954">
        <v>5040</v>
      </c>
      <c r="C31" s="3743" t="s">
        <v>902</v>
      </c>
      <c r="D31" s="3744"/>
      <c r="E31" s="1543">
        <f>+E220</f>
        <v>0</v>
      </c>
      <c r="F31" s="2273">
        <f t="shared" ref="F31:F39" ca="1" si="21">+O31</f>
        <v>0</v>
      </c>
      <c r="G31" s="2273">
        <f t="shared" ca="1" si="14"/>
        <v>0</v>
      </c>
      <c r="H31" s="2273">
        <f t="shared" ca="1" si="14"/>
        <v>0</v>
      </c>
      <c r="I31" s="1543">
        <f t="shared" si="15"/>
        <v>0</v>
      </c>
      <c r="J31" s="1543">
        <f t="shared" si="15"/>
        <v>0</v>
      </c>
      <c r="K31" s="1543">
        <f t="shared" si="15"/>
        <v>0</v>
      </c>
      <c r="L31" s="1543">
        <f t="shared" ca="1" si="15"/>
        <v>0</v>
      </c>
      <c r="M31" s="1543">
        <f t="shared" ca="1" si="15"/>
        <v>0</v>
      </c>
      <c r="N31" s="1543">
        <f t="shared" ca="1" si="15"/>
        <v>0</v>
      </c>
      <c r="O31" s="2083">
        <f ca="1">+I31+SUM(I34:I37)+L31+SUM(L34:L37)</f>
        <v>0</v>
      </c>
      <c r="P31" s="2083">
        <f ca="1">+J31+SUM(J34:J37)+M31+SUM(M34:M37)</f>
        <v>0</v>
      </c>
      <c r="Q31" s="2083">
        <f ca="1">+K31+SUM(K34:K37)+N31+SUM(N34:N37)</f>
        <v>0</v>
      </c>
      <c r="R31" s="2089">
        <f t="shared" si="17"/>
        <v>0</v>
      </c>
      <c r="S31" s="2085">
        <f t="shared" ref="S31:U38" ca="1" si="22">+I31+L31</f>
        <v>0</v>
      </c>
      <c r="T31" s="2085">
        <f t="shared" ca="1" si="22"/>
        <v>0</v>
      </c>
      <c r="U31" s="2085">
        <f t="shared" ca="1" si="22"/>
        <v>0</v>
      </c>
      <c r="V31" s="1546"/>
      <c r="W31" s="1544"/>
      <c r="X31" s="1544"/>
      <c r="Y31" s="1544"/>
      <c r="Z31" s="1544"/>
      <c r="AA31" s="1544"/>
      <c r="AB31" s="1544"/>
      <c r="AC31" s="1544"/>
      <c r="AD31" s="1544"/>
      <c r="AH31" s="1547"/>
      <c r="AI31" s="1547"/>
      <c r="AJ31" s="1547"/>
      <c r="AK31" s="1521"/>
      <c r="AL31" s="1521"/>
      <c r="AM31" s="1521"/>
      <c r="AN31" s="1521"/>
      <c r="AO31" s="1521"/>
      <c r="AP31" s="1521"/>
      <c r="AQ31" s="1521"/>
      <c r="AR31" s="1521"/>
      <c r="AS31" s="1521"/>
      <c r="AT31" s="1548"/>
      <c r="AU31" s="1549"/>
      <c r="AV31" s="1549"/>
      <c r="DP31" s="2021">
        <f t="shared" si="18"/>
        <v>0</v>
      </c>
      <c r="DQ31" s="1938">
        <f t="shared" si="19"/>
        <v>0</v>
      </c>
      <c r="DR31" s="1938">
        <f t="shared" si="20"/>
        <v>0</v>
      </c>
      <c r="DS31" s="1569" t="str">
        <f>+IF(DR31=0,"S.D.",IF(AND((DQ31/DR31)&gt;150,(DQ31/DR31)&lt;=500),"O.K.","VERIFICAR"))</f>
        <v>S.D.</v>
      </c>
      <c r="DT31" s="1659"/>
    </row>
    <row r="32" spans="1:124" ht="65.25" customHeight="1" x14ac:dyDescent="0.45">
      <c r="A32" s="4608"/>
      <c r="B32" s="1955">
        <v>5050</v>
      </c>
      <c r="C32" s="3742" t="s">
        <v>903</v>
      </c>
      <c r="D32" s="3742"/>
      <c r="E32" s="1543">
        <f t="shared" ref="E32:N38" si="23">+E221</f>
        <v>0</v>
      </c>
      <c r="F32" s="2273">
        <f t="shared" ca="1" si="21"/>
        <v>0</v>
      </c>
      <c r="G32" s="2273">
        <f t="shared" ca="1" si="14"/>
        <v>0</v>
      </c>
      <c r="H32" s="2273">
        <f t="shared" ca="1" si="14"/>
        <v>0</v>
      </c>
      <c r="I32" s="1543">
        <f t="shared" si="23"/>
        <v>0</v>
      </c>
      <c r="J32" s="1543">
        <f t="shared" si="23"/>
        <v>0</v>
      </c>
      <c r="K32" s="1543">
        <f t="shared" si="23"/>
        <v>0</v>
      </c>
      <c r="L32" s="1543">
        <f t="shared" ca="1" si="23"/>
        <v>0</v>
      </c>
      <c r="M32" s="1543">
        <f t="shared" ca="1" si="23"/>
        <v>0</v>
      </c>
      <c r="N32" s="1543">
        <f t="shared" ca="1" si="23"/>
        <v>0</v>
      </c>
      <c r="O32" s="2083">
        <f t="shared" ref="O32:Q33" ca="1" si="24">+S32</f>
        <v>0</v>
      </c>
      <c r="P32" s="2083">
        <f t="shared" ca="1" si="24"/>
        <v>0</v>
      </c>
      <c r="Q32" s="2083">
        <f t="shared" ca="1" si="24"/>
        <v>0</v>
      </c>
      <c r="R32" s="2089">
        <f t="shared" si="17"/>
        <v>0</v>
      </c>
      <c r="S32" s="2085">
        <f t="shared" ca="1" si="22"/>
        <v>0</v>
      </c>
      <c r="T32" s="2085">
        <f t="shared" ca="1" si="22"/>
        <v>0</v>
      </c>
      <c r="U32" s="2085">
        <f t="shared" ca="1" si="22"/>
        <v>0</v>
      </c>
      <c r="V32" s="1546"/>
      <c r="W32" s="1544"/>
      <c r="X32" s="1544"/>
      <c r="Y32" s="1544"/>
      <c r="Z32" s="1544"/>
      <c r="AA32" s="1544"/>
      <c r="AB32" s="1544"/>
      <c r="AC32" s="1544"/>
      <c r="AD32" s="1544"/>
      <c r="AH32" s="1547"/>
      <c r="AI32" s="1547"/>
      <c r="AJ32" s="1547"/>
      <c r="AK32" s="1521"/>
      <c r="AL32" s="1521"/>
      <c r="AM32" s="1521"/>
      <c r="AN32" s="1521"/>
      <c r="AO32" s="1521"/>
      <c r="AP32" s="1521"/>
      <c r="AQ32" s="1521"/>
      <c r="AR32" s="1521"/>
      <c r="AS32" s="1521"/>
      <c r="AT32" s="1548"/>
      <c r="AU32" s="1549"/>
      <c r="AV32" s="1549"/>
      <c r="DP32" s="2021">
        <f t="shared" si="18"/>
        <v>0</v>
      </c>
      <c r="DQ32" s="1938">
        <f t="shared" si="19"/>
        <v>0</v>
      </c>
      <c r="DR32" s="1938">
        <f t="shared" si="20"/>
        <v>0</v>
      </c>
      <c r="DS32" s="1569" t="str">
        <f>+IF(DR32=0,"S.D.",IF(AND((DQ32/DR32)&gt;150,(DQ32/DR32)&lt;=400),"O.K.","VERIFICAR"))</f>
        <v>S.D.</v>
      </c>
      <c r="DT32" s="1659"/>
    </row>
    <row r="33" spans="1:124" ht="65.25" customHeight="1" x14ac:dyDescent="0.45">
      <c r="A33" s="4608"/>
      <c r="B33" s="1955">
        <v>5055</v>
      </c>
      <c r="C33" s="3742" t="s">
        <v>904</v>
      </c>
      <c r="D33" s="3742"/>
      <c r="E33" s="1543">
        <f t="shared" si="23"/>
        <v>0</v>
      </c>
      <c r="F33" s="2273">
        <f t="shared" ca="1" si="21"/>
        <v>0</v>
      </c>
      <c r="G33" s="2273">
        <f t="shared" ca="1" si="14"/>
        <v>0</v>
      </c>
      <c r="H33" s="2273">
        <f t="shared" ca="1" si="14"/>
        <v>0</v>
      </c>
      <c r="I33" s="1543">
        <f t="shared" si="23"/>
        <v>0</v>
      </c>
      <c r="J33" s="1543">
        <f t="shared" si="23"/>
        <v>0</v>
      </c>
      <c r="K33" s="1543">
        <f t="shared" si="23"/>
        <v>0</v>
      </c>
      <c r="L33" s="1543">
        <f t="shared" ca="1" si="23"/>
        <v>0</v>
      </c>
      <c r="M33" s="1543">
        <f t="shared" ca="1" si="23"/>
        <v>0</v>
      </c>
      <c r="N33" s="1543">
        <f t="shared" ca="1" si="23"/>
        <v>0</v>
      </c>
      <c r="O33" s="2083">
        <f t="shared" ca="1" si="24"/>
        <v>0</v>
      </c>
      <c r="P33" s="2083">
        <f t="shared" ca="1" si="24"/>
        <v>0</v>
      </c>
      <c r="Q33" s="2083">
        <f t="shared" ca="1" si="24"/>
        <v>0</v>
      </c>
      <c r="R33" s="2089">
        <f t="shared" si="17"/>
        <v>0</v>
      </c>
      <c r="S33" s="2085">
        <f t="shared" ca="1" si="22"/>
        <v>0</v>
      </c>
      <c r="T33" s="2085">
        <f t="shared" ca="1" si="22"/>
        <v>0</v>
      </c>
      <c r="U33" s="2085">
        <f t="shared" ca="1" si="22"/>
        <v>0</v>
      </c>
      <c r="V33" s="1546"/>
      <c r="W33" s="1544"/>
      <c r="X33" s="1544"/>
      <c r="Y33" s="1544"/>
      <c r="Z33" s="1544"/>
      <c r="AA33" s="1544"/>
      <c r="AB33" s="1544"/>
      <c r="AC33" s="1544"/>
      <c r="AD33" s="1544"/>
      <c r="AH33" s="1547"/>
      <c r="AI33" s="1547"/>
      <c r="AJ33" s="1547"/>
      <c r="AK33" s="1521"/>
      <c r="AL33" s="1521"/>
      <c r="AM33" s="1521"/>
      <c r="AN33" s="1521"/>
      <c r="AO33" s="1521"/>
      <c r="AP33" s="1521"/>
      <c r="AQ33" s="1521"/>
      <c r="AR33" s="1521"/>
      <c r="AS33" s="1521"/>
      <c r="AT33" s="1548"/>
      <c r="AU33" s="1549"/>
      <c r="AV33" s="1549"/>
      <c r="DP33" s="2021">
        <f t="shared" si="18"/>
        <v>0</v>
      </c>
      <c r="DQ33" s="1938">
        <f t="shared" si="19"/>
        <v>0</v>
      </c>
      <c r="DR33" s="1938">
        <f t="shared" si="20"/>
        <v>0</v>
      </c>
      <c r="DS33" s="1569" t="str">
        <f>+IF(DR33=0,"S.D.",IF(AND((DQ33/DR33)&gt;0,(DQ33/DR33)&lt;=100),"O.K.","VERIFICAR"))</f>
        <v>S.D.</v>
      </c>
      <c r="DT33" s="1659"/>
    </row>
    <row r="34" spans="1:124" ht="65.25" customHeight="1" x14ac:dyDescent="0.45">
      <c r="A34" s="4608"/>
      <c r="B34" s="1948">
        <v>5503</v>
      </c>
      <c r="C34" s="3751" t="s">
        <v>223</v>
      </c>
      <c r="D34" s="1957" t="s">
        <v>53</v>
      </c>
      <c r="E34" s="1543">
        <f t="shared" si="23"/>
        <v>0</v>
      </c>
      <c r="F34" s="2273">
        <f t="shared" si="21"/>
        <v>0</v>
      </c>
      <c r="G34" s="2273">
        <f t="shared" si="14"/>
        <v>0</v>
      </c>
      <c r="H34" s="2273">
        <f t="shared" si="14"/>
        <v>0</v>
      </c>
      <c r="I34" s="1543">
        <f t="shared" si="23"/>
        <v>0</v>
      </c>
      <c r="J34" s="1543">
        <f t="shared" si="23"/>
        <v>0</v>
      </c>
      <c r="K34" s="1543">
        <f t="shared" si="23"/>
        <v>0</v>
      </c>
      <c r="L34" s="1543">
        <f t="shared" ca="1" si="23"/>
        <v>0</v>
      </c>
      <c r="M34" s="1543">
        <f t="shared" ca="1" si="23"/>
        <v>0</v>
      </c>
      <c r="N34" s="1543">
        <f t="shared" ca="1" si="23"/>
        <v>0</v>
      </c>
      <c r="O34" s="2083"/>
      <c r="P34" s="2083"/>
      <c r="Q34" s="2083"/>
      <c r="R34" s="2089">
        <f t="shared" si="17"/>
        <v>0</v>
      </c>
      <c r="S34" s="2085">
        <f t="shared" ca="1" si="22"/>
        <v>0</v>
      </c>
      <c r="T34" s="2085">
        <f t="shared" ca="1" si="22"/>
        <v>0</v>
      </c>
      <c r="U34" s="2085">
        <f t="shared" ca="1" si="22"/>
        <v>0</v>
      </c>
      <c r="V34" s="1546"/>
      <c r="W34" s="1544"/>
      <c r="X34" s="1544"/>
      <c r="Y34" s="1544"/>
      <c r="Z34" s="1544"/>
      <c r="AA34" s="1544"/>
      <c r="AB34" s="1544"/>
      <c r="AC34" s="1544"/>
      <c r="AD34" s="1544"/>
      <c r="AH34" s="1547"/>
      <c r="AI34" s="1547"/>
      <c r="AJ34" s="1547"/>
      <c r="AK34" s="1521"/>
      <c r="AL34" s="1521"/>
      <c r="AM34" s="1521"/>
      <c r="AN34" s="1521"/>
      <c r="AO34" s="1521"/>
      <c r="AP34" s="1521"/>
      <c r="AQ34" s="1521"/>
      <c r="AR34" s="1521"/>
      <c r="AS34" s="1521"/>
      <c r="AT34" s="1548"/>
      <c r="AU34" s="1549"/>
      <c r="AV34" s="1549"/>
      <c r="BU34" s="1489" t="e">
        <f>+SUM(I34:K34)/E34</f>
        <v>#DIV/0!</v>
      </c>
      <c r="DP34" s="2021">
        <f t="shared" si="18"/>
        <v>0</v>
      </c>
      <c r="DQ34" s="1938">
        <f t="shared" si="19"/>
        <v>0</v>
      </c>
      <c r="DR34" s="1938">
        <f t="shared" si="20"/>
        <v>0</v>
      </c>
      <c r="DS34" s="1569" t="str">
        <f>+IF(DR34=0,"S.D.",IF(AND((DQ34/DR34)&gt;150,(DQ34/DR34)&lt;=300),"O.K.","VERIFICAR"))</f>
        <v>S.D.</v>
      </c>
      <c r="DT34" s="1659"/>
    </row>
    <row r="35" spans="1:124" ht="65.25" customHeight="1" x14ac:dyDescent="0.45">
      <c r="A35" s="4608"/>
      <c r="B35" s="1948">
        <v>5504</v>
      </c>
      <c r="C35" s="3746"/>
      <c r="D35" s="1957" t="s">
        <v>54</v>
      </c>
      <c r="E35" s="1543">
        <f t="shared" si="23"/>
        <v>0</v>
      </c>
      <c r="F35" s="2273">
        <f t="shared" si="21"/>
        <v>0</v>
      </c>
      <c r="G35" s="2273">
        <f t="shared" si="14"/>
        <v>0</v>
      </c>
      <c r="H35" s="2273">
        <f t="shared" si="14"/>
        <v>0</v>
      </c>
      <c r="I35" s="1543">
        <f t="shared" si="23"/>
        <v>0</v>
      </c>
      <c r="J35" s="1543">
        <f t="shared" si="23"/>
        <v>0</v>
      </c>
      <c r="K35" s="1543">
        <f t="shared" si="23"/>
        <v>0</v>
      </c>
      <c r="L35" s="1543">
        <f t="shared" ca="1" si="23"/>
        <v>0</v>
      </c>
      <c r="M35" s="1543">
        <f t="shared" ca="1" si="23"/>
        <v>0</v>
      </c>
      <c r="N35" s="1543">
        <f t="shared" ca="1" si="23"/>
        <v>0</v>
      </c>
      <c r="O35" s="2083"/>
      <c r="P35" s="2083"/>
      <c r="Q35" s="2083"/>
      <c r="R35" s="2089">
        <f t="shared" si="17"/>
        <v>0</v>
      </c>
      <c r="S35" s="2085">
        <f t="shared" ca="1" si="22"/>
        <v>0</v>
      </c>
      <c r="T35" s="2085">
        <f t="shared" ca="1" si="22"/>
        <v>0</v>
      </c>
      <c r="U35" s="2085">
        <f t="shared" ca="1" si="22"/>
        <v>0</v>
      </c>
      <c r="V35" s="1546"/>
      <c r="W35" s="1544"/>
      <c r="X35" s="1544"/>
      <c r="Y35" s="1544"/>
      <c r="Z35" s="1544"/>
      <c r="AA35" s="1544"/>
      <c r="AB35" s="1544"/>
      <c r="AC35" s="1544"/>
      <c r="AD35" s="1544"/>
      <c r="AH35" s="1547"/>
      <c r="AI35" s="1547"/>
      <c r="AJ35" s="1547"/>
      <c r="AK35" s="1521"/>
      <c r="AL35" s="1521"/>
      <c r="AM35" s="1521"/>
      <c r="AN35" s="1521"/>
      <c r="AO35" s="1521"/>
      <c r="AP35" s="1521"/>
      <c r="AQ35" s="1521"/>
      <c r="AR35" s="1521"/>
      <c r="AS35" s="1521"/>
      <c r="AT35" s="1548"/>
      <c r="AU35" s="1549"/>
      <c r="AV35" s="1549"/>
      <c r="DP35" s="2021">
        <f t="shared" si="18"/>
        <v>0</v>
      </c>
      <c r="DQ35" s="1938">
        <f t="shared" si="19"/>
        <v>0</v>
      </c>
      <c r="DR35" s="1938">
        <f t="shared" si="20"/>
        <v>0</v>
      </c>
      <c r="DS35" s="1569" t="str">
        <f>+IF(DR35=0,"S.D.",IF(AND((DQ35/DR35)&gt;300,(DQ35/DR35)&lt;=500),"O.K.","VERIFICAR"))</f>
        <v>S.D.</v>
      </c>
      <c r="DT35" s="1659"/>
    </row>
    <row r="36" spans="1:124" ht="65.25" customHeight="1" x14ac:dyDescent="0.45">
      <c r="A36" s="4608"/>
      <c r="B36" s="1949">
        <v>5513</v>
      </c>
      <c r="C36" s="3746"/>
      <c r="D36" s="1958" t="s">
        <v>55</v>
      </c>
      <c r="E36" s="1543">
        <f t="shared" si="23"/>
        <v>0</v>
      </c>
      <c r="F36" s="2273">
        <f t="shared" si="21"/>
        <v>0</v>
      </c>
      <c r="G36" s="2273">
        <f t="shared" si="14"/>
        <v>0</v>
      </c>
      <c r="H36" s="2273">
        <f t="shared" si="14"/>
        <v>0</v>
      </c>
      <c r="I36" s="1543">
        <f t="shared" si="23"/>
        <v>0</v>
      </c>
      <c r="J36" s="1543">
        <f t="shared" si="23"/>
        <v>0</v>
      </c>
      <c r="K36" s="1543">
        <f t="shared" si="23"/>
        <v>0</v>
      </c>
      <c r="L36" s="1543">
        <f t="shared" ca="1" si="23"/>
        <v>0</v>
      </c>
      <c r="M36" s="1543">
        <f t="shared" ca="1" si="23"/>
        <v>0</v>
      </c>
      <c r="N36" s="1543">
        <f t="shared" ca="1" si="23"/>
        <v>0</v>
      </c>
      <c r="O36" s="2083"/>
      <c r="P36" s="2083"/>
      <c r="Q36" s="2083"/>
      <c r="R36" s="2089">
        <f t="shared" si="17"/>
        <v>0</v>
      </c>
      <c r="S36" s="2085">
        <f t="shared" ca="1" si="22"/>
        <v>0</v>
      </c>
      <c r="T36" s="2085">
        <f t="shared" ca="1" si="22"/>
        <v>0</v>
      </c>
      <c r="U36" s="2085">
        <f t="shared" ca="1" si="22"/>
        <v>0</v>
      </c>
      <c r="V36" s="1546"/>
      <c r="W36" s="1544"/>
      <c r="X36" s="1544"/>
      <c r="Y36" s="1544"/>
      <c r="Z36" s="1544"/>
      <c r="AA36" s="1544"/>
      <c r="AB36" s="1544"/>
      <c r="AC36" s="1544"/>
      <c r="AD36" s="1544"/>
      <c r="AH36" s="1547"/>
      <c r="AI36" s="1547"/>
      <c r="AJ36" s="1547"/>
      <c r="AK36" s="1521"/>
      <c r="AL36" s="1521"/>
      <c r="AM36" s="1521"/>
      <c r="AN36" s="1521"/>
      <c r="AO36" s="1521"/>
      <c r="AP36" s="1521"/>
      <c r="AQ36" s="1521"/>
      <c r="AR36" s="1521"/>
      <c r="AS36" s="1521"/>
      <c r="AT36" s="1548"/>
      <c r="AU36" s="1549"/>
      <c r="AV36" s="1549"/>
      <c r="DP36" s="2021">
        <f t="shared" si="18"/>
        <v>0</v>
      </c>
      <c r="DQ36" s="1938">
        <f t="shared" si="19"/>
        <v>0</v>
      </c>
      <c r="DR36" s="1938">
        <f t="shared" si="20"/>
        <v>0</v>
      </c>
      <c r="DS36" s="1569" t="str">
        <f>+IF(DR36=0,"S.D.",IF(AND((DQ36/DR36)&gt;150,(DQ36/DR36)&lt;=300),"O.K.","VERIFICAR"))</f>
        <v>S.D.</v>
      </c>
      <c r="DT36" s="1659"/>
    </row>
    <row r="37" spans="1:124" ht="65.25" customHeight="1" x14ac:dyDescent="0.5">
      <c r="A37" s="4608"/>
      <c r="B37" s="1949">
        <v>5514</v>
      </c>
      <c r="C37" s="3752"/>
      <c r="D37" s="1958" t="s">
        <v>56</v>
      </c>
      <c r="E37" s="1543">
        <f t="shared" si="23"/>
        <v>0</v>
      </c>
      <c r="F37" s="2273">
        <f t="shared" si="21"/>
        <v>0</v>
      </c>
      <c r="G37" s="2273">
        <f t="shared" si="14"/>
        <v>0</v>
      </c>
      <c r="H37" s="2273">
        <f t="shared" si="14"/>
        <v>0</v>
      </c>
      <c r="I37" s="1543">
        <f t="shared" si="23"/>
        <v>0</v>
      </c>
      <c r="J37" s="1543">
        <f t="shared" si="23"/>
        <v>0</v>
      </c>
      <c r="K37" s="1543">
        <f t="shared" si="23"/>
        <v>0</v>
      </c>
      <c r="L37" s="1543">
        <f t="shared" ca="1" si="23"/>
        <v>0</v>
      </c>
      <c r="M37" s="1543">
        <f t="shared" ca="1" si="23"/>
        <v>0</v>
      </c>
      <c r="N37" s="1543">
        <f t="shared" ca="1" si="23"/>
        <v>0</v>
      </c>
      <c r="O37" s="2083"/>
      <c r="P37" s="2083"/>
      <c r="Q37" s="2083"/>
      <c r="R37" s="2089">
        <f t="shared" si="17"/>
        <v>0</v>
      </c>
      <c r="S37" s="2085">
        <f t="shared" ca="1" si="22"/>
        <v>0</v>
      </c>
      <c r="T37" s="2085">
        <f t="shared" ca="1" si="22"/>
        <v>0</v>
      </c>
      <c r="U37" s="2085">
        <f t="shared" ca="1" si="22"/>
        <v>0</v>
      </c>
      <c r="V37" s="1546"/>
      <c r="W37" s="1543" t="e">
        <f>+I37-#REF!</f>
        <v>#REF!</v>
      </c>
      <c r="X37" s="1543"/>
      <c r="Y37" s="1543"/>
      <c r="Z37" s="1543" t="e">
        <f>+J37-#REF!</f>
        <v>#REF!</v>
      </c>
      <c r="AA37" s="1543" t="e">
        <f>+K37-#REF!</f>
        <v>#REF!</v>
      </c>
      <c r="AB37" s="1543">
        <f ca="1">+IF( L37=0,0,(W37/I37)*L37)</f>
        <v>0</v>
      </c>
      <c r="AC37" s="1543">
        <f ca="1">+IF(M37=0,0,(Z37/J37)*M37)</f>
        <v>0</v>
      </c>
      <c r="AD37" s="1543">
        <f ca="1">+IF(N37=0,0,(AA37/K37)*N37)</f>
        <v>0</v>
      </c>
      <c r="AE37" s="1543" t="e">
        <f ca="1">+W37+AB37</f>
        <v>#REF!</v>
      </c>
      <c r="AF37" s="1543" t="e">
        <f ca="1">+Z37+AC37</f>
        <v>#REF!</v>
      </c>
      <c r="AG37" s="1543" t="e">
        <f ca="1">+AA37+AD37</f>
        <v>#REF!</v>
      </c>
      <c r="AH37" s="1553" t="e">
        <f>+#REF!</f>
        <v>#REF!</v>
      </c>
      <c r="AI37" s="1553" t="e">
        <f>+#REF!</f>
        <v>#REF!</v>
      </c>
      <c r="AJ37" s="1553" t="e">
        <f>+#REF!</f>
        <v>#REF!</v>
      </c>
      <c r="AK37" s="1553">
        <f t="shared" ref="AK37:AM38" ca="1" si="25">+L37-AB37</f>
        <v>0</v>
      </c>
      <c r="AL37" s="1553">
        <f t="shared" ca="1" si="25"/>
        <v>0</v>
      </c>
      <c r="AM37" s="1553">
        <f t="shared" ca="1" si="25"/>
        <v>0</v>
      </c>
      <c r="AN37" s="1553" t="e">
        <f t="shared" ref="AN37:AP38" ca="1" si="26">+AH37+AK37</f>
        <v>#REF!</v>
      </c>
      <c r="AO37" s="1553" t="e">
        <f t="shared" ca="1" si="26"/>
        <v>#REF!</v>
      </c>
      <c r="AP37" s="1553" t="e">
        <f t="shared" ca="1" si="26"/>
        <v>#REF!</v>
      </c>
      <c r="AQ37" s="1554" t="e">
        <f ca="1">+W37+AB37+AH37+AK37</f>
        <v>#REF!</v>
      </c>
      <c r="AR37" s="1554" t="e">
        <f ca="1">+Z37+AC37+AI37+AL37</f>
        <v>#REF!</v>
      </c>
      <c r="AS37" s="1554" t="e">
        <f ca="1">+AA37+AD37+AJ37+AM37</f>
        <v>#REF!</v>
      </c>
      <c r="AT37" s="1555" t="e">
        <f t="shared" ref="AT37:AV38" ca="1" si="27">+O37-AQ37</f>
        <v>#REF!</v>
      </c>
      <c r="AU37" s="1555" t="e">
        <f t="shared" ca="1" si="27"/>
        <v>#REF!</v>
      </c>
      <c r="AV37" s="1555" t="e">
        <f t="shared" ca="1" si="27"/>
        <v>#REF!</v>
      </c>
      <c r="DP37" s="2021">
        <f t="shared" si="18"/>
        <v>0</v>
      </c>
      <c r="DQ37" s="1938">
        <f t="shared" si="19"/>
        <v>0</v>
      </c>
      <c r="DR37" s="1938">
        <f t="shared" si="20"/>
        <v>0</v>
      </c>
      <c r="DS37" s="1569" t="str">
        <f>+IF(DR37=0,"S.D.",IF(AND((DQ37/DR37)&gt;300,(DQ37/DR37)&lt;=500),"O.K.","VERIFICAR"))</f>
        <v>S.D.</v>
      </c>
      <c r="DT37" s="1659"/>
    </row>
    <row r="38" spans="1:124" ht="65.25" customHeight="1" thickBot="1" x14ac:dyDescent="0.55000000000000004">
      <c r="A38" s="4609"/>
      <c r="B38" s="1953">
        <v>6000</v>
      </c>
      <c r="C38" s="4590" t="s">
        <v>580</v>
      </c>
      <c r="D38" s="4591"/>
      <c r="E38" s="1543" t="e">
        <f t="shared" si="23"/>
        <v>#REF!</v>
      </c>
      <c r="F38" s="2273" t="e">
        <f t="shared" si="21"/>
        <v>#REF!</v>
      </c>
      <c r="G38" s="2273" t="e">
        <f t="shared" si="14"/>
        <v>#REF!</v>
      </c>
      <c r="H38" s="2273" t="e">
        <f t="shared" si="14"/>
        <v>#REF!</v>
      </c>
      <c r="I38" s="1543" t="e">
        <f t="shared" si="23"/>
        <v>#REF!</v>
      </c>
      <c r="J38" s="1543" t="e">
        <f t="shared" si="23"/>
        <v>#REF!</v>
      </c>
      <c r="K38" s="1543" t="e">
        <f t="shared" si="23"/>
        <v>#REF!</v>
      </c>
      <c r="L38" s="1543" t="e">
        <f t="shared" si="23"/>
        <v>#REF!</v>
      </c>
      <c r="M38" s="1543" t="e">
        <f t="shared" si="23"/>
        <v>#REF!</v>
      </c>
      <c r="N38" s="1543" t="e">
        <f t="shared" si="23"/>
        <v>#REF!</v>
      </c>
      <c r="O38" s="2083" t="e">
        <f>+S38</f>
        <v>#REF!</v>
      </c>
      <c r="P38" s="2083" t="e">
        <f t="shared" ref="P38:Q38" si="28">+T38</f>
        <v>#REF!</v>
      </c>
      <c r="Q38" s="2083" t="e">
        <f t="shared" si="28"/>
        <v>#REF!</v>
      </c>
      <c r="R38" s="2089" t="e">
        <f t="shared" si="17"/>
        <v>#REF!</v>
      </c>
      <c r="S38" s="2085" t="e">
        <f t="shared" si="22"/>
        <v>#REF!</v>
      </c>
      <c r="T38" s="2085" t="e">
        <f t="shared" si="22"/>
        <v>#REF!</v>
      </c>
      <c r="U38" s="2085" t="e">
        <f t="shared" si="22"/>
        <v>#REF!</v>
      </c>
      <c r="V38" s="1546"/>
      <c r="W38" s="1543" t="e">
        <f>+I38-#REF!</f>
        <v>#REF!</v>
      </c>
      <c r="X38" s="1543"/>
      <c r="Y38" s="1543"/>
      <c r="Z38" s="1543" t="e">
        <f>+J38-#REF!</f>
        <v>#REF!</v>
      </c>
      <c r="AA38" s="1543" t="e">
        <f>+K38-#REF!</f>
        <v>#REF!</v>
      </c>
      <c r="AB38" s="1543" t="e">
        <f>+IF( L38=0,0,(W38/I38)*L38)</f>
        <v>#REF!</v>
      </c>
      <c r="AC38" s="1543" t="e">
        <f>+IF(M38=0,0,(Z38/J38)*M38)</f>
        <v>#REF!</v>
      </c>
      <c r="AD38" s="1543" t="e">
        <f>+IF(N38=0,0,(AA38/K38)*N38)</f>
        <v>#REF!</v>
      </c>
      <c r="AE38" s="1543" t="e">
        <f>+W38+AB38</f>
        <v>#REF!</v>
      </c>
      <c r="AF38" s="1543" t="e">
        <f>+Z38+AC38</f>
        <v>#REF!</v>
      </c>
      <c r="AG38" s="1543" t="e">
        <f>+AA38+AD38</f>
        <v>#REF!</v>
      </c>
      <c r="AH38" s="1553" t="e">
        <f>+#REF!</f>
        <v>#REF!</v>
      </c>
      <c r="AI38" s="1553" t="e">
        <f>+#REF!</f>
        <v>#REF!</v>
      </c>
      <c r="AJ38" s="1553" t="e">
        <f>+#REF!</f>
        <v>#REF!</v>
      </c>
      <c r="AK38" s="1553" t="e">
        <f t="shared" si="25"/>
        <v>#REF!</v>
      </c>
      <c r="AL38" s="1553" t="e">
        <f t="shared" si="25"/>
        <v>#REF!</v>
      </c>
      <c r="AM38" s="1553" t="e">
        <f t="shared" si="25"/>
        <v>#REF!</v>
      </c>
      <c r="AN38" s="1553" t="e">
        <f t="shared" si="26"/>
        <v>#REF!</v>
      </c>
      <c r="AO38" s="1553" t="e">
        <f t="shared" si="26"/>
        <v>#REF!</v>
      </c>
      <c r="AP38" s="1553" t="e">
        <f t="shared" si="26"/>
        <v>#REF!</v>
      </c>
      <c r="AQ38" s="1554" t="e">
        <f>+W38+AB38+AH38+AK38</f>
        <v>#REF!</v>
      </c>
      <c r="AR38" s="1554" t="e">
        <f>+Z38+AC38+AI38+AL38</f>
        <v>#REF!</v>
      </c>
      <c r="AS38" s="1554" t="e">
        <f>+AA38+AD38+AJ38+AM38</f>
        <v>#REF!</v>
      </c>
      <c r="AT38" s="1555" t="e">
        <f t="shared" si="27"/>
        <v>#REF!</v>
      </c>
      <c r="AU38" s="1555" t="e">
        <f t="shared" si="27"/>
        <v>#REF!</v>
      </c>
      <c r="AV38" s="1555" t="e">
        <f t="shared" si="27"/>
        <v>#REF!</v>
      </c>
      <c r="DP38" s="2021" t="e">
        <f t="shared" si="18"/>
        <v>#REF!</v>
      </c>
      <c r="DQ38" s="1938" t="e">
        <f t="shared" si="19"/>
        <v>#REF!</v>
      </c>
      <c r="DR38" s="1938" t="e">
        <f t="shared" si="20"/>
        <v>#REF!</v>
      </c>
      <c r="DS38" s="1569" t="e">
        <f>+IF(DR38=0,"S.D.",IF(AND((DQ38/DR38)&gt;150,(DQ38/DR38)&lt;=500),"O.K.","VERIFICAR"))</f>
        <v>#REF!</v>
      </c>
      <c r="DT38" s="1659"/>
    </row>
    <row r="39" spans="1:124" ht="65.25" customHeight="1" x14ac:dyDescent="0.45">
      <c r="A39" s="1556"/>
      <c r="B39" s="5304" t="s">
        <v>392</v>
      </c>
      <c r="C39" s="4249"/>
      <c r="D39" s="5305"/>
      <c r="E39" s="1557" t="e">
        <f t="shared" ref="E39:Q39" si="29">SUM(E30:E38)</f>
        <v>#REF!</v>
      </c>
      <c r="F39" s="2106" t="e">
        <f t="shared" ca="1" si="21"/>
        <v>#REF!</v>
      </c>
      <c r="G39" s="2106" t="e">
        <f t="shared" ca="1" si="14"/>
        <v>#REF!</v>
      </c>
      <c r="H39" s="2106" t="e">
        <f t="shared" ca="1" si="14"/>
        <v>#REF!</v>
      </c>
      <c r="I39" s="1557" t="e">
        <f t="shared" si="29"/>
        <v>#REF!</v>
      </c>
      <c r="J39" s="1557" t="e">
        <f t="shared" si="29"/>
        <v>#REF!</v>
      </c>
      <c r="K39" s="1557" t="e">
        <f t="shared" si="29"/>
        <v>#REF!</v>
      </c>
      <c r="L39" s="1557" t="e">
        <f t="shared" ca="1" si="29"/>
        <v>#REF!</v>
      </c>
      <c r="M39" s="1557" t="e">
        <f t="shared" ca="1" si="29"/>
        <v>#REF!</v>
      </c>
      <c r="N39" s="1557" t="e">
        <f t="shared" ca="1" si="29"/>
        <v>#REF!</v>
      </c>
      <c r="O39" s="2090" t="e">
        <f t="shared" ca="1" si="29"/>
        <v>#REF!</v>
      </c>
      <c r="P39" s="2090" t="e">
        <f t="shared" ca="1" si="29"/>
        <v>#REF!</v>
      </c>
      <c r="Q39" s="2090" t="e">
        <f t="shared" ca="1" si="29"/>
        <v>#REF!</v>
      </c>
      <c r="R39" s="2089" t="e">
        <f t="shared" si="17"/>
        <v>#REF!</v>
      </c>
      <c r="S39" s="2085" t="e">
        <f ca="1">SUM(S30:S38)</f>
        <v>#REF!</v>
      </c>
      <c r="T39" s="2085" t="e">
        <f ca="1">SUM(T30:T38)</f>
        <v>#REF!</v>
      </c>
      <c r="U39" s="2091" t="e">
        <f ca="1">SUM(U30:U38)</f>
        <v>#REF!</v>
      </c>
      <c r="V39" s="1560" t="e">
        <f ca="1">SUM(O39:Q39)</f>
        <v>#REF!</v>
      </c>
      <c r="W39" s="1557" t="e">
        <f>SUM(W30:W38)</f>
        <v>#REF!</v>
      </c>
      <c r="X39" s="1557"/>
      <c r="Y39" s="1557"/>
      <c r="Z39" s="1557" t="e">
        <f t="shared" ref="Z39:AS39" si="30">SUM(Z30:Z38)</f>
        <v>#REF!</v>
      </c>
      <c r="AA39" s="1557" t="e">
        <f t="shared" si="30"/>
        <v>#REF!</v>
      </c>
      <c r="AB39" s="1557" t="e">
        <f t="shared" ca="1" si="30"/>
        <v>#REF!</v>
      </c>
      <c r="AC39" s="1557" t="e">
        <f t="shared" ca="1" si="30"/>
        <v>#REF!</v>
      </c>
      <c r="AD39" s="1557" t="e">
        <f t="shared" ca="1" si="30"/>
        <v>#REF!</v>
      </c>
      <c r="AE39" s="1557" t="e">
        <f t="shared" ca="1" si="30"/>
        <v>#REF!</v>
      </c>
      <c r="AF39" s="1557" t="e">
        <f t="shared" ca="1" si="30"/>
        <v>#REF!</v>
      </c>
      <c r="AG39" s="1557" t="e">
        <f t="shared" ca="1" si="30"/>
        <v>#REF!</v>
      </c>
      <c r="AH39" s="1557" t="e">
        <f t="shared" si="30"/>
        <v>#REF!</v>
      </c>
      <c r="AI39" s="1557" t="e">
        <f t="shared" si="30"/>
        <v>#REF!</v>
      </c>
      <c r="AJ39" s="1557" t="e">
        <f t="shared" si="30"/>
        <v>#REF!</v>
      </c>
      <c r="AK39" s="1557" t="e">
        <f t="shared" ca="1" si="30"/>
        <v>#REF!</v>
      </c>
      <c r="AL39" s="1557" t="e">
        <f t="shared" ca="1" si="30"/>
        <v>#REF!</v>
      </c>
      <c r="AM39" s="1557" t="e">
        <f t="shared" ca="1" si="30"/>
        <v>#REF!</v>
      </c>
      <c r="AN39" s="1557" t="e">
        <f t="shared" ca="1" si="30"/>
        <v>#REF!</v>
      </c>
      <c r="AO39" s="1557" t="e">
        <f t="shared" ca="1" si="30"/>
        <v>#REF!</v>
      </c>
      <c r="AP39" s="1557" t="e">
        <f t="shared" ca="1" si="30"/>
        <v>#REF!</v>
      </c>
      <c r="AQ39" s="1557" t="e">
        <f t="shared" ca="1" si="30"/>
        <v>#REF!</v>
      </c>
      <c r="AR39" s="1557" t="e">
        <f t="shared" ca="1" si="30"/>
        <v>#REF!</v>
      </c>
      <c r="AS39" s="1557" t="e">
        <f t="shared" ca="1" si="30"/>
        <v>#REF!</v>
      </c>
      <c r="AT39" s="1549"/>
      <c r="AU39" s="1549"/>
      <c r="AV39" s="1549"/>
      <c r="DP39" s="2021" t="e">
        <f t="shared" si="18"/>
        <v>#REF!</v>
      </c>
      <c r="DQ39" s="1938" t="e">
        <f t="shared" si="19"/>
        <v>#REF!</v>
      </c>
      <c r="DR39" s="1938" t="e">
        <f t="shared" si="20"/>
        <v>#REF!</v>
      </c>
      <c r="DS39" s="1569"/>
      <c r="DT39" s="1549"/>
    </row>
    <row r="40" spans="1:124" s="1540" customFormat="1" ht="65.25" customHeight="1" x14ac:dyDescent="0.45">
      <c r="A40" s="1561"/>
      <c r="B40" s="1562"/>
      <c r="C40" s="1562"/>
      <c r="D40" s="1562"/>
      <c r="E40" s="1562"/>
      <c r="F40" s="1562"/>
      <c r="G40" s="1562"/>
      <c r="H40" s="1562"/>
      <c r="I40" s="1562"/>
      <c r="J40" s="1562"/>
      <c r="K40" s="1562"/>
      <c r="L40" s="1562"/>
      <c r="M40" s="1562"/>
      <c r="N40" s="1562"/>
      <c r="O40" s="1562"/>
      <c r="P40" s="1562"/>
      <c r="Q40" s="1563"/>
      <c r="R40" s="2260"/>
      <c r="S40" s="2260"/>
      <c r="T40" s="2260"/>
      <c r="U40" s="2260"/>
      <c r="AB40" s="1564"/>
      <c r="AC40" s="1564"/>
      <c r="AD40" s="1564"/>
      <c r="DP40" s="1541"/>
    </row>
    <row r="41" spans="1:124" s="1540" customFormat="1" ht="65.25" customHeight="1" thickBot="1" x14ac:dyDescent="0.5">
      <c r="A41" s="1565"/>
      <c r="B41" s="1566"/>
      <c r="C41" s="1566"/>
      <c r="D41" s="1566"/>
      <c r="E41" s="1566"/>
      <c r="F41" s="1566"/>
      <c r="G41" s="1566"/>
      <c r="H41" s="1566"/>
      <c r="I41" s="1566"/>
      <c r="J41" s="1566"/>
      <c r="K41" s="1566"/>
      <c r="L41" s="1566"/>
      <c r="M41" s="1566"/>
      <c r="N41" s="1566"/>
      <c r="O41" s="1566"/>
      <c r="P41" s="1566"/>
      <c r="Q41" s="1567"/>
      <c r="R41" s="2260"/>
      <c r="S41" s="2260"/>
      <c r="T41" s="2260"/>
      <c r="U41" s="2260"/>
      <c r="DP41" s="1541"/>
    </row>
    <row r="42" spans="1:124" ht="65.25" customHeight="1" x14ac:dyDescent="0.5">
      <c r="A42" s="5178" t="s">
        <v>393</v>
      </c>
      <c r="B42" s="5179"/>
      <c r="C42" s="5179"/>
      <c r="D42" s="5180"/>
      <c r="E42" s="5306" t="s">
        <v>101</v>
      </c>
      <c r="F42" s="5348" t="s">
        <v>899</v>
      </c>
      <c r="G42" s="5349"/>
      <c r="H42" s="5350"/>
      <c r="I42" s="4237" t="s">
        <v>304</v>
      </c>
      <c r="J42" s="4238"/>
      <c r="K42" s="4240"/>
      <c r="L42" s="4237" t="s">
        <v>368</v>
      </c>
      <c r="M42" s="4238"/>
      <c r="N42" s="4240"/>
      <c r="O42" s="4216" t="s">
        <v>900</v>
      </c>
      <c r="P42" s="4217"/>
      <c r="Q42" s="4218"/>
      <c r="R42" s="5286" t="s">
        <v>370</v>
      </c>
      <c r="S42" s="4325" t="s">
        <v>377</v>
      </c>
      <c r="T42" s="4325"/>
      <c r="U42" s="5229"/>
      <c r="W42" s="4395" t="s">
        <v>304</v>
      </c>
      <c r="X42" s="4323"/>
      <c r="Y42" s="4323"/>
      <c r="Z42" s="4323"/>
      <c r="AA42" s="4396"/>
      <c r="AB42" s="4395" t="s">
        <v>368</v>
      </c>
      <c r="AC42" s="4323"/>
      <c r="AD42" s="4396"/>
      <c r="AE42" s="4510" t="s">
        <v>850</v>
      </c>
      <c r="AF42" s="4510"/>
      <c r="AG42" s="4510"/>
      <c r="AH42" s="4237" t="s">
        <v>851</v>
      </c>
      <c r="AI42" s="4238"/>
      <c r="AJ42" s="4240"/>
      <c r="AK42" s="4237" t="s">
        <v>852</v>
      </c>
      <c r="AL42" s="4238"/>
      <c r="AM42" s="4240"/>
      <c r="AN42" s="4237" t="s">
        <v>853</v>
      </c>
      <c r="AO42" s="4238"/>
      <c r="AP42" s="4240"/>
      <c r="AQ42" s="4237" t="s">
        <v>377</v>
      </c>
      <c r="AR42" s="4238"/>
      <c r="AS42" s="4240"/>
      <c r="AT42" s="4237" t="s">
        <v>241</v>
      </c>
      <c r="AU42" s="4238"/>
      <c r="AV42" s="4240"/>
      <c r="DP42" s="4253" t="s">
        <v>241</v>
      </c>
      <c r="DQ42" s="4253"/>
      <c r="DR42" s="4253"/>
      <c r="DS42" s="4253"/>
      <c r="DT42" s="4253"/>
    </row>
    <row r="43" spans="1:124" ht="65.25" customHeight="1" thickBot="1" x14ac:dyDescent="0.5">
      <c r="A43" s="5181"/>
      <c r="B43" s="5182"/>
      <c r="C43" s="5182"/>
      <c r="D43" s="5183"/>
      <c r="E43" s="5307"/>
      <c r="F43" s="2104" t="s">
        <v>287</v>
      </c>
      <c r="G43" s="2104" t="s">
        <v>289</v>
      </c>
      <c r="H43" s="2105" t="s">
        <v>288</v>
      </c>
      <c r="I43" s="1515" t="s">
        <v>287</v>
      </c>
      <c r="J43" s="1515" t="s">
        <v>289</v>
      </c>
      <c r="K43" s="1516" t="s">
        <v>288</v>
      </c>
      <c r="L43" s="1515" t="s">
        <v>287</v>
      </c>
      <c r="M43" s="1515" t="s">
        <v>289</v>
      </c>
      <c r="N43" s="1516" t="s">
        <v>288</v>
      </c>
      <c r="O43" s="1730" t="s">
        <v>287</v>
      </c>
      <c r="P43" s="1730" t="s">
        <v>289</v>
      </c>
      <c r="Q43" s="1731" t="s">
        <v>288</v>
      </c>
      <c r="R43" s="5287"/>
      <c r="S43" s="1730" t="s">
        <v>287</v>
      </c>
      <c r="T43" s="1730" t="s">
        <v>289</v>
      </c>
      <c r="U43" s="1731" t="s">
        <v>288</v>
      </c>
      <c r="W43" s="1515" t="s">
        <v>287</v>
      </c>
      <c r="X43" s="1515"/>
      <c r="Y43" s="1515"/>
      <c r="Z43" s="1515" t="s">
        <v>289</v>
      </c>
      <c r="AA43" s="1516" t="s">
        <v>288</v>
      </c>
      <c r="AB43" s="1515" t="s">
        <v>287</v>
      </c>
      <c r="AC43" s="1515" t="s">
        <v>289</v>
      </c>
      <c r="AD43" s="1516" t="s">
        <v>288</v>
      </c>
      <c r="AE43" s="1515" t="s">
        <v>287</v>
      </c>
      <c r="AF43" s="1515" t="s">
        <v>289</v>
      </c>
      <c r="AG43" s="1516" t="s">
        <v>288</v>
      </c>
      <c r="AH43" s="1515" t="s">
        <v>287</v>
      </c>
      <c r="AI43" s="1515" t="s">
        <v>289</v>
      </c>
      <c r="AJ43" s="1515" t="s">
        <v>288</v>
      </c>
      <c r="AK43" s="1515" t="s">
        <v>287</v>
      </c>
      <c r="AL43" s="1515" t="s">
        <v>289</v>
      </c>
      <c r="AM43" s="1515" t="s">
        <v>288</v>
      </c>
      <c r="AN43" s="1515" t="s">
        <v>287</v>
      </c>
      <c r="AO43" s="1515" t="s">
        <v>289</v>
      </c>
      <c r="AP43" s="1515" t="s">
        <v>288</v>
      </c>
      <c r="AQ43" s="1515" t="s">
        <v>287</v>
      </c>
      <c r="AR43" s="1515" t="s">
        <v>289</v>
      </c>
      <c r="AS43" s="1515" t="s">
        <v>288</v>
      </c>
      <c r="AT43" s="1515" t="s">
        <v>287</v>
      </c>
      <c r="AU43" s="1515" t="s">
        <v>289</v>
      </c>
      <c r="AV43" s="1515" t="s">
        <v>288</v>
      </c>
      <c r="DP43" s="979" t="s">
        <v>370</v>
      </c>
      <c r="DQ43" s="979" t="s">
        <v>25</v>
      </c>
      <c r="DR43" s="979" t="s">
        <v>371</v>
      </c>
      <c r="DS43" s="979" t="s">
        <v>241</v>
      </c>
      <c r="DT43" s="979"/>
    </row>
    <row r="44" spans="1:124" ht="65.25" customHeight="1" x14ac:dyDescent="0.45">
      <c r="A44" s="4065" t="s">
        <v>57</v>
      </c>
      <c r="B44" s="1947">
        <v>5030</v>
      </c>
      <c r="C44" s="4597" t="s">
        <v>164</v>
      </c>
      <c r="D44" s="4597"/>
      <c r="E44" s="1543">
        <f>+E228</f>
        <v>0</v>
      </c>
      <c r="F44" s="2273">
        <f ca="1">+O44</f>
        <v>0</v>
      </c>
      <c r="G44" s="2273">
        <f t="shared" ref="G44:H51" ca="1" si="31">+P44</f>
        <v>0</v>
      </c>
      <c r="H44" s="2273">
        <f t="shared" ca="1" si="31"/>
        <v>0</v>
      </c>
      <c r="I44" s="1543">
        <f t="shared" ref="I44:N45" si="32">+I228</f>
        <v>0</v>
      </c>
      <c r="J44" s="1543">
        <f t="shared" si="32"/>
        <v>0</v>
      </c>
      <c r="K44" s="1543">
        <f t="shared" si="32"/>
        <v>0</v>
      </c>
      <c r="L44" s="1543">
        <f t="shared" ca="1" si="32"/>
        <v>0</v>
      </c>
      <c r="M44" s="1543">
        <f t="shared" ca="1" si="32"/>
        <v>0</v>
      </c>
      <c r="N44" s="1543">
        <f t="shared" ca="1" si="32"/>
        <v>0</v>
      </c>
      <c r="O44" s="2083">
        <f ca="1">+S44</f>
        <v>0</v>
      </c>
      <c r="P44" s="2083">
        <f t="shared" ref="P44:Q44" ca="1" si="33">+T44</f>
        <v>0</v>
      </c>
      <c r="Q44" s="2083">
        <f t="shared" ca="1" si="33"/>
        <v>0</v>
      </c>
      <c r="R44" s="1743">
        <f t="shared" ref="R44:R51" si="34">+IF(E44=0,0,SUM(I44:K44)/E44)</f>
        <v>0</v>
      </c>
      <c r="S44" s="2085">
        <f t="shared" ref="S44:U50" ca="1" si="35">+I44+L44</f>
        <v>0</v>
      </c>
      <c r="T44" s="2085">
        <f t="shared" ca="1" si="35"/>
        <v>0</v>
      </c>
      <c r="U44" s="2085">
        <f t="shared" ca="1" si="35"/>
        <v>0</v>
      </c>
      <c r="V44" s="1568" t="s">
        <v>394</v>
      </c>
      <c r="W44" s="1544"/>
      <c r="X44" s="1544"/>
      <c r="Y44" s="1544"/>
      <c r="Z44" s="1544"/>
      <c r="AA44" s="1544"/>
      <c r="AB44" s="1544"/>
      <c r="AC44" s="1544"/>
      <c r="AD44" s="1544"/>
      <c r="AH44" s="1547"/>
      <c r="AI44" s="1547"/>
      <c r="AJ44" s="1547"/>
      <c r="AK44" s="1521"/>
      <c r="AL44" s="1521"/>
      <c r="AM44" s="1521"/>
      <c r="AN44" s="1521"/>
      <c r="AO44" s="1521"/>
      <c r="AP44" s="1521"/>
      <c r="AQ44" s="1521"/>
      <c r="AR44" s="1521"/>
      <c r="AS44" s="1521"/>
      <c r="AT44" s="1548"/>
      <c r="AU44" s="1549"/>
      <c r="AV44" s="1549"/>
      <c r="DP44" s="1659">
        <f t="shared" ref="DP44:DP51" si="36">+IF(E44=0,0,DQ44/DR44)</f>
        <v>0</v>
      </c>
      <c r="DQ44" s="1938">
        <f t="shared" ref="DQ44:DQ51" si="37">+SUM(I44:K44)</f>
        <v>0</v>
      </c>
      <c r="DR44" s="1938">
        <f t="shared" ref="DR44:DR51" si="38">+E44</f>
        <v>0</v>
      </c>
      <c r="DS44" s="1569" t="str">
        <f t="shared" ref="DS44:DS50" si="39">IF(DR44=0,"S.D.",+IF(AND((DQ44/DR44)&gt;500,(DQ44/DR44)&lt;=700),"O.K.","VERIFICAR"))</f>
        <v>S.D.</v>
      </c>
      <c r="DT44" s="1659"/>
    </row>
    <row r="45" spans="1:124" ht="65.25" customHeight="1" x14ac:dyDescent="0.45">
      <c r="A45" s="4181"/>
      <c r="B45" s="1954">
        <v>5040</v>
      </c>
      <c r="C45" s="3743" t="s">
        <v>902</v>
      </c>
      <c r="D45" s="3744"/>
      <c r="E45" s="1543">
        <f>+E229</f>
        <v>0</v>
      </c>
      <c r="F45" s="2273">
        <f t="shared" ref="F45:F51" ca="1" si="40">+O45</f>
        <v>0</v>
      </c>
      <c r="G45" s="2273">
        <f t="shared" ca="1" si="31"/>
        <v>0</v>
      </c>
      <c r="H45" s="2273">
        <f t="shared" ca="1" si="31"/>
        <v>0</v>
      </c>
      <c r="I45" s="1543">
        <f t="shared" si="32"/>
        <v>0</v>
      </c>
      <c r="J45" s="1543">
        <f t="shared" si="32"/>
        <v>0</v>
      </c>
      <c r="K45" s="1543">
        <f t="shared" si="32"/>
        <v>0</v>
      </c>
      <c r="L45" s="1543">
        <f t="shared" ca="1" si="32"/>
        <v>0</v>
      </c>
      <c r="M45" s="1543">
        <f t="shared" ca="1" si="32"/>
        <v>0</v>
      </c>
      <c r="N45" s="1543">
        <f t="shared" ca="1" si="32"/>
        <v>0</v>
      </c>
      <c r="O45" s="2083">
        <f ca="1">+I45+I48+I49+L45+L48+L49</f>
        <v>0</v>
      </c>
      <c r="P45" s="2083">
        <f t="shared" ref="P45:Q45" ca="1" si="41">+J45+J48+J49+M45+M48+M49</f>
        <v>0</v>
      </c>
      <c r="Q45" s="2083">
        <f t="shared" ca="1" si="41"/>
        <v>0</v>
      </c>
      <c r="R45" s="1743">
        <f t="shared" si="34"/>
        <v>0</v>
      </c>
      <c r="S45" s="2085">
        <f t="shared" ca="1" si="35"/>
        <v>0</v>
      </c>
      <c r="T45" s="2085">
        <f t="shared" ca="1" si="35"/>
        <v>0</v>
      </c>
      <c r="U45" s="2085">
        <f t="shared" ca="1" si="35"/>
        <v>0</v>
      </c>
      <c r="V45" s="1570"/>
      <c r="W45" s="1544"/>
      <c r="X45" s="1544"/>
      <c r="Y45" s="1544"/>
      <c r="Z45" s="1544"/>
      <c r="AA45" s="1544"/>
      <c r="AB45" s="1544"/>
      <c r="AC45" s="1544"/>
      <c r="AD45" s="1544"/>
      <c r="AH45" s="1547"/>
      <c r="AI45" s="1547"/>
      <c r="AJ45" s="1547"/>
      <c r="AK45" s="1521"/>
      <c r="AL45" s="1521"/>
      <c r="AM45" s="1521"/>
      <c r="AN45" s="1521"/>
      <c r="AO45" s="1521"/>
      <c r="AP45" s="1521"/>
      <c r="AQ45" s="1521"/>
      <c r="AR45" s="1521"/>
      <c r="AS45" s="1521"/>
      <c r="AT45" s="1548"/>
      <c r="AU45" s="1549"/>
      <c r="AV45" s="1549"/>
      <c r="DP45" s="1659">
        <f t="shared" si="36"/>
        <v>0</v>
      </c>
      <c r="DQ45" s="1938">
        <f t="shared" si="37"/>
        <v>0</v>
      </c>
      <c r="DR45" s="1938">
        <f t="shared" si="38"/>
        <v>0</v>
      </c>
      <c r="DS45" s="1569" t="str">
        <f t="shared" si="39"/>
        <v>S.D.</v>
      </c>
      <c r="DT45" s="1659"/>
    </row>
    <row r="46" spans="1:124" ht="65.25" customHeight="1" x14ac:dyDescent="0.45">
      <c r="A46" s="4181"/>
      <c r="B46" s="1955">
        <v>5050</v>
      </c>
      <c r="C46" s="3742" t="s">
        <v>903</v>
      </c>
      <c r="D46" s="3742"/>
      <c r="E46" s="1543">
        <f t="shared" ref="E46:N50" si="42">+E230</f>
        <v>0</v>
      </c>
      <c r="F46" s="2273">
        <f t="shared" ca="1" si="40"/>
        <v>0</v>
      </c>
      <c r="G46" s="2273">
        <f t="shared" ca="1" si="31"/>
        <v>0</v>
      </c>
      <c r="H46" s="2273">
        <f t="shared" ca="1" si="31"/>
        <v>0</v>
      </c>
      <c r="I46" s="1543">
        <f t="shared" si="42"/>
        <v>0</v>
      </c>
      <c r="J46" s="1543">
        <f t="shared" si="42"/>
        <v>0</v>
      </c>
      <c r="K46" s="1543">
        <f t="shared" si="42"/>
        <v>0</v>
      </c>
      <c r="L46" s="1543">
        <f t="shared" ca="1" si="42"/>
        <v>0</v>
      </c>
      <c r="M46" s="1543">
        <f t="shared" ca="1" si="42"/>
        <v>0</v>
      </c>
      <c r="N46" s="1543">
        <f t="shared" ca="1" si="42"/>
        <v>0</v>
      </c>
      <c r="O46" s="2083">
        <f t="shared" ref="O46:Q47" ca="1" si="43">+S46</f>
        <v>0</v>
      </c>
      <c r="P46" s="2083">
        <f t="shared" ca="1" si="43"/>
        <v>0</v>
      </c>
      <c r="Q46" s="2083">
        <f t="shared" ca="1" si="43"/>
        <v>0</v>
      </c>
      <c r="R46" s="1743">
        <f t="shared" si="34"/>
        <v>0</v>
      </c>
      <c r="S46" s="2085">
        <f t="shared" ca="1" si="35"/>
        <v>0</v>
      </c>
      <c r="T46" s="2085">
        <f t="shared" ca="1" si="35"/>
        <v>0</v>
      </c>
      <c r="U46" s="2085">
        <f t="shared" ca="1" si="35"/>
        <v>0</v>
      </c>
      <c r="V46" s="1570"/>
      <c r="W46" s="1544"/>
      <c r="X46" s="1544"/>
      <c r="Y46" s="1544"/>
      <c r="Z46" s="1544"/>
      <c r="AA46" s="1544"/>
      <c r="AB46" s="1544"/>
      <c r="AC46" s="1544"/>
      <c r="AD46" s="1544"/>
      <c r="AH46" s="1547"/>
      <c r="AI46" s="1547"/>
      <c r="AJ46" s="1547"/>
      <c r="AK46" s="1521"/>
      <c r="AL46" s="1521"/>
      <c r="AM46" s="1521"/>
      <c r="AN46" s="1521"/>
      <c r="AO46" s="1521"/>
      <c r="AP46" s="1521"/>
      <c r="AQ46" s="1521"/>
      <c r="AR46" s="1521"/>
      <c r="AS46" s="1521"/>
      <c r="AT46" s="1548"/>
      <c r="AU46" s="1549"/>
      <c r="AV46" s="1549"/>
      <c r="DP46" s="1659">
        <f t="shared" si="36"/>
        <v>0</v>
      </c>
      <c r="DQ46" s="1938">
        <f t="shared" si="37"/>
        <v>0</v>
      </c>
      <c r="DR46" s="1938">
        <f t="shared" si="38"/>
        <v>0</v>
      </c>
      <c r="DS46" s="1569" t="str">
        <f>+IF(DR46=0,"S.D.",IF(AND((DQ46/DR46)&gt;150,(DQ46/DR46)&lt;=400),"O.K.","VERIFICAR"))</f>
        <v>S.D.</v>
      </c>
      <c r="DT46" s="1659"/>
    </row>
    <row r="47" spans="1:124" ht="65.25" customHeight="1" x14ac:dyDescent="0.45">
      <c r="A47" s="4181"/>
      <c r="B47" s="1955">
        <v>5055</v>
      </c>
      <c r="C47" s="3742" t="s">
        <v>904</v>
      </c>
      <c r="D47" s="3742"/>
      <c r="E47" s="1543">
        <f t="shared" si="42"/>
        <v>0</v>
      </c>
      <c r="F47" s="2273">
        <f t="shared" ca="1" si="40"/>
        <v>0</v>
      </c>
      <c r="G47" s="2273">
        <f t="shared" ca="1" si="31"/>
        <v>0</v>
      </c>
      <c r="H47" s="2273">
        <f t="shared" ca="1" si="31"/>
        <v>0</v>
      </c>
      <c r="I47" s="1543">
        <f t="shared" si="42"/>
        <v>0</v>
      </c>
      <c r="J47" s="1543">
        <f t="shared" si="42"/>
        <v>0</v>
      </c>
      <c r="K47" s="1543">
        <f t="shared" si="42"/>
        <v>0</v>
      </c>
      <c r="L47" s="1543">
        <f t="shared" ca="1" si="42"/>
        <v>0</v>
      </c>
      <c r="M47" s="1543">
        <f t="shared" ca="1" si="42"/>
        <v>0</v>
      </c>
      <c r="N47" s="1543">
        <f t="shared" ca="1" si="42"/>
        <v>0</v>
      </c>
      <c r="O47" s="2083">
        <f t="shared" ca="1" si="43"/>
        <v>0</v>
      </c>
      <c r="P47" s="2083">
        <f t="shared" ca="1" si="43"/>
        <v>0</v>
      </c>
      <c r="Q47" s="2083">
        <f t="shared" ca="1" si="43"/>
        <v>0</v>
      </c>
      <c r="R47" s="1743">
        <f t="shared" si="34"/>
        <v>0</v>
      </c>
      <c r="S47" s="2085">
        <f t="shared" ca="1" si="35"/>
        <v>0</v>
      </c>
      <c r="T47" s="2085">
        <f t="shared" ca="1" si="35"/>
        <v>0</v>
      </c>
      <c r="U47" s="2085">
        <f t="shared" ca="1" si="35"/>
        <v>0</v>
      </c>
      <c r="V47" s="1570"/>
      <c r="W47" s="1544"/>
      <c r="X47" s="1544"/>
      <c r="Y47" s="1544"/>
      <c r="Z47" s="1544"/>
      <c r="AA47" s="1544"/>
      <c r="AB47" s="1544"/>
      <c r="AC47" s="1544"/>
      <c r="AD47" s="1544"/>
      <c r="AH47" s="1547"/>
      <c r="AI47" s="1547"/>
      <c r="AJ47" s="1547"/>
      <c r="AK47" s="1521"/>
      <c r="AL47" s="1521"/>
      <c r="AM47" s="1521"/>
      <c r="AN47" s="1521"/>
      <c r="AO47" s="1521"/>
      <c r="AP47" s="1521"/>
      <c r="AQ47" s="1521"/>
      <c r="AR47" s="1521"/>
      <c r="AS47" s="1521"/>
      <c r="AT47" s="1548"/>
      <c r="AU47" s="1549"/>
      <c r="AV47" s="1549"/>
      <c r="DP47" s="1659">
        <f t="shared" si="36"/>
        <v>0</v>
      </c>
      <c r="DQ47" s="1938">
        <f t="shared" si="37"/>
        <v>0</v>
      </c>
      <c r="DR47" s="1938">
        <f t="shared" si="38"/>
        <v>0</v>
      </c>
      <c r="DS47" s="1569" t="str">
        <f>IF(DR47=0,"S.D.",+IF(AND((DQ47/DR47)&gt;0,(DQ47/DR47)&lt;=300),"O.K.","VERIFICAR"))</f>
        <v>S.D.</v>
      </c>
      <c r="DT47" s="1659"/>
    </row>
    <row r="48" spans="1:124" ht="65.25" customHeight="1" x14ac:dyDescent="0.45">
      <c r="A48" s="4181"/>
      <c r="B48" s="1948">
        <v>5505</v>
      </c>
      <c r="C48" s="3751" t="s">
        <v>220</v>
      </c>
      <c r="D48" s="1957" t="s">
        <v>59</v>
      </c>
      <c r="E48" s="1543">
        <f t="shared" si="42"/>
        <v>0</v>
      </c>
      <c r="F48" s="2273">
        <f t="shared" si="40"/>
        <v>0</v>
      </c>
      <c r="G48" s="2273">
        <f t="shared" si="31"/>
        <v>0</v>
      </c>
      <c r="H48" s="2273">
        <f t="shared" si="31"/>
        <v>0</v>
      </c>
      <c r="I48" s="1543">
        <f t="shared" si="42"/>
        <v>0</v>
      </c>
      <c r="J48" s="1543">
        <f t="shared" si="42"/>
        <v>0</v>
      </c>
      <c r="K48" s="1543">
        <f t="shared" si="42"/>
        <v>0</v>
      </c>
      <c r="L48" s="1543">
        <f t="shared" ca="1" si="42"/>
        <v>0</v>
      </c>
      <c r="M48" s="1543">
        <f t="shared" ca="1" si="42"/>
        <v>0</v>
      </c>
      <c r="N48" s="1543">
        <f t="shared" ca="1" si="42"/>
        <v>0</v>
      </c>
      <c r="O48" s="2083"/>
      <c r="P48" s="2083"/>
      <c r="Q48" s="2083"/>
      <c r="R48" s="1743">
        <f t="shared" si="34"/>
        <v>0</v>
      </c>
      <c r="S48" s="2085">
        <f t="shared" ca="1" si="35"/>
        <v>0</v>
      </c>
      <c r="T48" s="2085">
        <f t="shared" ca="1" si="35"/>
        <v>0</v>
      </c>
      <c r="U48" s="2085">
        <f t="shared" ca="1" si="35"/>
        <v>0</v>
      </c>
      <c r="V48" s="1570"/>
      <c r="W48" s="1544"/>
      <c r="X48" s="1544"/>
      <c r="Y48" s="1544"/>
      <c r="Z48" s="1544"/>
      <c r="AA48" s="1544"/>
      <c r="AB48" s="1544"/>
      <c r="AC48" s="1544"/>
      <c r="AD48" s="1544"/>
      <c r="AH48" s="1547"/>
      <c r="AI48" s="1547"/>
      <c r="AJ48" s="1547"/>
      <c r="AK48" s="1521"/>
      <c r="AL48" s="1521"/>
      <c r="AM48" s="1521"/>
      <c r="AN48" s="1521"/>
      <c r="AO48" s="1521"/>
      <c r="AP48" s="1521"/>
      <c r="AQ48" s="1521"/>
      <c r="AR48" s="1521"/>
      <c r="AS48" s="1521"/>
      <c r="AT48" s="1548"/>
      <c r="AU48" s="1549"/>
      <c r="AV48" s="1549"/>
      <c r="DP48" s="1659">
        <f t="shared" si="36"/>
        <v>0</v>
      </c>
      <c r="DQ48" s="1938">
        <f t="shared" si="37"/>
        <v>0</v>
      </c>
      <c r="DR48" s="1938">
        <f t="shared" si="38"/>
        <v>0</v>
      </c>
      <c r="DS48" s="1569" t="str">
        <f t="shared" si="39"/>
        <v>S.D.</v>
      </c>
      <c r="DT48" s="1659"/>
    </row>
    <row r="49" spans="1:124" ht="65.25" customHeight="1" x14ac:dyDescent="0.45">
      <c r="A49" s="4181"/>
      <c r="B49" s="1949">
        <v>5515</v>
      </c>
      <c r="C49" s="3752"/>
      <c r="D49" s="1958" t="s">
        <v>60</v>
      </c>
      <c r="E49" s="1543">
        <f t="shared" si="42"/>
        <v>0</v>
      </c>
      <c r="F49" s="2273">
        <f t="shared" si="40"/>
        <v>0</v>
      </c>
      <c r="G49" s="2273">
        <f t="shared" si="31"/>
        <v>0</v>
      </c>
      <c r="H49" s="2273">
        <f t="shared" si="31"/>
        <v>0</v>
      </c>
      <c r="I49" s="1543">
        <f t="shared" si="42"/>
        <v>0</v>
      </c>
      <c r="J49" s="1543">
        <f t="shared" si="42"/>
        <v>0</v>
      </c>
      <c r="K49" s="1543">
        <f t="shared" si="42"/>
        <v>0</v>
      </c>
      <c r="L49" s="1543">
        <f t="shared" ca="1" si="42"/>
        <v>0</v>
      </c>
      <c r="M49" s="1543">
        <f t="shared" ca="1" si="42"/>
        <v>0</v>
      </c>
      <c r="N49" s="1543">
        <f t="shared" ca="1" si="42"/>
        <v>0</v>
      </c>
      <c r="O49" s="2083"/>
      <c r="P49" s="2083"/>
      <c r="Q49" s="2083"/>
      <c r="R49" s="1743">
        <f t="shared" si="34"/>
        <v>0</v>
      </c>
      <c r="S49" s="2085">
        <f t="shared" ca="1" si="35"/>
        <v>0</v>
      </c>
      <c r="T49" s="2085">
        <f t="shared" ca="1" si="35"/>
        <v>0</v>
      </c>
      <c r="U49" s="2085">
        <f t="shared" ca="1" si="35"/>
        <v>0</v>
      </c>
      <c r="V49" s="1570"/>
      <c r="W49" s="1544"/>
      <c r="X49" s="1544"/>
      <c r="Y49" s="1544"/>
      <c r="Z49" s="1544"/>
      <c r="AA49" s="1544"/>
      <c r="AB49" s="1544"/>
      <c r="AC49" s="1544"/>
      <c r="AD49" s="1544"/>
      <c r="AH49" s="1547"/>
      <c r="AI49" s="1547"/>
      <c r="AJ49" s="1547"/>
      <c r="AK49" s="1521"/>
      <c r="AL49" s="1521"/>
      <c r="AM49" s="1521"/>
      <c r="AN49" s="1521"/>
      <c r="AO49" s="1521"/>
      <c r="AP49" s="1521"/>
      <c r="AQ49" s="1521"/>
      <c r="AR49" s="1521"/>
      <c r="AS49" s="1521"/>
      <c r="AT49" s="1548"/>
      <c r="AU49" s="1549"/>
      <c r="AV49" s="1549"/>
      <c r="DP49" s="1659">
        <f t="shared" si="36"/>
        <v>0</v>
      </c>
      <c r="DQ49" s="1938">
        <f t="shared" si="37"/>
        <v>0</v>
      </c>
      <c r="DR49" s="1938">
        <f t="shared" si="38"/>
        <v>0</v>
      </c>
      <c r="DS49" s="1569" t="str">
        <f t="shared" si="39"/>
        <v>S.D.</v>
      </c>
      <c r="DT49" s="1659"/>
    </row>
    <row r="50" spans="1:124" ht="65.25" customHeight="1" x14ac:dyDescent="0.45">
      <c r="A50" s="4181"/>
      <c r="B50" s="1953">
        <v>6000</v>
      </c>
      <c r="C50" s="4590" t="s">
        <v>580</v>
      </c>
      <c r="D50" s="4591"/>
      <c r="E50" s="1543" t="e">
        <f t="shared" si="42"/>
        <v>#REF!</v>
      </c>
      <c r="F50" s="2273" t="e">
        <f t="shared" si="40"/>
        <v>#REF!</v>
      </c>
      <c r="G50" s="2273" t="e">
        <f t="shared" si="31"/>
        <v>#REF!</v>
      </c>
      <c r="H50" s="2273" t="e">
        <f t="shared" si="31"/>
        <v>#REF!</v>
      </c>
      <c r="I50" s="1543" t="e">
        <f t="shared" si="42"/>
        <v>#REF!</v>
      </c>
      <c r="J50" s="1543" t="e">
        <f t="shared" si="42"/>
        <v>#REF!</v>
      </c>
      <c r="K50" s="1543" t="e">
        <f t="shared" si="42"/>
        <v>#REF!</v>
      </c>
      <c r="L50" s="1543" t="e">
        <f t="shared" si="42"/>
        <v>#REF!</v>
      </c>
      <c r="M50" s="1543" t="e">
        <f t="shared" si="42"/>
        <v>#REF!</v>
      </c>
      <c r="N50" s="1543" t="e">
        <f t="shared" si="42"/>
        <v>#REF!</v>
      </c>
      <c r="O50" s="2083" t="e">
        <f>+S50</f>
        <v>#REF!</v>
      </c>
      <c r="P50" s="2083" t="e">
        <f t="shared" ref="P50:Q50" si="44">+T50</f>
        <v>#REF!</v>
      </c>
      <c r="Q50" s="2083" t="e">
        <f t="shared" si="44"/>
        <v>#REF!</v>
      </c>
      <c r="R50" s="1743" t="e">
        <f t="shared" si="34"/>
        <v>#REF!</v>
      </c>
      <c r="S50" s="2085" t="e">
        <f t="shared" si="35"/>
        <v>#REF!</v>
      </c>
      <c r="T50" s="2085" t="e">
        <f t="shared" si="35"/>
        <v>#REF!</v>
      </c>
      <c r="U50" s="2085" t="e">
        <f t="shared" si="35"/>
        <v>#REF!</v>
      </c>
      <c r="V50" s="1570"/>
      <c r="W50" s="1543" t="e">
        <f>+I50-#REF!</f>
        <v>#REF!</v>
      </c>
      <c r="X50" s="1543"/>
      <c r="Y50" s="1543"/>
      <c r="Z50" s="1543" t="e">
        <f>+J50-#REF!</f>
        <v>#REF!</v>
      </c>
      <c r="AA50" s="1543" t="e">
        <f>+K50-#REF!</f>
        <v>#REF!</v>
      </c>
      <c r="AB50" s="1543" t="e">
        <f>+IF( L50=0,0,(W50/I50)*L50)</f>
        <v>#REF!</v>
      </c>
      <c r="AC50" s="1543" t="e">
        <f>+IF(M50=0,0,(Z50/J50)*M50)</f>
        <v>#REF!</v>
      </c>
      <c r="AD50" s="1543" t="e">
        <f>+IF(N50=0,0,(AA50/K50)*N50)</f>
        <v>#REF!</v>
      </c>
      <c r="AE50" s="1543" t="e">
        <f>+W50+AB50</f>
        <v>#REF!</v>
      </c>
      <c r="AF50" s="1543" t="e">
        <f>+Z50+AC50</f>
        <v>#REF!</v>
      </c>
      <c r="AG50" s="1543" t="e">
        <f>+AA50+AD50</f>
        <v>#REF!</v>
      </c>
      <c r="AH50" s="1553" t="e">
        <f>+#REF!</f>
        <v>#REF!</v>
      </c>
      <c r="AI50" s="1553" t="e">
        <f>+#REF!</f>
        <v>#REF!</v>
      </c>
      <c r="AJ50" s="1553" t="e">
        <f>+#REF!</f>
        <v>#REF!</v>
      </c>
      <c r="AK50" s="1553" t="e">
        <f>+L50-AB50</f>
        <v>#REF!</v>
      </c>
      <c r="AL50" s="1553" t="e">
        <f>+M50-AC50</f>
        <v>#REF!</v>
      </c>
      <c r="AM50" s="1553" t="e">
        <f>+N50-AD50</f>
        <v>#REF!</v>
      </c>
      <c r="AN50" s="1553" t="e">
        <f>+AH50+AK50</f>
        <v>#REF!</v>
      </c>
      <c r="AO50" s="1553" t="e">
        <f>+AI50+AL50</f>
        <v>#REF!</v>
      </c>
      <c r="AP50" s="1553" t="e">
        <f>+AJ50+AM50</f>
        <v>#REF!</v>
      </c>
      <c r="AQ50" s="1554" t="e">
        <f>+W50+AB50+AH50+AK50</f>
        <v>#REF!</v>
      </c>
      <c r="AR50" s="1554" t="e">
        <f>+Z50+AC50+AI50+AL50</f>
        <v>#REF!</v>
      </c>
      <c r="AS50" s="1554" t="e">
        <f>+AA50+AD50+AJ50+AM50</f>
        <v>#REF!</v>
      </c>
      <c r="AT50" s="1554" t="e">
        <f>+AB50+AE50+AK50+AN50</f>
        <v>#REF!</v>
      </c>
      <c r="AU50" s="1554" t="e">
        <f>+AC50+AF50+AL50+AO50</f>
        <v>#REF!</v>
      </c>
      <c r="AV50" s="1554" t="e">
        <f>+AD50+AG50+AM50+AP50</f>
        <v>#REF!</v>
      </c>
      <c r="DP50" s="1659" t="e">
        <f t="shared" si="36"/>
        <v>#REF!</v>
      </c>
      <c r="DQ50" s="1938" t="e">
        <f t="shared" si="37"/>
        <v>#REF!</v>
      </c>
      <c r="DR50" s="1938" t="e">
        <f t="shared" si="38"/>
        <v>#REF!</v>
      </c>
      <c r="DS50" s="1569" t="e">
        <f t="shared" si="39"/>
        <v>#REF!</v>
      </c>
      <c r="DT50" s="1659"/>
    </row>
    <row r="51" spans="1:124" ht="65.25" customHeight="1" x14ac:dyDescent="0.45">
      <c r="A51" s="1572"/>
      <c r="B51" s="5308" t="s">
        <v>395</v>
      </c>
      <c r="C51" s="5309"/>
      <c r="D51" s="5310"/>
      <c r="E51" s="1557" t="e">
        <f t="shared" ref="E51:Q51" si="45">SUM(E44:E50)</f>
        <v>#REF!</v>
      </c>
      <c r="F51" s="2106" t="e">
        <f t="shared" ca="1" si="40"/>
        <v>#REF!</v>
      </c>
      <c r="G51" s="2106" t="e">
        <f t="shared" ca="1" si="31"/>
        <v>#REF!</v>
      </c>
      <c r="H51" s="2106" t="e">
        <f t="shared" ca="1" si="31"/>
        <v>#REF!</v>
      </c>
      <c r="I51" s="1557" t="e">
        <f t="shared" si="45"/>
        <v>#REF!</v>
      </c>
      <c r="J51" s="1557" t="e">
        <f t="shared" si="45"/>
        <v>#REF!</v>
      </c>
      <c r="K51" s="1557" t="e">
        <f t="shared" si="45"/>
        <v>#REF!</v>
      </c>
      <c r="L51" s="1557" t="e">
        <f t="shared" ca="1" si="45"/>
        <v>#REF!</v>
      </c>
      <c r="M51" s="1557" t="e">
        <f t="shared" ca="1" si="45"/>
        <v>#REF!</v>
      </c>
      <c r="N51" s="1557" t="e">
        <f t="shared" ca="1" si="45"/>
        <v>#REF!</v>
      </c>
      <c r="O51" s="2090" t="e">
        <f t="shared" ca="1" si="45"/>
        <v>#REF!</v>
      </c>
      <c r="P51" s="2090" t="e">
        <f t="shared" ca="1" si="45"/>
        <v>#REF!</v>
      </c>
      <c r="Q51" s="2090" t="e">
        <f t="shared" ca="1" si="45"/>
        <v>#REF!</v>
      </c>
      <c r="R51" s="1743" t="e">
        <f t="shared" si="34"/>
        <v>#REF!</v>
      </c>
      <c r="S51" s="2085" t="e">
        <f ca="1">SUM(S44:S50)</f>
        <v>#REF!</v>
      </c>
      <c r="T51" s="2085" t="e">
        <f ca="1">SUM(T44:T50)</f>
        <v>#REF!</v>
      </c>
      <c r="U51" s="2091" t="e">
        <f ca="1">SUM(U44:U50)</f>
        <v>#REF!</v>
      </c>
      <c r="V51" s="1560" t="e">
        <f ca="1">SUM(O51:Q51)</f>
        <v>#REF!</v>
      </c>
      <c r="W51" s="1557" t="e">
        <f>SUM(W44:W50)</f>
        <v>#REF!</v>
      </c>
      <c r="X51" s="1557"/>
      <c r="Y51" s="1557"/>
      <c r="Z51" s="1557" t="e">
        <f t="shared" ref="Z51:AV51" si="46">SUM(Z44:Z50)</f>
        <v>#REF!</v>
      </c>
      <c r="AA51" s="1557" t="e">
        <f t="shared" si="46"/>
        <v>#REF!</v>
      </c>
      <c r="AB51" s="1557" t="e">
        <f t="shared" si="46"/>
        <v>#REF!</v>
      </c>
      <c r="AC51" s="1557" t="e">
        <f t="shared" si="46"/>
        <v>#REF!</v>
      </c>
      <c r="AD51" s="1557" t="e">
        <f t="shared" si="46"/>
        <v>#REF!</v>
      </c>
      <c r="AE51" s="1557" t="e">
        <f t="shared" si="46"/>
        <v>#REF!</v>
      </c>
      <c r="AF51" s="1557" t="e">
        <f t="shared" si="46"/>
        <v>#REF!</v>
      </c>
      <c r="AG51" s="1557" t="e">
        <f t="shared" si="46"/>
        <v>#REF!</v>
      </c>
      <c r="AH51" s="1557" t="e">
        <f t="shared" si="46"/>
        <v>#REF!</v>
      </c>
      <c r="AI51" s="1557" t="e">
        <f t="shared" si="46"/>
        <v>#REF!</v>
      </c>
      <c r="AJ51" s="1557" t="e">
        <f t="shared" si="46"/>
        <v>#REF!</v>
      </c>
      <c r="AK51" s="1557" t="e">
        <f t="shared" si="46"/>
        <v>#REF!</v>
      </c>
      <c r="AL51" s="1557" t="e">
        <f t="shared" si="46"/>
        <v>#REF!</v>
      </c>
      <c r="AM51" s="1557" t="e">
        <f t="shared" si="46"/>
        <v>#REF!</v>
      </c>
      <c r="AN51" s="1557" t="e">
        <f t="shared" si="46"/>
        <v>#REF!</v>
      </c>
      <c r="AO51" s="1557" t="e">
        <f t="shared" si="46"/>
        <v>#REF!</v>
      </c>
      <c r="AP51" s="1557" t="e">
        <f t="shared" si="46"/>
        <v>#REF!</v>
      </c>
      <c r="AQ51" s="1557" t="e">
        <f t="shared" si="46"/>
        <v>#REF!</v>
      </c>
      <c r="AR51" s="1557" t="e">
        <f t="shared" si="46"/>
        <v>#REF!</v>
      </c>
      <c r="AS51" s="1557" t="e">
        <f t="shared" si="46"/>
        <v>#REF!</v>
      </c>
      <c r="AT51" s="1557" t="e">
        <f t="shared" si="46"/>
        <v>#REF!</v>
      </c>
      <c r="AU51" s="1557" t="e">
        <f t="shared" si="46"/>
        <v>#REF!</v>
      </c>
      <c r="AV51" s="1557" t="e">
        <f t="shared" si="46"/>
        <v>#REF!</v>
      </c>
      <c r="DP51" s="1659" t="e">
        <f t="shared" si="36"/>
        <v>#REF!</v>
      </c>
      <c r="DQ51" s="1938" t="e">
        <f t="shared" si="37"/>
        <v>#REF!</v>
      </c>
      <c r="DR51" s="1938" t="e">
        <f t="shared" si="38"/>
        <v>#REF!</v>
      </c>
      <c r="DS51" s="1569"/>
      <c r="DT51" s="1549"/>
    </row>
    <row r="52" spans="1:124" ht="65.25" customHeight="1" x14ac:dyDescent="0.45">
      <c r="A52" s="5039"/>
      <c r="B52" s="5040"/>
      <c r="C52" s="5040"/>
      <c r="D52" s="5040"/>
      <c r="E52" s="5040"/>
      <c r="F52" s="5040"/>
      <c r="G52" s="5040"/>
      <c r="H52" s="5040"/>
      <c r="I52" s="5040"/>
      <c r="J52" s="5040"/>
      <c r="K52" s="5040"/>
      <c r="L52" s="5040"/>
      <c r="M52" s="5040"/>
      <c r="N52" s="5040"/>
      <c r="O52" s="5040"/>
      <c r="P52" s="5040"/>
      <c r="Q52" s="5041"/>
      <c r="R52" s="2239"/>
      <c r="S52" s="2239"/>
      <c r="T52" s="2239"/>
      <c r="U52" s="2239"/>
      <c r="V52" s="1573"/>
      <c r="W52" s="1573"/>
      <c r="X52" s="1573"/>
      <c r="Y52" s="1573"/>
      <c r="DP52" s="1490"/>
    </row>
    <row r="53" spans="1:124" ht="65.25" customHeight="1" thickBot="1" x14ac:dyDescent="0.5">
      <c r="A53" s="5166"/>
      <c r="B53" s="5167"/>
      <c r="C53" s="5167"/>
      <c r="D53" s="5167"/>
      <c r="E53" s="5167"/>
      <c r="F53" s="5167"/>
      <c r="G53" s="5167"/>
      <c r="H53" s="5167"/>
      <c r="I53" s="5167"/>
      <c r="J53" s="5167"/>
      <c r="K53" s="5167"/>
      <c r="L53" s="5167"/>
      <c r="M53" s="5167"/>
      <c r="N53" s="5167"/>
      <c r="O53" s="5167"/>
      <c r="P53" s="5167"/>
      <c r="Q53" s="5288"/>
      <c r="R53" s="2239"/>
      <c r="S53" s="2239"/>
      <c r="T53" s="2239"/>
      <c r="U53" s="2239"/>
      <c r="V53" s="1573"/>
      <c r="W53" s="1573"/>
      <c r="X53" s="1573"/>
      <c r="Y53" s="1573"/>
      <c r="DP53" s="1490"/>
    </row>
    <row r="54" spans="1:124" s="1540" customFormat="1" ht="65.25" customHeight="1" x14ac:dyDescent="0.5">
      <c r="A54" s="5178" t="s">
        <v>396</v>
      </c>
      <c r="B54" s="5179"/>
      <c r="C54" s="5179"/>
      <c r="D54" s="5180"/>
      <c r="E54" s="4397" t="s">
        <v>101</v>
      </c>
      <c r="F54" s="5348" t="s">
        <v>899</v>
      </c>
      <c r="G54" s="5349"/>
      <c r="H54" s="5350"/>
      <c r="I54" s="4258" t="s">
        <v>304</v>
      </c>
      <c r="J54" s="4259"/>
      <c r="K54" s="4260"/>
      <c r="L54" s="4258" t="s">
        <v>368</v>
      </c>
      <c r="M54" s="4259"/>
      <c r="N54" s="4260"/>
      <c r="O54" s="4216" t="s">
        <v>900</v>
      </c>
      <c r="P54" s="4217"/>
      <c r="Q54" s="4218"/>
      <c r="R54" s="5286" t="s">
        <v>370</v>
      </c>
      <c r="S54" s="4325" t="s">
        <v>377</v>
      </c>
      <c r="T54" s="4325"/>
      <c r="U54" s="5229"/>
      <c r="V54" s="1574"/>
      <c r="W54" s="4395" t="s">
        <v>304</v>
      </c>
      <c r="X54" s="4323"/>
      <c r="Y54" s="4323"/>
      <c r="Z54" s="4323"/>
      <c r="AA54" s="4396"/>
      <c r="AB54" s="4395" t="s">
        <v>368</v>
      </c>
      <c r="AC54" s="4323"/>
      <c r="AD54" s="4396"/>
      <c r="AE54" s="4510" t="s">
        <v>850</v>
      </c>
      <c r="AF54" s="4510"/>
      <c r="AG54" s="4510"/>
      <c r="AH54" s="4237" t="s">
        <v>851</v>
      </c>
      <c r="AI54" s="4238"/>
      <c r="AJ54" s="4240"/>
      <c r="AK54" s="4237" t="s">
        <v>852</v>
      </c>
      <c r="AL54" s="4238"/>
      <c r="AM54" s="4240"/>
      <c r="AN54" s="4237" t="s">
        <v>853</v>
      </c>
      <c r="AO54" s="4238"/>
      <c r="AP54" s="4240"/>
      <c r="AQ54" s="4237" t="s">
        <v>377</v>
      </c>
      <c r="AR54" s="4238"/>
      <c r="AS54" s="4240"/>
      <c r="AT54" s="4237" t="s">
        <v>241</v>
      </c>
      <c r="AU54" s="4238"/>
      <c r="AV54" s="4240"/>
      <c r="DP54" s="4253" t="s">
        <v>241</v>
      </c>
      <c r="DQ54" s="4253"/>
      <c r="DR54" s="4253"/>
      <c r="DS54" s="4253"/>
      <c r="DT54" s="4253"/>
    </row>
    <row r="55" spans="1:124" s="1540" customFormat="1" ht="65.25" customHeight="1" thickBot="1" x14ac:dyDescent="0.5">
      <c r="A55" s="5181"/>
      <c r="B55" s="5182"/>
      <c r="C55" s="5182"/>
      <c r="D55" s="5183"/>
      <c r="E55" s="5284"/>
      <c r="F55" s="2104" t="s">
        <v>287</v>
      </c>
      <c r="G55" s="2104" t="s">
        <v>289</v>
      </c>
      <c r="H55" s="2105" t="s">
        <v>288</v>
      </c>
      <c r="I55" s="1575" t="s">
        <v>287</v>
      </c>
      <c r="J55" s="1575" t="s">
        <v>289</v>
      </c>
      <c r="K55" s="1576" t="s">
        <v>288</v>
      </c>
      <c r="L55" s="1575" t="s">
        <v>287</v>
      </c>
      <c r="M55" s="1575" t="s">
        <v>289</v>
      </c>
      <c r="N55" s="1576" t="s">
        <v>288</v>
      </c>
      <c r="O55" s="1730" t="s">
        <v>287</v>
      </c>
      <c r="P55" s="1730" t="s">
        <v>289</v>
      </c>
      <c r="Q55" s="1731" t="s">
        <v>288</v>
      </c>
      <c r="R55" s="5287"/>
      <c r="S55" s="1730" t="s">
        <v>287</v>
      </c>
      <c r="T55" s="1730" t="s">
        <v>289</v>
      </c>
      <c r="U55" s="1731" t="s">
        <v>288</v>
      </c>
      <c r="V55" s="1574"/>
      <c r="W55" s="1515" t="s">
        <v>287</v>
      </c>
      <c r="X55" s="1515"/>
      <c r="Y55" s="1515"/>
      <c r="Z55" s="1515" t="s">
        <v>289</v>
      </c>
      <c r="AA55" s="1516" t="s">
        <v>288</v>
      </c>
      <c r="AB55" s="1515" t="s">
        <v>287</v>
      </c>
      <c r="AC55" s="1515" t="s">
        <v>289</v>
      </c>
      <c r="AD55" s="1516" t="s">
        <v>288</v>
      </c>
      <c r="AE55" s="1515" t="s">
        <v>287</v>
      </c>
      <c r="AF55" s="1515" t="s">
        <v>289</v>
      </c>
      <c r="AG55" s="1516" t="s">
        <v>288</v>
      </c>
      <c r="AH55" s="1515" t="s">
        <v>287</v>
      </c>
      <c r="AI55" s="1515" t="s">
        <v>289</v>
      </c>
      <c r="AJ55" s="1515" t="s">
        <v>288</v>
      </c>
      <c r="AK55" s="1515" t="s">
        <v>287</v>
      </c>
      <c r="AL55" s="1515" t="s">
        <v>289</v>
      </c>
      <c r="AM55" s="1515" t="s">
        <v>288</v>
      </c>
      <c r="AN55" s="1515" t="s">
        <v>287</v>
      </c>
      <c r="AO55" s="1515" t="s">
        <v>289</v>
      </c>
      <c r="AP55" s="1515" t="s">
        <v>288</v>
      </c>
      <c r="AQ55" s="1515" t="s">
        <v>287</v>
      </c>
      <c r="AR55" s="1515" t="s">
        <v>289</v>
      </c>
      <c r="AS55" s="1515" t="s">
        <v>288</v>
      </c>
      <c r="AT55" s="1515" t="s">
        <v>287</v>
      </c>
      <c r="AU55" s="1515" t="s">
        <v>289</v>
      </c>
      <c r="AV55" s="1515" t="s">
        <v>288</v>
      </c>
      <c r="DP55" s="979" t="s">
        <v>370</v>
      </c>
      <c r="DQ55" s="979" t="s">
        <v>25</v>
      </c>
      <c r="DR55" s="979" t="s">
        <v>371</v>
      </c>
      <c r="DS55" s="979" t="s">
        <v>241</v>
      </c>
      <c r="DT55" s="979"/>
    </row>
    <row r="56" spans="1:124" ht="65.25" customHeight="1" x14ac:dyDescent="0.45">
      <c r="A56" s="4596" t="s">
        <v>62</v>
      </c>
      <c r="B56" s="1947">
        <v>5030</v>
      </c>
      <c r="C56" s="4597" t="s">
        <v>164</v>
      </c>
      <c r="D56" s="4597"/>
      <c r="E56" s="1543">
        <f>+E235</f>
        <v>0</v>
      </c>
      <c r="F56" s="2273">
        <f ca="1">+O56</f>
        <v>0</v>
      </c>
      <c r="G56" s="2273">
        <f t="shared" ref="G56:H63" ca="1" si="47">+P56</f>
        <v>0</v>
      </c>
      <c r="H56" s="2273">
        <f t="shared" ca="1" si="47"/>
        <v>0</v>
      </c>
      <c r="I56" s="1543">
        <f t="shared" ref="I56:N57" si="48">+I235</f>
        <v>0</v>
      </c>
      <c r="J56" s="1543">
        <f t="shared" si="48"/>
        <v>0</v>
      </c>
      <c r="K56" s="1543">
        <f t="shared" si="48"/>
        <v>0</v>
      </c>
      <c r="L56" s="1543">
        <f t="shared" ca="1" si="48"/>
        <v>0</v>
      </c>
      <c r="M56" s="1543">
        <f t="shared" ca="1" si="48"/>
        <v>0</v>
      </c>
      <c r="N56" s="1543">
        <f t="shared" ca="1" si="48"/>
        <v>0</v>
      </c>
      <c r="O56" s="2083">
        <f ca="1">+S56</f>
        <v>0</v>
      </c>
      <c r="P56" s="2083">
        <f t="shared" ref="P56:Q56" ca="1" si="49">+T56</f>
        <v>0</v>
      </c>
      <c r="Q56" s="2083">
        <f t="shared" ca="1" si="49"/>
        <v>0</v>
      </c>
      <c r="R56" s="1743">
        <f t="shared" ref="R56:R63" si="50">+IF(E56=0,0,SUM(I56:K56)/E56)</f>
        <v>0</v>
      </c>
      <c r="S56" s="2085">
        <f t="shared" ref="S56:U62" ca="1" si="51">+I56+L56</f>
        <v>0</v>
      </c>
      <c r="T56" s="2085">
        <f t="shared" ca="1" si="51"/>
        <v>0</v>
      </c>
      <c r="U56" s="2091">
        <f t="shared" ca="1" si="51"/>
        <v>0</v>
      </c>
      <c r="V56" s="1577" t="s">
        <v>396</v>
      </c>
      <c r="W56" s="1544"/>
      <c r="X56" s="1544"/>
      <c r="Y56" s="1544"/>
      <c r="Z56" s="1544"/>
      <c r="AA56" s="1544"/>
      <c r="AB56" s="1544"/>
      <c r="AC56" s="1544"/>
      <c r="AD56" s="1544"/>
      <c r="AH56" s="1547"/>
      <c r="AI56" s="1547"/>
      <c r="AJ56" s="1547"/>
      <c r="AK56" s="1521"/>
      <c r="AL56" s="1521"/>
      <c r="AM56" s="1521"/>
      <c r="AN56" s="1521"/>
      <c r="AO56" s="1521"/>
      <c r="AP56" s="1521"/>
      <c r="AQ56" s="1521"/>
      <c r="AR56" s="1521"/>
      <c r="AS56" s="1521"/>
      <c r="AT56" s="1548"/>
      <c r="AU56" s="1549"/>
      <c r="AV56" s="1549"/>
      <c r="DP56" s="1659">
        <f t="shared" ref="DP56:DP63" si="52">+IF(E56=0,0,DQ56/DR56)</f>
        <v>0</v>
      </c>
      <c r="DQ56" s="1938">
        <f t="shared" ref="DQ56:DQ63" si="53">+SUM(I56:K56)</f>
        <v>0</v>
      </c>
      <c r="DR56" s="1938">
        <f t="shared" ref="DR56:DR63" si="54">+E56</f>
        <v>0</v>
      </c>
      <c r="DS56" s="1569" t="str">
        <f t="shared" ref="DS56:DS62" si="55">IF(DR56=0,"S.D.",+IF(AND((DQ56/DR56)&gt;700,(DQ56/DR56)&lt;=1400),"O.K.","VERIFICAR"))</f>
        <v>S.D.</v>
      </c>
      <c r="DT56" s="1659"/>
    </row>
    <row r="57" spans="1:124" ht="65.25" customHeight="1" x14ac:dyDescent="0.45">
      <c r="A57" s="4490"/>
      <c r="B57" s="1954">
        <v>5040</v>
      </c>
      <c r="C57" s="3743" t="s">
        <v>902</v>
      </c>
      <c r="D57" s="3744"/>
      <c r="E57" s="1543">
        <f>+E236</f>
        <v>0</v>
      </c>
      <c r="F57" s="2273">
        <f t="shared" ref="F57:F63" ca="1" si="56">+O57</f>
        <v>0</v>
      </c>
      <c r="G57" s="2273">
        <f t="shared" ca="1" si="47"/>
        <v>0</v>
      </c>
      <c r="H57" s="2273">
        <f t="shared" ca="1" si="47"/>
        <v>0</v>
      </c>
      <c r="I57" s="1543">
        <f t="shared" si="48"/>
        <v>0</v>
      </c>
      <c r="J57" s="1543">
        <f t="shared" si="48"/>
        <v>0</v>
      </c>
      <c r="K57" s="1543">
        <f t="shared" si="48"/>
        <v>0</v>
      </c>
      <c r="L57" s="1543">
        <f t="shared" ca="1" si="48"/>
        <v>0</v>
      </c>
      <c r="M57" s="1543">
        <f t="shared" ca="1" si="48"/>
        <v>0</v>
      </c>
      <c r="N57" s="1543">
        <f t="shared" ca="1" si="48"/>
        <v>0</v>
      </c>
      <c r="O57" s="2083">
        <f ca="1">+I57+I60+I61+L57+L60+L61</f>
        <v>0</v>
      </c>
      <c r="P57" s="2083">
        <f t="shared" ref="P57:Q57" ca="1" si="57">+J57+J60+J61+M57+M60+M61</f>
        <v>0</v>
      </c>
      <c r="Q57" s="2083">
        <f t="shared" ca="1" si="57"/>
        <v>0</v>
      </c>
      <c r="R57" s="1743">
        <f t="shared" si="50"/>
        <v>0</v>
      </c>
      <c r="S57" s="2085">
        <f t="shared" ca="1" si="51"/>
        <v>0</v>
      </c>
      <c r="T57" s="2085">
        <f t="shared" ca="1" si="51"/>
        <v>0</v>
      </c>
      <c r="U57" s="2091">
        <f t="shared" ca="1" si="51"/>
        <v>0</v>
      </c>
      <c r="V57" s="1579"/>
      <c r="W57" s="1544"/>
      <c r="X57" s="1544"/>
      <c r="Y57" s="1544"/>
      <c r="Z57" s="1544"/>
      <c r="AA57" s="1544"/>
      <c r="AB57" s="1544"/>
      <c r="AC57" s="1544"/>
      <c r="AD57" s="1544"/>
      <c r="AH57" s="1547"/>
      <c r="AI57" s="1547"/>
      <c r="AJ57" s="1547"/>
      <c r="AK57" s="1521"/>
      <c r="AL57" s="1521"/>
      <c r="AM57" s="1521"/>
      <c r="AN57" s="1521"/>
      <c r="AO57" s="1521"/>
      <c r="AP57" s="1521"/>
      <c r="AQ57" s="1521"/>
      <c r="AR57" s="1521"/>
      <c r="AS57" s="1521"/>
      <c r="AT57" s="1548"/>
      <c r="AU57" s="1549"/>
      <c r="AV57" s="1549"/>
      <c r="DP57" s="1659">
        <f t="shared" si="52"/>
        <v>0</v>
      </c>
      <c r="DQ57" s="1938">
        <f t="shared" si="53"/>
        <v>0</v>
      </c>
      <c r="DR57" s="1938">
        <f t="shared" si="54"/>
        <v>0</v>
      </c>
      <c r="DS57" s="1569" t="str">
        <f t="shared" si="55"/>
        <v>S.D.</v>
      </c>
      <c r="DT57" s="1659"/>
    </row>
    <row r="58" spans="1:124" ht="65.25" customHeight="1" x14ac:dyDescent="0.45">
      <c r="A58" s="4490"/>
      <c r="B58" s="1955">
        <v>5050</v>
      </c>
      <c r="C58" s="3742" t="s">
        <v>903</v>
      </c>
      <c r="D58" s="3742"/>
      <c r="E58" s="1543">
        <f t="shared" ref="E58:N62" si="58">+E237</f>
        <v>0</v>
      </c>
      <c r="F58" s="2273">
        <f t="shared" ca="1" si="56"/>
        <v>0</v>
      </c>
      <c r="G58" s="2273">
        <f t="shared" ca="1" si="47"/>
        <v>0</v>
      </c>
      <c r="H58" s="2273">
        <f t="shared" ca="1" si="47"/>
        <v>0</v>
      </c>
      <c r="I58" s="1543">
        <f t="shared" si="58"/>
        <v>0</v>
      </c>
      <c r="J58" s="1543">
        <f t="shared" si="58"/>
        <v>0</v>
      </c>
      <c r="K58" s="1543">
        <f t="shared" si="58"/>
        <v>0</v>
      </c>
      <c r="L58" s="1543">
        <f t="shared" ca="1" si="58"/>
        <v>0</v>
      </c>
      <c r="M58" s="1543">
        <f t="shared" ca="1" si="58"/>
        <v>0</v>
      </c>
      <c r="N58" s="1543">
        <f t="shared" ca="1" si="58"/>
        <v>0</v>
      </c>
      <c r="O58" s="2083">
        <f t="shared" ref="O58:Q59" ca="1" si="59">+S58</f>
        <v>0</v>
      </c>
      <c r="P58" s="2083">
        <f t="shared" ca="1" si="59"/>
        <v>0</v>
      </c>
      <c r="Q58" s="2083">
        <f t="shared" ca="1" si="59"/>
        <v>0</v>
      </c>
      <c r="R58" s="1743">
        <f t="shared" si="50"/>
        <v>0</v>
      </c>
      <c r="S58" s="2085">
        <f t="shared" ca="1" si="51"/>
        <v>0</v>
      </c>
      <c r="T58" s="2085">
        <f t="shared" ca="1" si="51"/>
        <v>0</v>
      </c>
      <c r="U58" s="2091">
        <f t="shared" ca="1" si="51"/>
        <v>0</v>
      </c>
      <c r="V58" s="1579"/>
      <c r="W58" s="1544"/>
      <c r="X58" s="1544"/>
      <c r="Y58" s="1544"/>
      <c r="Z58" s="1544"/>
      <c r="AA58" s="1544"/>
      <c r="AB58" s="1544"/>
      <c r="AC58" s="1544"/>
      <c r="AD58" s="1544"/>
      <c r="AH58" s="1547"/>
      <c r="AI58" s="1547"/>
      <c r="AJ58" s="1547"/>
      <c r="AK58" s="1521"/>
      <c r="AL58" s="1521"/>
      <c r="AM58" s="1521"/>
      <c r="AN58" s="1521"/>
      <c r="AO58" s="1521"/>
      <c r="AP58" s="1521"/>
      <c r="AQ58" s="1521"/>
      <c r="AR58" s="1521"/>
      <c r="AS58" s="1521"/>
      <c r="AT58" s="1548"/>
      <c r="AU58" s="1549"/>
      <c r="AV58" s="1549"/>
      <c r="DP58" s="1659">
        <f t="shared" si="52"/>
        <v>0</v>
      </c>
      <c r="DQ58" s="1938">
        <f t="shared" si="53"/>
        <v>0</v>
      </c>
      <c r="DR58" s="1938">
        <f t="shared" si="54"/>
        <v>0</v>
      </c>
      <c r="DS58" s="1569" t="str">
        <f>+IF(DR58=0,"S.D.",IF(AND((DQ58/DR58)&gt;150,(DQ58/DR58)&lt;=400),"O.K.","VERIFICAR"))</f>
        <v>S.D.</v>
      </c>
      <c r="DT58" s="1659"/>
    </row>
    <row r="59" spans="1:124" ht="65.25" customHeight="1" x14ac:dyDescent="0.45">
      <c r="A59" s="4490"/>
      <c r="B59" s="1955">
        <v>5055</v>
      </c>
      <c r="C59" s="3742" t="s">
        <v>904</v>
      </c>
      <c r="D59" s="3742"/>
      <c r="E59" s="1543" t="e">
        <f t="shared" si="58"/>
        <v>#REF!</v>
      </c>
      <c r="F59" s="2273" t="e">
        <f t="shared" si="56"/>
        <v>#REF!</v>
      </c>
      <c r="G59" s="2273" t="e">
        <f t="shared" si="47"/>
        <v>#REF!</v>
      </c>
      <c r="H59" s="2273" t="e">
        <f t="shared" si="47"/>
        <v>#REF!</v>
      </c>
      <c r="I59" s="1543" t="e">
        <f t="shared" si="58"/>
        <v>#REF!</v>
      </c>
      <c r="J59" s="1543" t="e">
        <f t="shared" si="58"/>
        <v>#REF!</v>
      </c>
      <c r="K59" s="1543" t="e">
        <f t="shared" si="58"/>
        <v>#REF!</v>
      </c>
      <c r="L59" s="1543" t="e">
        <f t="shared" si="58"/>
        <v>#REF!</v>
      </c>
      <c r="M59" s="1543" t="e">
        <f t="shared" si="58"/>
        <v>#REF!</v>
      </c>
      <c r="N59" s="1543" t="e">
        <f t="shared" si="58"/>
        <v>#REF!</v>
      </c>
      <c r="O59" s="2083" t="e">
        <f t="shared" si="59"/>
        <v>#REF!</v>
      </c>
      <c r="P59" s="2083" t="e">
        <f t="shared" si="59"/>
        <v>#REF!</v>
      </c>
      <c r="Q59" s="2083" t="e">
        <f t="shared" si="59"/>
        <v>#REF!</v>
      </c>
      <c r="R59" s="1743" t="e">
        <f t="shared" si="50"/>
        <v>#REF!</v>
      </c>
      <c r="S59" s="2085" t="e">
        <f t="shared" si="51"/>
        <v>#REF!</v>
      </c>
      <c r="T59" s="2085" t="e">
        <f t="shared" si="51"/>
        <v>#REF!</v>
      </c>
      <c r="U59" s="2091" t="e">
        <f t="shared" si="51"/>
        <v>#REF!</v>
      </c>
      <c r="V59" s="1579"/>
      <c r="W59" s="1544"/>
      <c r="X59" s="1544"/>
      <c r="Y59" s="1544"/>
      <c r="Z59" s="1544"/>
      <c r="AA59" s="1544"/>
      <c r="AB59" s="1544"/>
      <c r="AC59" s="1544"/>
      <c r="AD59" s="1544"/>
      <c r="AH59" s="1547"/>
      <c r="AI59" s="1547"/>
      <c r="AJ59" s="1547"/>
      <c r="AK59" s="1521"/>
      <c r="AL59" s="1521"/>
      <c r="AM59" s="1521"/>
      <c r="AN59" s="1521"/>
      <c r="AO59" s="1521"/>
      <c r="AP59" s="1521"/>
      <c r="AQ59" s="1521"/>
      <c r="AR59" s="1521"/>
      <c r="AS59" s="1521"/>
      <c r="AT59" s="1548"/>
      <c r="AU59" s="1549"/>
      <c r="AV59" s="1549"/>
      <c r="DP59" s="1659" t="e">
        <f t="shared" si="52"/>
        <v>#REF!</v>
      </c>
      <c r="DQ59" s="1938" t="e">
        <f t="shared" si="53"/>
        <v>#REF!</v>
      </c>
      <c r="DR59" s="1938" t="e">
        <f t="shared" si="54"/>
        <v>#REF!</v>
      </c>
      <c r="DS59" s="1569" t="e">
        <f>IF(DR59=0,"S.D.",+IF(AND((DQ59/DR59)&gt;0,(DQ59/DR59)&lt;=1000),"O.K.","VERIFICAR"))</f>
        <v>#REF!</v>
      </c>
      <c r="DT59" s="1659"/>
    </row>
    <row r="60" spans="1:124" ht="65.25" customHeight="1" x14ac:dyDescent="0.45">
      <c r="A60" s="4490"/>
      <c r="B60" s="1948">
        <v>5506</v>
      </c>
      <c r="C60" s="4074" t="s">
        <v>220</v>
      </c>
      <c r="D60" s="1957" t="s">
        <v>64</v>
      </c>
      <c r="E60" s="1543">
        <f t="shared" si="58"/>
        <v>0</v>
      </c>
      <c r="F60" s="2273">
        <f t="shared" si="56"/>
        <v>0</v>
      </c>
      <c r="G60" s="2273">
        <f t="shared" si="47"/>
        <v>0</v>
      </c>
      <c r="H60" s="2273">
        <f t="shared" si="47"/>
        <v>0</v>
      </c>
      <c r="I60" s="1543">
        <f t="shared" si="58"/>
        <v>0</v>
      </c>
      <c r="J60" s="1543">
        <f t="shared" si="58"/>
        <v>0</v>
      </c>
      <c r="K60" s="1543">
        <f t="shared" si="58"/>
        <v>0</v>
      </c>
      <c r="L60" s="1543">
        <f t="shared" ca="1" si="58"/>
        <v>0</v>
      </c>
      <c r="M60" s="1543">
        <f t="shared" ca="1" si="58"/>
        <v>0</v>
      </c>
      <c r="N60" s="1543">
        <f t="shared" ca="1" si="58"/>
        <v>0</v>
      </c>
      <c r="O60" s="2083"/>
      <c r="P60" s="2083"/>
      <c r="Q60" s="2083"/>
      <c r="R60" s="1743">
        <f t="shared" si="50"/>
        <v>0</v>
      </c>
      <c r="S60" s="2085">
        <f t="shared" ca="1" si="51"/>
        <v>0</v>
      </c>
      <c r="T60" s="2085">
        <f t="shared" ca="1" si="51"/>
        <v>0</v>
      </c>
      <c r="U60" s="2091">
        <f t="shared" ca="1" si="51"/>
        <v>0</v>
      </c>
      <c r="V60" s="1579"/>
      <c r="W60" s="1544"/>
      <c r="X60" s="1544"/>
      <c r="Y60" s="1544"/>
      <c r="Z60" s="1544"/>
      <c r="AA60" s="1544"/>
      <c r="AB60" s="1544"/>
      <c r="AC60" s="1544"/>
      <c r="AD60" s="1544"/>
      <c r="AH60" s="1547"/>
      <c r="AI60" s="1547"/>
      <c r="AJ60" s="1547"/>
      <c r="AK60" s="1521"/>
      <c r="AL60" s="1521"/>
      <c r="AM60" s="1521"/>
      <c r="AN60" s="1521"/>
      <c r="AO60" s="1521"/>
      <c r="AP60" s="1521"/>
      <c r="AQ60" s="1521"/>
      <c r="AR60" s="1521"/>
      <c r="AS60" s="1521"/>
      <c r="AT60" s="1548"/>
      <c r="AU60" s="1549"/>
      <c r="AV60" s="1549"/>
      <c r="DP60" s="1659">
        <f t="shared" si="52"/>
        <v>0</v>
      </c>
      <c r="DQ60" s="1938">
        <f t="shared" si="53"/>
        <v>0</v>
      </c>
      <c r="DR60" s="1938">
        <f t="shared" si="54"/>
        <v>0</v>
      </c>
      <c r="DS60" s="1569" t="str">
        <f t="shared" si="55"/>
        <v>S.D.</v>
      </c>
      <c r="DT60" s="1659"/>
    </row>
    <row r="61" spans="1:124" ht="65.25" customHeight="1" x14ac:dyDescent="0.45">
      <c r="A61" s="4490"/>
      <c r="B61" s="1949">
        <v>5516</v>
      </c>
      <c r="C61" s="4074"/>
      <c r="D61" s="1958" t="s">
        <v>65</v>
      </c>
      <c r="E61" s="1543">
        <f t="shared" si="58"/>
        <v>0</v>
      </c>
      <c r="F61" s="2273">
        <f t="shared" si="56"/>
        <v>0</v>
      </c>
      <c r="G61" s="2273">
        <f t="shared" si="47"/>
        <v>0</v>
      </c>
      <c r="H61" s="2273">
        <f t="shared" si="47"/>
        <v>0</v>
      </c>
      <c r="I61" s="1543">
        <f t="shared" si="58"/>
        <v>0</v>
      </c>
      <c r="J61" s="1543">
        <f t="shared" si="58"/>
        <v>0</v>
      </c>
      <c r="K61" s="1543">
        <f t="shared" si="58"/>
        <v>0</v>
      </c>
      <c r="L61" s="1543">
        <f t="shared" ca="1" si="58"/>
        <v>0</v>
      </c>
      <c r="M61" s="1543">
        <f t="shared" ca="1" si="58"/>
        <v>0</v>
      </c>
      <c r="N61" s="1543">
        <f t="shared" ca="1" si="58"/>
        <v>0</v>
      </c>
      <c r="O61" s="2083"/>
      <c r="P61" s="2083"/>
      <c r="Q61" s="2083"/>
      <c r="R61" s="1743">
        <f t="shared" si="50"/>
        <v>0</v>
      </c>
      <c r="S61" s="2085">
        <f t="shared" ca="1" si="51"/>
        <v>0</v>
      </c>
      <c r="T61" s="2085">
        <f t="shared" ca="1" si="51"/>
        <v>0</v>
      </c>
      <c r="U61" s="2091">
        <f t="shared" ca="1" si="51"/>
        <v>0</v>
      </c>
      <c r="V61" s="1579"/>
      <c r="W61" s="1544"/>
      <c r="X61" s="1544"/>
      <c r="Y61" s="1544"/>
      <c r="Z61" s="1544"/>
      <c r="AA61" s="1544"/>
      <c r="AB61" s="1544"/>
      <c r="AC61" s="1544"/>
      <c r="AD61" s="1544"/>
      <c r="AH61" s="1547"/>
      <c r="AI61" s="1547"/>
      <c r="AJ61" s="1547"/>
      <c r="AK61" s="1521"/>
      <c r="AL61" s="1521"/>
      <c r="AM61" s="1521"/>
      <c r="AN61" s="1521"/>
      <c r="AO61" s="1521"/>
      <c r="AP61" s="1521"/>
      <c r="AQ61" s="1521"/>
      <c r="AR61" s="1521"/>
      <c r="AS61" s="1521"/>
      <c r="AT61" s="1548"/>
      <c r="AU61" s="1549"/>
      <c r="AV61" s="1549"/>
      <c r="DP61" s="1659">
        <f t="shared" si="52"/>
        <v>0</v>
      </c>
      <c r="DQ61" s="1938">
        <f t="shared" si="53"/>
        <v>0</v>
      </c>
      <c r="DR61" s="1938">
        <f t="shared" si="54"/>
        <v>0</v>
      </c>
      <c r="DS61" s="1569" t="str">
        <f t="shared" si="55"/>
        <v>S.D.</v>
      </c>
      <c r="DT61" s="1659"/>
    </row>
    <row r="62" spans="1:124" ht="65.25" customHeight="1" x14ac:dyDescent="0.5">
      <c r="A62" s="4490"/>
      <c r="B62" s="1946">
        <v>6000</v>
      </c>
      <c r="C62" s="4590" t="s">
        <v>580</v>
      </c>
      <c r="D62" s="4591"/>
      <c r="E62" s="1543" t="e">
        <f t="shared" si="58"/>
        <v>#REF!</v>
      </c>
      <c r="F62" s="2273" t="e">
        <f t="shared" si="56"/>
        <v>#REF!</v>
      </c>
      <c r="G62" s="2273" t="e">
        <f t="shared" si="47"/>
        <v>#REF!</v>
      </c>
      <c r="H62" s="2273" t="e">
        <f t="shared" si="47"/>
        <v>#REF!</v>
      </c>
      <c r="I62" s="1543" t="e">
        <f t="shared" si="58"/>
        <v>#REF!</v>
      </c>
      <c r="J62" s="1543" t="e">
        <f t="shared" si="58"/>
        <v>#REF!</v>
      </c>
      <c r="K62" s="1543" t="e">
        <f t="shared" si="58"/>
        <v>#REF!</v>
      </c>
      <c r="L62" s="1543" t="e">
        <f t="shared" si="58"/>
        <v>#REF!</v>
      </c>
      <c r="M62" s="1543" t="e">
        <f t="shared" si="58"/>
        <v>#REF!</v>
      </c>
      <c r="N62" s="1543" t="e">
        <f t="shared" si="58"/>
        <v>#REF!</v>
      </c>
      <c r="O62" s="2083" t="e">
        <f>+S62</f>
        <v>#REF!</v>
      </c>
      <c r="P62" s="2083" t="e">
        <f t="shared" ref="P62:Q62" si="60">+T62</f>
        <v>#REF!</v>
      </c>
      <c r="Q62" s="2083" t="e">
        <f t="shared" si="60"/>
        <v>#REF!</v>
      </c>
      <c r="R62" s="1743" t="e">
        <f t="shared" si="50"/>
        <v>#REF!</v>
      </c>
      <c r="S62" s="2085" t="e">
        <f t="shared" si="51"/>
        <v>#REF!</v>
      </c>
      <c r="T62" s="2085" t="e">
        <f t="shared" si="51"/>
        <v>#REF!</v>
      </c>
      <c r="U62" s="2091" t="e">
        <f t="shared" si="51"/>
        <v>#REF!</v>
      </c>
      <c r="V62" s="1579"/>
      <c r="W62" s="1543" t="e">
        <f>+I62-#REF!</f>
        <v>#REF!</v>
      </c>
      <c r="X62" s="1543"/>
      <c r="Y62" s="1543"/>
      <c r="Z62" s="1543" t="e">
        <f>+J62-#REF!</f>
        <v>#REF!</v>
      </c>
      <c r="AA62" s="1543" t="e">
        <f>+K62-#REF!</f>
        <v>#REF!</v>
      </c>
      <c r="AB62" s="1543" t="e">
        <f>+IF( L62=0,0,(W62/I62)*L62)</f>
        <v>#REF!</v>
      </c>
      <c r="AC62" s="1543" t="e">
        <f>+IF(M62=0,0,(Z62/J62)*M62)</f>
        <v>#REF!</v>
      </c>
      <c r="AD62" s="1543" t="e">
        <f>+IF(N62=0,0,(AA62/K62)*N62)</f>
        <v>#REF!</v>
      </c>
      <c r="AE62" s="1543" t="e">
        <f>+W62+AB62</f>
        <v>#REF!</v>
      </c>
      <c r="AF62" s="1543" t="e">
        <f>+Z62+AC62</f>
        <v>#REF!</v>
      </c>
      <c r="AG62" s="1543" t="e">
        <f>+AA62+AD62</f>
        <v>#REF!</v>
      </c>
      <c r="AH62" s="1553" t="e">
        <f>+#REF!</f>
        <v>#REF!</v>
      </c>
      <c r="AI62" s="1553" t="e">
        <f>+#REF!</f>
        <v>#REF!</v>
      </c>
      <c r="AJ62" s="1553" t="e">
        <f>+#REF!</f>
        <v>#REF!</v>
      </c>
      <c r="AK62" s="1553" t="e">
        <f>+L62-AB62</f>
        <v>#REF!</v>
      </c>
      <c r="AL62" s="1553" t="e">
        <f>+M62-AC62</f>
        <v>#REF!</v>
      </c>
      <c r="AM62" s="1553" t="e">
        <f>+N62-AD62</f>
        <v>#REF!</v>
      </c>
      <c r="AN62" s="1553" t="e">
        <f>+AH62+AK62</f>
        <v>#REF!</v>
      </c>
      <c r="AO62" s="1553" t="e">
        <f>+AI62+AL62</f>
        <v>#REF!</v>
      </c>
      <c r="AP62" s="1553" t="e">
        <f>+AJ62+AM62</f>
        <v>#REF!</v>
      </c>
      <c r="AQ62" s="1554" t="e">
        <f>+W62+AB62+AH62+AK62</f>
        <v>#REF!</v>
      </c>
      <c r="AR62" s="1554" t="e">
        <f>+Z62+AC62+AI62+AL62</f>
        <v>#REF!</v>
      </c>
      <c r="AS62" s="1554" t="e">
        <f>+AA62+AD62+AJ62+AM62</f>
        <v>#REF!</v>
      </c>
      <c r="AT62" s="1555" t="e">
        <f>+O62-AQ62</f>
        <v>#REF!</v>
      </c>
      <c r="AU62" s="1555" t="e">
        <f>+P62-AR62</f>
        <v>#REF!</v>
      </c>
      <c r="AV62" s="1555" t="e">
        <f>+Q62-AS62</f>
        <v>#REF!</v>
      </c>
      <c r="DP62" s="1659" t="e">
        <f t="shared" si="52"/>
        <v>#REF!</v>
      </c>
      <c r="DQ62" s="1938" t="e">
        <f t="shared" si="53"/>
        <v>#REF!</v>
      </c>
      <c r="DR62" s="1938" t="e">
        <f t="shared" si="54"/>
        <v>#REF!</v>
      </c>
      <c r="DS62" s="1569" t="e">
        <f t="shared" si="55"/>
        <v>#REF!</v>
      </c>
      <c r="DT62" s="1659"/>
    </row>
    <row r="63" spans="1:124" ht="65.25" customHeight="1" x14ac:dyDescent="0.45">
      <c r="A63" s="1580"/>
      <c r="B63" s="5036" t="s">
        <v>400</v>
      </c>
      <c r="C63" s="5037"/>
      <c r="D63" s="5038"/>
      <c r="E63" s="1557" t="e">
        <f t="shared" ref="E63:Q63" si="61">SUM(E56:E62)</f>
        <v>#REF!</v>
      </c>
      <c r="F63" s="2106" t="e">
        <f t="shared" ca="1" si="56"/>
        <v>#REF!</v>
      </c>
      <c r="G63" s="2106" t="e">
        <f t="shared" ca="1" si="47"/>
        <v>#REF!</v>
      </c>
      <c r="H63" s="2106" t="e">
        <f t="shared" ca="1" si="47"/>
        <v>#REF!</v>
      </c>
      <c r="I63" s="1557" t="e">
        <f t="shared" si="61"/>
        <v>#REF!</v>
      </c>
      <c r="J63" s="1557" t="e">
        <f t="shared" si="61"/>
        <v>#REF!</v>
      </c>
      <c r="K63" s="1557" t="e">
        <f t="shared" si="61"/>
        <v>#REF!</v>
      </c>
      <c r="L63" s="1557" t="e">
        <f t="shared" ca="1" si="61"/>
        <v>#REF!</v>
      </c>
      <c r="M63" s="1557" t="e">
        <f t="shared" ca="1" si="61"/>
        <v>#REF!</v>
      </c>
      <c r="N63" s="1557" t="e">
        <f t="shared" ca="1" si="61"/>
        <v>#REF!</v>
      </c>
      <c r="O63" s="2090" t="e">
        <f t="shared" ca="1" si="61"/>
        <v>#REF!</v>
      </c>
      <c r="P63" s="2090" t="e">
        <f t="shared" ca="1" si="61"/>
        <v>#REF!</v>
      </c>
      <c r="Q63" s="2090" t="e">
        <f t="shared" ca="1" si="61"/>
        <v>#REF!</v>
      </c>
      <c r="R63" s="1743" t="e">
        <f t="shared" si="50"/>
        <v>#REF!</v>
      </c>
      <c r="S63" s="2085" t="e">
        <f ca="1">SUM(S56:S62)</f>
        <v>#REF!</v>
      </c>
      <c r="T63" s="2085" t="e">
        <f ca="1">SUM(T56:T62)</f>
        <v>#REF!</v>
      </c>
      <c r="U63" s="2091" t="e">
        <f ca="1">SUM(U56:U62)</f>
        <v>#REF!</v>
      </c>
      <c r="V63" s="1560" t="e">
        <f ca="1">SUM(O63:Q63)</f>
        <v>#REF!</v>
      </c>
      <c r="W63" s="1557" t="e">
        <f>SUM(W56:W62)</f>
        <v>#REF!</v>
      </c>
      <c r="X63" s="1557"/>
      <c r="Y63" s="1557"/>
      <c r="Z63" s="1557" t="e">
        <f t="shared" ref="Z63:AV63" si="62">SUM(Z56:Z62)</f>
        <v>#REF!</v>
      </c>
      <c r="AA63" s="1557" t="e">
        <f t="shared" si="62"/>
        <v>#REF!</v>
      </c>
      <c r="AB63" s="1557" t="e">
        <f t="shared" si="62"/>
        <v>#REF!</v>
      </c>
      <c r="AC63" s="1557" t="e">
        <f t="shared" si="62"/>
        <v>#REF!</v>
      </c>
      <c r="AD63" s="1557" t="e">
        <f t="shared" si="62"/>
        <v>#REF!</v>
      </c>
      <c r="AE63" s="1557" t="e">
        <f t="shared" si="62"/>
        <v>#REF!</v>
      </c>
      <c r="AF63" s="1557" t="e">
        <f t="shared" si="62"/>
        <v>#REF!</v>
      </c>
      <c r="AG63" s="1557" t="e">
        <f t="shared" si="62"/>
        <v>#REF!</v>
      </c>
      <c r="AH63" s="1557" t="e">
        <f t="shared" si="62"/>
        <v>#REF!</v>
      </c>
      <c r="AI63" s="1557" t="e">
        <f t="shared" si="62"/>
        <v>#REF!</v>
      </c>
      <c r="AJ63" s="1557" t="e">
        <f t="shared" si="62"/>
        <v>#REF!</v>
      </c>
      <c r="AK63" s="1557" t="e">
        <f t="shared" si="62"/>
        <v>#REF!</v>
      </c>
      <c r="AL63" s="1557" t="e">
        <f t="shared" si="62"/>
        <v>#REF!</v>
      </c>
      <c r="AM63" s="1557" t="e">
        <f t="shared" si="62"/>
        <v>#REF!</v>
      </c>
      <c r="AN63" s="1557" t="e">
        <f t="shared" si="62"/>
        <v>#REF!</v>
      </c>
      <c r="AO63" s="1557" t="e">
        <f t="shared" si="62"/>
        <v>#REF!</v>
      </c>
      <c r="AP63" s="1557" t="e">
        <f t="shared" si="62"/>
        <v>#REF!</v>
      </c>
      <c r="AQ63" s="1557" t="e">
        <f t="shared" si="62"/>
        <v>#REF!</v>
      </c>
      <c r="AR63" s="1557" t="e">
        <f t="shared" si="62"/>
        <v>#REF!</v>
      </c>
      <c r="AS63" s="1557" t="e">
        <f t="shared" si="62"/>
        <v>#REF!</v>
      </c>
      <c r="AT63" s="1557" t="e">
        <f t="shared" si="62"/>
        <v>#REF!</v>
      </c>
      <c r="AU63" s="1557" t="e">
        <f t="shared" si="62"/>
        <v>#REF!</v>
      </c>
      <c r="AV63" s="1557" t="e">
        <f t="shared" si="62"/>
        <v>#REF!</v>
      </c>
      <c r="DP63" s="1659" t="e">
        <f t="shared" si="52"/>
        <v>#REF!</v>
      </c>
      <c r="DQ63" s="1938" t="e">
        <f t="shared" si="53"/>
        <v>#REF!</v>
      </c>
      <c r="DR63" s="1938" t="e">
        <f t="shared" si="54"/>
        <v>#REF!</v>
      </c>
      <c r="DS63" s="1569"/>
      <c r="DT63" s="1549"/>
    </row>
    <row r="64" spans="1:124" ht="65.25" customHeight="1" x14ac:dyDescent="0.45">
      <c r="A64" s="5039"/>
      <c r="B64" s="5040"/>
      <c r="C64" s="5040"/>
      <c r="D64" s="5040"/>
      <c r="E64" s="5040"/>
      <c r="F64" s="5040"/>
      <c r="G64" s="5040"/>
      <c r="H64" s="5040"/>
      <c r="I64" s="5040"/>
      <c r="J64" s="5040"/>
      <c r="K64" s="5040"/>
      <c r="L64" s="5040"/>
      <c r="M64" s="5040"/>
      <c r="N64" s="5040"/>
      <c r="O64" s="5040"/>
      <c r="P64" s="5040"/>
      <c r="Q64" s="5041"/>
      <c r="R64" s="2239"/>
      <c r="S64" s="2239"/>
      <c r="T64" s="2239"/>
      <c r="U64" s="2239"/>
      <c r="Z64" s="1503"/>
      <c r="AA64" s="1503"/>
      <c r="DP64" s="1490"/>
    </row>
    <row r="65" spans="1:124" ht="65.25" customHeight="1" thickBot="1" x14ac:dyDescent="0.5">
      <c r="A65" s="5166"/>
      <c r="B65" s="5167"/>
      <c r="C65" s="5167"/>
      <c r="D65" s="5167"/>
      <c r="E65" s="5167"/>
      <c r="F65" s="5167"/>
      <c r="G65" s="5167"/>
      <c r="H65" s="5167"/>
      <c r="I65" s="5167"/>
      <c r="J65" s="5167"/>
      <c r="K65" s="5167"/>
      <c r="L65" s="5167"/>
      <c r="M65" s="5167"/>
      <c r="N65" s="5167"/>
      <c r="O65" s="5167"/>
      <c r="P65" s="5167"/>
      <c r="Q65" s="5288"/>
      <c r="R65" s="2239"/>
      <c r="S65" s="2239"/>
      <c r="T65" s="2239"/>
      <c r="U65" s="2239"/>
      <c r="Z65" s="1503"/>
      <c r="AA65" s="1503"/>
      <c r="DP65" s="1490"/>
    </row>
    <row r="66" spans="1:124" s="1540" customFormat="1" ht="65.25" customHeight="1" x14ac:dyDescent="0.5">
      <c r="A66" s="5178" t="s">
        <v>401</v>
      </c>
      <c r="B66" s="5179"/>
      <c r="C66" s="5179"/>
      <c r="D66" s="5180"/>
      <c r="E66" s="4397" t="s">
        <v>101</v>
      </c>
      <c r="F66" s="5348" t="s">
        <v>899</v>
      </c>
      <c r="G66" s="5349"/>
      <c r="H66" s="5350"/>
      <c r="I66" s="5285" t="s">
        <v>304</v>
      </c>
      <c r="J66" s="5285"/>
      <c r="K66" s="5285"/>
      <c r="L66" s="5285" t="s">
        <v>368</v>
      </c>
      <c r="M66" s="5285"/>
      <c r="N66" s="5285"/>
      <c r="O66" s="4216" t="s">
        <v>900</v>
      </c>
      <c r="P66" s="4217"/>
      <c r="Q66" s="4218"/>
      <c r="R66" s="5286" t="s">
        <v>370</v>
      </c>
      <c r="S66" s="4325" t="s">
        <v>377</v>
      </c>
      <c r="T66" s="4325"/>
      <c r="U66" s="5229"/>
      <c r="W66" s="4395" t="s">
        <v>304</v>
      </c>
      <c r="X66" s="4323"/>
      <c r="Y66" s="4323"/>
      <c r="Z66" s="4323"/>
      <c r="AA66" s="4396"/>
      <c r="AB66" s="4395" t="s">
        <v>368</v>
      </c>
      <c r="AC66" s="4323"/>
      <c r="AD66" s="4396"/>
      <c r="AE66" s="4510" t="s">
        <v>850</v>
      </c>
      <c r="AF66" s="4510"/>
      <c r="AG66" s="4510"/>
      <c r="AH66" s="4237" t="s">
        <v>851</v>
      </c>
      <c r="AI66" s="4238"/>
      <c r="AJ66" s="4240"/>
      <c r="AK66" s="4237" t="s">
        <v>852</v>
      </c>
      <c r="AL66" s="4238"/>
      <c r="AM66" s="4240"/>
      <c r="AN66" s="4237" t="s">
        <v>853</v>
      </c>
      <c r="AO66" s="4238"/>
      <c r="AP66" s="4240"/>
      <c r="AQ66" s="4237" t="s">
        <v>377</v>
      </c>
      <c r="AR66" s="4238"/>
      <c r="AS66" s="4240"/>
      <c r="AT66" s="4237" t="s">
        <v>241</v>
      </c>
      <c r="AU66" s="4238"/>
      <c r="AV66" s="4240"/>
      <c r="DP66" s="4253" t="s">
        <v>241</v>
      </c>
      <c r="DQ66" s="4253"/>
      <c r="DR66" s="4253"/>
      <c r="DS66" s="4253"/>
      <c r="DT66" s="4253"/>
    </row>
    <row r="67" spans="1:124" s="1540" customFormat="1" ht="65.25" customHeight="1" thickBot="1" x14ac:dyDescent="0.5">
      <c r="A67" s="5181"/>
      <c r="B67" s="5182"/>
      <c r="C67" s="5182"/>
      <c r="D67" s="5183"/>
      <c r="E67" s="5284"/>
      <c r="F67" s="2104" t="s">
        <v>287</v>
      </c>
      <c r="G67" s="2104" t="s">
        <v>289</v>
      </c>
      <c r="H67" s="2105" t="s">
        <v>288</v>
      </c>
      <c r="I67" s="1575" t="s">
        <v>287</v>
      </c>
      <c r="J67" s="1575" t="s">
        <v>289</v>
      </c>
      <c r="K67" s="1575" t="s">
        <v>288</v>
      </c>
      <c r="L67" s="1575" t="s">
        <v>287</v>
      </c>
      <c r="M67" s="1575" t="s">
        <v>289</v>
      </c>
      <c r="N67" s="1575" t="s">
        <v>288</v>
      </c>
      <c r="O67" s="1730" t="s">
        <v>287</v>
      </c>
      <c r="P67" s="1730" t="s">
        <v>289</v>
      </c>
      <c r="Q67" s="1731" t="s">
        <v>288</v>
      </c>
      <c r="R67" s="5287"/>
      <c r="S67" s="1751" t="s">
        <v>287</v>
      </c>
      <c r="T67" s="1730" t="s">
        <v>289</v>
      </c>
      <c r="U67" s="1731" t="s">
        <v>288</v>
      </c>
      <c r="W67" s="1515" t="s">
        <v>287</v>
      </c>
      <c r="X67" s="1515"/>
      <c r="Y67" s="1515"/>
      <c r="Z67" s="1515" t="s">
        <v>289</v>
      </c>
      <c r="AA67" s="1516" t="s">
        <v>288</v>
      </c>
      <c r="AB67" s="1515" t="s">
        <v>287</v>
      </c>
      <c r="AC67" s="1515" t="s">
        <v>289</v>
      </c>
      <c r="AD67" s="1516" t="s">
        <v>288</v>
      </c>
      <c r="AE67" s="1515" t="s">
        <v>287</v>
      </c>
      <c r="AF67" s="1515" t="s">
        <v>289</v>
      </c>
      <c r="AG67" s="1516" t="s">
        <v>288</v>
      </c>
      <c r="AH67" s="1515" t="s">
        <v>287</v>
      </c>
      <c r="AI67" s="1515" t="s">
        <v>289</v>
      </c>
      <c r="AJ67" s="1515" t="s">
        <v>288</v>
      </c>
      <c r="AK67" s="1515" t="s">
        <v>287</v>
      </c>
      <c r="AL67" s="1515" t="s">
        <v>289</v>
      </c>
      <c r="AM67" s="1515" t="s">
        <v>288</v>
      </c>
      <c r="AN67" s="1515" t="s">
        <v>287</v>
      </c>
      <c r="AO67" s="1515" t="s">
        <v>289</v>
      </c>
      <c r="AP67" s="1515" t="s">
        <v>288</v>
      </c>
      <c r="AQ67" s="1515" t="s">
        <v>287</v>
      </c>
      <c r="AR67" s="1515" t="s">
        <v>289</v>
      </c>
      <c r="AS67" s="1515" t="s">
        <v>288</v>
      </c>
      <c r="AT67" s="1515" t="s">
        <v>287</v>
      </c>
      <c r="AU67" s="1515" t="s">
        <v>289</v>
      </c>
      <c r="AV67" s="1515" t="s">
        <v>288</v>
      </c>
      <c r="DP67" s="979" t="s">
        <v>370</v>
      </c>
      <c r="DQ67" s="979" t="s">
        <v>25</v>
      </c>
      <c r="DR67" s="979" t="s">
        <v>371</v>
      </c>
      <c r="DS67" s="979" t="s">
        <v>241</v>
      </c>
      <c r="DT67" s="979"/>
    </row>
    <row r="68" spans="1:124" ht="65.25" customHeight="1" x14ac:dyDescent="0.45">
      <c r="A68" s="4175" t="s">
        <v>67</v>
      </c>
      <c r="B68" s="1947">
        <v>5030</v>
      </c>
      <c r="C68" s="4597" t="s">
        <v>164</v>
      </c>
      <c r="D68" s="4597"/>
      <c r="E68" s="1543">
        <f>+E242</f>
        <v>0</v>
      </c>
      <c r="F68" s="2273">
        <f ca="1">+O68</f>
        <v>0</v>
      </c>
      <c r="G68" s="2273">
        <f t="shared" ref="G68:H75" ca="1" si="63">+P68</f>
        <v>0</v>
      </c>
      <c r="H68" s="2273">
        <f t="shared" ca="1" si="63"/>
        <v>0</v>
      </c>
      <c r="I68" s="1543">
        <f t="shared" ref="I68:N69" si="64">+I242</f>
        <v>0</v>
      </c>
      <c r="J68" s="1543">
        <f t="shared" si="64"/>
        <v>0</v>
      </c>
      <c r="K68" s="1543">
        <f t="shared" si="64"/>
        <v>0</v>
      </c>
      <c r="L68" s="1543">
        <f t="shared" ca="1" si="64"/>
        <v>0</v>
      </c>
      <c r="M68" s="1543">
        <f t="shared" ca="1" si="64"/>
        <v>0</v>
      </c>
      <c r="N68" s="1543">
        <f t="shared" ca="1" si="64"/>
        <v>0</v>
      </c>
      <c r="O68" s="2083">
        <f ca="1">+S68</f>
        <v>0</v>
      </c>
      <c r="P68" s="2083">
        <f t="shared" ref="P68:Q68" ca="1" si="65">+T68</f>
        <v>0</v>
      </c>
      <c r="Q68" s="2083">
        <f t="shared" ca="1" si="65"/>
        <v>0</v>
      </c>
      <c r="R68" s="1743">
        <f t="shared" ref="R68:R75" si="66">+IF(E68=0,0,SUM(I68:K68)/E68)</f>
        <v>0</v>
      </c>
      <c r="S68" s="2092">
        <f t="shared" ref="S68:U74" ca="1" si="67">+I68+L68</f>
        <v>0</v>
      </c>
      <c r="T68" s="2085">
        <f t="shared" ca="1" si="67"/>
        <v>0</v>
      </c>
      <c r="U68" s="2091">
        <f t="shared" ca="1" si="67"/>
        <v>0</v>
      </c>
      <c r="V68" s="1584" t="s">
        <v>402</v>
      </c>
      <c r="W68" s="1544"/>
      <c r="X68" s="1544"/>
      <c r="Y68" s="1544"/>
      <c r="Z68" s="1544"/>
      <c r="AA68" s="1544"/>
      <c r="AB68" s="1544"/>
      <c r="AC68" s="1544"/>
      <c r="AD68" s="1544"/>
      <c r="AH68" s="1547"/>
      <c r="AI68" s="1547"/>
      <c r="AJ68" s="1547"/>
      <c r="AK68" s="1521"/>
      <c r="AL68" s="1521"/>
      <c r="AM68" s="1521"/>
      <c r="AN68" s="1521"/>
      <c r="AO68" s="1521"/>
      <c r="AP68" s="1521"/>
      <c r="AQ68" s="1521"/>
      <c r="AR68" s="1521"/>
      <c r="AS68" s="1521"/>
      <c r="AT68" s="1548"/>
      <c r="AU68" s="1549"/>
      <c r="AV68" s="1549"/>
      <c r="DP68" s="2021">
        <f t="shared" ref="DP68:DP75" si="68">+IF(E68=0,0,DQ68/DR68)</f>
        <v>0</v>
      </c>
      <c r="DQ68" s="1938">
        <f t="shared" ref="DQ68:DQ75" si="69">+SUM(I68:K68)</f>
        <v>0</v>
      </c>
      <c r="DR68" s="1938">
        <f t="shared" ref="DR68:DR75" si="70">+E68</f>
        <v>0</v>
      </c>
      <c r="DS68" s="1569" t="str">
        <f t="shared" ref="DS68:DS75" si="71">IF(DR68=0,"S.D.",+IF(AND((DQ68/DR68)&gt;1400,(DQ68/DR68)&lt;=2999),"O.K.","VERIFICAR"))</f>
        <v>S.D.</v>
      </c>
      <c r="DT68" s="1659"/>
    </row>
    <row r="69" spans="1:124" ht="65.25" customHeight="1" x14ac:dyDescent="0.45">
      <c r="A69" s="4175"/>
      <c r="B69" s="1954">
        <v>5040</v>
      </c>
      <c r="C69" s="3743" t="s">
        <v>902</v>
      </c>
      <c r="D69" s="3744"/>
      <c r="E69" s="1543">
        <f>+E243</f>
        <v>0</v>
      </c>
      <c r="F69" s="2273">
        <f t="shared" ref="F69:F75" ca="1" si="72">+O69</f>
        <v>0</v>
      </c>
      <c r="G69" s="2273">
        <f t="shared" ca="1" si="63"/>
        <v>0</v>
      </c>
      <c r="H69" s="2273">
        <f t="shared" ca="1" si="63"/>
        <v>0</v>
      </c>
      <c r="I69" s="1543">
        <f t="shared" si="64"/>
        <v>0</v>
      </c>
      <c r="J69" s="1543">
        <f t="shared" si="64"/>
        <v>0</v>
      </c>
      <c r="K69" s="1543">
        <f t="shared" si="64"/>
        <v>0</v>
      </c>
      <c r="L69" s="1543">
        <f t="shared" ca="1" si="64"/>
        <v>0</v>
      </c>
      <c r="M69" s="1543">
        <f t="shared" ca="1" si="64"/>
        <v>0</v>
      </c>
      <c r="N69" s="1543">
        <f t="shared" ca="1" si="64"/>
        <v>0</v>
      </c>
      <c r="O69" s="2083">
        <f ca="1">+I69+I72+I73+L69+L72+L73</f>
        <v>0</v>
      </c>
      <c r="P69" s="2083">
        <f t="shared" ref="P69:Q69" ca="1" si="73">+J69+J72+J73+M69+M72+M73</f>
        <v>0</v>
      </c>
      <c r="Q69" s="2083">
        <f t="shared" ca="1" si="73"/>
        <v>0</v>
      </c>
      <c r="R69" s="1743">
        <f t="shared" si="66"/>
        <v>0</v>
      </c>
      <c r="S69" s="2092">
        <f t="shared" ca="1" si="67"/>
        <v>0</v>
      </c>
      <c r="T69" s="2085">
        <f t="shared" ca="1" si="67"/>
        <v>0</v>
      </c>
      <c r="U69" s="2091">
        <f t="shared" ca="1" si="67"/>
        <v>0</v>
      </c>
      <c r="V69" s="1585"/>
      <c r="W69" s="1544"/>
      <c r="X69" s="1544"/>
      <c r="Y69" s="1544"/>
      <c r="Z69" s="1544"/>
      <c r="AA69" s="1544"/>
      <c r="AB69" s="1544"/>
      <c r="AC69" s="1544"/>
      <c r="AD69" s="1544"/>
      <c r="AH69" s="1547"/>
      <c r="AI69" s="1547"/>
      <c r="AJ69" s="1547"/>
      <c r="AK69" s="1521"/>
      <c r="AL69" s="1521"/>
      <c r="AM69" s="1521"/>
      <c r="AN69" s="1521"/>
      <c r="AO69" s="1521"/>
      <c r="AP69" s="1521"/>
      <c r="AQ69" s="1521"/>
      <c r="AR69" s="1521"/>
      <c r="AS69" s="1521"/>
      <c r="AT69" s="1548"/>
      <c r="AU69" s="1549"/>
      <c r="AV69" s="1549"/>
      <c r="DP69" s="2021">
        <f t="shared" si="68"/>
        <v>0</v>
      </c>
      <c r="DQ69" s="1938">
        <f t="shared" si="69"/>
        <v>0</v>
      </c>
      <c r="DR69" s="1938">
        <f t="shared" si="70"/>
        <v>0</v>
      </c>
      <c r="DS69" s="1569" t="str">
        <f t="shared" si="71"/>
        <v>S.D.</v>
      </c>
      <c r="DT69" s="1659"/>
    </row>
    <row r="70" spans="1:124" ht="65.25" customHeight="1" x14ac:dyDescent="0.45">
      <c r="A70" s="4175"/>
      <c r="B70" s="1955">
        <v>5050</v>
      </c>
      <c r="C70" s="3742" t="s">
        <v>903</v>
      </c>
      <c r="D70" s="3742"/>
      <c r="E70" s="1543">
        <f t="shared" ref="E70:N74" si="74">+E244</f>
        <v>0</v>
      </c>
      <c r="F70" s="2273">
        <f t="shared" ca="1" si="72"/>
        <v>0</v>
      </c>
      <c r="G70" s="2273">
        <f t="shared" ca="1" si="63"/>
        <v>0</v>
      </c>
      <c r="H70" s="2273">
        <f t="shared" ca="1" si="63"/>
        <v>0</v>
      </c>
      <c r="I70" s="1543">
        <f t="shared" si="74"/>
        <v>0</v>
      </c>
      <c r="J70" s="1543">
        <f t="shared" si="74"/>
        <v>0</v>
      </c>
      <c r="K70" s="1543">
        <f t="shared" si="74"/>
        <v>0</v>
      </c>
      <c r="L70" s="1543">
        <f t="shared" ca="1" si="74"/>
        <v>0</v>
      </c>
      <c r="M70" s="1543">
        <f t="shared" ca="1" si="74"/>
        <v>0</v>
      </c>
      <c r="N70" s="1543">
        <f t="shared" ca="1" si="74"/>
        <v>0</v>
      </c>
      <c r="O70" s="2083">
        <f t="shared" ref="O70:Q71" ca="1" si="75">+S70</f>
        <v>0</v>
      </c>
      <c r="P70" s="2083">
        <f t="shared" ca="1" si="75"/>
        <v>0</v>
      </c>
      <c r="Q70" s="2083">
        <f t="shared" ca="1" si="75"/>
        <v>0</v>
      </c>
      <c r="R70" s="1743">
        <f t="shared" si="66"/>
        <v>0</v>
      </c>
      <c r="S70" s="2092">
        <f t="shared" ca="1" si="67"/>
        <v>0</v>
      </c>
      <c r="T70" s="2085">
        <f t="shared" ca="1" si="67"/>
        <v>0</v>
      </c>
      <c r="U70" s="2091">
        <f t="shared" ca="1" si="67"/>
        <v>0</v>
      </c>
      <c r="V70" s="1585"/>
      <c r="W70" s="1544"/>
      <c r="X70" s="1544"/>
      <c r="Y70" s="1544"/>
      <c r="Z70" s="1544"/>
      <c r="AA70" s="1544"/>
      <c r="AB70" s="1544"/>
      <c r="AC70" s="1544"/>
      <c r="AD70" s="1544"/>
      <c r="AH70" s="1547"/>
      <c r="AI70" s="1547"/>
      <c r="AJ70" s="1547"/>
      <c r="AK70" s="1521"/>
      <c r="AL70" s="1521"/>
      <c r="AM70" s="1521"/>
      <c r="AN70" s="1521"/>
      <c r="AO70" s="1521"/>
      <c r="AP70" s="1521"/>
      <c r="AQ70" s="1521"/>
      <c r="AR70" s="1521"/>
      <c r="AS70" s="1521"/>
      <c r="AT70" s="1548"/>
      <c r="AU70" s="1549"/>
      <c r="AV70" s="1549"/>
      <c r="DP70" s="2021">
        <f t="shared" si="68"/>
        <v>0</v>
      </c>
      <c r="DQ70" s="1938">
        <f t="shared" si="69"/>
        <v>0</v>
      </c>
      <c r="DR70" s="1938">
        <f t="shared" si="70"/>
        <v>0</v>
      </c>
      <c r="DS70" s="1569" t="str">
        <f>+IF(DR70=0,"S.D.",IF(AND((DQ70/DR70)&gt;150,(DQ70/DR70)&lt;=400),"O.K.","VERIFICAR"))</f>
        <v>S.D.</v>
      </c>
      <c r="DT70" s="1659"/>
    </row>
    <row r="71" spans="1:124" ht="65.25" customHeight="1" x14ac:dyDescent="0.45">
      <c r="A71" s="4175"/>
      <c r="B71" s="1955">
        <v>5055</v>
      </c>
      <c r="C71" s="3742" t="s">
        <v>904</v>
      </c>
      <c r="D71" s="3742"/>
      <c r="E71" s="1543">
        <f t="shared" si="74"/>
        <v>0</v>
      </c>
      <c r="F71" s="2273">
        <f t="shared" ca="1" si="72"/>
        <v>0</v>
      </c>
      <c r="G71" s="2273">
        <f t="shared" ca="1" si="63"/>
        <v>0</v>
      </c>
      <c r="H71" s="2273">
        <f t="shared" ca="1" si="63"/>
        <v>0</v>
      </c>
      <c r="I71" s="1543">
        <f t="shared" si="74"/>
        <v>0</v>
      </c>
      <c r="J71" s="1543">
        <f t="shared" si="74"/>
        <v>0</v>
      </c>
      <c r="K71" s="1543">
        <f t="shared" si="74"/>
        <v>0</v>
      </c>
      <c r="L71" s="1543">
        <f t="shared" ca="1" si="74"/>
        <v>0</v>
      </c>
      <c r="M71" s="1543">
        <f t="shared" ca="1" si="74"/>
        <v>0</v>
      </c>
      <c r="N71" s="1543">
        <f t="shared" ca="1" si="74"/>
        <v>0</v>
      </c>
      <c r="O71" s="2083">
        <f t="shared" ca="1" si="75"/>
        <v>0</v>
      </c>
      <c r="P71" s="2083">
        <f t="shared" ca="1" si="75"/>
        <v>0</v>
      </c>
      <c r="Q71" s="2083">
        <f t="shared" ca="1" si="75"/>
        <v>0</v>
      </c>
      <c r="R71" s="1743">
        <f t="shared" si="66"/>
        <v>0</v>
      </c>
      <c r="S71" s="2092">
        <f t="shared" ca="1" si="67"/>
        <v>0</v>
      </c>
      <c r="T71" s="2085">
        <f t="shared" ca="1" si="67"/>
        <v>0</v>
      </c>
      <c r="U71" s="2091">
        <f t="shared" ca="1" si="67"/>
        <v>0</v>
      </c>
      <c r="V71" s="1585"/>
      <c r="W71" s="1544"/>
      <c r="X71" s="1544"/>
      <c r="Y71" s="1544"/>
      <c r="Z71" s="1544"/>
      <c r="AA71" s="1544"/>
      <c r="AB71" s="1544"/>
      <c r="AC71" s="1544"/>
      <c r="AD71" s="1544"/>
      <c r="AH71" s="1547"/>
      <c r="AI71" s="1547"/>
      <c r="AJ71" s="1547"/>
      <c r="AK71" s="1521"/>
      <c r="AL71" s="1521"/>
      <c r="AM71" s="1521"/>
      <c r="AN71" s="1521"/>
      <c r="AO71" s="1521"/>
      <c r="AP71" s="1521"/>
      <c r="AQ71" s="1521"/>
      <c r="AR71" s="1521"/>
      <c r="AS71" s="1521"/>
      <c r="AT71" s="1548"/>
      <c r="AU71" s="1549"/>
      <c r="AV71" s="1549"/>
      <c r="DP71" s="2021">
        <f t="shared" si="68"/>
        <v>0</v>
      </c>
      <c r="DQ71" s="1938">
        <f t="shared" si="69"/>
        <v>0</v>
      </c>
      <c r="DR71" s="1938">
        <f t="shared" si="70"/>
        <v>0</v>
      </c>
      <c r="DS71" s="1569" t="str">
        <f>IF(DR71=0,"S.D.",+IF(AND((DQ71/DR71)&gt;0,(DQ71/DR71)&lt;=2600),"O.K.","VERIFICAR"))</f>
        <v>S.D.</v>
      </c>
      <c r="DT71" s="1659"/>
    </row>
    <row r="72" spans="1:124" ht="65.25" customHeight="1" x14ac:dyDescent="0.45">
      <c r="A72" s="4175"/>
      <c r="B72" s="1957">
        <v>5507</v>
      </c>
      <c r="C72" s="4074" t="s">
        <v>220</v>
      </c>
      <c r="D72" s="1957" t="s">
        <v>68</v>
      </c>
      <c r="E72" s="1543">
        <f t="shared" si="74"/>
        <v>0</v>
      </c>
      <c r="F72" s="2273">
        <f t="shared" si="72"/>
        <v>0</v>
      </c>
      <c r="G72" s="2273">
        <f t="shared" si="63"/>
        <v>0</v>
      </c>
      <c r="H72" s="2273">
        <f t="shared" si="63"/>
        <v>0</v>
      </c>
      <c r="I72" s="1543">
        <f t="shared" si="74"/>
        <v>0</v>
      </c>
      <c r="J72" s="1543">
        <f t="shared" si="74"/>
        <v>0</v>
      </c>
      <c r="K72" s="1543">
        <f t="shared" si="74"/>
        <v>0</v>
      </c>
      <c r="L72" s="1543">
        <f t="shared" ca="1" si="74"/>
        <v>0</v>
      </c>
      <c r="M72" s="1543">
        <f t="shared" ca="1" si="74"/>
        <v>0</v>
      </c>
      <c r="N72" s="1543">
        <f t="shared" ca="1" si="74"/>
        <v>0</v>
      </c>
      <c r="O72" s="2083"/>
      <c r="P72" s="2083"/>
      <c r="Q72" s="2083"/>
      <c r="R72" s="1743">
        <f t="shared" si="66"/>
        <v>0</v>
      </c>
      <c r="S72" s="2092">
        <f t="shared" ca="1" si="67"/>
        <v>0</v>
      </c>
      <c r="T72" s="2085">
        <f t="shared" ca="1" si="67"/>
        <v>0</v>
      </c>
      <c r="U72" s="2091">
        <f t="shared" ca="1" si="67"/>
        <v>0</v>
      </c>
      <c r="V72" s="1585"/>
      <c r="W72" s="1544"/>
      <c r="X72" s="1544"/>
      <c r="Y72" s="1544"/>
      <c r="Z72" s="1544"/>
      <c r="AA72" s="1544"/>
      <c r="AB72" s="1544"/>
      <c r="AC72" s="1544"/>
      <c r="AD72" s="1544"/>
      <c r="AH72" s="1547"/>
      <c r="AI72" s="1547"/>
      <c r="AJ72" s="1547"/>
      <c r="AK72" s="1521"/>
      <c r="AL72" s="1521"/>
      <c r="AM72" s="1521"/>
      <c r="AN72" s="1521"/>
      <c r="AO72" s="1521"/>
      <c r="AP72" s="1521"/>
      <c r="AQ72" s="1521"/>
      <c r="AR72" s="1521"/>
      <c r="AS72" s="1521"/>
      <c r="AT72" s="1548"/>
      <c r="AU72" s="1549"/>
      <c r="AV72" s="1549"/>
      <c r="DP72" s="2021">
        <f t="shared" si="68"/>
        <v>0</v>
      </c>
      <c r="DQ72" s="1938">
        <f t="shared" si="69"/>
        <v>0</v>
      </c>
      <c r="DR72" s="1938">
        <f t="shared" si="70"/>
        <v>0</v>
      </c>
      <c r="DS72" s="1569" t="str">
        <f t="shared" si="71"/>
        <v>S.D.</v>
      </c>
      <c r="DT72" s="1659"/>
    </row>
    <row r="73" spans="1:124" ht="65.25" customHeight="1" x14ac:dyDescent="0.45">
      <c r="A73" s="4175"/>
      <c r="B73" s="1958">
        <v>5517</v>
      </c>
      <c r="C73" s="4074"/>
      <c r="D73" s="1958" t="s">
        <v>69</v>
      </c>
      <c r="E73" s="1543">
        <f t="shared" si="74"/>
        <v>0</v>
      </c>
      <c r="F73" s="2273">
        <f t="shared" si="72"/>
        <v>0</v>
      </c>
      <c r="G73" s="2273">
        <f t="shared" si="63"/>
        <v>0</v>
      </c>
      <c r="H73" s="2273">
        <f t="shared" si="63"/>
        <v>0</v>
      </c>
      <c r="I73" s="1543">
        <f t="shared" si="74"/>
        <v>0</v>
      </c>
      <c r="J73" s="1543">
        <f t="shared" si="74"/>
        <v>0</v>
      </c>
      <c r="K73" s="1543">
        <f t="shared" si="74"/>
        <v>0</v>
      </c>
      <c r="L73" s="1543">
        <f t="shared" ca="1" si="74"/>
        <v>0</v>
      </c>
      <c r="M73" s="1543">
        <f t="shared" ca="1" si="74"/>
        <v>0</v>
      </c>
      <c r="N73" s="1543">
        <f t="shared" ca="1" si="74"/>
        <v>0</v>
      </c>
      <c r="O73" s="2083"/>
      <c r="P73" s="2083"/>
      <c r="Q73" s="2083"/>
      <c r="R73" s="1743">
        <f t="shared" si="66"/>
        <v>0</v>
      </c>
      <c r="S73" s="2092">
        <f t="shared" ca="1" si="67"/>
        <v>0</v>
      </c>
      <c r="T73" s="2085">
        <f t="shared" ca="1" si="67"/>
        <v>0</v>
      </c>
      <c r="U73" s="2091">
        <f t="shared" ca="1" si="67"/>
        <v>0</v>
      </c>
      <c r="V73" s="1585"/>
      <c r="W73" s="1544"/>
      <c r="X73" s="1544"/>
      <c r="Y73" s="1544"/>
      <c r="Z73" s="1544"/>
      <c r="AA73" s="1544"/>
      <c r="AB73" s="1544"/>
      <c r="AC73" s="1544"/>
      <c r="AD73" s="1544"/>
      <c r="AH73" s="1547"/>
      <c r="AI73" s="1547"/>
      <c r="AJ73" s="1547"/>
      <c r="AK73" s="1521"/>
      <c r="AL73" s="1521"/>
      <c r="AM73" s="1521"/>
      <c r="AN73" s="1521"/>
      <c r="AO73" s="1521"/>
      <c r="AP73" s="1521"/>
      <c r="AQ73" s="1521"/>
      <c r="AR73" s="1521"/>
      <c r="AS73" s="1521"/>
      <c r="AT73" s="1548"/>
      <c r="AU73" s="1549"/>
      <c r="AV73" s="1549"/>
      <c r="DP73" s="2021">
        <f t="shared" si="68"/>
        <v>0</v>
      </c>
      <c r="DQ73" s="1938">
        <f t="shared" si="69"/>
        <v>0</v>
      </c>
      <c r="DR73" s="1938">
        <f t="shared" si="70"/>
        <v>0</v>
      </c>
      <c r="DS73" s="1569" t="str">
        <f t="shared" si="71"/>
        <v>S.D.</v>
      </c>
      <c r="DT73" s="1659"/>
    </row>
    <row r="74" spans="1:124" ht="65.25" customHeight="1" x14ac:dyDescent="0.5">
      <c r="A74" s="4175"/>
      <c r="B74" s="1960">
        <v>6000</v>
      </c>
      <c r="C74" s="4590" t="s">
        <v>580</v>
      </c>
      <c r="D74" s="4591"/>
      <c r="E74" s="1543" t="e">
        <f t="shared" si="74"/>
        <v>#REF!</v>
      </c>
      <c r="F74" s="2273" t="e">
        <f t="shared" si="72"/>
        <v>#REF!</v>
      </c>
      <c r="G74" s="2273" t="e">
        <f t="shared" si="63"/>
        <v>#REF!</v>
      </c>
      <c r="H74" s="2273" t="e">
        <f t="shared" si="63"/>
        <v>#REF!</v>
      </c>
      <c r="I74" s="1543" t="e">
        <f t="shared" si="74"/>
        <v>#REF!</v>
      </c>
      <c r="J74" s="1543" t="e">
        <f t="shared" si="74"/>
        <v>#REF!</v>
      </c>
      <c r="K74" s="1543" t="e">
        <f t="shared" si="74"/>
        <v>#REF!</v>
      </c>
      <c r="L74" s="1543" t="e">
        <f t="shared" si="74"/>
        <v>#REF!</v>
      </c>
      <c r="M74" s="1543" t="e">
        <f t="shared" si="74"/>
        <v>#REF!</v>
      </c>
      <c r="N74" s="1543" t="e">
        <f t="shared" si="74"/>
        <v>#REF!</v>
      </c>
      <c r="O74" s="2083" t="e">
        <f>+S74</f>
        <v>#REF!</v>
      </c>
      <c r="P74" s="2083" t="e">
        <f t="shared" ref="P74:Q74" si="76">+T74</f>
        <v>#REF!</v>
      </c>
      <c r="Q74" s="2083" t="e">
        <f t="shared" si="76"/>
        <v>#REF!</v>
      </c>
      <c r="R74" s="1743" t="e">
        <f t="shared" si="66"/>
        <v>#REF!</v>
      </c>
      <c r="S74" s="2092" t="e">
        <f t="shared" si="67"/>
        <v>#REF!</v>
      </c>
      <c r="T74" s="2085" t="e">
        <f t="shared" si="67"/>
        <v>#REF!</v>
      </c>
      <c r="U74" s="2091" t="e">
        <f t="shared" si="67"/>
        <v>#REF!</v>
      </c>
      <c r="V74" s="1585"/>
      <c r="W74" s="1543" t="e">
        <f>+I74-#REF!</f>
        <v>#REF!</v>
      </c>
      <c r="X74" s="1543"/>
      <c r="Y74" s="1543"/>
      <c r="Z74" s="1543" t="e">
        <f>+J74-#REF!</f>
        <v>#REF!</v>
      </c>
      <c r="AA74" s="1543" t="e">
        <f>+K74-#REF!</f>
        <v>#REF!</v>
      </c>
      <c r="AB74" s="1543" t="e">
        <f>+IF( L74=0,0,(W74/I74)*L74)</f>
        <v>#REF!</v>
      </c>
      <c r="AC74" s="1543" t="e">
        <f>+IF(M74=0,0,(Z74/J74)*M74)</f>
        <v>#REF!</v>
      </c>
      <c r="AD74" s="1543" t="e">
        <f>+IF(N74=0,0,(AA74/K74)*N74)</f>
        <v>#REF!</v>
      </c>
      <c r="AE74" s="1543" t="e">
        <f>+W74+AB74</f>
        <v>#REF!</v>
      </c>
      <c r="AF74" s="1543" t="e">
        <f>+Z74+AC74</f>
        <v>#REF!</v>
      </c>
      <c r="AG74" s="1543" t="e">
        <f>+AA74+AD74</f>
        <v>#REF!</v>
      </c>
      <c r="AH74" s="1553" t="e">
        <f>+#REF!</f>
        <v>#REF!</v>
      </c>
      <c r="AI74" s="1553" t="e">
        <f>+#REF!</f>
        <v>#REF!</v>
      </c>
      <c r="AJ74" s="1553" t="e">
        <f>+#REF!</f>
        <v>#REF!</v>
      </c>
      <c r="AK74" s="1553" t="e">
        <f>+L74-AB74</f>
        <v>#REF!</v>
      </c>
      <c r="AL74" s="1553" t="e">
        <f>+M74-AC74</f>
        <v>#REF!</v>
      </c>
      <c r="AM74" s="1553" t="e">
        <f>+N74-AD74</f>
        <v>#REF!</v>
      </c>
      <c r="AN74" s="1553" t="e">
        <f>+AH74+AK74</f>
        <v>#REF!</v>
      </c>
      <c r="AO74" s="1553" t="e">
        <f>+AI74+AL74</f>
        <v>#REF!</v>
      </c>
      <c r="AP74" s="1553" t="e">
        <f>+AJ74+AM74</f>
        <v>#REF!</v>
      </c>
      <c r="AQ74" s="1554" t="e">
        <f>+W74+AB74+AH74+AK74</f>
        <v>#REF!</v>
      </c>
      <c r="AR74" s="1554" t="e">
        <f>+Z74+AC74+AI74+AL74</f>
        <v>#REF!</v>
      </c>
      <c r="AS74" s="1554" t="e">
        <f>+AA74+AD74+AJ74+AM74</f>
        <v>#REF!</v>
      </c>
      <c r="AT74" s="1555" t="e">
        <f>+O74-AQ74</f>
        <v>#REF!</v>
      </c>
      <c r="AU74" s="1555" t="e">
        <f>+P74-AR74</f>
        <v>#REF!</v>
      </c>
      <c r="AV74" s="1555" t="e">
        <f>+Q74-AS74</f>
        <v>#REF!</v>
      </c>
      <c r="DP74" s="2021" t="e">
        <f t="shared" si="68"/>
        <v>#REF!</v>
      </c>
      <c r="DQ74" s="1938" t="e">
        <f t="shared" si="69"/>
        <v>#REF!</v>
      </c>
      <c r="DR74" s="1938" t="e">
        <f t="shared" si="70"/>
        <v>#REF!</v>
      </c>
      <c r="DS74" s="1569" t="e">
        <f t="shared" si="71"/>
        <v>#REF!</v>
      </c>
      <c r="DT74" s="1659"/>
    </row>
    <row r="75" spans="1:124" ht="65.25" customHeight="1" x14ac:dyDescent="0.45">
      <c r="A75" s="1586"/>
      <c r="B75" s="5164" t="s">
        <v>403</v>
      </c>
      <c r="C75" s="5164"/>
      <c r="D75" s="5165"/>
      <c r="E75" s="1557" t="e">
        <f t="shared" ref="E75:N75" si="77">SUM(E68:E74)</f>
        <v>#REF!</v>
      </c>
      <c r="F75" s="2106" t="e">
        <f t="shared" ca="1" si="72"/>
        <v>#REF!</v>
      </c>
      <c r="G75" s="2106" t="e">
        <f t="shared" ca="1" si="63"/>
        <v>#REF!</v>
      </c>
      <c r="H75" s="2106" t="e">
        <f t="shared" ca="1" si="63"/>
        <v>#REF!</v>
      </c>
      <c r="I75" s="1557" t="e">
        <f t="shared" si="77"/>
        <v>#REF!</v>
      </c>
      <c r="J75" s="1557" t="e">
        <f t="shared" si="77"/>
        <v>#REF!</v>
      </c>
      <c r="K75" s="1557" t="e">
        <f t="shared" si="77"/>
        <v>#REF!</v>
      </c>
      <c r="L75" s="1557" t="e">
        <f t="shared" ca="1" si="77"/>
        <v>#REF!</v>
      </c>
      <c r="M75" s="1557" t="e">
        <f t="shared" ca="1" si="77"/>
        <v>#REF!</v>
      </c>
      <c r="N75" s="1557" t="e">
        <f t="shared" ca="1" si="77"/>
        <v>#REF!</v>
      </c>
      <c r="O75" s="2090" t="e">
        <f t="shared" ref="O75:Q75" ca="1" si="78">SUM(O68:O74)</f>
        <v>#REF!</v>
      </c>
      <c r="P75" s="2090" t="e">
        <f t="shared" ca="1" si="78"/>
        <v>#REF!</v>
      </c>
      <c r="Q75" s="2090" t="e">
        <f t="shared" ca="1" si="78"/>
        <v>#REF!</v>
      </c>
      <c r="R75" s="1743" t="e">
        <f t="shared" si="66"/>
        <v>#REF!</v>
      </c>
      <c r="S75" s="2085" t="e">
        <f ca="1">SUM(S68:S74)</f>
        <v>#REF!</v>
      </c>
      <c r="T75" s="2085" t="e">
        <f ca="1">SUM(T68:T74)</f>
        <v>#REF!</v>
      </c>
      <c r="U75" s="2091" t="e">
        <f ca="1">SUM(U68:U74)</f>
        <v>#REF!</v>
      </c>
      <c r="V75" s="1587" t="e">
        <f ca="1">SUM(O75:Q75)</f>
        <v>#REF!</v>
      </c>
      <c r="W75" s="1557" t="e">
        <f>SUM(W68:W74)</f>
        <v>#REF!</v>
      </c>
      <c r="X75" s="1557"/>
      <c r="Y75" s="1557"/>
      <c r="Z75" s="1557" t="e">
        <f t="shared" ref="Z75:AV75" si="79">SUM(Z68:Z74)</f>
        <v>#REF!</v>
      </c>
      <c r="AA75" s="1557" t="e">
        <f t="shared" si="79"/>
        <v>#REF!</v>
      </c>
      <c r="AB75" s="1557" t="e">
        <f t="shared" si="79"/>
        <v>#REF!</v>
      </c>
      <c r="AC75" s="1557" t="e">
        <f t="shared" si="79"/>
        <v>#REF!</v>
      </c>
      <c r="AD75" s="1557" t="e">
        <f t="shared" si="79"/>
        <v>#REF!</v>
      </c>
      <c r="AE75" s="1557" t="e">
        <f t="shared" si="79"/>
        <v>#REF!</v>
      </c>
      <c r="AF75" s="1557" t="e">
        <f t="shared" si="79"/>
        <v>#REF!</v>
      </c>
      <c r="AG75" s="1557" t="e">
        <f t="shared" si="79"/>
        <v>#REF!</v>
      </c>
      <c r="AH75" s="1557" t="e">
        <f t="shared" si="79"/>
        <v>#REF!</v>
      </c>
      <c r="AI75" s="1557" t="e">
        <f t="shared" si="79"/>
        <v>#REF!</v>
      </c>
      <c r="AJ75" s="1557" t="e">
        <f t="shared" si="79"/>
        <v>#REF!</v>
      </c>
      <c r="AK75" s="1557" t="e">
        <f t="shared" si="79"/>
        <v>#REF!</v>
      </c>
      <c r="AL75" s="1557" t="e">
        <f t="shared" si="79"/>
        <v>#REF!</v>
      </c>
      <c r="AM75" s="1557" t="e">
        <f t="shared" si="79"/>
        <v>#REF!</v>
      </c>
      <c r="AN75" s="1557" t="e">
        <f t="shared" si="79"/>
        <v>#REF!</v>
      </c>
      <c r="AO75" s="1557" t="e">
        <f t="shared" si="79"/>
        <v>#REF!</v>
      </c>
      <c r="AP75" s="1557" t="e">
        <f t="shared" si="79"/>
        <v>#REF!</v>
      </c>
      <c r="AQ75" s="1557" t="e">
        <f t="shared" si="79"/>
        <v>#REF!</v>
      </c>
      <c r="AR75" s="1557" t="e">
        <f t="shared" si="79"/>
        <v>#REF!</v>
      </c>
      <c r="AS75" s="1557" t="e">
        <f t="shared" si="79"/>
        <v>#REF!</v>
      </c>
      <c r="AT75" s="1557" t="e">
        <f t="shared" si="79"/>
        <v>#REF!</v>
      </c>
      <c r="AU75" s="1557" t="e">
        <f t="shared" si="79"/>
        <v>#REF!</v>
      </c>
      <c r="AV75" s="1557" t="e">
        <f t="shared" si="79"/>
        <v>#REF!</v>
      </c>
      <c r="DP75" s="2021" t="e">
        <f t="shared" si="68"/>
        <v>#REF!</v>
      </c>
      <c r="DQ75" s="1938" t="e">
        <f t="shared" si="69"/>
        <v>#REF!</v>
      </c>
      <c r="DR75" s="1938" t="e">
        <f t="shared" si="70"/>
        <v>#REF!</v>
      </c>
      <c r="DS75" s="1569" t="e">
        <f t="shared" si="71"/>
        <v>#REF!</v>
      </c>
      <c r="DT75" s="1549"/>
    </row>
    <row r="76" spans="1:124" ht="65.25" customHeight="1" x14ac:dyDescent="0.45">
      <c r="A76" s="4399"/>
      <c r="B76" s="4400"/>
      <c r="C76" s="4400"/>
      <c r="D76" s="4400"/>
      <c r="E76" s="4400"/>
      <c r="F76" s="4400"/>
      <c r="G76" s="4400"/>
      <c r="H76" s="4400"/>
      <c r="I76" s="4400"/>
      <c r="J76" s="4400"/>
      <c r="K76" s="4400"/>
      <c r="L76" s="4400"/>
      <c r="M76" s="4400"/>
      <c r="N76" s="4400"/>
      <c r="O76" s="4400"/>
      <c r="P76" s="4400"/>
      <c r="Q76" s="5042"/>
      <c r="R76" s="2239"/>
      <c r="S76" s="2239"/>
      <c r="T76" s="2239"/>
      <c r="U76" s="2239"/>
      <c r="Z76" s="1503"/>
      <c r="AA76" s="1503"/>
      <c r="DP76" s="1490"/>
    </row>
    <row r="77" spans="1:124" ht="65.25" customHeight="1" thickBot="1" x14ac:dyDescent="0.5">
      <c r="A77" s="4399"/>
      <c r="B77" s="4400"/>
      <c r="C77" s="4400"/>
      <c r="D77" s="4400"/>
      <c r="E77" s="4400"/>
      <c r="F77" s="4400"/>
      <c r="G77" s="4400"/>
      <c r="H77" s="4400"/>
      <c r="I77" s="4400"/>
      <c r="J77" s="4400"/>
      <c r="K77" s="4400"/>
      <c r="L77" s="4400"/>
      <c r="M77" s="4400"/>
      <c r="N77" s="4400"/>
      <c r="O77" s="4400"/>
      <c r="P77" s="4400"/>
      <c r="Q77" s="5042"/>
      <c r="R77" s="2239"/>
      <c r="S77" s="2239"/>
      <c r="T77" s="2239"/>
      <c r="U77" s="2239"/>
      <c r="Z77" s="1503"/>
      <c r="AA77" s="1503"/>
      <c r="DP77" s="1490"/>
    </row>
    <row r="78" spans="1:124" s="1540" customFormat="1" ht="65.25" customHeight="1" x14ac:dyDescent="0.45">
      <c r="A78" s="4399"/>
      <c r="B78" s="4400"/>
      <c r="C78" s="4400"/>
      <c r="D78" s="4401"/>
      <c r="E78" s="4397" t="s">
        <v>101</v>
      </c>
      <c r="F78" s="5348" t="s">
        <v>899</v>
      </c>
      <c r="G78" s="5349"/>
      <c r="H78" s="5350"/>
      <c r="I78" s="5285" t="s">
        <v>304</v>
      </c>
      <c r="J78" s="5285"/>
      <c r="K78" s="5285"/>
      <c r="L78" s="5285" t="s">
        <v>368</v>
      </c>
      <c r="M78" s="5285"/>
      <c r="N78" s="5285"/>
      <c r="O78" s="4216" t="s">
        <v>900</v>
      </c>
      <c r="P78" s="4217"/>
      <c r="Q78" s="4218"/>
      <c r="R78" s="2093"/>
      <c r="S78" s="4325" t="s">
        <v>377</v>
      </c>
      <c r="T78" s="4325"/>
      <c r="U78" s="5229"/>
      <c r="W78" s="4395" t="s">
        <v>304</v>
      </c>
      <c r="X78" s="4323"/>
      <c r="Y78" s="4323"/>
      <c r="Z78" s="4323"/>
      <c r="AA78" s="4396"/>
      <c r="AB78" s="4395" t="s">
        <v>368</v>
      </c>
      <c r="AC78" s="4323"/>
      <c r="AD78" s="4396"/>
      <c r="AE78" s="4510" t="s">
        <v>850</v>
      </c>
      <c r="AF78" s="4510"/>
      <c r="AG78" s="4510"/>
      <c r="AH78" s="4237" t="s">
        <v>851</v>
      </c>
      <c r="AI78" s="4238"/>
      <c r="AJ78" s="4240"/>
      <c r="AK78" s="4237" t="s">
        <v>852</v>
      </c>
      <c r="AL78" s="4238"/>
      <c r="AM78" s="4240"/>
      <c r="AN78" s="4237" t="s">
        <v>853</v>
      </c>
      <c r="AO78" s="4238"/>
      <c r="AP78" s="4240"/>
      <c r="AQ78" s="4237" t="s">
        <v>377</v>
      </c>
      <c r="AR78" s="4238"/>
      <c r="AS78" s="4240"/>
      <c r="AT78" s="4237" t="s">
        <v>241</v>
      </c>
      <c r="AU78" s="4238"/>
      <c r="AV78" s="4240"/>
      <c r="DP78" s="1541"/>
    </row>
    <row r="79" spans="1:124" s="1540" customFormat="1" ht="65.25" customHeight="1" x14ac:dyDescent="0.45">
      <c r="A79" s="5166"/>
      <c r="B79" s="5167"/>
      <c r="C79" s="5167"/>
      <c r="D79" s="5168"/>
      <c r="E79" s="5284"/>
      <c r="F79" s="2104" t="s">
        <v>287</v>
      </c>
      <c r="G79" s="2104" t="s">
        <v>289</v>
      </c>
      <c r="H79" s="2105" t="s">
        <v>288</v>
      </c>
      <c r="I79" s="1575" t="s">
        <v>287</v>
      </c>
      <c r="J79" s="1575" t="s">
        <v>289</v>
      </c>
      <c r="K79" s="1575" t="s">
        <v>288</v>
      </c>
      <c r="L79" s="1575" t="s">
        <v>287</v>
      </c>
      <c r="M79" s="1575" t="s">
        <v>289</v>
      </c>
      <c r="N79" s="1575" t="s">
        <v>288</v>
      </c>
      <c r="O79" s="1730" t="s">
        <v>287</v>
      </c>
      <c r="P79" s="1730" t="s">
        <v>289</v>
      </c>
      <c r="Q79" s="1731" t="s">
        <v>288</v>
      </c>
      <c r="R79" s="2094" t="s">
        <v>905</v>
      </c>
      <c r="S79" s="1730" t="s">
        <v>287</v>
      </c>
      <c r="T79" s="1730" t="s">
        <v>289</v>
      </c>
      <c r="U79" s="1731" t="s">
        <v>288</v>
      </c>
      <c r="W79" s="1515" t="s">
        <v>287</v>
      </c>
      <c r="X79" s="1515"/>
      <c r="Y79" s="1515"/>
      <c r="Z79" s="1515" t="s">
        <v>289</v>
      </c>
      <c r="AA79" s="1516" t="s">
        <v>288</v>
      </c>
      <c r="AB79" s="1515" t="s">
        <v>287</v>
      </c>
      <c r="AC79" s="1515" t="s">
        <v>289</v>
      </c>
      <c r="AD79" s="1516" t="s">
        <v>288</v>
      </c>
      <c r="AE79" s="1515" t="s">
        <v>287</v>
      </c>
      <c r="AF79" s="1515" t="s">
        <v>289</v>
      </c>
      <c r="AG79" s="1516" t="s">
        <v>288</v>
      </c>
      <c r="AH79" s="1515" t="s">
        <v>287</v>
      </c>
      <c r="AI79" s="1515" t="s">
        <v>289</v>
      </c>
      <c r="AJ79" s="1515" t="s">
        <v>288</v>
      </c>
      <c r="AK79" s="1515" t="s">
        <v>287</v>
      </c>
      <c r="AL79" s="1515" t="s">
        <v>289</v>
      </c>
      <c r="AM79" s="1515" t="s">
        <v>288</v>
      </c>
      <c r="AN79" s="1515" t="s">
        <v>287</v>
      </c>
      <c r="AO79" s="1515" t="s">
        <v>289</v>
      </c>
      <c r="AP79" s="1515" t="s">
        <v>288</v>
      </c>
      <c r="AQ79" s="1515" t="s">
        <v>287</v>
      </c>
      <c r="AR79" s="1515" t="s">
        <v>289</v>
      </c>
      <c r="AS79" s="1515" t="s">
        <v>288</v>
      </c>
      <c r="AT79" s="1515" t="s">
        <v>287</v>
      </c>
      <c r="AU79" s="1515" t="s">
        <v>289</v>
      </c>
      <c r="AV79" s="1515" t="s">
        <v>288</v>
      </c>
      <c r="DP79" s="1541"/>
    </row>
    <row r="80" spans="1:124" s="1540" customFormat="1" ht="65.25" customHeight="1" x14ac:dyDescent="0.45">
      <c r="A80" s="5171" t="s">
        <v>404</v>
      </c>
      <c r="B80" s="1947">
        <v>5030</v>
      </c>
      <c r="C80" s="4597" t="s">
        <v>164</v>
      </c>
      <c r="D80" s="4597"/>
      <c r="E80" s="1521">
        <f>+E17+E30+E44+E56+E68</f>
        <v>0</v>
      </c>
      <c r="F80" s="2107" t="e">
        <f ca="1">+O80</f>
        <v>#REF!</v>
      </c>
      <c r="G80" s="2107" t="e">
        <f t="shared" ref="G80:H95" ca="1" si="80">+P80</f>
        <v>#REF!</v>
      </c>
      <c r="H80" s="2107" t="e">
        <f t="shared" ca="1" si="80"/>
        <v>#REF!</v>
      </c>
      <c r="I80" s="1521" t="e">
        <f t="shared" ref="I80:N82" ca="1" si="81">+I17+I30+I44+I56+I68</f>
        <v>#REF!</v>
      </c>
      <c r="J80" s="1521" t="e">
        <f t="shared" ca="1" si="81"/>
        <v>#REF!</v>
      </c>
      <c r="K80" s="1521" t="e">
        <f t="shared" ca="1" si="81"/>
        <v>#REF!</v>
      </c>
      <c r="L80" s="1521">
        <f t="shared" ca="1" si="81"/>
        <v>0</v>
      </c>
      <c r="M80" s="1521">
        <f t="shared" ca="1" si="81"/>
        <v>0</v>
      </c>
      <c r="N80" s="1521">
        <f t="shared" ca="1" si="81"/>
        <v>0</v>
      </c>
      <c r="O80" s="2083" t="e">
        <f ca="1">+I80+L80</f>
        <v>#REF!</v>
      </c>
      <c r="P80" s="2083" t="e">
        <f t="shared" ref="P80:Q80" ca="1" si="82">+J80+M80</f>
        <v>#REF!</v>
      </c>
      <c r="Q80" s="2083" t="e">
        <f t="shared" ca="1" si="82"/>
        <v>#REF!</v>
      </c>
      <c r="R80" s="1743">
        <f t="shared" ref="R80:R99" si="83">+IF(E80=0,0,SUM(I80:K80)/E80)</f>
        <v>0</v>
      </c>
      <c r="S80" s="2085" t="e">
        <f ca="1">+I80+L80</f>
        <v>#REF!</v>
      </c>
      <c r="T80" s="2085" t="e">
        <f ca="1">+J80+M80</f>
        <v>#REF!</v>
      </c>
      <c r="U80" s="2091" t="e">
        <f ca="1">+K80+N80</f>
        <v>#REF!</v>
      </c>
      <c r="W80" s="1544"/>
      <c r="X80" s="1544"/>
      <c r="Y80" s="1544"/>
      <c r="Z80" s="1544"/>
      <c r="AA80" s="1544"/>
      <c r="AB80" s="1544"/>
      <c r="AC80" s="1544"/>
      <c r="AD80" s="1544"/>
      <c r="AE80" s="1489"/>
      <c r="AF80" s="1489"/>
      <c r="AG80" s="1489"/>
      <c r="AH80" s="1547"/>
      <c r="AI80" s="1547"/>
      <c r="AJ80" s="1547"/>
      <c r="AK80" s="1521"/>
      <c r="AL80" s="1521"/>
      <c r="AM80" s="1521"/>
      <c r="AN80" s="1521"/>
      <c r="AO80" s="1521"/>
      <c r="AP80" s="1521"/>
      <c r="AQ80" s="1521"/>
      <c r="AR80" s="1521"/>
      <c r="AS80" s="1521"/>
      <c r="AT80" s="1548"/>
      <c r="AU80" s="1549"/>
      <c r="AV80" s="1549"/>
      <c r="DP80" s="1541"/>
    </row>
    <row r="81" spans="1:120" s="1540" customFormat="1" ht="65.25" customHeight="1" x14ac:dyDescent="0.45">
      <c r="A81" s="5172"/>
      <c r="B81" s="1954">
        <v>5040</v>
      </c>
      <c r="C81" s="3743" t="s">
        <v>902</v>
      </c>
      <c r="D81" s="3744"/>
      <c r="E81" s="1521">
        <f>+E18+E31+E45+E57+E69</f>
        <v>0</v>
      </c>
      <c r="F81" s="2107">
        <f t="shared" ref="F81:H99" ca="1" si="84">+O81</f>
        <v>0</v>
      </c>
      <c r="G81" s="2107">
        <f t="shared" ca="1" si="80"/>
        <v>0</v>
      </c>
      <c r="H81" s="2107">
        <f t="shared" ca="1" si="80"/>
        <v>0</v>
      </c>
      <c r="I81" s="1521">
        <f t="shared" si="81"/>
        <v>0</v>
      </c>
      <c r="J81" s="1521">
        <f t="shared" si="81"/>
        <v>0</v>
      </c>
      <c r="K81" s="1521">
        <f t="shared" si="81"/>
        <v>0</v>
      </c>
      <c r="L81" s="1521">
        <f t="shared" ca="1" si="81"/>
        <v>0</v>
      </c>
      <c r="M81" s="1521">
        <f t="shared" ca="1" si="81"/>
        <v>0</v>
      </c>
      <c r="N81" s="1521">
        <f t="shared" ca="1" si="81"/>
        <v>0</v>
      </c>
      <c r="O81" s="2083">
        <f ca="1">+I81+SUM(I84:I97)+L81+SUM(L84:L97)</f>
        <v>0</v>
      </c>
      <c r="P81" s="2083">
        <f t="shared" ref="P81:Q81" ca="1" si="85">+J81+SUM(J84:J97)+M81+SUM(M84:M97)</f>
        <v>0</v>
      </c>
      <c r="Q81" s="2083">
        <f t="shared" ca="1" si="85"/>
        <v>0</v>
      </c>
      <c r="R81" s="1743">
        <f t="shared" si="83"/>
        <v>0</v>
      </c>
      <c r="S81" s="2085">
        <f t="shared" ref="S81:U96" ca="1" si="86">+I81+L81</f>
        <v>0</v>
      </c>
      <c r="T81" s="2085">
        <f t="shared" ca="1" si="86"/>
        <v>0</v>
      </c>
      <c r="U81" s="2091">
        <f t="shared" ca="1" si="86"/>
        <v>0</v>
      </c>
      <c r="W81" s="1544"/>
      <c r="X81" s="1544"/>
      <c r="Y81" s="1544"/>
      <c r="Z81" s="1544"/>
      <c r="AA81" s="1544"/>
      <c r="AB81" s="1544"/>
      <c r="AC81" s="1544"/>
      <c r="AD81" s="1544"/>
      <c r="AE81" s="1489"/>
      <c r="AF81" s="1489"/>
      <c r="AG81" s="1489"/>
      <c r="AH81" s="1547"/>
      <c r="AI81" s="1547"/>
      <c r="AJ81" s="1547"/>
      <c r="AK81" s="1521"/>
      <c r="AL81" s="1521"/>
      <c r="AM81" s="1521"/>
      <c r="AN81" s="1521"/>
      <c r="AO81" s="1521"/>
      <c r="AP81" s="1521"/>
      <c r="AQ81" s="1521"/>
      <c r="AR81" s="1521"/>
      <c r="AS81" s="1521"/>
      <c r="AT81" s="1548"/>
      <c r="AU81" s="1549"/>
      <c r="AV81" s="1549"/>
      <c r="DP81" s="1541"/>
    </row>
    <row r="82" spans="1:120" s="1540" customFormat="1" ht="65.25" customHeight="1" x14ac:dyDescent="0.45">
      <c r="A82" s="5172"/>
      <c r="B82" s="1955">
        <v>5050</v>
      </c>
      <c r="C82" s="3742" t="s">
        <v>903</v>
      </c>
      <c r="D82" s="3742"/>
      <c r="E82" s="1521">
        <f>+E19+E32+E46+E58+E70</f>
        <v>0</v>
      </c>
      <c r="F82" s="2107">
        <f t="shared" ca="1" si="84"/>
        <v>0</v>
      </c>
      <c r="G82" s="2107">
        <f t="shared" ca="1" si="80"/>
        <v>0</v>
      </c>
      <c r="H82" s="2107">
        <f t="shared" ca="1" si="80"/>
        <v>0</v>
      </c>
      <c r="I82" s="1521">
        <f t="shared" si="81"/>
        <v>0</v>
      </c>
      <c r="J82" s="1521">
        <f t="shared" si="81"/>
        <v>0</v>
      </c>
      <c r="K82" s="1521">
        <f t="shared" si="81"/>
        <v>0</v>
      </c>
      <c r="L82" s="1521">
        <f t="shared" ca="1" si="81"/>
        <v>0</v>
      </c>
      <c r="M82" s="1521">
        <f t="shared" ca="1" si="81"/>
        <v>0</v>
      </c>
      <c r="N82" s="1521">
        <f t="shared" ca="1" si="81"/>
        <v>0</v>
      </c>
      <c r="O82" s="2083">
        <f ca="1">+I82+L82</f>
        <v>0</v>
      </c>
      <c r="P82" s="2083">
        <f t="shared" ref="P82:Q83" ca="1" si="87">+J82+M82</f>
        <v>0</v>
      </c>
      <c r="Q82" s="2083">
        <f t="shared" ca="1" si="87"/>
        <v>0</v>
      </c>
      <c r="R82" s="1743">
        <f t="shared" si="83"/>
        <v>0</v>
      </c>
      <c r="S82" s="2085">
        <f t="shared" ca="1" si="86"/>
        <v>0</v>
      </c>
      <c r="T82" s="2085">
        <f t="shared" ca="1" si="86"/>
        <v>0</v>
      </c>
      <c r="U82" s="2091">
        <f t="shared" ca="1" si="86"/>
        <v>0</v>
      </c>
      <c r="W82" s="1544"/>
      <c r="X82" s="1544"/>
      <c r="Y82" s="1544"/>
      <c r="Z82" s="1544"/>
      <c r="AA82" s="1544"/>
      <c r="AB82" s="1544"/>
      <c r="AC82" s="1544"/>
      <c r="AD82" s="1544"/>
      <c r="AE82" s="1489"/>
      <c r="AF82" s="1489"/>
      <c r="AG82" s="1489"/>
      <c r="AH82" s="1547"/>
      <c r="AI82" s="1547"/>
      <c r="AJ82" s="1547"/>
      <c r="AK82" s="1521"/>
      <c r="AL82" s="1521"/>
      <c r="AM82" s="1521"/>
      <c r="AN82" s="1521"/>
      <c r="AO82" s="1521"/>
      <c r="AP82" s="1521"/>
      <c r="AQ82" s="1521"/>
      <c r="AR82" s="1521"/>
      <c r="AS82" s="1521"/>
      <c r="AT82" s="1548"/>
      <c r="AU82" s="1549"/>
      <c r="AV82" s="1549"/>
      <c r="DP82" s="1541"/>
    </row>
    <row r="83" spans="1:120" s="1540" customFormat="1" ht="65.25" customHeight="1" x14ac:dyDescent="0.45">
      <c r="A83" s="5172"/>
      <c r="B83" s="1955">
        <v>5055</v>
      </c>
      <c r="C83" s="3742" t="s">
        <v>904</v>
      </c>
      <c r="D83" s="3742"/>
      <c r="E83" s="1521" t="e">
        <f t="shared" ref="E83:N83" si="88">+E71+E59+E47+E33</f>
        <v>#REF!</v>
      </c>
      <c r="F83" s="2107" t="e">
        <f t="shared" ca="1" si="84"/>
        <v>#REF!</v>
      </c>
      <c r="G83" s="2107" t="e">
        <f t="shared" ca="1" si="80"/>
        <v>#REF!</v>
      </c>
      <c r="H83" s="2107" t="e">
        <f t="shared" ca="1" si="80"/>
        <v>#REF!</v>
      </c>
      <c r="I83" s="1521" t="e">
        <f t="shared" si="88"/>
        <v>#REF!</v>
      </c>
      <c r="J83" s="1521" t="e">
        <f t="shared" si="88"/>
        <v>#REF!</v>
      </c>
      <c r="K83" s="1521" t="e">
        <f t="shared" si="88"/>
        <v>#REF!</v>
      </c>
      <c r="L83" s="1521" t="e">
        <f t="shared" ca="1" si="88"/>
        <v>#REF!</v>
      </c>
      <c r="M83" s="1521" t="e">
        <f t="shared" ca="1" si="88"/>
        <v>#REF!</v>
      </c>
      <c r="N83" s="1521" t="e">
        <f t="shared" ca="1" si="88"/>
        <v>#REF!</v>
      </c>
      <c r="O83" s="2083" t="e">
        <f ca="1">+I83+L83</f>
        <v>#REF!</v>
      </c>
      <c r="P83" s="2083" t="e">
        <f t="shared" ca="1" si="87"/>
        <v>#REF!</v>
      </c>
      <c r="Q83" s="2083" t="e">
        <f t="shared" ca="1" si="87"/>
        <v>#REF!</v>
      </c>
      <c r="R83" s="1743" t="e">
        <f t="shared" si="83"/>
        <v>#REF!</v>
      </c>
      <c r="S83" s="2085" t="e">
        <f t="shared" ca="1" si="86"/>
        <v>#REF!</v>
      </c>
      <c r="T83" s="2085" t="e">
        <f t="shared" ca="1" si="86"/>
        <v>#REF!</v>
      </c>
      <c r="U83" s="2091" t="e">
        <f t="shared" ca="1" si="86"/>
        <v>#REF!</v>
      </c>
      <c r="W83" s="1544"/>
      <c r="X83" s="1544"/>
      <c r="Y83" s="1544"/>
      <c r="Z83" s="1544"/>
      <c r="AA83" s="1544"/>
      <c r="AB83" s="1544"/>
      <c r="AC83" s="1544"/>
      <c r="AD83" s="1544"/>
      <c r="AE83" s="1489"/>
      <c r="AF83" s="1489"/>
      <c r="AG83" s="1489"/>
      <c r="AH83" s="1547"/>
      <c r="AI83" s="1547"/>
      <c r="AJ83" s="1547"/>
      <c r="AK83" s="1521"/>
      <c r="AL83" s="1521"/>
      <c r="AM83" s="1521"/>
      <c r="AN83" s="1521"/>
      <c r="AO83" s="1521"/>
      <c r="AP83" s="1521"/>
      <c r="AQ83" s="1521"/>
      <c r="AR83" s="1521"/>
      <c r="AS83" s="1521"/>
      <c r="AT83" s="1548"/>
      <c r="AU83" s="1549"/>
      <c r="AV83" s="1549"/>
      <c r="DP83" s="1541"/>
    </row>
    <row r="84" spans="1:120" s="1540" customFormat="1" ht="65.25" customHeight="1" x14ac:dyDescent="0.45">
      <c r="A84" s="5172"/>
      <c r="B84" s="1721">
        <v>5501</v>
      </c>
      <c r="C84" s="3751" t="s">
        <v>891</v>
      </c>
      <c r="D84" s="1721" t="s">
        <v>46</v>
      </c>
      <c r="E84" s="1521">
        <f t="shared" ref="E84:N85" si="89">+E20</f>
        <v>0</v>
      </c>
      <c r="F84" s="2107">
        <f t="shared" si="84"/>
        <v>0</v>
      </c>
      <c r="G84" s="2107">
        <f t="shared" si="80"/>
        <v>0</v>
      </c>
      <c r="H84" s="2107">
        <f t="shared" si="80"/>
        <v>0</v>
      </c>
      <c r="I84" s="1521">
        <f t="shared" si="89"/>
        <v>0</v>
      </c>
      <c r="J84" s="1521">
        <f t="shared" si="89"/>
        <v>0</v>
      </c>
      <c r="K84" s="1521">
        <f t="shared" si="89"/>
        <v>0</v>
      </c>
      <c r="L84" s="1521">
        <f t="shared" ca="1" si="89"/>
        <v>0</v>
      </c>
      <c r="M84" s="1521">
        <f t="shared" ca="1" si="89"/>
        <v>0</v>
      </c>
      <c r="N84" s="1521">
        <f t="shared" ca="1" si="89"/>
        <v>0</v>
      </c>
      <c r="O84" s="2083"/>
      <c r="P84" s="2083"/>
      <c r="Q84" s="2083"/>
      <c r="R84" s="1743">
        <f t="shared" si="83"/>
        <v>0</v>
      </c>
      <c r="S84" s="2085">
        <f t="shared" ca="1" si="86"/>
        <v>0</v>
      </c>
      <c r="T84" s="2085">
        <f t="shared" ca="1" si="86"/>
        <v>0</v>
      </c>
      <c r="U84" s="2091">
        <f t="shared" ca="1" si="86"/>
        <v>0</v>
      </c>
      <c r="W84" s="1544"/>
      <c r="X84" s="1544"/>
      <c r="Y84" s="1544"/>
      <c r="Z84" s="1544"/>
      <c r="AA84" s="1544"/>
      <c r="AB84" s="1544"/>
      <c r="AC84" s="1544"/>
      <c r="AD84" s="1544"/>
      <c r="AE84" s="1489"/>
      <c r="AF84" s="1489"/>
      <c r="AG84" s="1489"/>
      <c r="AH84" s="1547"/>
      <c r="AI84" s="1547"/>
      <c r="AJ84" s="1547"/>
      <c r="AK84" s="1521"/>
      <c r="AL84" s="1521"/>
      <c r="AM84" s="1521"/>
      <c r="AN84" s="1521"/>
      <c r="AO84" s="1521"/>
      <c r="AP84" s="1521"/>
      <c r="AQ84" s="1521"/>
      <c r="AR84" s="1521"/>
      <c r="AS84" s="1521"/>
      <c r="AT84" s="1548"/>
      <c r="AU84" s="1549"/>
      <c r="AV84" s="1549"/>
      <c r="DP84" s="1541"/>
    </row>
    <row r="85" spans="1:120" s="1540" customFormat="1" ht="65.25" customHeight="1" x14ac:dyDescent="0.45">
      <c r="A85" s="5172"/>
      <c r="B85" s="1721">
        <v>5502</v>
      </c>
      <c r="C85" s="3746"/>
      <c r="D85" s="1721" t="s">
        <v>47</v>
      </c>
      <c r="E85" s="1521">
        <f t="shared" si="89"/>
        <v>0</v>
      </c>
      <c r="F85" s="2107">
        <f t="shared" si="84"/>
        <v>0</v>
      </c>
      <c r="G85" s="2107">
        <f t="shared" si="80"/>
        <v>0</v>
      </c>
      <c r="H85" s="2107">
        <f t="shared" si="80"/>
        <v>0</v>
      </c>
      <c r="I85" s="1521">
        <f t="shared" si="89"/>
        <v>0</v>
      </c>
      <c r="J85" s="1521">
        <f t="shared" si="89"/>
        <v>0</v>
      </c>
      <c r="K85" s="1521">
        <f t="shared" si="89"/>
        <v>0</v>
      </c>
      <c r="L85" s="1521">
        <f t="shared" ca="1" si="89"/>
        <v>0</v>
      </c>
      <c r="M85" s="1521">
        <f t="shared" ca="1" si="89"/>
        <v>0</v>
      </c>
      <c r="N85" s="1521">
        <f t="shared" ca="1" si="89"/>
        <v>0</v>
      </c>
      <c r="O85" s="2083"/>
      <c r="P85" s="2083"/>
      <c r="Q85" s="2083"/>
      <c r="R85" s="1743">
        <f t="shared" si="83"/>
        <v>0</v>
      </c>
      <c r="S85" s="2085">
        <f t="shared" ca="1" si="86"/>
        <v>0</v>
      </c>
      <c r="T85" s="2085">
        <f t="shared" ca="1" si="86"/>
        <v>0</v>
      </c>
      <c r="U85" s="2091">
        <f t="shared" ca="1" si="86"/>
        <v>0</v>
      </c>
      <c r="W85" s="1544"/>
      <c r="X85" s="1544"/>
      <c r="Y85" s="1544"/>
      <c r="Z85" s="1544"/>
      <c r="AA85" s="1544"/>
      <c r="AB85" s="1544"/>
      <c r="AC85" s="1544"/>
      <c r="AD85" s="1544"/>
      <c r="AE85" s="1489"/>
      <c r="AF85" s="1489"/>
      <c r="AG85" s="1489"/>
      <c r="AH85" s="1547"/>
      <c r="AI85" s="1547"/>
      <c r="AJ85" s="1547"/>
      <c r="AK85" s="1521"/>
      <c r="AL85" s="1521"/>
      <c r="AM85" s="1521"/>
      <c r="AN85" s="1521"/>
      <c r="AO85" s="1521"/>
      <c r="AP85" s="1521"/>
      <c r="AQ85" s="1521"/>
      <c r="AR85" s="1521"/>
      <c r="AS85" s="1521"/>
      <c r="AT85" s="1548"/>
      <c r="AU85" s="1549"/>
      <c r="AV85" s="1549"/>
      <c r="DP85" s="1541"/>
    </row>
    <row r="86" spans="1:120" s="1540" customFormat="1" ht="65.25" customHeight="1" x14ac:dyDescent="0.5">
      <c r="A86" s="5172"/>
      <c r="B86" s="1721">
        <v>5503</v>
      </c>
      <c r="C86" s="3746"/>
      <c r="D86" s="1721" t="s">
        <v>906</v>
      </c>
      <c r="E86" s="1521">
        <f t="shared" ref="E86:N87" si="90">+E34</f>
        <v>0</v>
      </c>
      <c r="F86" s="2107">
        <f t="shared" si="84"/>
        <v>0</v>
      </c>
      <c r="G86" s="2107">
        <f t="shared" si="80"/>
        <v>0</v>
      </c>
      <c r="H86" s="2107">
        <f t="shared" si="80"/>
        <v>0</v>
      </c>
      <c r="I86" s="1521">
        <f t="shared" si="90"/>
        <v>0</v>
      </c>
      <c r="J86" s="1521">
        <f t="shared" si="90"/>
        <v>0</v>
      </c>
      <c r="K86" s="1521">
        <f t="shared" si="90"/>
        <v>0</v>
      </c>
      <c r="L86" s="1521">
        <f t="shared" ca="1" si="90"/>
        <v>0</v>
      </c>
      <c r="M86" s="1521">
        <f t="shared" ca="1" si="90"/>
        <v>0</v>
      </c>
      <c r="N86" s="1521">
        <f t="shared" ca="1" si="90"/>
        <v>0</v>
      </c>
      <c r="O86" s="2083"/>
      <c r="P86" s="2083"/>
      <c r="Q86" s="2083"/>
      <c r="R86" s="1743">
        <f t="shared" si="83"/>
        <v>0</v>
      </c>
      <c r="S86" s="2085">
        <f t="shared" ca="1" si="86"/>
        <v>0</v>
      </c>
      <c r="T86" s="2085">
        <f t="shared" ca="1" si="86"/>
        <v>0</v>
      </c>
      <c r="U86" s="2091">
        <f t="shared" ca="1" si="86"/>
        <v>0</v>
      </c>
      <c r="W86" s="1543" t="e">
        <f>+I86-#REF!</f>
        <v>#REF!</v>
      </c>
      <c r="X86" s="1543"/>
      <c r="Y86" s="1543"/>
      <c r="Z86" s="1543" t="e">
        <f>+J86-#REF!</f>
        <v>#REF!</v>
      </c>
      <c r="AA86" s="1543" t="e">
        <f>+K86-#REF!</f>
        <v>#REF!</v>
      </c>
      <c r="AB86" s="1543">
        <f ca="1">+IF( L86=0,0,(W86/I86)*L86)</f>
        <v>0</v>
      </c>
      <c r="AC86" s="1543">
        <f ca="1">+IF(M86=0,0,(Z86/J86)*M86)</f>
        <v>0</v>
      </c>
      <c r="AD86" s="1543">
        <f ca="1">+IF(N86=0,0,(AA86/K86)*N86)</f>
        <v>0</v>
      </c>
      <c r="AE86" s="1543" t="e">
        <f ca="1">+W86+AB86</f>
        <v>#REF!</v>
      </c>
      <c r="AF86" s="1543" t="e">
        <f ca="1">+Z86+AC86</f>
        <v>#REF!</v>
      </c>
      <c r="AG86" s="1543" t="e">
        <f ca="1">+AA86+AD86</f>
        <v>#REF!</v>
      </c>
      <c r="AH86" s="1553" t="e">
        <f>+#REF!</f>
        <v>#REF!</v>
      </c>
      <c r="AI86" s="1553" t="e">
        <f>+#REF!</f>
        <v>#REF!</v>
      </c>
      <c r="AJ86" s="1553" t="e">
        <f>+#REF!</f>
        <v>#REF!</v>
      </c>
      <c r="AK86" s="1553">
        <f t="shared" ref="AK86:AM87" ca="1" si="91">+L86-AB86</f>
        <v>0</v>
      </c>
      <c r="AL86" s="1553">
        <f t="shared" ca="1" si="91"/>
        <v>0</v>
      </c>
      <c r="AM86" s="1553">
        <f t="shared" ca="1" si="91"/>
        <v>0</v>
      </c>
      <c r="AN86" s="1553" t="e">
        <f t="shared" ref="AN86:AP87" ca="1" si="92">+AH86+AK86</f>
        <v>#REF!</v>
      </c>
      <c r="AO86" s="1553" t="e">
        <f t="shared" ca="1" si="92"/>
        <v>#REF!</v>
      </c>
      <c r="AP86" s="1553" t="e">
        <f t="shared" ca="1" si="92"/>
        <v>#REF!</v>
      </c>
      <c r="AQ86" s="1554" t="e">
        <f ca="1">+W86+AB86+AH86+AK86</f>
        <v>#REF!</v>
      </c>
      <c r="AR86" s="1554" t="e">
        <f ca="1">+Z86+AC86+AI86+AL86</f>
        <v>#REF!</v>
      </c>
      <c r="AS86" s="1554" t="e">
        <f ca="1">+AA86+AD86+AJ86+AM86</f>
        <v>#REF!</v>
      </c>
      <c r="AT86" s="1555" t="e">
        <f t="shared" ref="AT86:AV87" ca="1" si="93">+O86-AQ86</f>
        <v>#REF!</v>
      </c>
      <c r="AU86" s="1555" t="e">
        <f t="shared" ca="1" si="93"/>
        <v>#REF!</v>
      </c>
      <c r="AV86" s="1555" t="e">
        <f t="shared" ca="1" si="93"/>
        <v>#REF!</v>
      </c>
      <c r="DP86" s="1541"/>
    </row>
    <row r="87" spans="1:120" s="1540" customFormat="1" ht="65.25" customHeight="1" x14ac:dyDescent="0.5">
      <c r="A87" s="5172"/>
      <c r="B87" s="1721">
        <v>5504</v>
      </c>
      <c r="C87" s="3746"/>
      <c r="D87" s="1721" t="s">
        <v>907</v>
      </c>
      <c r="E87" s="1521">
        <f t="shared" si="90"/>
        <v>0</v>
      </c>
      <c r="F87" s="2107">
        <f t="shared" si="84"/>
        <v>0</v>
      </c>
      <c r="G87" s="2107">
        <f t="shared" si="80"/>
        <v>0</v>
      </c>
      <c r="H87" s="2107">
        <f t="shared" si="80"/>
        <v>0</v>
      </c>
      <c r="I87" s="1521">
        <f t="shared" si="90"/>
        <v>0</v>
      </c>
      <c r="J87" s="1521">
        <f t="shared" si="90"/>
        <v>0</v>
      </c>
      <c r="K87" s="1521">
        <f t="shared" si="90"/>
        <v>0</v>
      </c>
      <c r="L87" s="1521">
        <f t="shared" ca="1" si="90"/>
        <v>0</v>
      </c>
      <c r="M87" s="1521">
        <f t="shared" ca="1" si="90"/>
        <v>0</v>
      </c>
      <c r="N87" s="1521">
        <f t="shared" ca="1" si="90"/>
        <v>0</v>
      </c>
      <c r="O87" s="2083"/>
      <c r="P87" s="2083"/>
      <c r="Q87" s="2083"/>
      <c r="R87" s="1743">
        <f t="shared" si="83"/>
        <v>0</v>
      </c>
      <c r="S87" s="2085">
        <f t="shared" ca="1" si="86"/>
        <v>0</v>
      </c>
      <c r="T87" s="2085">
        <f t="shared" ca="1" si="86"/>
        <v>0</v>
      </c>
      <c r="U87" s="2091">
        <f t="shared" ca="1" si="86"/>
        <v>0</v>
      </c>
      <c r="W87" s="1543" t="e">
        <f>+I87-#REF!</f>
        <v>#REF!</v>
      </c>
      <c r="X87" s="1543"/>
      <c r="Y87" s="1543"/>
      <c r="Z87" s="1543" t="e">
        <f>+J87-#REF!</f>
        <v>#REF!</v>
      </c>
      <c r="AA87" s="1543" t="e">
        <f>+K87-#REF!</f>
        <v>#REF!</v>
      </c>
      <c r="AB87" s="1543">
        <f ca="1">+IF( L87=0,0,(W87/I87)*L87)</f>
        <v>0</v>
      </c>
      <c r="AC87" s="1543">
        <f ca="1">+IF(M87=0,0,(Z87/J87)*M87)</f>
        <v>0</v>
      </c>
      <c r="AD87" s="1543">
        <f ca="1">+IF(N87=0,0,(AA87/K87)*N87)</f>
        <v>0</v>
      </c>
      <c r="AE87" s="1543" t="e">
        <f ca="1">+W87+AB87</f>
        <v>#REF!</v>
      </c>
      <c r="AF87" s="1543" t="e">
        <f ca="1">+Z87+AC87</f>
        <v>#REF!</v>
      </c>
      <c r="AG87" s="1543" t="e">
        <f ca="1">+AA87+AD87</f>
        <v>#REF!</v>
      </c>
      <c r="AH87" s="1553" t="e">
        <f>+#REF!</f>
        <v>#REF!</v>
      </c>
      <c r="AI87" s="1553" t="e">
        <f>+#REF!</f>
        <v>#REF!</v>
      </c>
      <c r="AJ87" s="1553" t="e">
        <f>+#REF!</f>
        <v>#REF!</v>
      </c>
      <c r="AK87" s="1553">
        <f t="shared" ca="1" si="91"/>
        <v>0</v>
      </c>
      <c r="AL87" s="1553">
        <f t="shared" ca="1" si="91"/>
        <v>0</v>
      </c>
      <c r="AM87" s="1553">
        <f t="shared" ca="1" si="91"/>
        <v>0</v>
      </c>
      <c r="AN87" s="1553" t="e">
        <f t="shared" ca="1" si="92"/>
        <v>#REF!</v>
      </c>
      <c r="AO87" s="1553" t="e">
        <f t="shared" ca="1" si="92"/>
        <v>#REF!</v>
      </c>
      <c r="AP87" s="1553" t="e">
        <f t="shared" ca="1" si="92"/>
        <v>#REF!</v>
      </c>
      <c r="AQ87" s="1554" t="e">
        <f ca="1">+W87+AB87+AH87+AK87</f>
        <v>#REF!</v>
      </c>
      <c r="AR87" s="1554" t="e">
        <f ca="1">+Z87+AC87+AI87+AL87</f>
        <v>#REF!</v>
      </c>
      <c r="AS87" s="1554" t="e">
        <f ca="1">+AA87+AD87+AJ87+AM87</f>
        <v>#REF!</v>
      </c>
      <c r="AT87" s="1555" t="e">
        <f t="shared" ca="1" si="93"/>
        <v>#REF!</v>
      </c>
      <c r="AU87" s="1555" t="e">
        <f t="shared" ca="1" si="93"/>
        <v>#REF!</v>
      </c>
      <c r="AV87" s="1555" t="e">
        <f t="shared" ca="1" si="93"/>
        <v>#REF!</v>
      </c>
      <c r="DP87" s="1541"/>
    </row>
    <row r="88" spans="1:120" s="1540" customFormat="1" ht="65.25" customHeight="1" x14ac:dyDescent="0.5">
      <c r="A88" s="5172"/>
      <c r="B88" s="1721">
        <v>5505</v>
      </c>
      <c r="C88" s="3746"/>
      <c r="D88" s="1721" t="s">
        <v>908</v>
      </c>
      <c r="E88" s="1521">
        <f t="shared" ref="E88:N88" si="94">+E48</f>
        <v>0</v>
      </c>
      <c r="F88" s="2107">
        <f t="shared" si="84"/>
        <v>0</v>
      </c>
      <c r="G88" s="2107">
        <f t="shared" si="80"/>
        <v>0</v>
      </c>
      <c r="H88" s="2107">
        <f t="shared" si="80"/>
        <v>0</v>
      </c>
      <c r="I88" s="1521">
        <f t="shared" si="94"/>
        <v>0</v>
      </c>
      <c r="J88" s="1521">
        <f t="shared" si="94"/>
        <v>0</v>
      </c>
      <c r="K88" s="1521">
        <f t="shared" si="94"/>
        <v>0</v>
      </c>
      <c r="L88" s="1521">
        <f t="shared" ca="1" si="94"/>
        <v>0</v>
      </c>
      <c r="M88" s="1521">
        <f t="shared" ca="1" si="94"/>
        <v>0</v>
      </c>
      <c r="N88" s="1521">
        <f t="shared" ca="1" si="94"/>
        <v>0</v>
      </c>
      <c r="O88" s="2083"/>
      <c r="P88" s="2083"/>
      <c r="Q88" s="2083"/>
      <c r="R88" s="1743">
        <f t="shared" si="83"/>
        <v>0</v>
      </c>
      <c r="S88" s="2085">
        <f t="shared" ca="1" si="86"/>
        <v>0</v>
      </c>
      <c r="T88" s="2085">
        <f t="shared" ca="1" si="86"/>
        <v>0</v>
      </c>
      <c r="U88" s="2091">
        <f t="shared" ca="1" si="86"/>
        <v>0</v>
      </c>
      <c r="W88" s="1543"/>
      <c r="X88" s="1543"/>
      <c r="Y88" s="1543"/>
      <c r="Z88" s="1543"/>
      <c r="AA88" s="1543"/>
      <c r="AB88" s="1543"/>
      <c r="AC88" s="1543"/>
      <c r="AD88" s="1543"/>
      <c r="AE88" s="1543"/>
      <c r="AF88" s="1543"/>
      <c r="AG88" s="1543"/>
      <c r="AH88" s="1553"/>
      <c r="AI88" s="1553"/>
      <c r="AJ88" s="1553"/>
      <c r="AK88" s="1553"/>
      <c r="AL88" s="1553"/>
      <c r="AM88" s="1553"/>
      <c r="AN88" s="1553"/>
      <c r="AO88" s="1553"/>
      <c r="AP88" s="1553"/>
      <c r="AQ88" s="1554"/>
      <c r="AR88" s="1554"/>
      <c r="AS88" s="1554"/>
      <c r="AT88" s="1555"/>
      <c r="AU88" s="1555"/>
      <c r="AV88" s="1555"/>
      <c r="DP88" s="1541"/>
    </row>
    <row r="89" spans="1:120" s="1540" customFormat="1" ht="65.25" customHeight="1" x14ac:dyDescent="0.5">
      <c r="A89" s="5172"/>
      <c r="B89" s="1721">
        <v>5506</v>
      </c>
      <c r="C89" s="3746"/>
      <c r="D89" s="1721" t="s">
        <v>909</v>
      </c>
      <c r="E89" s="1521">
        <f t="shared" ref="E89:N89" si="95">+E60</f>
        <v>0</v>
      </c>
      <c r="F89" s="2107">
        <f t="shared" si="84"/>
        <v>0</v>
      </c>
      <c r="G89" s="2107">
        <f t="shared" si="80"/>
        <v>0</v>
      </c>
      <c r="H89" s="2107">
        <f t="shared" si="80"/>
        <v>0</v>
      </c>
      <c r="I89" s="1521">
        <f t="shared" si="95"/>
        <v>0</v>
      </c>
      <c r="J89" s="1521">
        <f t="shared" si="95"/>
        <v>0</v>
      </c>
      <c r="K89" s="1521">
        <f t="shared" si="95"/>
        <v>0</v>
      </c>
      <c r="L89" s="1521">
        <f t="shared" ca="1" si="95"/>
        <v>0</v>
      </c>
      <c r="M89" s="1521">
        <f t="shared" ca="1" si="95"/>
        <v>0</v>
      </c>
      <c r="N89" s="1521">
        <f t="shared" ca="1" si="95"/>
        <v>0</v>
      </c>
      <c r="O89" s="2083"/>
      <c r="P89" s="2083"/>
      <c r="Q89" s="2083"/>
      <c r="R89" s="1743">
        <f t="shared" si="83"/>
        <v>0</v>
      </c>
      <c r="S89" s="2085">
        <f t="shared" ca="1" si="86"/>
        <v>0</v>
      </c>
      <c r="T89" s="2085">
        <f t="shared" ca="1" si="86"/>
        <v>0</v>
      </c>
      <c r="U89" s="2091">
        <f t="shared" ca="1" si="86"/>
        <v>0</v>
      </c>
      <c r="W89" s="1543"/>
      <c r="X89" s="1543"/>
      <c r="Y89" s="1543"/>
      <c r="Z89" s="1543"/>
      <c r="AA89" s="1543"/>
      <c r="AB89" s="1543"/>
      <c r="AC89" s="1543"/>
      <c r="AD89" s="1543"/>
      <c r="AE89" s="1543"/>
      <c r="AF89" s="1543"/>
      <c r="AG89" s="1543"/>
      <c r="AH89" s="1553"/>
      <c r="AI89" s="1553"/>
      <c r="AJ89" s="1553"/>
      <c r="AK89" s="1553"/>
      <c r="AL89" s="1553"/>
      <c r="AM89" s="1553"/>
      <c r="AN89" s="1553"/>
      <c r="AO89" s="1553"/>
      <c r="AP89" s="1553"/>
      <c r="AQ89" s="1554"/>
      <c r="AR89" s="1554"/>
      <c r="AS89" s="1554"/>
      <c r="AT89" s="1555"/>
      <c r="AU89" s="1555"/>
      <c r="AV89" s="1555"/>
      <c r="DP89" s="1541"/>
    </row>
    <row r="90" spans="1:120" s="1540" customFormat="1" ht="65.25" customHeight="1" x14ac:dyDescent="0.5">
      <c r="A90" s="5172"/>
      <c r="B90" s="1721">
        <v>5507</v>
      </c>
      <c r="C90" s="3746"/>
      <c r="D90" s="1721" t="s">
        <v>910</v>
      </c>
      <c r="E90" s="1521">
        <f t="shared" ref="E90:N90" si="96">+E72</f>
        <v>0</v>
      </c>
      <c r="F90" s="2107">
        <f t="shared" si="84"/>
        <v>0</v>
      </c>
      <c r="G90" s="2107">
        <f t="shared" si="80"/>
        <v>0</v>
      </c>
      <c r="H90" s="2107">
        <f t="shared" si="80"/>
        <v>0</v>
      </c>
      <c r="I90" s="1521">
        <f t="shared" si="96"/>
        <v>0</v>
      </c>
      <c r="J90" s="1521">
        <f t="shared" si="96"/>
        <v>0</v>
      </c>
      <c r="K90" s="1521">
        <f t="shared" si="96"/>
        <v>0</v>
      </c>
      <c r="L90" s="1521">
        <f t="shared" ca="1" si="96"/>
        <v>0</v>
      </c>
      <c r="M90" s="1521">
        <f t="shared" ca="1" si="96"/>
        <v>0</v>
      </c>
      <c r="N90" s="1521">
        <f t="shared" ca="1" si="96"/>
        <v>0</v>
      </c>
      <c r="O90" s="2083"/>
      <c r="P90" s="2083"/>
      <c r="Q90" s="2083"/>
      <c r="R90" s="1743">
        <f t="shared" si="83"/>
        <v>0</v>
      </c>
      <c r="S90" s="2085">
        <f t="shared" ca="1" si="86"/>
        <v>0</v>
      </c>
      <c r="T90" s="2085">
        <f t="shared" ca="1" si="86"/>
        <v>0</v>
      </c>
      <c r="U90" s="2091">
        <f t="shared" ca="1" si="86"/>
        <v>0</v>
      </c>
      <c r="W90" s="1543"/>
      <c r="X90" s="1543"/>
      <c r="Y90" s="1543"/>
      <c r="Z90" s="1543"/>
      <c r="AA90" s="1543"/>
      <c r="AB90" s="1543"/>
      <c r="AC90" s="1543"/>
      <c r="AD90" s="1543"/>
      <c r="AE90" s="1543"/>
      <c r="AF90" s="1543"/>
      <c r="AG90" s="1543"/>
      <c r="AH90" s="1553"/>
      <c r="AI90" s="1553"/>
      <c r="AJ90" s="1553"/>
      <c r="AK90" s="1553"/>
      <c r="AL90" s="1553"/>
      <c r="AM90" s="1553"/>
      <c r="AN90" s="1553"/>
      <c r="AO90" s="1553"/>
      <c r="AP90" s="1553"/>
      <c r="AQ90" s="1554"/>
      <c r="AR90" s="1554"/>
      <c r="AS90" s="1554"/>
      <c r="AT90" s="1555"/>
      <c r="AU90" s="1555"/>
      <c r="AV90" s="1555"/>
      <c r="DP90" s="1541"/>
    </row>
    <row r="91" spans="1:120" s="1540" customFormat="1" ht="65.25" customHeight="1" x14ac:dyDescent="0.5">
      <c r="A91" s="5172"/>
      <c r="B91" s="1949">
        <v>5511</v>
      </c>
      <c r="C91" s="3746"/>
      <c r="D91" s="1722" t="s">
        <v>911</v>
      </c>
      <c r="E91" s="1521">
        <f t="shared" ref="E91:N92" si="97">+E22</f>
        <v>0</v>
      </c>
      <c r="F91" s="2107">
        <f t="shared" si="84"/>
        <v>0</v>
      </c>
      <c r="G91" s="2107">
        <f t="shared" si="80"/>
        <v>0</v>
      </c>
      <c r="H91" s="2107">
        <f t="shared" si="80"/>
        <v>0</v>
      </c>
      <c r="I91" s="1521">
        <f t="shared" si="97"/>
        <v>0</v>
      </c>
      <c r="J91" s="1521">
        <f t="shared" si="97"/>
        <v>0</v>
      </c>
      <c r="K91" s="1521">
        <f t="shared" si="97"/>
        <v>0</v>
      </c>
      <c r="L91" s="1521">
        <f t="shared" ca="1" si="97"/>
        <v>0</v>
      </c>
      <c r="M91" s="1521">
        <f t="shared" ca="1" si="97"/>
        <v>0</v>
      </c>
      <c r="N91" s="1521">
        <f t="shared" ca="1" si="97"/>
        <v>0</v>
      </c>
      <c r="O91" s="2083"/>
      <c r="P91" s="2083"/>
      <c r="Q91" s="2083"/>
      <c r="R91" s="1743">
        <f t="shared" si="83"/>
        <v>0</v>
      </c>
      <c r="S91" s="2085">
        <f t="shared" ca="1" si="86"/>
        <v>0</v>
      </c>
      <c r="T91" s="2085">
        <f t="shared" ca="1" si="86"/>
        <v>0</v>
      </c>
      <c r="U91" s="2091">
        <f t="shared" ca="1" si="86"/>
        <v>0</v>
      </c>
      <c r="W91" s="1543"/>
      <c r="X91" s="1543"/>
      <c r="Y91" s="1543"/>
      <c r="Z91" s="1543"/>
      <c r="AA91" s="1543"/>
      <c r="AB91" s="1543"/>
      <c r="AC91" s="1543"/>
      <c r="AD91" s="1543"/>
      <c r="AE91" s="1543"/>
      <c r="AF91" s="1543"/>
      <c r="AG91" s="1543"/>
      <c r="AH91" s="1553"/>
      <c r="AI91" s="1553"/>
      <c r="AJ91" s="1553"/>
      <c r="AK91" s="1553"/>
      <c r="AL91" s="1553"/>
      <c r="AM91" s="1553"/>
      <c r="AN91" s="1553"/>
      <c r="AO91" s="1553"/>
      <c r="AP91" s="1553"/>
      <c r="AQ91" s="1554"/>
      <c r="AR91" s="1554"/>
      <c r="AS91" s="1554"/>
      <c r="AT91" s="1555"/>
      <c r="AU91" s="1555"/>
      <c r="AV91" s="1555"/>
      <c r="DP91" s="1541"/>
    </row>
    <row r="92" spans="1:120" s="1540" customFormat="1" ht="65.25" customHeight="1" x14ac:dyDescent="0.5">
      <c r="A92" s="5172"/>
      <c r="B92" s="1949">
        <v>5512</v>
      </c>
      <c r="C92" s="3746"/>
      <c r="D92" s="1722" t="s">
        <v>912</v>
      </c>
      <c r="E92" s="1521">
        <f t="shared" si="97"/>
        <v>0</v>
      </c>
      <c r="F92" s="2107">
        <f t="shared" si="84"/>
        <v>0</v>
      </c>
      <c r="G92" s="2107">
        <f t="shared" si="80"/>
        <v>0</v>
      </c>
      <c r="H92" s="2107">
        <f t="shared" si="80"/>
        <v>0</v>
      </c>
      <c r="I92" s="1521">
        <f t="shared" si="97"/>
        <v>0</v>
      </c>
      <c r="J92" s="1521">
        <f t="shared" si="97"/>
        <v>0</v>
      </c>
      <c r="K92" s="1521">
        <f t="shared" si="97"/>
        <v>0</v>
      </c>
      <c r="L92" s="1521">
        <f t="shared" ca="1" si="97"/>
        <v>0</v>
      </c>
      <c r="M92" s="1521">
        <f t="shared" ca="1" si="97"/>
        <v>0</v>
      </c>
      <c r="N92" s="1521">
        <f t="shared" ca="1" si="97"/>
        <v>0</v>
      </c>
      <c r="O92" s="2083"/>
      <c r="P92" s="2083"/>
      <c r="Q92" s="2083"/>
      <c r="R92" s="1743">
        <f t="shared" si="83"/>
        <v>0</v>
      </c>
      <c r="S92" s="2085">
        <f t="shared" ca="1" si="86"/>
        <v>0</v>
      </c>
      <c r="T92" s="2085">
        <f t="shared" ca="1" si="86"/>
        <v>0</v>
      </c>
      <c r="U92" s="2091">
        <f t="shared" ca="1" si="86"/>
        <v>0</v>
      </c>
      <c r="W92" s="1543"/>
      <c r="X92" s="1543"/>
      <c r="Y92" s="1543"/>
      <c r="Z92" s="1543"/>
      <c r="AA92" s="1543"/>
      <c r="AB92" s="1543"/>
      <c r="AC92" s="1543"/>
      <c r="AD92" s="1543"/>
      <c r="AE92" s="1543"/>
      <c r="AF92" s="1543"/>
      <c r="AG92" s="1543"/>
      <c r="AH92" s="1553"/>
      <c r="AI92" s="1553"/>
      <c r="AJ92" s="1553"/>
      <c r="AK92" s="1553"/>
      <c r="AL92" s="1553"/>
      <c r="AM92" s="1553"/>
      <c r="AN92" s="1553"/>
      <c r="AO92" s="1553"/>
      <c r="AP92" s="1553"/>
      <c r="AQ92" s="1554"/>
      <c r="AR92" s="1554"/>
      <c r="AS92" s="1554"/>
      <c r="AT92" s="1555"/>
      <c r="AU92" s="1555"/>
      <c r="AV92" s="1555"/>
      <c r="DP92" s="1541"/>
    </row>
    <row r="93" spans="1:120" s="1540" customFormat="1" ht="65.25" customHeight="1" x14ac:dyDescent="0.5">
      <c r="A93" s="5172"/>
      <c r="B93" s="1949">
        <v>5513</v>
      </c>
      <c r="C93" s="3746"/>
      <c r="D93" s="1722" t="s">
        <v>913</v>
      </c>
      <c r="E93" s="1521">
        <f t="shared" ref="E93:N94" si="98">+E36</f>
        <v>0</v>
      </c>
      <c r="F93" s="2107">
        <f t="shared" si="84"/>
        <v>0</v>
      </c>
      <c r="G93" s="2107">
        <f t="shared" si="80"/>
        <v>0</v>
      </c>
      <c r="H93" s="2107">
        <f t="shared" si="80"/>
        <v>0</v>
      </c>
      <c r="I93" s="1521">
        <f t="shared" si="98"/>
        <v>0</v>
      </c>
      <c r="J93" s="1521">
        <f t="shared" si="98"/>
        <v>0</v>
      </c>
      <c r="K93" s="1521">
        <f t="shared" si="98"/>
        <v>0</v>
      </c>
      <c r="L93" s="1521">
        <f t="shared" ca="1" si="98"/>
        <v>0</v>
      </c>
      <c r="M93" s="1521">
        <f t="shared" ca="1" si="98"/>
        <v>0</v>
      </c>
      <c r="N93" s="1521">
        <f t="shared" ca="1" si="98"/>
        <v>0</v>
      </c>
      <c r="O93" s="2083"/>
      <c r="P93" s="2083"/>
      <c r="Q93" s="2083"/>
      <c r="R93" s="1743">
        <f t="shared" si="83"/>
        <v>0</v>
      </c>
      <c r="S93" s="2085">
        <f t="shared" ca="1" si="86"/>
        <v>0</v>
      </c>
      <c r="T93" s="2085">
        <f t="shared" ca="1" si="86"/>
        <v>0</v>
      </c>
      <c r="U93" s="2091">
        <f t="shared" ca="1" si="86"/>
        <v>0</v>
      </c>
      <c r="W93" s="1543"/>
      <c r="X93" s="1543"/>
      <c r="Y93" s="1543"/>
      <c r="Z93" s="1543"/>
      <c r="AA93" s="1543"/>
      <c r="AB93" s="1543"/>
      <c r="AC93" s="1543"/>
      <c r="AD93" s="1543"/>
      <c r="AE93" s="1543"/>
      <c r="AF93" s="1543"/>
      <c r="AG93" s="1543"/>
      <c r="AH93" s="1553"/>
      <c r="AI93" s="1553"/>
      <c r="AJ93" s="1553"/>
      <c r="AK93" s="1553"/>
      <c r="AL93" s="1553"/>
      <c r="AM93" s="1553"/>
      <c r="AN93" s="1553"/>
      <c r="AO93" s="1553"/>
      <c r="AP93" s="1553"/>
      <c r="AQ93" s="1554"/>
      <c r="AR93" s="1554"/>
      <c r="AS93" s="1554"/>
      <c r="AT93" s="1555"/>
      <c r="AU93" s="1555"/>
      <c r="AV93" s="1555"/>
      <c r="DP93" s="1541"/>
    </row>
    <row r="94" spans="1:120" s="1540" customFormat="1" ht="65.25" customHeight="1" x14ac:dyDescent="0.5">
      <c r="A94" s="5172"/>
      <c r="B94" s="1949">
        <v>5514</v>
      </c>
      <c r="C94" s="3746"/>
      <c r="D94" s="1722" t="s">
        <v>914</v>
      </c>
      <c r="E94" s="1521">
        <f t="shared" si="98"/>
        <v>0</v>
      </c>
      <c r="F94" s="2107">
        <f t="shared" si="84"/>
        <v>0</v>
      </c>
      <c r="G94" s="2107">
        <f t="shared" si="80"/>
        <v>0</v>
      </c>
      <c r="H94" s="2107">
        <f t="shared" si="80"/>
        <v>0</v>
      </c>
      <c r="I94" s="1521">
        <f t="shared" si="98"/>
        <v>0</v>
      </c>
      <c r="J94" s="1521">
        <f t="shared" si="98"/>
        <v>0</v>
      </c>
      <c r="K94" s="1521">
        <f t="shared" si="98"/>
        <v>0</v>
      </c>
      <c r="L94" s="1521">
        <f t="shared" ca="1" si="98"/>
        <v>0</v>
      </c>
      <c r="M94" s="1521">
        <f t="shared" ca="1" si="98"/>
        <v>0</v>
      </c>
      <c r="N94" s="1521">
        <f t="shared" ca="1" si="98"/>
        <v>0</v>
      </c>
      <c r="O94" s="2083"/>
      <c r="P94" s="2083"/>
      <c r="Q94" s="2083"/>
      <c r="R94" s="1743">
        <f t="shared" si="83"/>
        <v>0</v>
      </c>
      <c r="S94" s="2085">
        <f t="shared" ca="1" si="86"/>
        <v>0</v>
      </c>
      <c r="T94" s="2085">
        <f t="shared" ca="1" si="86"/>
        <v>0</v>
      </c>
      <c r="U94" s="2091">
        <f t="shared" ca="1" si="86"/>
        <v>0</v>
      </c>
      <c r="W94" s="1543"/>
      <c r="X94" s="1543"/>
      <c r="Y94" s="1543"/>
      <c r="Z94" s="1543"/>
      <c r="AA94" s="1543"/>
      <c r="AB94" s="1543"/>
      <c r="AC94" s="1543"/>
      <c r="AD94" s="1543"/>
      <c r="AE94" s="1543"/>
      <c r="AF94" s="1543"/>
      <c r="AG94" s="1543"/>
      <c r="AH94" s="1553"/>
      <c r="AI94" s="1553"/>
      <c r="AJ94" s="1553"/>
      <c r="AK94" s="1553"/>
      <c r="AL94" s="1553"/>
      <c r="AM94" s="1553"/>
      <c r="AN94" s="1553"/>
      <c r="AO94" s="1553"/>
      <c r="AP94" s="1553"/>
      <c r="AQ94" s="1554"/>
      <c r="AR94" s="1554"/>
      <c r="AS94" s="1554"/>
      <c r="AT94" s="1555"/>
      <c r="AU94" s="1555"/>
      <c r="AV94" s="1555"/>
      <c r="DP94" s="1541"/>
    </row>
    <row r="95" spans="1:120" s="1540" customFormat="1" ht="65.25" customHeight="1" x14ac:dyDescent="0.5">
      <c r="A95" s="5172"/>
      <c r="B95" s="1949">
        <v>5515</v>
      </c>
      <c r="C95" s="3746"/>
      <c r="D95" s="1722" t="s">
        <v>915</v>
      </c>
      <c r="E95" s="1521">
        <f t="shared" ref="E95:N95" si="99">+E49</f>
        <v>0</v>
      </c>
      <c r="F95" s="2107">
        <f t="shared" si="84"/>
        <v>0</v>
      </c>
      <c r="G95" s="2107">
        <f t="shared" si="80"/>
        <v>0</v>
      </c>
      <c r="H95" s="2107">
        <f t="shared" si="80"/>
        <v>0</v>
      </c>
      <c r="I95" s="1521">
        <f t="shared" si="99"/>
        <v>0</v>
      </c>
      <c r="J95" s="1521">
        <f t="shared" si="99"/>
        <v>0</v>
      </c>
      <c r="K95" s="1521">
        <f t="shared" si="99"/>
        <v>0</v>
      </c>
      <c r="L95" s="1521">
        <f t="shared" ca="1" si="99"/>
        <v>0</v>
      </c>
      <c r="M95" s="1521">
        <f t="shared" ca="1" si="99"/>
        <v>0</v>
      </c>
      <c r="N95" s="1521">
        <f t="shared" ca="1" si="99"/>
        <v>0</v>
      </c>
      <c r="O95" s="2083"/>
      <c r="P95" s="2083"/>
      <c r="Q95" s="2083"/>
      <c r="R95" s="1743">
        <f t="shared" si="83"/>
        <v>0</v>
      </c>
      <c r="S95" s="2085">
        <f t="shared" ca="1" si="86"/>
        <v>0</v>
      </c>
      <c r="T95" s="2085">
        <f t="shared" ca="1" si="86"/>
        <v>0</v>
      </c>
      <c r="U95" s="2091">
        <f t="shared" ca="1" si="86"/>
        <v>0</v>
      </c>
      <c r="W95" s="1543"/>
      <c r="X95" s="1543"/>
      <c r="Y95" s="1543"/>
      <c r="Z95" s="1543"/>
      <c r="AA95" s="1543"/>
      <c r="AB95" s="1543"/>
      <c r="AC95" s="1543"/>
      <c r="AD95" s="1543"/>
      <c r="AE95" s="1543"/>
      <c r="AF95" s="1543"/>
      <c r="AG95" s="1543"/>
      <c r="AH95" s="1553"/>
      <c r="AI95" s="1553"/>
      <c r="AJ95" s="1553"/>
      <c r="AK95" s="1553"/>
      <c r="AL95" s="1553"/>
      <c r="AM95" s="1553"/>
      <c r="AN95" s="1553"/>
      <c r="AO95" s="1553"/>
      <c r="AP95" s="1553"/>
      <c r="AQ95" s="1554"/>
      <c r="AR95" s="1554"/>
      <c r="AS95" s="1554"/>
      <c r="AT95" s="1555"/>
      <c r="AU95" s="1555"/>
      <c r="AV95" s="1555"/>
      <c r="DP95" s="1541"/>
    </row>
    <row r="96" spans="1:120" s="1540" customFormat="1" ht="65.25" customHeight="1" x14ac:dyDescent="0.5">
      <c r="A96" s="5172"/>
      <c r="B96" s="1949">
        <v>5516</v>
      </c>
      <c r="C96" s="3746"/>
      <c r="D96" s="1722" t="s">
        <v>916</v>
      </c>
      <c r="E96" s="1521">
        <f t="shared" ref="E96:N96" si="100">+E61</f>
        <v>0</v>
      </c>
      <c r="F96" s="2107">
        <f t="shared" si="84"/>
        <v>0</v>
      </c>
      <c r="G96" s="2107">
        <f t="shared" si="84"/>
        <v>0</v>
      </c>
      <c r="H96" s="2107">
        <f t="shared" si="84"/>
        <v>0</v>
      </c>
      <c r="I96" s="1521">
        <f t="shared" si="100"/>
        <v>0</v>
      </c>
      <c r="J96" s="1521">
        <f t="shared" si="100"/>
        <v>0</v>
      </c>
      <c r="K96" s="1521">
        <f t="shared" si="100"/>
        <v>0</v>
      </c>
      <c r="L96" s="1521">
        <f t="shared" ca="1" si="100"/>
        <v>0</v>
      </c>
      <c r="M96" s="1521">
        <f t="shared" ca="1" si="100"/>
        <v>0</v>
      </c>
      <c r="N96" s="1521">
        <f t="shared" ca="1" si="100"/>
        <v>0</v>
      </c>
      <c r="O96" s="2083"/>
      <c r="P96" s="2083"/>
      <c r="Q96" s="2083"/>
      <c r="R96" s="1743">
        <f t="shared" si="83"/>
        <v>0</v>
      </c>
      <c r="S96" s="2085">
        <f t="shared" ca="1" si="86"/>
        <v>0</v>
      </c>
      <c r="T96" s="2085">
        <f t="shared" ca="1" si="86"/>
        <v>0</v>
      </c>
      <c r="U96" s="2091">
        <f t="shared" ca="1" si="86"/>
        <v>0</v>
      </c>
      <c r="W96" s="1543"/>
      <c r="X96" s="1543"/>
      <c r="Y96" s="1543"/>
      <c r="Z96" s="1543"/>
      <c r="AA96" s="1543"/>
      <c r="AB96" s="1543"/>
      <c r="AC96" s="1543"/>
      <c r="AD96" s="1543"/>
      <c r="AE96" s="1543"/>
      <c r="AF96" s="1543"/>
      <c r="AG96" s="1543"/>
      <c r="AH96" s="1553"/>
      <c r="AI96" s="1553"/>
      <c r="AJ96" s="1553"/>
      <c r="AK96" s="1553"/>
      <c r="AL96" s="1553"/>
      <c r="AM96" s="1553"/>
      <c r="AN96" s="1553"/>
      <c r="AO96" s="1553"/>
      <c r="AP96" s="1553"/>
      <c r="AQ96" s="1554"/>
      <c r="AR96" s="1554"/>
      <c r="AS96" s="1554"/>
      <c r="AT96" s="1555"/>
      <c r="AU96" s="1555"/>
      <c r="AV96" s="1555"/>
      <c r="DP96" s="1541"/>
    </row>
    <row r="97" spans="1:124" s="1540" customFormat="1" ht="65.25" customHeight="1" x14ac:dyDescent="0.5">
      <c r="A97" s="5172"/>
      <c r="B97" s="1949">
        <v>5517</v>
      </c>
      <c r="C97" s="3752"/>
      <c r="D97" s="1722" t="s">
        <v>917</v>
      </c>
      <c r="E97" s="1521">
        <f t="shared" ref="E97:N97" si="101">+E73</f>
        <v>0</v>
      </c>
      <c r="F97" s="2107">
        <f t="shared" si="84"/>
        <v>0</v>
      </c>
      <c r="G97" s="2107">
        <f t="shared" si="84"/>
        <v>0</v>
      </c>
      <c r="H97" s="2107">
        <f t="shared" si="84"/>
        <v>0</v>
      </c>
      <c r="I97" s="1521">
        <f t="shared" si="101"/>
        <v>0</v>
      </c>
      <c r="J97" s="1521">
        <f t="shared" si="101"/>
        <v>0</v>
      </c>
      <c r="K97" s="1521">
        <f t="shared" si="101"/>
        <v>0</v>
      </c>
      <c r="L97" s="1521">
        <f t="shared" ca="1" si="101"/>
        <v>0</v>
      </c>
      <c r="M97" s="1521">
        <f t="shared" ca="1" si="101"/>
        <v>0</v>
      </c>
      <c r="N97" s="1521">
        <f t="shared" ca="1" si="101"/>
        <v>0</v>
      </c>
      <c r="O97" s="2083"/>
      <c r="P97" s="2083"/>
      <c r="Q97" s="2083"/>
      <c r="R97" s="1743">
        <f t="shared" si="83"/>
        <v>0</v>
      </c>
      <c r="S97" s="2085">
        <f t="shared" ref="S97:U98" ca="1" si="102">+I97+L97</f>
        <v>0</v>
      </c>
      <c r="T97" s="2085">
        <f t="shared" ca="1" si="102"/>
        <v>0</v>
      </c>
      <c r="U97" s="2091">
        <f t="shared" ca="1" si="102"/>
        <v>0</v>
      </c>
      <c r="W97" s="1543"/>
      <c r="X97" s="1543"/>
      <c r="Y97" s="1543"/>
      <c r="Z97" s="1543"/>
      <c r="AA97" s="1543"/>
      <c r="AB97" s="1543"/>
      <c r="AC97" s="1543"/>
      <c r="AD97" s="1543"/>
      <c r="AE97" s="1543"/>
      <c r="AF97" s="1543"/>
      <c r="AG97" s="1543"/>
      <c r="AH97" s="1553"/>
      <c r="AI97" s="1553"/>
      <c r="AJ97" s="1553"/>
      <c r="AK97" s="1553"/>
      <c r="AL97" s="1553"/>
      <c r="AM97" s="1553"/>
      <c r="AN97" s="1553"/>
      <c r="AO97" s="1553"/>
      <c r="AP97" s="1553"/>
      <c r="AQ97" s="1554"/>
      <c r="AR97" s="1554"/>
      <c r="AS97" s="1554"/>
      <c r="AT97" s="1555"/>
      <c r="AU97" s="1555"/>
      <c r="AV97" s="1555"/>
      <c r="DP97" s="1541"/>
    </row>
    <row r="98" spans="1:124" s="1540" customFormat="1" ht="65.25" customHeight="1" x14ac:dyDescent="0.5">
      <c r="A98" s="5173"/>
      <c r="B98" s="1959">
        <v>6000</v>
      </c>
      <c r="C98" s="1901" t="s">
        <v>66</v>
      </c>
      <c r="D98" s="1961" t="s">
        <v>854</v>
      </c>
      <c r="E98" s="1521" t="e">
        <f t="shared" ref="E98:N98" si="103">+E24+E38+E50+E62+E74</f>
        <v>#REF!</v>
      </c>
      <c r="F98" s="2107" t="e">
        <f t="shared" si="84"/>
        <v>#REF!</v>
      </c>
      <c r="G98" s="2107" t="e">
        <f t="shared" si="84"/>
        <v>#REF!</v>
      </c>
      <c r="H98" s="2107" t="e">
        <f t="shared" si="84"/>
        <v>#REF!</v>
      </c>
      <c r="I98" s="1521" t="e">
        <f t="shared" si="103"/>
        <v>#REF!</v>
      </c>
      <c r="J98" s="1521" t="e">
        <f t="shared" si="103"/>
        <v>#REF!</v>
      </c>
      <c r="K98" s="1521" t="e">
        <f t="shared" si="103"/>
        <v>#REF!</v>
      </c>
      <c r="L98" s="1521" t="e">
        <f t="shared" si="103"/>
        <v>#REF!</v>
      </c>
      <c r="M98" s="1521" t="e">
        <f t="shared" si="103"/>
        <v>#REF!</v>
      </c>
      <c r="N98" s="1521" t="e">
        <f t="shared" si="103"/>
        <v>#REF!</v>
      </c>
      <c r="O98" s="2083" t="e">
        <f>+I98+L98</f>
        <v>#REF!</v>
      </c>
      <c r="P98" s="2083" t="e">
        <f t="shared" ref="P98:Q98" si="104">+J98+M98</f>
        <v>#REF!</v>
      </c>
      <c r="Q98" s="2083" t="e">
        <f t="shared" si="104"/>
        <v>#REF!</v>
      </c>
      <c r="R98" s="1743" t="e">
        <f t="shared" si="83"/>
        <v>#REF!</v>
      </c>
      <c r="S98" s="2085" t="e">
        <f t="shared" si="102"/>
        <v>#REF!</v>
      </c>
      <c r="T98" s="2085" t="e">
        <f t="shared" si="102"/>
        <v>#REF!</v>
      </c>
      <c r="U98" s="2091" t="e">
        <f t="shared" si="102"/>
        <v>#REF!</v>
      </c>
      <c r="W98" s="1543"/>
      <c r="X98" s="1543"/>
      <c r="Y98" s="1543"/>
      <c r="Z98" s="1543"/>
      <c r="AA98" s="1543"/>
      <c r="AB98" s="1543"/>
      <c r="AC98" s="1543"/>
      <c r="AD98" s="1543"/>
      <c r="AE98" s="1543"/>
      <c r="AF98" s="1543"/>
      <c r="AG98" s="1543"/>
      <c r="AH98" s="1553"/>
      <c r="AI98" s="1553"/>
      <c r="AJ98" s="1553"/>
      <c r="AK98" s="1553"/>
      <c r="AL98" s="1553"/>
      <c r="AM98" s="1553"/>
      <c r="AN98" s="1553"/>
      <c r="AO98" s="1553"/>
      <c r="AP98" s="1553"/>
      <c r="AQ98" s="1554"/>
      <c r="AR98" s="1554"/>
      <c r="AS98" s="1554"/>
      <c r="AT98" s="1555"/>
      <c r="AU98" s="1555"/>
      <c r="AV98" s="1555"/>
      <c r="DP98" s="1541"/>
    </row>
    <row r="99" spans="1:124" s="1540" customFormat="1" ht="65.25" customHeight="1" thickBot="1" x14ac:dyDescent="0.5">
      <c r="A99" s="5278" t="s">
        <v>409</v>
      </c>
      <c r="B99" s="5279"/>
      <c r="C99" s="5279"/>
      <c r="D99" s="5279"/>
      <c r="E99" s="1557" t="e">
        <f t="shared" ref="E99:Q99" si="105">SUM(E80:E98)</f>
        <v>#REF!</v>
      </c>
      <c r="F99" s="2106" t="e">
        <f t="shared" ca="1" si="84"/>
        <v>#REF!</v>
      </c>
      <c r="G99" s="2106" t="e">
        <f t="shared" ca="1" si="84"/>
        <v>#REF!</v>
      </c>
      <c r="H99" s="2106" t="e">
        <f t="shared" ca="1" si="84"/>
        <v>#REF!</v>
      </c>
      <c r="I99" s="1557" t="e">
        <f t="shared" ca="1" si="105"/>
        <v>#REF!</v>
      </c>
      <c r="J99" s="1557" t="e">
        <f t="shared" ca="1" si="105"/>
        <v>#REF!</v>
      </c>
      <c r="K99" s="1557" t="e">
        <f t="shared" ca="1" si="105"/>
        <v>#REF!</v>
      </c>
      <c r="L99" s="1557" t="e">
        <f t="shared" ca="1" si="105"/>
        <v>#REF!</v>
      </c>
      <c r="M99" s="1557" t="e">
        <f t="shared" ca="1" si="105"/>
        <v>#REF!</v>
      </c>
      <c r="N99" s="1557" t="e">
        <f t="shared" ca="1" si="105"/>
        <v>#REF!</v>
      </c>
      <c r="O99" s="2090" t="e">
        <f t="shared" ca="1" si="105"/>
        <v>#REF!</v>
      </c>
      <c r="P99" s="2090" t="e">
        <f t="shared" ca="1" si="105"/>
        <v>#REF!</v>
      </c>
      <c r="Q99" s="2090" t="e">
        <f t="shared" ca="1" si="105"/>
        <v>#REF!</v>
      </c>
      <c r="R99" s="1743" t="e">
        <f t="shared" si="83"/>
        <v>#REF!</v>
      </c>
      <c r="S99" s="2085" t="e">
        <f ca="1">SUM(S80:S98)</f>
        <v>#REF!</v>
      </c>
      <c r="T99" s="2085" t="e">
        <f ca="1">SUM(T80:T98)</f>
        <v>#REF!</v>
      </c>
      <c r="U99" s="2091" t="e">
        <f ca="1">SUM(U80:U98)</f>
        <v>#REF!</v>
      </c>
      <c r="V99" s="1592" t="e">
        <f ca="1">SUM(O99:Q99)</f>
        <v>#REF!</v>
      </c>
      <c r="W99" s="1557" t="e">
        <f>SUM(W80:W87)</f>
        <v>#REF!</v>
      </c>
      <c r="X99" s="1557"/>
      <c r="Y99" s="1557"/>
      <c r="Z99" s="1557" t="e">
        <f t="shared" ref="Z99:AS99" si="106">SUM(Z80:Z87)</f>
        <v>#REF!</v>
      </c>
      <c r="AA99" s="1557" t="e">
        <f t="shared" si="106"/>
        <v>#REF!</v>
      </c>
      <c r="AB99" s="1557">
        <f t="shared" ca="1" si="106"/>
        <v>0</v>
      </c>
      <c r="AC99" s="1557">
        <f t="shared" ca="1" si="106"/>
        <v>0</v>
      </c>
      <c r="AD99" s="1557">
        <f t="shared" ca="1" si="106"/>
        <v>0</v>
      </c>
      <c r="AE99" s="1557" t="e">
        <f t="shared" ca="1" si="106"/>
        <v>#REF!</v>
      </c>
      <c r="AF99" s="1557" t="e">
        <f t="shared" ca="1" si="106"/>
        <v>#REF!</v>
      </c>
      <c r="AG99" s="1557" t="e">
        <f t="shared" ca="1" si="106"/>
        <v>#REF!</v>
      </c>
      <c r="AH99" s="1557" t="e">
        <f t="shared" si="106"/>
        <v>#REF!</v>
      </c>
      <c r="AI99" s="1557" t="e">
        <f t="shared" si="106"/>
        <v>#REF!</v>
      </c>
      <c r="AJ99" s="1557" t="e">
        <f t="shared" si="106"/>
        <v>#REF!</v>
      </c>
      <c r="AK99" s="1557">
        <f t="shared" ca="1" si="106"/>
        <v>0</v>
      </c>
      <c r="AL99" s="1557">
        <f t="shared" ca="1" si="106"/>
        <v>0</v>
      </c>
      <c r="AM99" s="1557">
        <f t="shared" ca="1" si="106"/>
        <v>0</v>
      </c>
      <c r="AN99" s="1557" t="e">
        <f t="shared" ca="1" si="106"/>
        <v>#REF!</v>
      </c>
      <c r="AO99" s="1557" t="e">
        <f t="shared" ca="1" si="106"/>
        <v>#REF!</v>
      </c>
      <c r="AP99" s="1557" t="e">
        <f t="shared" ca="1" si="106"/>
        <v>#REF!</v>
      </c>
      <c r="AQ99" s="1557" t="e">
        <f t="shared" ca="1" si="106"/>
        <v>#REF!</v>
      </c>
      <c r="AR99" s="1557" t="e">
        <f t="shared" ca="1" si="106"/>
        <v>#REF!</v>
      </c>
      <c r="AS99" s="1557" t="e">
        <f t="shared" ca="1" si="106"/>
        <v>#REF!</v>
      </c>
      <c r="AT99" s="1549"/>
      <c r="AU99" s="1549"/>
      <c r="AV99" s="1549"/>
      <c r="BU99" s="1574" t="e">
        <f ca="1">SUM(O99:Q99)</f>
        <v>#REF!</v>
      </c>
      <c r="DP99" s="1541"/>
    </row>
    <row r="100" spans="1:124" s="1724" customFormat="1" ht="65.25" customHeight="1" x14ac:dyDescent="0.4">
      <c r="A100" s="5158" t="s">
        <v>409</v>
      </c>
      <c r="B100" s="5159"/>
      <c r="C100" s="5159"/>
      <c r="D100" s="5159"/>
      <c r="E100" s="5159"/>
      <c r="F100" s="2189"/>
      <c r="G100" s="2189"/>
      <c r="H100" s="2189"/>
      <c r="I100" s="5281" t="s">
        <v>377</v>
      </c>
      <c r="J100" s="5241"/>
      <c r="K100" s="5242"/>
      <c r="L100" s="1723"/>
      <c r="O100" s="1726"/>
      <c r="P100" s="1726"/>
      <c r="Q100" s="1727"/>
      <c r="R100" s="1726"/>
      <c r="S100" s="1726"/>
      <c r="T100" s="1726"/>
      <c r="U100" s="1726"/>
      <c r="Z100" s="1728"/>
      <c r="AA100" s="1728"/>
      <c r="DP100" s="1725"/>
    </row>
    <row r="101" spans="1:124" s="1724" customFormat="1" ht="65.25" customHeight="1" x14ac:dyDescent="0.4">
      <c r="A101" s="5161"/>
      <c r="B101" s="5162"/>
      <c r="C101" s="5162"/>
      <c r="D101" s="5162"/>
      <c r="E101" s="5162"/>
      <c r="F101" s="2189"/>
      <c r="G101" s="2189"/>
      <c r="H101" s="2189"/>
      <c r="I101" s="1729" t="s">
        <v>287</v>
      </c>
      <c r="J101" s="1730" t="s">
        <v>289</v>
      </c>
      <c r="K101" s="1731" t="s">
        <v>288</v>
      </c>
      <c r="L101" s="1723"/>
      <c r="O101" s="1726"/>
      <c r="P101" s="1726"/>
      <c r="Q101" s="1727"/>
      <c r="R101" s="1726"/>
      <c r="S101" s="1726"/>
      <c r="T101" s="1726"/>
      <c r="U101" s="1726"/>
      <c r="Z101" s="1728"/>
      <c r="AA101" s="1728"/>
      <c r="DP101" s="1725"/>
    </row>
    <row r="102" spans="1:124" s="1724" customFormat="1" ht="65.25" customHeight="1" thickBot="1" x14ac:dyDescent="0.55000000000000004">
      <c r="A102" s="5161"/>
      <c r="B102" s="5162"/>
      <c r="C102" s="5162"/>
      <c r="D102" s="5162"/>
      <c r="E102" s="5162"/>
      <c r="F102" s="2189"/>
      <c r="G102" s="2189"/>
      <c r="H102" s="2189"/>
      <c r="I102" s="2026" t="e">
        <f ca="1">+I99+L99</f>
        <v>#REF!</v>
      </c>
      <c r="J102" s="2027" t="e">
        <f ca="1">+J99+M99</f>
        <v>#REF!</v>
      </c>
      <c r="K102" s="2028" t="e">
        <f ca="1">+K99+N99</f>
        <v>#REF!</v>
      </c>
      <c r="L102" s="1723" t="e">
        <f ca="1">SUM(I102:K102)</f>
        <v>#REF!</v>
      </c>
      <c r="M102" s="1735"/>
      <c r="N102" s="1735"/>
      <c r="O102" s="1726"/>
      <c r="P102" s="1726"/>
      <c r="Q102" s="1727"/>
      <c r="R102" s="1726"/>
      <c r="S102" s="1726"/>
      <c r="T102" s="1726"/>
      <c r="U102" s="1726"/>
      <c r="Z102" s="1728"/>
      <c r="AA102" s="1728"/>
      <c r="DP102" s="1725"/>
    </row>
    <row r="103" spans="1:124" s="250" customFormat="1" ht="65.25" customHeight="1" thickBot="1" x14ac:dyDescent="0.4">
      <c r="A103" s="4361"/>
      <c r="B103" s="4362"/>
      <c r="C103" s="4362"/>
      <c r="D103" s="4362"/>
      <c r="E103" s="4362"/>
      <c r="F103" s="4362"/>
      <c r="G103" s="4362"/>
      <c r="H103" s="4362"/>
      <c r="I103" s="4362"/>
      <c r="J103" s="4362"/>
      <c r="K103" s="4362"/>
      <c r="L103" s="4362"/>
      <c r="M103" s="4362"/>
      <c r="N103" s="4362"/>
      <c r="O103" s="4362"/>
      <c r="P103" s="4362"/>
      <c r="Q103" s="4363"/>
      <c r="R103" s="2156"/>
      <c r="S103" s="2156"/>
      <c r="T103" s="2156"/>
      <c r="U103" s="2156"/>
      <c r="Z103" s="1736"/>
      <c r="AA103" s="1736"/>
      <c r="DP103" s="1737"/>
    </row>
    <row r="104" spans="1:124" s="250" customFormat="1" ht="65.25" customHeight="1" x14ac:dyDescent="0.4">
      <c r="A104" s="5280" t="s">
        <v>918</v>
      </c>
      <c r="B104" s="5280"/>
      <c r="C104" s="2011"/>
      <c r="D104" s="2011"/>
      <c r="E104" s="4210" t="s">
        <v>101</v>
      </c>
      <c r="F104" s="5348" t="s">
        <v>899</v>
      </c>
      <c r="G104" s="5349"/>
      <c r="H104" s="5350"/>
      <c r="I104" s="4295" t="s">
        <v>304</v>
      </c>
      <c r="J104" s="4317"/>
      <c r="K104" s="4317"/>
      <c r="L104" s="4317" t="s">
        <v>368</v>
      </c>
      <c r="M104" s="4317"/>
      <c r="N104" s="4317"/>
      <c r="O104" s="1738"/>
      <c r="P104" s="1738"/>
      <c r="Q104" s="1738"/>
      <c r="R104" s="1739"/>
      <c r="S104" s="4325" t="s">
        <v>377</v>
      </c>
      <c r="T104" s="4325"/>
      <c r="U104" s="5229"/>
      <c r="Z104" s="1736"/>
      <c r="AA104" s="1736"/>
      <c r="DP104" s="4481" t="s">
        <v>241</v>
      </c>
      <c r="DQ104" s="4482"/>
      <c r="DR104" s="4482"/>
      <c r="DS104" s="4483"/>
      <c r="DT104" s="537"/>
    </row>
    <row r="105" spans="1:124" s="1724" customFormat="1" ht="65.25" customHeight="1" thickBot="1" x14ac:dyDescent="0.4">
      <c r="A105" s="5280"/>
      <c r="B105" s="5280"/>
      <c r="C105" s="2012"/>
      <c r="D105" s="2012"/>
      <c r="E105" s="4211"/>
      <c r="F105" s="2104" t="s">
        <v>287</v>
      </c>
      <c r="G105" s="2104" t="s">
        <v>289</v>
      </c>
      <c r="H105" s="2105" t="s">
        <v>288</v>
      </c>
      <c r="I105" s="1740" t="s">
        <v>287</v>
      </c>
      <c r="J105" s="1738" t="s">
        <v>289</v>
      </c>
      <c r="K105" s="1738" t="s">
        <v>288</v>
      </c>
      <c r="L105" s="1738" t="s">
        <v>287</v>
      </c>
      <c r="M105" s="1738" t="s">
        <v>289</v>
      </c>
      <c r="N105" s="1738" t="s">
        <v>288</v>
      </c>
      <c r="O105" s="1738"/>
      <c r="P105" s="1738"/>
      <c r="Q105" s="1738"/>
      <c r="R105" s="1739"/>
      <c r="S105" s="1730" t="s">
        <v>287</v>
      </c>
      <c r="T105" s="1730" t="s">
        <v>289</v>
      </c>
      <c r="U105" s="1731" t="s">
        <v>288</v>
      </c>
      <c r="Z105" s="1728"/>
      <c r="AA105" s="1728"/>
      <c r="DP105" s="1996" t="s">
        <v>370</v>
      </c>
      <c r="DQ105" s="980" t="s">
        <v>25</v>
      </c>
      <c r="DR105" s="980" t="s">
        <v>371</v>
      </c>
      <c r="DS105" s="980" t="s">
        <v>241</v>
      </c>
      <c r="DT105" s="1176"/>
    </row>
    <row r="106" spans="1:124" s="1724" customFormat="1" ht="65.25" customHeight="1" thickBot="1" x14ac:dyDescent="0.5">
      <c r="A106" s="5280"/>
      <c r="B106" s="5280"/>
      <c r="C106" s="5282" t="s">
        <v>411</v>
      </c>
      <c r="D106" s="5283"/>
      <c r="E106" s="2025">
        <f t="shared" ref="E106:N107" si="107">+E249</f>
        <v>0</v>
      </c>
      <c r="F106" s="2273">
        <f ca="1">+S106</f>
        <v>0</v>
      </c>
      <c r="G106" s="2273">
        <f t="shared" ref="G106:H107" ca="1" si="108">+T106</f>
        <v>0</v>
      </c>
      <c r="H106" s="2273">
        <f t="shared" ca="1" si="108"/>
        <v>0</v>
      </c>
      <c r="I106" s="2025">
        <f t="shared" si="107"/>
        <v>0</v>
      </c>
      <c r="J106" s="2025">
        <f t="shared" si="107"/>
        <v>0</v>
      </c>
      <c r="K106" s="2025">
        <f t="shared" si="107"/>
        <v>0</v>
      </c>
      <c r="L106" s="2025">
        <f t="shared" ca="1" si="107"/>
        <v>0</v>
      </c>
      <c r="M106" s="2025">
        <f t="shared" ca="1" si="107"/>
        <v>0</v>
      </c>
      <c r="N106" s="2025">
        <f t="shared" ca="1" si="107"/>
        <v>0</v>
      </c>
      <c r="O106" s="1742"/>
      <c r="P106" s="1742"/>
      <c r="Q106" s="1742"/>
      <c r="R106" s="1743">
        <f>+IF(E106=0,0,SUM(I106:K106)/E106)</f>
        <v>0</v>
      </c>
      <c r="S106" s="2085">
        <f t="shared" ref="S106:U107" ca="1" si="109">+I106+L106</f>
        <v>0</v>
      </c>
      <c r="T106" s="2085">
        <f t="shared" ca="1" si="109"/>
        <v>0</v>
      </c>
      <c r="U106" s="2091">
        <f t="shared" ca="1" si="109"/>
        <v>0</v>
      </c>
      <c r="V106" s="1746">
        <f>SUM(O106:Q106)</f>
        <v>0</v>
      </c>
      <c r="Z106" s="1728"/>
      <c r="AA106" s="1728"/>
      <c r="DP106" s="2022">
        <f>+IF(E106=0,0,DQ106/DR106)</f>
        <v>0</v>
      </c>
      <c r="DQ106" s="2023">
        <f>+SUM(I106:K106)</f>
        <v>0</v>
      </c>
      <c r="DR106" s="2023">
        <f>+E106</f>
        <v>0</v>
      </c>
      <c r="DS106" s="2024" t="str">
        <f>IF(DR106=0,"S.D.",+IF((DQ106/DR106)&lt;=800,"O.K.","VERIFICAR"))</f>
        <v>S.D.</v>
      </c>
    </row>
    <row r="107" spans="1:124" s="1724" customFormat="1" ht="65.25" customHeight="1" thickBot="1" x14ac:dyDescent="0.5">
      <c r="A107" s="5280"/>
      <c r="B107" s="5280"/>
      <c r="C107" s="5282" t="s">
        <v>412</v>
      </c>
      <c r="D107" s="5283"/>
      <c r="E107" s="2025">
        <f t="shared" si="107"/>
        <v>0</v>
      </c>
      <c r="F107" s="2273">
        <f ca="1">+S107</f>
        <v>0</v>
      </c>
      <c r="G107" s="2273">
        <f t="shared" ca="1" si="108"/>
        <v>0</v>
      </c>
      <c r="H107" s="2273">
        <f t="shared" ca="1" si="108"/>
        <v>0</v>
      </c>
      <c r="I107" s="2025">
        <f t="shared" si="107"/>
        <v>0</v>
      </c>
      <c r="J107" s="2025">
        <f t="shared" si="107"/>
        <v>0</v>
      </c>
      <c r="K107" s="2025">
        <f t="shared" si="107"/>
        <v>0</v>
      </c>
      <c r="L107" s="2025">
        <f t="shared" ca="1" si="107"/>
        <v>0</v>
      </c>
      <c r="M107" s="2025">
        <f t="shared" ca="1" si="107"/>
        <v>0</v>
      </c>
      <c r="N107" s="2025">
        <f t="shared" ca="1" si="107"/>
        <v>0</v>
      </c>
      <c r="O107" s="2096"/>
      <c r="P107" s="2096"/>
      <c r="Q107" s="2096"/>
      <c r="R107" s="1743">
        <f>+IF(E107=0,0,SUM(I107:K107)/E107)</f>
        <v>0</v>
      </c>
      <c r="S107" s="2085">
        <f t="shared" ca="1" si="109"/>
        <v>0</v>
      </c>
      <c r="T107" s="2085">
        <f t="shared" ca="1" si="109"/>
        <v>0</v>
      </c>
      <c r="U107" s="2091">
        <f t="shared" ca="1" si="109"/>
        <v>0</v>
      </c>
      <c r="V107" s="1746">
        <f>SUM(O107:Q107)</f>
        <v>0</v>
      </c>
      <c r="Z107" s="1728"/>
      <c r="AA107" s="1728"/>
      <c r="DP107" s="2022">
        <f>+IF(E107=0,0,DQ107/DR107)</f>
        <v>0</v>
      </c>
      <c r="DQ107" s="2023">
        <f>+SUM(I107:K107)</f>
        <v>0</v>
      </c>
      <c r="DR107" s="2023">
        <f>+E107</f>
        <v>0</v>
      </c>
      <c r="DS107" s="2024" t="str">
        <f>IF(DR107=0,"S.D.",+IF(AND(((DQ107+800*DR107)/DR107)&gt;800,((DQ107+800*DR107)/DR107)&lt;2000),"O.K.","VERIFICAR"))</f>
        <v>S.D.</v>
      </c>
    </row>
    <row r="108" spans="1:124" s="1724" customFormat="1" ht="65.25" customHeight="1" x14ac:dyDescent="0.4">
      <c r="A108" s="5280"/>
      <c r="B108" s="5280"/>
      <c r="C108" s="2012"/>
      <c r="D108" s="2012"/>
      <c r="E108" s="4402"/>
      <c r="F108" s="4325" t="s">
        <v>919</v>
      </c>
      <c r="G108" s="4325"/>
      <c r="H108" s="4325"/>
      <c r="I108" s="5270" t="s">
        <v>377</v>
      </c>
      <c r="J108" s="4344"/>
      <c r="K108" s="5271"/>
      <c r="L108" s="1749"/>
      <c r="M108" s="1749"/>
      <c r="N108" s="1749"/>
      <c r="O108" s="1749"/>
      <c r="P108" s="1749"/>
      <c r="Q108" s="1750"/>
      <c r="R108" s="1752"/>
      <c r="S108" s="1752"/>
      <c r="T108" s="1752"/>
      <c r="U108" s="1752"/>
      <c r="Z108" s="1728"/>
      <c r="AA108" s="1728"/>
      <c r="DP108" s="1725"/>
    </row>
    <row r="109" spans="1:124" s="250" customFormat="1" ht="65.25" customHeight="1" x14ac:dyDescent="0.4">
      <c r="A109" s="5280"/>
      <c r="B109" s="5280"/>
      <c r="C109" s="2012"/>
      <c r="D109" s="2012"/>
      <c r="E109" s="4403"/>
      <c r="F109" s="1730" t="s">
        <v>287</v>
      </c>
      <c r="G109" s="1730" t="s">
        <v>289</v>
      </c>
      <c r="H109" s="1730" t="s">
        <v>288</v>
      </c>
      <c r="I109" s="1751" t="s">
        <v>287</v>
      </c>
      <c r="J109" s="1730" t="s">
        <v>289</v>
      </c>
      <c r="K109" s="1731" t="s">
        <v>288</v>
      </c>
      <c r="L109" s="1752"/>
      <c r="M109" s="1752"/>
      <c r="N109" s="1752"/>
      <c r="O109" s="1752"/>
      <c r="P109" s="1752"/>
      <c r="Q109" s="1753"/>
      <c r="R109" s="1752"/>
      <c r="S109" s="1752"/>
      <c r="T109" s="1752"/>
      <c r="U109" s="1752"/>
      <c r="Z109" s="1736"/>
      <c r="AA109" s="1736"/>
      <c r="DP109" s="1737"/>
    </row>
    <row r="110" spans="1:124" s="250" customFormat="1" ht="65.25" customHeight="1" thickBot="1" x14ac:dyDescent="0.45">
      <c r="A110" s="5280"/>
      <c r="B110" s="5280"/>
      <c r="C110" s="2013"/>
      <c r="D110" s="2013"/>
      <c r="E110" s="4404"/>
      <c r="F110" s="2111">
        <f ca="1">+F106+F107</f>
        <v>0</v>
      </c>
      <c r="G110" s="2111">
        <f t="shared" ref="G110:H110" ca="1" si="110">+G106+G107</f>
        <v>0</v>
      </c>
      <c r="H110" s="2111">
        <f t="shared" ca="1" si="110"/>
        <v>0</v>
      </c>
      <c r="I110" s="2037">
        <f ca="1">+I106+L106+I107+L107</f>
        <v>0</v>
      </c>
      <c r="J110" s="2038">
        <f ca="1">+J106+M106+J107+M107</f>
        <v>0</v>
      </c>
      <c r="K110" s="2038">
        <f ca="1">+K106+N106+K107+N107</f>
        <v>0</v>
      </c>
      <c r="L110" s="1723">
        <f ca="1">SUM(I110:K110)</f>
        <v>0</v>
      </c>
      <c r="M110" s="1752"/>
      <c r="N110" s="1752"/>
      <c r="O110" s="1752"/>
      <c r="P110" s="1752"/>
      <c r="Q110" s="1753"/>
      <c r="R110" s="1752"/>
      <c r="S110" s="1752"/>
      <c r="T110" s="1752"/>
      <c r="U110" s="1752"/>
      <c r="V110" s="1425"/>
      <c r="W110" s="1425"/>
      <c r="X110" s="1425"/>
      <c r="Y110" s="1425"/>
      <c r="Z110" s="1736"/>
      <c r="AA110" s="1736"/>
      <c r="DP110" s="1737"/>
    </row>
    <row r="111" spans="1:124" s="250" customFormat="1" ht="65.25" customHeight="1" x14ac:dyDescent="0.35">
      <c r="A111" s="4408"/>
      <c r="B111" s="4409"/>
      <c r="C111" s="4409"/>
      <c r="D111" s="4409"/>
      <c r="E111" s="4409"/>
      <c r="F111" s="4409"/>
      <c r="G111" s="4409"/>
      <c r="H111" s="4409"/>
      <c r="I111" s="4409"/>
      <c r="J111" s="4409"/>
      <c r="K111" s="4409"/>
      <c r="L111" s="4409"/>
      <c r="M111" s="4409"/>
      <c r="N111" s="4409"/>
      <c r="O111" s="4409"/>
      <c r="P111" s="4409"/>
      <c r="Q111" s="4410"/>
      <c r="R111" s="2238"/>
      <c r="S111" s="2238"/>
      <c r="T111" s="2238"/>
      <c r="U111" s="2238"/>
      <c r="V111" s="1425"/>
      <c r="W111" s="1425"/>
      <c r="X111" s="1425"/>
      <c r="Y111" s="1425"/>
      <c r="Z111" s="1736"/>
      <c r="AA111" s="1736"/>
      <c r="DP111" s="1737"/>
    </row>
    <row r="112" spans="1:124" s="250" customFormat="1" ht="65.25" customHeight="1" thickBot="1" x14ac:dyDescent="0.4">
      <c r="A112" s="4408"/>
      <c r="B112" s="4409"/>
      <c r="C112" s="4409"/>
      <c r="D112" s="4409"/>
      <c r="E112" s="4409"/>
      <c r="F112" s="4409"/>
      <c r="G112" s="4409"/>
      <c r="H112" s="4409"/>
      <c r="I112" s="4409"/>
      <c r="J112" s="4409"/>
      <c r="K112" s="4409"/>
      <c r="L112" s="4409"/>
      <c r="M112" s="4409"/>
      <c r="N112" s="4409"/>
      <c r="O112" s="4409"/>
      <c r="P112" s="4409"/>
      <c r="Q112" s="4410"/>
      <c r="R112" s="2238"/>
      <c r="S112" s="2238"/>
      <c r="T112" s="2238"/>
      <c r="U112" s="2238"/>
      <c r="V112" s="1425"/>
      <c r="W112" s="1425"/>
      <c r="X112" s="1425"/>
      <c r="Y112" s="1425"/>
      <c r="Z112" s="1736"/>
      <c r="AA112" s="1736"/>
      <c r="DP112" s="1737"/>
    </row>
    <row r="113" spans="1:123" s="250" customFormat="1" ht="65.25" customHeight="1" x14ac:dyDescent="0.4">
      <c r="A113" s="5314" t="s">
        <v>920</v>
      </c>
      <c r="B113" s="5314"/>
      <c r="C113" s="4437" t="s">
        <v>71</v>
      </c>
      <c r="D113" s="4418"/>
      <c r="E113" s="5315" t="s">
        <v>101</v>
      </c>
      <c r="F113" s="5348" t="s">
        <v>899</v>
      </c>
      <c r="G113" s="5349"/>
      <c r="H113" s="5350"/>
      <c r="I113" s="4295" t="s">
        <v>304</v>
      </c>
      <c r="J113" s="4317"/>
      <c r="K113" s="4317"/>
      <c r="L113" s="4317" t="s">
        <v>368</v>
      </c>
      <c r="M113" s="4317"/>
      <c r="N113" s="4317"/>
      <c r="O113" s="1738"/>
      <c r="P113" s="1738"/>
      <c r="Q113" s="1738"/>
      <c r="R113" s="1739"/>
      <c r="S113" s="4325" t="s">
        <v>377</v>
      </c>
      <c r="T113" s="4325"/>
      <c r="U113" s="5229"/>
      <c r="V113" s="1425"/>
      <c r="W113" s="1425"/>
      <c r="X113" s="1425"/>
      <c r="Y113" s="1425"/>
      <c r="Z113" s="1736"/>
      <c r="AA113" s="1736"/>
      <c r="DP113" s="4473" t="s">
        <v>241</v>
      </c>
      <c r="DQ113" s="4474"/>
      <c r="DR113" s="4474"/>
      <c r="DS113" s="4475"/>
    </row>
    <row r="114" spans="1:123" s="250" customFormat="1" ht="65.25" customHeight="1" thickBot="1" x14ac:dyDescent="0.45">
      <c r="A114" s="5314"/>
      <c r="B114" s="5314"/>
      <c r="C114" s="4420"/>
      <c r="D114" s="4420"/>
      <c r="E114" s="5315"/>
      <c r="F114" s="2108" t="s">
        <v>287</v>
      </c>
      <c r="G114" s="2109" t="s">
        <v>289</v>
      </c>
      <c r="H114" s="2110" t="s">
        <v>288</v>
      </c>
      <c r="I114" s="1740" t="s">
        <v>287</v>
      </c>
      <c r="J114" s="1738" t="s">
        <v>289</v>
      </c>
      <c r="K114" s="1738" t="s">
        <v>288</v>
      </c>
      <c r="L114" s="1738" t="s">
        <v>287</v>
      </c>
      <c r="M114" s="1738" t="s">
        <v>289</v>
      </c>
      <c r="N114" s="1738" t="s">
        <v>288</v>
      </c>
      <c r="O114" s="1738"/>
      <c r="P114" s="1738"/>
      <c r="Q114" s="1738"/>
      <c r="R114" s="1739"/>
      <c r="S114" s="1730" t="s">
        <v>287</v>
      </c>
      <c r="T114" s="1730" t="s">
        <v>289</v>
      </c>
      <c r="U114" s="1731" t="s">
        <v>288</v>
      </c>
      <c r="V114" s="1425"/>
      <c r="W114" s="1425"/>
      <c r="X114" s="1425"/>
      <c r="Y114" s="1425"/>
      <c r="Z114" s="1736"/>
      <c r="AA114" s="1736"/>
      <c r="DP114" s="1997" t="s">
        <v>414</v>
      </c>
      <c r="DQ114" s="807" t="s">
        <v>25</v>
      </c>
      <c r="DR114" s="807" t="s">
        <v>371</v>
      </c>
      <c r="DS114" s="1998" t="s">
        <v>241</v>
      </c>
    </row>
    <row r="115" spans="1:123" s="250" customFormat="1" ht="65.25" customHeight="1" thickBot="1" x14ac:dyDescent="0.5">
      <c r="A115" s="5314"/>
      <c r="B115" s="5314"/>
      <c r="C115" s="5268" t="s">
        <v>415</v>
      </c>
      <c r="D115" s="5269"/>
      <c r="E115" s="2029">
        <f t="shared" ref="E115:N116" si="111">+E251</f>
        <v>0</v>
      </c>
      <c r="F115" s="2273">
        <f ca="1">+S115</f>
        <v>0</v>
      </c>
      <c r="G115" s="2273">
        <f t="shared" ref="G115:H116" ca="1" si="112">+T115</f>
        <v>0</v>
      </c>
      <c r="H115" s="2273">
        <f t="shared" ca="1" si="112"/>
        <v>0</v>
      </c>
      <c r="I115" s="2029">
        <f t="shared" si="111"/>
        <v>0</v>
      </c>
      <c r="J115" s="2029">
        <f t="shared" si="111"/>
        <v>0</v>
      </c>
      <c r="K115" s="2029">
        <f t="shared" si="111"/>
        <v>0</v>
      </c>
      <c r="L115" s="2029">
        <f t="shared" ca="1" si="111"/>
        <v>0</v>
      </c>
      <c r="M115" s="2029">
        <f t="shared" ca="1" si="111"/>
        <v>0</v>
      </c>
      <c r="N115" s="2029">
        <f t="shared" ca="1" si="111"/>
        <v>0</v>
      </c>
      <c r="O115" s="1742"/>
      <c r="P115" s="1742"/>
      <c r="Q115" s="1742"/>
      <c r="R115" s="1743">
        <f>+IF(E115=0,0,SUM(I115:K115)/E115)</f>
        <v>0</v>
      </c>
      <c r="S115" s="2085">
        <f t="shared" ref="S115:U116" ca="1" si="113">+I115+L115</f>
        <v>0</v>
      </c>
      <c r="T115" s="2085">
        <f t="shared" ca="1" si="113"/>
        <v>0</v>
      </c>
      <c r="U115" s="2091">
        <f t="shared" ca="1" si="113"/>
        <v>0</v>
      </c>
      <c r="V115" s="1746">
        <f>SUM(O115:Q115)</f>
        <v>0</v>
      </c>
      <c r="W115" s="1425"/>
      <c r="X115" s="1425"/>
      <c r="Y115" s="1425"/>
      <c r="Z115" s="1736"/>
      <c r="AA115" s="1736"/>
      <c r="DP115" s="2022">
        <f>+IF(E115=0,0,DQ115/DR115)</f>
        <v>0</v>
      </c>
      <c r="DQ115" s="2023">
        <f>+SUM(I115:K115)</f>
        <v>0</v>
      </c>
      <c r="DR115" s="2023">
        <f>+E115</f>
        <v>0</v>
      </c>
      <c r="DS115" s="2024" t="str">
        <f>IF(DR115=0,"S.D.",+IF((DQ115/DR115)&lt;=800,"O.K.","VERIFICAR"))</f>
        <v>S.D.</v>
      </c>
    </row>
    <row r="116" spans="1:123" s="250" customFormat="1" ht="65.25" customHeight="1" thickBot="1" x14ac:dyDescent="0.5">
      <c r="A116" s="5314"/>
      <c r="B116" s="5314"/>
      <c r="C116" s="5268" t="s">
        <v>416</v>
      </c>
      <c r="D116" s="5269"/>
      <c r="E116" s="2029">
        <f t="shared" si="111"/>
        <v>0</v>
      </c>
      <c r="F116" s="2273">
        <f ca="1">+S116</f>
        <v>0</v>
      </c>
      <c r="G116" s="2273">
        <f t="shared" ca="1" si="112"/>
        <v>0</v>
      </c>
      <c r="H116" s="2273">
        <f t="shared" ca="1" si="112"/>
        <v>0</v>
      </c>
      <c r="I116" s="2029">
        <f t="shared" si="111"/>
        <v>0</v>
      </c>
      <c r="J116" s="2029">
        <f t="shared" si="111"/>
        <v>0</v>
      </c>
      <c r="K116" s="2029">
        <f t="shared" si="111"/>
        <v>0</v>
      </c>
      <c r="L116" s="2029">
        <f t="shared" ca="1" si="111"/>
        <v>0</v>
      </c>
      <c r="M116" s="2029">
        <f t="shared" ca="1" si="111"/>
        <v>0</v>
      </c>
      <c r="N116" s="2029">
        <f t="shared" ca="1" si="111"/>
        <v>0</v>
      </c>
      <c r="O116" s="1742"/>
      <c r="P116" s="1742"/>
      <c r="Q116" s="1742"/>
      <c r="R116" s="1743">
        <f>+IF(E116=0,0,SUM(I116:K116)/E116)</f>
        <v>0</v>
      </c>
      <c r="S116" s="2085">
        <f t="shared" ca="1" si="113"/>
        <v>0</v>
      </c>
      <c r="T116" s="2085">
        <f t="shared" ca="1" si="113"/>
        <v>0</v>
      </c>
      <c r="U116" s="2091">
        <f t="shared" ca="1" si="113"/>
        <v>0</v>
      </c>
      <c r="V116" s="1746">
        <f>SUM(O116:Q116)</f>
        <v>0</v>
      </c>
      <c r="W116" s="1425"/>
      <c r="X116" s="1425"/>
      <c r="Y116" s="1425"/>
      <c r="Z116" s="1736"/>
      <c r="AA116" s="1736"/>
      <c r="DP116" s="2022">
        <f>+IF(E116=0,0,DQ116/DR116)</f>
        <v>0</v>
      </c>
      <c r="DQ116" s="2023">
        <f>+SUM(I116:K116)</f>
        <v>0</v>
      </c>
      <c r="DR116" s="2023">
        <f>+E116</f>
        <v>0</v>
      </c>
      <c r="DS116" s="2024" t="str">
        <f>IF(DR116=0,"S.D.",+IF(AND((DQ116/DR116)&gt;800,(DQ116/DR116)&lt;=3000),"O.K.","VERIFICAR"))</f>
        <v>S.D.</v>
      </c>
    </row>
    <row r="117" spans="1:123" s="250" customFormat="1" ht="65.25" customHeight="1" x14ac:dyDescent="0.4">
      <c r="A117" s="5314"/>
      <c r="B117" s="5314"/>
      <c r="C117" s="4220"/>
      <c r="D117" s="4220"/>
      <c r="E117" s="4221"/>
      <c r="F117" s="4325" t="s">
        <v>921</v>
      </c>
      <c r="G117" s="4325"/>
      <c r="H117" s="4325"/>
      <c r="I117" s="5270" t="s">
        <v>377</v>
      </c>
      <c r="J117" s="4344"/>
      <c r="K117" s="5271"/>
      <c r="L117" s="1749"/>
      <c r="M117" s="1749"/>
      <c r="N117" s="1749"/>
      <c r="O117" s="1749"/>
      <c r="P117" s="1749"/>
      <c r="Q117" s="1750"/>
      <c r="R117" s="1752"/>
      <c r="S117" s="1752"/>
      <c r="T117" s="1752"/>
      <c r="U117" s="1752"/>
      <c r="V117" s="1425"/>
      <c r="W117" s="1425"/>
      <c r="X117" s="1425"/>
      <c r="Y117" s="1425"/>
      <c r="Z117" s="1736"/>
      <c r="AA117" s="1736"/>
    </row>
    <row r="118" spans="1:123" s="250" customFormat="1" ht="65.25" customHeight="1" x14ac:dyDescent="0.4">
      <c r="A118" s="5314"/>
      <c r="B118" s="5314"/>
      <c r="C118" s="4223"/>
      <c r="D118" s="4223"/>
      <c r="E118" s="4224"/>
      <c r="F118" s="1730" t="s">
        <v>287</v>
      </c>
      <c r="G118" s="1730" t="s">
        <v>289</v>
      </c>
      <c r="H118" s="1730" t="s">
        <v>288</v>
      </c>
      <c r="I118" s="1751" t="s">
        <v>287</v>
      </c>
      <c r="J118" s="1730" t="s">
        <v>289</v>
      </c>
      <c r="K118" s="1731" t="s">
        <v>288</v>
      </c>
      <c r="L118" s="1752"/>
      <c r="M118" s="1752"/>
      <c r="N118" s="1752"/>
      <c r="O118" s="1752"/>
      <c r="P118" s="1752"/>
      <c r="Q118" s="1753"/>
      <c r="R118" s="1752"/>
      <c r="S118" s="1752"/>
      <c r="T118" s="1752"/>
      <c r="U118" s="1752"/>
      <c r="Z118" s="1736"/>
      <c r="AA118" s="1736"/>
    </row>
    <row r="119" spans="1:123" s="250" customFormat="1" ht="65.25" customHeight="1" thickBot="1" x14ac:dyDescent="0.45">
      <c r="A119" s="5314"/>
      <c r="B119" s="5314"/>
      <c r="C119" s="4226"/>
      <c r="D119" s="4226"/>
      <c r="E119" s="4227"/>
      <c r="F119" s="2112">
        <f ca="1">+F115+F116</f>
        <v>0</v>
      </c>
      <c r="G119" s="2112">
        <f t="shared" ref="G119:H119" ca="1" si="114">+G115+G116</f>
        <v>0</v>
      </c>
      <c r="H119" s="2112">
        <f t="shared" ca="1" si="114"/>
        <v>0</v>
      </c>
      <c r="I119" s="2039">
        <f ca="1">+I115+L115+I116+L116</f>
        <v>0</v>
      </c>
      <c r="J119" s="2040">
        <f ca="1">+J115+M115+J116+M116</f>
        <v>0</v>
      </c>
      <c r="K119" s="2040">
        <f ca="1">+K115+N115+K116+N116</f>
        <v>0</v>
      </c>
      <c r="L119" s="1723">
        <f ca="1">SUM(I119:K119)</f>
        <v>0</v>
      </c>
      <c r="M119" s="1752"/>
      <c r="N119" s="1752"/>
      <c r="O119" s="1752"/>
      <c r="P119" s="1752"/>
      <c r="Q119" s="1753"/>
      <c r="R119" s="1752"/>
      <c r="S119" s="1752"/>
      <c r="T119" s="1752"/>
      <c r="U119" s="1752"/>
      <c r="Z119" s="1736"/>
      <c r="AA119" s="1736"/>
    </row>
    <row r="120" spans="1:123" s="250" customFormat="1" ht="65.25" customHeight="1" x14ac:dyDescent="0.35">
      <c r="A120" s="4198"/>
      <c r="B120" s="4199"/>
      <c r="C120" s="4199"/>
      <c r="D120" s="4199"/>
      <c r="E120" s="4199"/>
      <c r="F120" s="4199"/>
      <c r="G120" s="4199"/>
      <c r="H120" s="4199"/>
      <c r="I120" s="4199"/>
      <c r="J120" s="4199"/>
      <c r="K120" s="4199"/>
      <c r="L120" s="4199"/>
      <c r="M120" s="4199"/>
      <c r="N120" s="4199"/>
      <c r="O120" s="4199"/>
      <c r="P120" s="4199"/>
      <c r="Q120" s="4200"/>
      <c r="R120" s="2237"/>
      <c r="S120" s="2237"/>
      <c r="T120" s="2237"/>
      <c r="U120" s="2237"/>
      <c r="Z120" s="1736"/>
      <c r="AA120" s="1736"/>
    </row>
    <row r="121" spans="1:123" s="250" customFormat="1" ht="65.25" customHeight="1" thickBot="1" x14ac:dyDescent="0.4">
      <c r="A121" s="4198"/>
      <c r="B121" s="4199"/>
      <c r="C121" s="4199"/>
      <c r="D121" s="4199"/>
      <c r="E121" s="4199"/>
      <c r="F121" s="4199"/>
      <c r="G121" s="4199"/>
      <c r="H121" s="4199"/>
      <c r="I121" s="4199"/>
      <c r="J121" s="4199"/>
      <c r="K121" s="4199"/>
      <c r="L121" s="4199"/>
      <c r="M121" s="4199"/>
      <c r="N121" s="4199"/>
      <c r="O121" s="4199"/>
      <c r="P121" s="4199"/>
      <c r="Q121" s="4200"/>
      <c r="R121" s="2237"/>
      <c r="S121" s="2237"/>
      <c r="T121" s="2237"/>
      <c r="U121" s="2237"/>
      <c r="Z121" s="1736"/>
      <c r="AA121" s="1736"/>
    </row>
    <row r="122" spans="1:123" s="250" customFormat="1" ht="65.25" customHeight="1" x14ac:dyDescent="0.35">
      <c r="A122" s="5145" t="s">
        <v>417</v>
      </c>
      <c r="B122" s="5146"/>
      <c r="C122" s="5146"/>
      <c r="D122" s="5147"/>
      <c r="E122" s="4210" t="s">
        <v>101</v>
      </c>
      <c r="F122" s="5348" t="s">
        <v>899</v>
      </c>
      <c r="G122" s="5349"/>
      <c r="H122" s="5350"/>
      <c r="I122" s="4295" t="s">
        <v>304</v>
      </c>
      <c r="J122" s="4317"/>
      <c r="K122" s="4317"/>
      <c r="L122" s="4317" t="s">
        <v>368</v>
      </c>
      <c r="M122" s="4317"/>
      <c r="N122" s="4317"/>
      <c r="O122" s="1738"/>
      <c r="P122" s="1738"/>
      <c r="Q122" s="1738"/>
      <c r="R122" s="1739"/>
      <c r="S122" s="4325" t="s">
        <v>377</v>
      </c>
      <c r="T122" s="4325"/>
      <c r="U122" s="5229"/>
      <c r="Z122" s="1736"/>
      <c r="AA122" s="1736"/>
    </row>
    <row r="123" spans="1:123" s="250" customFormat="1" ht="65.25" customHeight="1" x14ac:dyDescent="0.35">
      <c r="A123" s="5148"/>
      <c r="B123" s="5149"/>
      <c r="C123" s="5149"/>
      <c r="D123" s="5150"/>
      <c r="E123" s="4211"/>
      <c r="F123" s="2108" t="s">
        <v>287</v>
      </c>
      <c r="G123" s="2109" t="s">
        <v>289</v>
      </c>
      <c r="H123" s="2110" t="s">
        <v>288</v>
      </c>
      <c r="I123" s="1740" t="s">
        <v>287</v>
      </c>
      <c r="J123" s="1738" t="s">
        <v>289</v>
      </c>
      <c r="K123" s="1738" t="s">
        <v>288</v>
      </c>
      <c r="L123" s="1738" t="s">
        <v>287</v>
      </c>
      <c r="M123" s="1738" t="s">
        <v>289</v>
      </c>
      <c r="N123" s="1738" t="s">
        <v>288</v>
      </c>
      <c r="O123" s="1738"/>
      <c r="P123" s="1738"/>
      <c r="Q123" s="1738"/>
      <c r="R123" s="1739"/>
      <c r="S123" s="1730" t="s">
        <v>287</v>
      </c>
      <c r="T123" s="1730" t="s">
        <v>289</v>
      </c>
      <c r="U123" s="1731" t="s">
        <v>288</v>
      </c>
      <c r="Z123" s="1736"/>
      <c r="AA123" s="1736"/>
    </row>
    <row r="124" spans="1:123" s="250" customFormat="1" ht="65.25" customHeight="1" x14ac:dyDescent="0.35">
      <c r="A124" s="5148"/>
      <c r="B124" s="5149"/>
      <c r="C124" s="5149"/>
      <c r="D124" s="5150"/>
      <c r="E124" s="2030" t="e">
        <f>+E275</f>
        <v>#REF!</v>
      </c>
      <c r="F124" s="2273">
        <f>+S124</f>
        <v>0</v>
      </c>
      <c r="G124" s="2273">
        <f t="shared" ref="G124:H124" si="115">+T124</f>
        <v>0</v>
      </c>
      <c r="H124" s="2273">
        <f t="shared" si="115"/>
        <v>0</v>
      </c>
      <c r="I124" s="2030">
        <f t="shared" ref="I124:N124" si="116">+I275</f>
        <v>0</v>
      </c>
      <c r="J124" s="2030">
        <f t="shared" si="116"/>
        <v>0</v>
      </c>
      <c r="K124" s="2030">
        <f t="shared" si="116"/>
        <v>0</v>
      </c>
      <c r="L124" s="2030">
        <f t="shared" si="116"/>
        <v>0</v>
      </c>
      <c r="M124" s="2030">
        <f t="shared" si="116"/>
        <v>0</v>
      </c>
      <c r="N124" s="2030">
        <f t="shared" si="116"/>
        <v>0</v>
      </c>
      <c r="O124" s="1742"/>
      <c r="P124" s="1742"/>
      <c r="Q124" s="1742"/>
      <c r="R124" s="1759"/>
      <c r="S124" s="2085">
        <f>+I124+L124</f>
        <v>0</v>
      </c>
      <c r="T124" s="2085">
        <f>+J124+M124</f>
        <v>0</v>
      </c>
      <c r="U124" s="2091">
        <f>+K124+N124</f>
        <v>0</v>
      </c>
      <c r="V124" s="1746">
        <f>SUM(O124:Q124)</f>
        <v>0</v>
      </c>
      <c r="Z124" s="1736"/>
      <c r="AA124" s="1736"/>
    </row>
    <row r="125" spans="1:123" s="250" customFormat="1" ht="65.25" customHeight="1" x14ac:dyDescent="0.4">
      <c r="A125" s="5148"/>
      <c r="B125" s="5149"/>
      <c r="C125" s="5149"/>
      <c r="D125" s="5150"/>
      <c r="E125" s="5272"/>
      <c r="F125" s="5270" t="s">
        <v>919</v>
      </c>
      <c r="G125" s="4344"/>
      <c r="H125" s="5271"/>
      <c r="I125" s="5270" t="s">
        <v>377</v>
      </c>
      <c r="J125" s="4344"/>
      <c r="K125" s="5271"/>
      <c r="L125" s="1749"/>
      <c r="M125" s="1749"/>
      <c r="N125" s="1749"/>
      <c r="O125" s="1749"/>
      <c r="P125" s="1749"/>
      <c r="Q125" s="1750"/>
      <c r="R125" s="1752"/>
      <c r="S125" s="1752"/>
      <c r="T125" s="1752"/>
      <c r="U125" s="1752"/>
      <c r="Z125" s="1736"/>
      <c r="AA125" s="1736"/>
    </row>
    <row r="126" spans="1:123" s="250" customFormat="1" ht="65.25" customHeight="1" x14ac:dyDescent="0.4">
      <c r="A126" s="5148"/>
      <c r="B126" s="5149"/>
      <c r="C126" s="5149"/>
      <c r="D126" s="5150"/>
      <c r="E126" s="5273"/>
      <c r="F126" s="1751" t="s">
        <v>287</v>
      </c>
      <c r="G126" s="1730" t="s">
        <v>289</v>
      </c>
      <c r="H126" s="1731" t="s">
        <v>288</v>
      </c>
      <c r="I126" s="1751" t="s">
        <v>287</v>
      </c>
      <c r="J126" s="1730" t="s">
        <v>289</v>
      </c>
      <c r="K126" s="1731" t="s">
        <v>288</v>
      </c>
      <c r="L126" s="1752"/>
      <c r="M126" s="1752"/>
      <c r="N126" s="1752"/>
      <c r="O126" s="1752"/>
      <c r="P126" s="1752"/>
      <c r="Q126" s="1753"/>
      <c r="R126" s="1752"/>
      <c r="S126" s="1752"/>
      <c r="T126" s="1752"/>
      <c r="U126" s="1752"/>
      <c r="Z126" s="1736"/>
      <c r="AA126" s="1736"/>
    </row>
    <row r="127" spans="1:123" s="250" customFormat="1" ht="65.25" customHeight="1" thickBot="1" x14ac:dyDescent="0.45">
      <c r="A127" s="5151"/>
      <c r="B127" s="5152"/>
      <c r="C127" s="5152"/>
      <c r="D127" s="5153"/>
      <c r="E127" s="5274"/>
      <c r="F127" s="2113">
        <f>+F124</f>
        <v>0</v>
      </c>
      <c r="G127" s="2113">
        <f t="shared" ref="G127:H127" si="117">+G124</f>
        <v>0</v>
      </c>
      <c r="H127" s="2113">
        <f t="shared" si="117"/>
        <v>0</v>
      </c>
      <c r="I127" s="2065">
        <f>+I124+L124</f>
        <v>0</v>
      </c>
      <c r="J127" s="2065">
        <f>+J124+M124</f>
        <v>0</v>
      </c>
      <c r="K127" s="2065">
        <f>+K124+N124</f>
        <v>0</v>
      </c>
      <c r="L127" s="1723">
        <f>SUM(I127:K127)</f>
        <v>0</v>
      </c>
      <c r="M127" s="1752"/>
      <c r="N127" s="1752"/>
      <c r="O127" s="1752"/>
      <c r="P127" s="1752"/>
      <c r="Q127" s="1753"/>
      <c r="R127" s="1752"/>
      <c r="S127" s="1752"/>
      <c r="T127" s="1752"/>
      <c r="U127" s="1752"/>
      <c r="Z127" s="1736"/>
      <c r="AA127" s="1736"/>
    </row>
    <row r="128" spans="1:123" s="1724" customFormat="1" ht="65.25" customHeight="1" thickBot="1" x14ac:dyDescent="0.45">
      <c r="A128" s="1762"/>
      <c r="B128" s="1763"/>
      <c r="C128" s="1763"/>
      <c r="D128" s="1763"/>
      <c r="E128" s="1764"/>
      <c r="F128" s="1764"/>
      <c r="G128" s="1764"/>
      <c r="H128" s="1764"/>
      <c r="I128" s="1765"/>
      <c r="J128" s="1765"/>
      <c r="K128" s="1765"/>
      <c r="L128" s="1723"/>
      <c r="M128" s="1723"/>
      <c r="N128" s="1723"/>
      <c r="O128" s="1723"/>
      <c r="P128" s="1723"/>
      <c r="Q128" s="1767"/>
      <c r="R128" s="1723"/>
      <c r="S128" s="1723"/>
      <c r="T128" s="1723"/>
      <c r="U128" s="1723"/>
      <c r="Z128" s="1728"/>
      <c r="AA128" s="1728"/>
    </row>
    <row r="129" spans="1:124" s="1724" customFormat="1" ht="65.25" customHeight="1" x14ac:dyDescent="0.4">
      <c r="A129" s="5275" t="s">
        <v>855</v>
      </c>
      <c r="B129" s="5275"/>
      <c r="C129" s="5275"/>
      <c r="D129" s="5275"/>
      <c r="E129" s="1768" t="s">
        <v>101</v>
      </c>
      <c r="F129" s="5319" t="s">
        <v>899</v>
      </c>
      <c r="G129" s="5320"/>
      <c r="H129" s="5321"/>
      <c r="I129" s="4214" t="s">
        <v>304</v>
      </c>
      <c r="J129" s="5247"/>
      <c r="K129" s="5254"/>
      <c r="L129" s="4214" t="s">
        <v>368</v>
      </c>
      <c r="M129" s="5247"/>
      <c r="N129" s="5247"/>
      <c r="O129" s="1769"/>
      <c r="P129" s="1769"/>
      <c r="Q129" s="1769"/>
      <c r="R129" s="1770"/>
      <c r="S129" s="5241" t="s">
        <v>377</v>
      </c>
      <c r="T129" s="5241"/>
      <c r="U129" s="5242"/>
      <c r="Z129" s="1728"/>
      <c r="AA129" s="1728"/>
    </row>
    <row r="130" spans="1:124" s="1724" customFormat="1" ht="65.25" customHeight="1" x14ac:dyDescent="0.4">
      <c r="A130" s="5275"/>
      <c r="B130" s="5275"/>
      <c r="C130" s="5275"/>
      <c r="D130" s="5275"/>
      <c r="E130" s="1771"/>
      <c r="F130" s="2117" t="s">
        <v>287</v>
      </c>
      <c r="G130" s="2118" t="s">
        <v>289</v>
      </c>
      <c r="H130" s="2119" t="s">
        <v>288</v>
      </c>
      <c r="I130" s="1740" t="s">
        <v>287</v>
      </c>
      <c r="J130" s="1738" t="s">
        <v>289</v>
      </c>
      <c r="K130" s="1772" t="s">
        <v>288</v>
      </c>
      <c r="L130" s="1740" t="s">
        <v>287</v>
      </c>
      <c r="M130" s="1738" t="s">
        <v>289</v>
      </c>
      <c r="N130" s="1738" t="s">
        <v>288</v>
      </c>
      <c r="O130" s="1738"/>
      <c r="P130" s="1738"/>
      <c r="Q130" s="1738"/>
      <c r="R130" s="1739"/>
      <c r="S130" s="1730" t="s">
        <v>287</v>
      </c>
      <c r="T130" s="1730" t="s">
        <v>289</v>
      </c>
      <c r="U130" s="1731" t="s">
        <v>288</v>
      </c>
      <c r="Z130" s="1728"/>
      <c r="AA130" s="1728"/>
    </row>
    <row r="131" spans="1:124" s="1724" customFormat="1" ht="65.25" customHeight="1" thickBot="1" x14ac:dyDescent="0.4">
      <c r="A131" s="5275"/>
      <c r="B131" s="5275"/>
      <c r="C131" s="5275"/>
      <c r="D131" s="5275"/>
      <c r="E131" s="2031" t="e">
        <f>+E99+E106+E115+E124</f>
        <v>#REF!</v>
      </c>
      <c r="F131" s="2120" t="e">
        <f ca="1">+S131</f>
        <v>#REF!</v>
      </c>
      <c r="G131" s="2120" t="e">
        <f t="shared" ref="G131:H131" ca="1" si="118">+T131</f>
        <v>#REF!</v>
      </c>
      <c r="H131" s="2120" t="e">
        <f t="shared" ca="1" si="118"/>
        <v>#REF!</v>
      </c>
      <c r="I131" s="2114" t="e">
        <f t="shared" ref="I131:N131" ca="1" si="119">+I99+I106+I115+I124+I107+I116</f>
        <v>#REF!</v>
      </c>
      <c r="J131" s="2114" t="e">
        <f t="shared" ca="1" si="119"/>
        <v>#REF!</v>
      </c>
      <c r="K131" s="2115" t="e">
        <f t="shared" ca="1" si="119"/>
        <v>#REF!</v>
      </c>
      <c r="L131" s="2116" t="e">
        <f t="shared" ca="1" si="119"/>
        <v>#REF!</v>
      </c>
      <c r="M131" s="2116" t="e">
        <f t="shared" ca="1" si="119"/>
        <v>#REF!</v>
      </c>
      <c r="N131" s="2116" t="e">
        <f t="shared" ca="1" si="119"/>
        <v>#REF!</v>
      </c>
      <c r="O131" s="2097"/>
      <c r="P131" s="2097"/>
      <c r="Q131" s="2097"/>
      <c r="R131" s="2098"/>
      <c r="S131" s="2099" t="e">
        <f ca="1">+I131+L131</f>
        <v>#REF!</v>
      </c>
      <c r="T131" s="2099" t="e">
        <f t="shared" ref="T131:U131" ca="1" si="120">+J131+M131</f>
        <v>#REF!</v>
      </c>
      <c r="U131" s="2099" t="e">
        <f t="shared" ca="1" si="120"/>
        <v>#REF!</v>
      </c>
      <c r="V131" s="1746">
        <f>SUM(O131:Q131)</f>
        <v>0</v>
      </c>
      <c r="Z131" s="1728"/>
      <c r="AA131" s="1728"/>
      <c r="BU131" s="1735" t="e">
        <f ca="1">SUM(O131:BT131)</f>
        <v>#REF!</v>
      </c>
    </row>
    <row r="132" spans="1:124" s="1724" customFormat="1" ht="65.25" customHeight="1" x14ac:dyDescent="0.4">
      <c r="A132" s="5275"/>
      <c r="B132" s="5275"/>
      <c r="C132" s="5275"/>
      <c r="D132" s="5275"/>
      <c r="E132" s="5276"/>
      <c r="F132" s="5313" t="s">
        <v>922</v>
      </c>
      <c r="G132" s="5313"/>
      <c r="H132" s="5313"/>
      <c r="I132" s="4298" t="s">
        <v>377</v>
      </c>
      <c r="J132" s="4325"/>
      <c r="K132" s="5229"/>
      <c r="L132" s="1781"/>
      <c r="M132" s="1781"/>
      <c r="N132" s="1781"/>
      <c r="O132" s="1781"/>
      <c r="P132" s="1781"/>
      <c r="Q132" s="1781"/>
      <c r="R132" s="1782"/>
      <c r="S132" s="1783"/>
      <c r="T132" s="1783"/>
      <c r="U132" s="1784"/>
      <c r="Z132" s="1728"/>
      <c r="AA132" s="1728"/>
    </row>
    <row r="133" spans="1:124" s="1724" customFormat="1" ht="65.25" customHeight="1" thickBot="1" x14ac:dyDescent="0.45">
      <c r="A133" s="5275"/>
      <c r="B133" s="5275"/>
      <c r="C133" s="5275"/>
      <c r="D133" s="5275"/>
      <c r="E133" s="5276"/>
      <c r="F133" s="2271" t="e">
        <f ca="1">+F131</f>
        <v>#REF!</v>
      </c>
      <c r="G133" s="2271" t="e">
        <f ca="1">+G131</f>
        <v>#REF!</v>
      </c>
      <c r="H133" s="2271" t="e">
        <f ca="1">+H131</f>
        <v>#REF!</v>
      </c>
      <c r="I133" s="2100" t="e">
        <f ca="1">+I131+L131</f>
        <v>#REF!</v>
      </c>
      <c r="J133" s="2101" t="e">
        <f ca="1">+J131+M131</f>
        <v>#REF!</v>
      </c>
      <c r="K133" s="2102" t="e">
        <f ca="1">+K131+N131</f>
        <v>#REF!</v>
      </c>
      <c r="L133" s="1789" t="e">
        <f ca="1">SUM(I133:K133)</f>
        <v>#REF!</v>
      </c>
      <c r="M133" s="1789"/>
      <c r="N133" s="1789"/>
      <c r="O133" s="1789"/>
      <c r="P133" s="1789"/>
      <c r="Q133" s="1789"/>
      <c r="R133" s="1790"/>
      <c r="S133" s="1791"/>
      <c r="T133" s="1791"/>
      <c r="U133" s="1792"/>
      <c r="Z133" s="1728"/>
      <c r="AA133" s="1728"/>
    </row>
    <row r="134" spans="1:124" s="250" customFormat="1" ht="65.25" customHeight="1" x14ac:dyDescent="0.4">
      <c r="A134" s="2165"/>
      <c r="B134" s="1806"/>
      <c r="C134" s="1806"/>
      <c r="D134" s="1806"/>
      <c r="E134" s="2156"/>
      <c r="F134" s="2156"/>
      <c r="G134" s="2156"/>
      <c r="H134" s="2156"/>
      <c r="I134" s="2166"/>
      <c r="J134" s="2166"/>
      <c r="K134" s="2166"/>
      <c r="L134" s="1791"/>
      <c r="M134" s="1789"/>
      <c r="N134" s="1789"/>
      <c r="O134" s="1791"/>
      <c r="P134" s="1791"/>
      <c r="Q134" s="1792"/>
      <c r="R134" s="1791"/>
      <c r="S134" s="1791"/>
      <c r="T134" s="1791"/>
      <c r="U134" s="1791"/>
      <c r="Z134" s="1736"/>
      <c r="AA134" s="1736"/>
    </row>
    <row r="135" spans="1:124" s="1724" customFormat="1" ht="65.25" customHeight="1" thickBot="1" x14ac:dyDescent="0.4">
      <c r="A135" s="5086" t="s">
        <v>868</v>
      </c>
      <c r="B135" s="5086"/>
      <c r="C135" s="5086"/>
      <c r="D135" s="5086"/>
      <c r="E135" s="5086"/>
      <c r="F135" s="5086"/>
      <c r="G135" s="5086"/>
      <c r="H135" s="5086"/>
      <c r="I135" s="5086"/>
      <c r="J135" s="5086"/>
      <c r="K135" s="5086"/>
      <c r="L135" s="5086"/>
      <c r="M135" s="5086"/>
      <c r="N135" s="5086"/>
      <c r="O135" s="5086"/>
      <c r="P135" s="5086"/>
      <c r="Q135" s="5086"/>
      <c r="R135" s="2262"/>
      <c r="S135" s="2262"/>
      <c r="T135" s="2262"/>
      <c r="U135" s="2262"/>
      <c r="Z135" s="1728"/>
      <c r="AA135" s="1728"/>
    </row>
    <row r="136" spans="1:124" s="1724" customFormat="1" ht="65.25" customHeight="1" x14ac:dyDescent="0.5">
      <c r="A136" s="2163"/>
      <c r="B136" s="2163"/>
      <c r="C136" s="2163"/>
      <c r="D136" s="2163"/>
      <c r="E136" s="4210" t="s">
        <v>101</v>
      </c>
      <c r="F136" s="5348" t="s">
        <v>899</v>
      </c>
      <c r="G136" s="5349"/>
      <c r="H136" s="5350"/>
      <c r="I136" s="4295" t="s">
        <v>304</v>
      </c>
      <c r="J136" s="4317"/>
      <c r="K136" s="4317"/>
      <c r="L136" s="4317" t="s">
        <v>368</v>
      </c>
      <c r="M136" s="4317"/>
      <c r="N136" s="4317"/>
      <c r="O136" s="4325" t="s">
        <v>377</v>
      </c>
      <c r="P136" s="4325"/>
      <c r="Q136" s="5229"/>
      <c r="R136" s="1860"/>
      <c r="S136" s="1860"/>
      <c r="T136" s="1860"/>
      <c r="U136" s="1860"/>
      <c r="Z136" s="1728"/>
      <c r="AA136" s="1728"/>
      <c r="DP136" s="4253" t="s">
        <v>241</v>
      </c>
      <c r="DQ136" s="4253"/>
      <c r="DR136" s="4253"/>
      <c r="DS136" s="4253"/>
      <c r="DT136" s="4253"/>
    </row>
    <row r="137" spans="1:124" s="1724" customFormat="1" ht="65.25" customHeight="1" x14ac:dyDescent="0.35">
      <c r="A137" s="5312" t="s">
        <v>163</v>
      </c>
      <c r="B137" s="5312"/>
      <c r="C137" s="5312"/>
      <c r="D137" s="5312"/>
      <c r="E137" s="4211"/>
      <c r="F137" s="2104" t="s">
        <v>287</v>
      </c>
      <c r="G137" s="2104" t="s">
        <v>289</v>
      </c>
      <c r="H137" s="2105" t="s">
        <v>288</v>
      </c>
      <c r="I137" s="1740" t="s">
        <v>287</v>
      </c>
      <c r="J137" s="1738" t="s">
        <v>289</v>
      </c>
      <c r="K137" s="1738" t="s">
        <v>288</v>
      </c>
      <c r="L137" s="1738" t="s">
        <v>287</v>
      </c>
      <c r="M137" s="1738" t="s">
        <v>289</v>
      </c>
      <c r="N137" s="1738" t="s">
        <v>288</v>
      </c>
      <c r="O137" s="1730" t="s">
        <v>287</v>
      </c>
      <c r="P137" s="1730" t="s">
        <v>289</v>
      </c>
      <c r="Q137" s="1731" t="s">
        <v>288</v>
      </c>
      <c r="R137" s="1860"/>
      <c r="S137" s="1860"/>
      <c r="T137" s="1860"/>
      <c r="U137" s="1860"/>
      <c r="Z137" s="1728"/>
      <c r="AA137" s="1728"/>
      <c r="DP137" s="979" t="s">
        <v>370</v>
      </c>
      <c r="DQ137" s="979" t="s">
        <v>25</v>
      </c>
      <c r="DR137" s="979" t="s">
        <v>371</v>
      </c>
      <c r="DS137" s="979" t="s">
        <v>241</v>
      </c>
      <c r="DT137" s="979"/>
    </row>
    <row r="138" spans="1:124" s="1724" customFormat="1" ht="65.25" customHeight="1" thickBot="1" x14ac:dyDescent="0.5">
      <c r="A138" s="5277" t="s">
        <v>857</v>
      </c>
      <c r="B138" s="5277"/>
      <c r="C138" s="5277"/>
      <c r="D138" s="5277"/>
      <c r="E138" s="2030" t="e">
        <f>+E283</f>
        <v>#REF!</v>
      </c>
      <c r="F138" s="2273" t="e">
        <f>+O138</f>
        <v>#REF!</v>
      </c>
      <c r="G138" s="2273" t="e">
        <f t="shared" ref="G138:H142" si="121">+P138</f>
        <v>#REF!</v>
      </c>
      <c r="H138" s="2273" t="e">
        <f t="shared" si="121"/>
        <v>#REF!</v>
      </c>
      <c r="I138" s="2030" t="e">
        <f t="shared" ref="I138:N138" si="122">+I283</f>
        <v>#REF!</v>
      </c>
      <c r="J138" s="2030" t="e">
        <f t="shared" si="122"/>
        <v>#REF!</v>
      </c>
      <c r="K138" s="2030" t="e">
        <f t="shared" si="122"/>
        <v>#REF!</v>
      </c>
      <c r="L138" s="2030" t="e">
        <f t="shared" si="122"/>
        <v>#REF!</v>
      </c>
      <c r="M138" s="2030" t="e">
        <f t="shared" si="122"/>
        <v>#REF!</v>
      </c>
      <c r="N138" s="2030" t="e">
        <f t="shared" si="122"/>
        <v>#REF!</v>
      </c>
      <c r="O138" s="2164" t="e">
        <f>+O283</f>
        <v>#REF!</v>
      </c>
      <c r="P138" s="2164" t="e">
        <f t="shared" ref="P138:Q138" si="123">+P283</f>
        <v>#REF!</v>
      </c>
      <c r="Q138" s="2164" t="e">
        <f t="shared" si="123"/>
        <v>#REF!</v>
      </c>
      <c r="R138" s="2263"/>
      <c r="S138" s="2263"/>
      <c r="T138" s="2263"/>
      <c r="U138" s="2263"/>
      <c r="Z138" s="1728"/>
      <c r="AA138" s="1728"/>
      <c r="DP138" s="2021" t="e">
        <f t="shared" ref="DP138:DP142" si="124">+IF(E138=0,0,DQ138/DR138)</f>
        <v>#REF!</v>
      </c>
      <c r="DQ138" s="1938" t="e">
        <f t="shared" ref="DQ138:DQ142" si="125">+SUM(I138:K138)</f>
        <v>#REF!</v>
      </c>
      <c r="DR138" s="1938" t="e">
        <f t="shared" ref="DR138:DR142" si="126">+E138</f>
        <v>#REF!</v>
      </c>
      <c r="DS138" s="1569" t="e">
        <f>+IF(DR138=0,"S.D.",IF((DQ138/DR138)&lt;151,"O.K.","VERIFICAR"))</f>
        <v>#REF!</v>
      </c>
      <c r="DT138" s="1659"/>
    </row>
    <row r="139" spans="1:124" s="1724" customFormat="1" ht="65.25" customHeight="1" thickBot="1" x14ac:dyDescent="0.5">
      <c r="A139" s="5277" t="s">
        <v>858</v>
      </c>
      <c r="B139" s="5277"/>
      <c r="C139" s="5277"/>
      <c r="D139" s="5277"/>
      <c r="E139" s="2030" t="e">
        <f t="shared" ref="E139:Q142" si="127">+E284</f>
        <v>#REF!</v>
      </c>
      <c r="F139" s="2273" t="e">
        <f t="shared" ref="F139:F142" si="128">+O139</f>
        <v>#REF!</v>
      </c>
      <c r="G139" s="2273" t="e">
        <f t="shared" si="121"/>
        <v>#REF!</v>
      </c>
      <c r="H139" s="2273" t="e">
        <f t="shared" si="121"/>
        <v>#REF!</v>
      </c>
      <c r="I139" s="2030" t="e">
        <f t="shared" si="127"/>
        <v>#REF!</v>
      </c>
      <c r="J139" s="2030" t="e">
        <f t="shared" si="127"/>
        <v>#REF!</v>
      </c>
      <c r="K139" s="2030" t="e">
        <f t="shared" si="127"/>
        <v>#REF!</v>
      </c>
      <c r="L139" s="2030" t="e">
        <f t="shared" si="127"/>
        <v>#REF!</v>
      </c>
      <c r="M139" s="2030" t="e">
        <f t="shared" si="127"/>
        <v>#REF!</v>
      </c>
      <c r="N139" s="2030" t="e">
        <f t="shared" si="127"/>
        <v>#REF!</v>
      </c>
      <c r="O139" s="2164" t="e">
        <f t="shared" si="127"/>
        <v>#REF!</v>
      </c>
      <c r="P139" s="2164" t="e">
        <f t="shared" si="127"/>
        <v>#REF!</v>
      </c>
      <c r="Q139" s="2164" t="e">
        <f t="shared" si="127"/>
        <v>#REF!</v>
      </c>
      <c r="R139" s="2263"/>
      <c r="S139" s="2263"/>
      <c r="T139" s="2263"/>
      <c r="U139" s="2263"/>
      <c r="Z139" s="1728"/>
      <c r="AA139" s="1728"/>
      <c r="DP139" s="2021" t="e">
        <f t="shared" si="124"/>
        <v>#REF!</v>
      </c>
      <c r="DQ139" s="1938" t="e">
        <f t="shared" si="125"/>
        <v>#REF!</v>
      </c>
      <c r="DR139" s="1938" t="e">
        <f t="shared" si="126"/>
        <v>#REF!</v>
      </c>
      <c r="DS139" s="1569" t="e">
        <f>+IF(DR139=0,"S.D.",IF(AND((DQ139/DR139)&gt;150,(DQ139/DR139)&lt;=500),"O.K.","VERIFICAR"))</f>
        <v>#REF!</v>
      </c>
    </row>
    <row r="140" spans="1:124" s="1724" customFormat="1" ht="65.25" customHeight="1" thickBot="1" x14ac:dyDescent="0.5">
      <c r="A140" s="5277" t="s">
        <v>859</v>
      </c>
      <c r="B140" s="5277"/>
      <c r="C140" s="5277"/>
      <c r="D140" s="5277"/>
      <c r="E140" s="2030" t="e">
        <f t="shared" si="127"/>
        <v>#REF!</v>
      </c>
      <c r="F140" s="2273" t="e">
        <f t="shared" si="128"/>
        <v>#REF!</v>
      </c>
      <c r="G140" s="2273" t="e">
        <f t="shared" si="121"/>
        <v>#REF!</v>
      </c>
      <c r="H140" s="2273" t="e">
        <f t="shared" si="121"/>
        <v>#REF!</v>
      </c>
      <c r="I140" s="2030" t="e">
        <f t="shared" si="127"/>
        <v>#REF!</v>
      </c>
      <c r="J140" s="2030" t="e">
        <f t="shared" si="127"/>
        <v>#REF!</v>
      </c>
      <c r="K140" s="2030" t="e">
        <f t="shared" si="127"/>
        <v>#REF!</v>
      </c>
      <c r="L140" s="2030" t="e">
        <f t="shared" si="127"/>
        <v>#REF!</v>
      </c>
      <c r="M140" s="2030" t="e">
        <f t="shared" si="127"/>
        <v>#REF!</v>
      </c>
      <c r="N140" s="2030" t="e">
        <f t="shared" si="127"/>
        <v>#REF!</v>
      </c>
      <c r="O140" s="2164" t="e">
        <f t="shared" si="127"/>
        <v>#REF!</v>
      </c>
      <c r="P140" s="2164" t="e">
        <f t="shared" si="127"/>
        <v>#REF!</v>
      </c>
      <c r="Q140" s="2164" t="e">
        <f t="shared" si="127"/>
        <v>#REF!</v>
      </c>
      <c r="R140" s="2263"/>
      <c r="S140" s="2263"/>
      <c r="T140" s="2263"/>
      <c r="U140" s="2263"/>
      <c r="Z140" s="1728"/>
      <c r="AA140" s="1728"/>
      <c r="DP140" s="2021" t="e">
        <f t="shared" si="124"/>
        <v>#REF!</v>
      </c>
      <c r="DQ140" s="1938" t="e">
        <f t="shared" si="125"/>
        <v>#REF!</v>
      </c>
      <c r="DR140" s="1938" t="e">
        <f t="shared" si="126"/>
        <v>#REF!</v>
      </c>
      <c r="DS140" s="1569" t="e">
        <f t="shared" ref="DS140" si="129">IF(DR140=0,"S.D.",+IF(AND((DQ140/DR140)&gt;500,(DQ140/DR140)&lt;=700),"O.K.","VERIFICAR"))</f>
        <v>#REF!</v>
      </c>
    </row>
    <row r="141" spans="1:124" s="1724" customFormat="1" ht="65.25" customHeight="1" thickBot="1" x14ac:dyDescent="0.5">
      <c r="A141" s="5277" t="s">
        <v>860</v>
      </c>
      <c r="B141" s="5277"/>
      <c r="C141" s="5277"/>
      <c r="D141" s="5277"/>
      <c r="E141" s="2030" t="e">
        <f t="shared" si="127"/>
        <v>#REF!</v>
      </c>
      <c r="F141" s="2273" t="e">
        <f t="shared" si="128"/>
        <v>#REF!</v>
      </c>
      <c r="G141" s="2273" t="e">
        <f t="shared" si="121"/>
        <v>#REF!</v>
      </c>
      <c r="H141" s="2273" t="e">
        <f t="shared" si="121"/>
        <v>#REF!</v>
      </c>
      <c r="I141" s="2030" t="e">
        <f t="shared" si="127"/>
        <v>#REF!</v>
      </c>
      <c r="J141" s="2030" t="e">
        <f t="shared" si="127"/>
        <v>#REF!</v>
      </c>
      <c r="K141" s="2030" t="e">
        <f t="shared" si="127"/>
        <v>#REF!</v>
      </c>
      <c r="L141" s="2030" t="e">
        <f t="shared" si="127"/>
        <v>#REF!</v>
      </c>
      <c r="M141" s="2030" t="e">
        <f t="shared" si="127"/>
        <v>#REF!</v>
      </c>
      <c r="N141" s="2030" t="e">
        <f t="shared" si="127"/>
        <v>#REF!</v>
      </c>
      <c r="O141" s="2164" t="e">
        <f t="shared" si="127"/>
        <v>#REF!</v>
      </c>
      <c r="P141" s="2164" t="e">
        <f t="shared" si="127"/>
        <v>#REF!</v>
      </c>
      <c r="Q141" s="2164" t="e">
        <f t="shared" si="127"/>
        <v>#REF!</v>
      </c>
      <c r="R141" s="2263"/>
      <c r="S141" s="2263"/>
      <c r="T141" s="2263"/>
      <c r="U141" s="2263"/>
      <c r="Z141" s="1728"/>
      <c r="AA141" s="1728"/>
      <c r="DP141" s="2021" t="e">
        <f t="shared" si="124"/>
        <v>#REF!</v>
      </c>
      <c r="DQ141" s="1938" t="e">
        <f t="shared" si="125"/>
        <v>#REF!</v>
      </c>
      <c r="DR141" s="1938" t="e">
        <f t="shared" si="126"/>
        <v>#REF!</v>
      </c>
      <c r="DS141" s="1569" t="e">
        <f t="shared" ref="DS141" si="130">IF(DR141=0,"S.D.",+IF(AND((DQ141/DR141)&gt;700,(DQ141/DR141)&lt;=1400),"O.K.","VERIFICAR"))</f>
        <v>#REF!</v>
      </c>
    </row>
    <row r="142" spans="1:124" s="1724" customFormat="1" ht="65.25" customHeight="1" thickBot="1" x14ac:dyDescent="0.5">
      <c r="A142" s="5277" t="s">
        <v>861</v>
      </c>
      <c r="B142" s="5277"/>
      <c r="C142" s="5277"/>
      <c r="D142" s="5277"/>
      <c r="E142" s="2030" t="e">
        <f t="shared" si="127"/>
        <v>#REF!</v>
      </c>
      <c r="F142" s="2273" t="e">
        <f t="shared" si="128"/>
        <v>#REF!</v>
      </c>
      <c r="G142" s="2273" t="e">
        <f t="shared" si="121"/>
        <v>#REF!</v>
      </c>
      <c r="H142" s="2273" t="e">
        <f t="shared" si="121"/>
        <v>#REF!</v>
      </c>
      <c r="I142" s="2030" t="e">
        <f t="shared" si="127"/>
        <v>#REF!</v>
      </c>
      <c r="J142" s="2030" t="e">
        <f t="shared" si="127"/>
        <v>#REF!</v>
      </c>
      <c r="K142" s="2030" t="e">
        <f t="shared" si="127"/>
        <v>#REF!</v>
      </c>
      <c r="L142" s="2030" t="e">
        <f t="shared" si="127"/>
        <v>#REF!</v>
      </c>
      <c r="M142" s="2030" t="e">
        <f t="shared" si="127"/>
        <v>#REF!</v>
      </c>
      <c r="N142" s="2030" t="e">
        <f t="shared" si="127"/>
        <v>#REF!</v>
      </c>
      <c r="O142" s="2164" t="e">
        <f t="shared" si="127"/>
        <v>#REF!</v>
      </c>
      <c r="P142" s="2164" t="e">
        <f t="shared" si="127"/>
        <v>#REF!</v>
      </c>
      <c r="Q142" s="2164" t="e">
        <f t="shared" si="127"/>
        <v>#REF!</v>
      </c>
      <c r="R142" s="2263"/>
      <c r="S142" s="2263"/>
      <c r="T142" s="2263"/>
      <c r="U142" s="2263"/>
      <c r="Z142" s="1728"/>
      <c r="AA142" s="1728"/>
      <c r="DP142" s="2021" t="e">
        <f t="shared" si="124"/>
        <v>#REF!</v>
      </c>
      <c r="DQ142" s="1938" t="e">
        <f t="shared" si="125"/>
        <v>#REF!</v>
      </c>
      <c r="DR142" s="1938" t="e">
        <f t="shared" si="126"/>
        <v>#REF!</v>
      </c>
      <c r="DS142" s="1569" t="e">
        <f t="shared" ref="DS142" si="131">IF(DR142=0,"S.D.",+IF(AND((DQ142/DR142)&gt;1400,(DQ142/DR142)&lt;=2999),"O.K.","VERIFICAR"))</f>
        <v>#REF!</v>
      </c>
    </row>
    <row r="143" spans="1:124" s="1724" customFormat="1" ht="65.25" customHeight="1" x14ac:dyDescent="0.5">
      <c r="A143" s="5083"/>
      <c r="B143" s="5084"/>
      <c r="C143" s="5084"/>
      <c r="D143" s="5085"/>
      <c r="E143" s="4210" t="s">
        <v>101</v>
      </c>
      <c r="F143" s="5348" t="s">
        <v>899</v>
      </c>
      <c r="G143" s="5349"/>
      <c r="H143" s="5350"/>
      <c r="I143" s="4295" t="s">
        <v>304</v>
      </c>
      <c r="J143" s="4317"/>
      <c r="K143" s="4317"/>
      <c r="L143" s="4317" t="s">
        <v>368</v>
      </c>
      <c r="M143" s="4317"/>
      <c r="N143" s="4317"/>
      <c r="O143" s="4325" t="s">
        <v>377</v>
      </c>
      <c r="P143" s="4325"/>
      <c r="Q143" s="5229"/>
      <c r="R143" s="1860"/>
      <c r="S143" s="1860"/>
      <c r="T143" s="1860"/>
      <c r="U143" s="1860"/>
      <c r="Z143" s="1728"/>
      <c r="AA143" s="1728"/>
      <c r="DP143" s="4253" t="s">
        <v>241</v>
      </c>
      <c r="DQ143" s="4253"/>
      <c r="DR143" s="4253"/>
      <c r="DS143" s="4253"/>
      <c r="DT143" s="4253"/>
    </row>
    <row r="144" spans="1:124" s="1724" customFormat="1" ht="65.25" customHeight="1" thickBot="1" x14ac:dyDescent="0.4">
      <c r="A144" s="5316" t="s">
        <v>186</v>
      </c>
      <c r="B144" s="5316"/>
      <c r="C144" s="5316"/>
      <c r="D144" s="5316"/>
      <c r="E144" s="4211"/>
      <c r="F144" s="2104" t="s">
        <v>287</v>
      </c>
      <c r="G144" s="2104" t="s">
        <v>289</v>
      </c>
      <c r="H144" s="2105" t="s">
        <v>288</v>
      </c>
      <c r="I144" s="1740" t="s">
        <v>287</v>
      </c>
      <c r="J144" s="1738" t="s">
        <v>289</v>
      </c>
      <c r="K144" s="1738" t="s">
        <v>288</v>
      </c>
      <c r="L144" s="1738" t="s">
        <v>287</v>
      </c>
      <c r="M144" s="1738" t="s">
        <v>289</v>
      </c>
      <c r="N144" s="1738" t="s">
        <v>288</v>
      </c>
      <c r="O144" s="1730" t="s">
        <v>287</v>
      </c>
      <c r="P144" s="1730" t="s">
        <v>289</v>
      </c>
      <c r="Q144" s="1731" t="s">
        <v>288</v>
      </c>
      <c r="R144" s="1860"/>
      <c r="S144" s="1860"/>
      <c r="T144" s="1860"/>
      <c r="U144" s="1860"/>
      <c r="Z144" s="1728"/>
      <c r="AA144" s="1728"/>
      <c r="DP144" s="979" t="s">
        <v>370</v>
      </c>
      <c r="DQ144" s="979" t="s">
        <v>25</v>
      </c>
      <c r="DR144" s="979" t="s">
        <v>371</v>
      </c>
      <c r="DS144" s="979" t="s">
        <v>241</v>
      </c>
      <c r="DT144" s="979"/>
    </row>
    <row r="145" spans="1:123" s="1724" customFormat="1" ht="65.25" customHeight="1" thickBot="1" x14ac:dyDescent="0.5">
      <c r="A145" s="5317" t="s">
        <v>862</v>
      </c>
      <c r="B145" s="5317"/>
      <c r="C145" s="5317"/>
      <c r="D145" s="5317"/>
      <c r="E145" s="2030" t="e">
        <f>+E290</f>
        <v>#REF!</v>
      </c>
      <c r="F145" s="2273" t="e">
        <f>+O145</f>
        <v>#REF!</v>
      </c>
      <c r="G145" s="2273" t="e">
        <f t="shared" ref="G145:H148" si="132">+P145</f>
        <v>#REF!</v>
      </c>
      <c r="H145" s="2273" t="e">
        <f t="shared" si="132"/>
        <v>#REF!</v>
      </c>
      <c r="I145" s="2030" t="e">
        <f t="shared" ref="I145:Q145" si="133">+I290</f>
        <v>#REF!</v>
      </c>
      <c r="J145" s="2030" t="e">
        <f t="shared" si="133"/>
        <v>#REF!</v>
      </c>
      <c r="K145" s="2030" t="e">
        <f t="shared" si="133"/>
        <v>#REF!</v>
      </c>
      <c r="L145" s="2030" t="e">
        <f t="shared" si="133"/>
        <v>#REF!</v>
      </c>
      <c r="M145" s="2030" t="e">
        <f t="shared" si="133"/>
        <v>#REF!</v>
      </c>
      <c r="N145" s="2030" t="e">
        <f t="shared" si="133"/>
        <v>#REF!</v>
      </c>
      <c r="O145" s="2164" t="e">
        <f t="shared" si="133"/>
        <v>#REF!</v>
      </c>
      <c r="P145" s="2164" t="e">
        <f t="shared" si="133"/>
        <v>#REF!</v>
      </c>
      <c r="Q145" s="2164" t="e">
        <f t="shared" si="133"/>
        <v>#REF!</v>
      </c>
      <c r="R145" s="2263"/>
      <c r="S145" s="2263"/>
      <c r="T145" s="2263"/>
      <c r="U145" s="2263"/>
      <c r="Z145" s="1728"/>
      <c r="AA145" s="1728"/>
      <c r="DP145" s="2022" t="e">
        <f>+IF(E145=0,0,DQ145/DR145)</f>
        <v>#REF!</v>
      </c>
      <c r="DQ145" s="2023" t="e">
        <f>+SUM(I145:K145)</f>
        <v>#REF!</v>
      </c>
      <c r="DR145" s="2023" t="e">
        <f>+E145</f>
        <v>#REF!</v>
      </c>
      <c r="DS145" s="2024" t="e">
        <f>IF(DR145=0,"S.D.",+IF((DQ145/DR145)&lt;2000,"O.K.","VERIFICAR"))</f>
        <v>#REF!</v>
      </c>
    </row>
    <row r="146" spans="1:123" s="1724" customFormat="1" ht="65.25" customHeight="1" thickBot="1" x14ac:dyDescent="0.5">
      <c r="A146" s="5317" t="s">
        <v>863</v>
      </c>
      <c r="B146" s="5317"/>
      <c r="C146" s="5317"/>
      <c r="D146" s="5317"/>
      <c r="E146" s="2030" t="e">
        <f t="shared" ref="E146:Q148" si="134">+E291</f>
        <v>#REF!</v>
      </c>
      <c r="F146" s="2273" t="e">
        <f t="shared" ref="F146:F148" si="135">+O146</f>
        <v>#REF!</v>
      </c>
      <c r="G146" s="2273" t="e">
        <f t="shared" si="132"/>
        <v>#REF!</v>
      </c>
      <c r="H146" s="2273" t="e">
        <f t="shared" si="132"/>
        <v>#REF!</v>
      </c>
      <c r="I146" s="2030" t="e">
        <f t="shared" si="134"/>
        <v>#REF!</v>
      </c>
      <c r="J146" s="2030" t="e">
        <f t="shared" si="134"/>
        <v>#REF!</v>
      </c>
      <c r="K146" s="2030" t="e">
        <f t="shared" si="134"/>
        <v>#REF!</v>
      </c>
      <c r="L146" s="2030" t="e">
        <f t="shared" si="134"/>
        <v>#REF!</v>
      </c>
      <c r="M146" s="2030" t="e">
        <f t="shared" si="134"/>
        <v>#REF!</v>
      </c>
      <c r="N146" s="2030" t="e">
        <f t="shared" si="134"/>
        <v>#REF!</v>
      </c>
      <c r="O146" s="2164" t="e">
        <f t="shared" si="134"/>
        <v>#REF!</v>
      </c>
      <c r="P146" s="2164" t="e">
        <f t="shared" si="134"/>
        <v>#REF!</v>
      </c>
      <c r="Q146" s="2164" t="e">
        <f t="shared" si="134"/>
        <v>#REF!</v>
      </c>
      <c r="R146" s="2263"/>
      <c r="S146" s="2263"/>
      <c r="T146" s="2263"/>
      <c r="U146" s="2263"/>
      <c r="Z146" s="1728"/>
      <c r="AA146" s="1728"/>
      <c r="DP146" s="2022" t="e">
        <f>+IF(E146=0,0,DQ146/DR146)</f>
        <v>#REF!</v>
      </c>
      <c r="DQ146" s="2023" t="e">
        <f>+SUM(I146:K146)</f>
        <v>#REF!</v>
      </c>
      <c r="DR146" s="2023" t="e">
        <f>+E146</f>
        <v>#REF!</v>
      </c>
      <c r="DS146" s="2024" t="e">
        <f>IF(DR146=0,"S.D.",+IF(AND((DQ146/DR146)&gt;=2000,(DQ146/DR146)&lt;=3000),"O.K.","VERIFICAR"))</f>
        <v>#REF!</v>
      </c>
    </row>
    <row r="147" spans="1:123" s="1724" customFormat="1" ht="65.25" customHeight="1" thickBot="1" x14ac:dyDescent="0.5">
      <c r="A147" s="5317" t="s">
        <v>864</v>
      </c>
      <c r="B147" s="5317"/>
      <c r="C147" s="5317"/>
      <c r="D147" s="5317"/>
      <c r="E147" s="2030" t="e">
        <f t="shared" si="134"/>
        <v>#REF!</v>
      </c>
      <c r="F147" s="2273" t="e">
        <f t="shared" si="135"/>
        <v>#REF!</v>
      </c>
      <c r="G147" s="2273" t="e">
        <f t="shared" si="132"/>
        <v>#REF!</v>
      </c>
      <c r="H147" s="2273" t="e">
        <f t="shared" si="132"/>
        <v>#REF!</v>
      </c>
      <c r="I147" s="2030" t="e">
        <f t="shared" si="134"/>
        <v>#REF!</v>
      </c>
      <c r="J147" s="2030" t="e">
        <f t="shared" si="134"/>
        <v>#REF!</v>
      </c>
      <c r="K147" s="2030" t="e">
        <f t="shared" si="134"/>
        <v>#REF!</v>
      </c>
      <c r="L147" s="2030" t="e">
        <f t="shared" si="134"/>
        <v>#REF!</v>
      </c>
      <c r="M147" s="2030" t="e">
        <f t="shared" si="134"/>
        <v>#REF!</v>
      </c>
      <c r="N147" s="2030" t="e">
        <f t="shared" si="134"/>
        <v>#REF!</v>
      </c>
      <c r="O147" s="2164" t="e">
        <f t="shared" si="134"/>
        <v>#REF!</v>
      </c>
      <c r="P147" s="2164" t="e">
        <f t="shared" si="134"/>
        <v>#REF!</v>
      </c>
      <c r="Q147" s="2164" t="e">
        <f t="shared" si="134"/>
        <v>#REF!</v>
      </c>
      <c r="R147" s="2263"/>
      <c r="S147" s="2263"/>
      <c r="T147" s="2263"/>
      <c r="U147" s="2263"/>
      <c r="Z147" s="1728"/>
      <c r="AA147" s="1728"/>
      <c r="DP147" s="2022" t="e">
        <f t="shared" ref="DP147:DP148" si="136">+IF(E147=0,0,DQ147/DR147)</f>
        <v>#REF!</v>
      </c>
      <c r="DQ147" s="2023" t="e">
        <f t="shared" ref="DQ147:DQ148" si="137">+SUM(I147:K147)</f>
        <v>#REF!</v>
      </c>
      <c r="DR147" s="2023" t="e">
        <f t="shared" ref="DR147:DR148" si="138">+E147</f>
        <v>#REF!</v>
      </c>
      <c r="DS147" s="2024" t="e">
        <f>IF(DR147=0,"S.D.",+IF(AND((DQ147/DR147)&gt;3000,(DQ147/DR147)&lt;9000),"O.K.","VERIFICAR"))</f>
        <v>#REF!</v>
      </c>
    </row>
    <row r="148" spans="1:123" s="1724" customFormat="1" ht="65.25" customHeight="1" thickBot="1" x14ac:dyDescent="0.5">
      <c r="A148" s="5318" t="s">
        <v>865</v>
      </c>
      <c r="B148" s="5318"/>
      <c r="C148" s="5318"/>
      <c r="D148" s="5318"/>
      <c r="E148" s="2025" t="e">
        <f t="shared" si="134"/>
        <v>#REF!</v>
      </c>
      <c r="F148" s="2273" t="e">
        <f t="shared" si="135"/>
        <v>#REF!</v>
      </c>
      <c r="G148" s="2273" t="e">
        <f t="shared" si="132"/>
        <v>#REF!</v>
      </c>
      <c r="H148" s="2273" t="e">
        <f t="shared" si="132"/>
        <v>#REF!</v>
      </c>
      <c r="I148" s="2025" t="e">
        <f t="shared" si="134"/>
        <v>#REF!</v>
      </c>
      <c r="J148" s="2025" t="e">
        <f t="shared" si="134"/>
        <v>#REF!</v>
      </c>
      <c r="K148" s="2025" t="e">
        <f t="shared" si="134"/>
        <v>#REF!</v>
      </c>
      <c r="L148" s="2025" t="e">
        <f t="shared" si="134"/>
        <v>#REF!</v>
      </c>
      <c r="M148" s="2025" t="e">
        <f t="shared" si="134"/>
        <v>#REF!</v>
      </c>
      <c r="N148" s="2025" t="e">
        <f t="shared" si="134"/>
        <v>#REF!</v>
      </c>
      <c r="O148" s="2182" t="e">
        <f t="shared" si="134"/>
        <v>#REF!</v>
      </c>
      <c r="P148" s="2182" t="e">
        <f t="shared" si="134"/>
        <v>#REF!</v>
      </c>
      <c r="Q148" s="2182" t="e">
        <f t="shared" si="134"/>
        <v>#REF!</v>
      </c>
      <c r="R148" s="2263"/>
      <c r="S148" s="2263"/>
      <c r="T148" s="2263"/>
      <c r="U148" s="2263"/>
      <c r="Z148" s="1728"/>
      <c r="AA148" s="1728"/>
      <c r="DP148" s="2022" t="e">
        <f t="shared" si="136"/>
        <v>#REF!</v>
      </c>
      <c r="DQ148" s="2023" t="e">
        <f t="shared" si="137"/>
        <v>#REF!</v>
      </c>
      <c r="DR148" s="2023" t="e">
        <f t="shared" si="138"/>
        <v>#REF!</v>
      </c>
      <c r="DS148" s="2024" t="e">
        <f>IF(DR148=0,"S.D.",+IF(AND((DQ148/DR148)&gt;=9000,(DQ148/DR148)&lt;=9999000),"O.K.","VERIFICAR"))</f>
        <v>#REF!</v>
      </c>
    </row>
    <row r="149" spans="1:123" s="1724" customFormat="1" ht="65.25" customHeight="1" x14ac:dyDescent="0.35">
      <c r="A149" s="5322" t="s">
        <v>923</v>
      </c>
      <c r="B149" s="5322"/>
      <c r="C149" s="5322"/>
      <c r="D149" s="5322"/>
      <c r="E149" s="4469" t="s">
        <v>101</v>
      </c>
      <c r="F149" s="5319" t="s">
        <v>899</v>
      </c>
      <c r="G149" s="5320"/>
      <c r="H149" s="5321"/>
      <c r="I149" s="4317" t="s">
        <v>304</v>
      </c>
      <c r="J149" s="4317"/>
      <c r="K149" s="4317"/>
      <c r="L149" s="4317" t="s">
        <v>368</v>
      </c>
      <c r="M149" s="4317"/>
      <c r="N149" s="4317"/>
      <c r="O149" s="4325" t="s">
        <v>377</v>
      </c>
      <c r="P149" s="4325"/>
      <c r="Q149" s="4325"/>
      <c r="R149" s="1860"/>
      <c r="S149" s="1860"/>
      <c r="T149" s="1860"/>
      <c r="U149" s="1860"/>
      <c r="Z149" s="1728"/>
      <c r="AA149" s="1728"/>
    </row>
    <row r="150" spans="1:123" s="1724" customFormat="1" ht="65.25" customHeight="1" x14ac:dyDescent="0.35">
      <c r="A150" s="5322"/>
      <c r="B150" s="5322"/>
      <c r="C150" s="5322"/>
      <c r="D150" s="5322"/>
      <c r="E150" s="4469"/>
      <c r="F150" s="2117" t="s">
        <v>287</v>
      </c>
      <c r="G150" s="2118" t="s">
        <v>289</v>
      </c>
      <c r="H150" s="2119" t="s">
        <v>288</v>
      </c>
      <c r="I150" s="1738" t="s">
        <v>287</v>
      </c>
      <c r="J150" s="1738" t="s">
        <v>289</v>
      </c>
      <c r="K150" s="1738" t="s">
        <v>288</v>
      </c>
      <c r="L150" s="1738" t="s">
        <v>287</v>
      </c>
      <c r="M150" s="1738" t="s">
        <v>289</v>
      </c>
      <c r="N150" s="1738" t="s">
        <v>288</v>
      </c>
      <c r="O150" s="1738" t="s">
        <v>287</v>
      </c>
      <c r="P150" s="1738" t="s">
        <v>289</v>
      </c>
      <c r="Q150" s="1738" t="s">
        <v>288</v>
      </c>
      <c r="R150" s="2264"/>
      <c r="S150" s="2264"/>
      <c r="T150" s="2264"/>
      <c r="U150" s="2264"/>
      <c r="Z150" s="1728"/>
      <c r="AA150" s="1728"/>
    </row>
    <row r="151" spans="1:123" s="1724" customFormat="1" ht="65.25" customHeight="1" x14ac:dyDescent="0.4">
      <c r="A151" s="5322"/>
      <c r="B151" s="5322"/>
      <c r="C151" s="5322"/>
      <c r="D151" s="5322"/>
      <c r="E151" s="2095" t="e">
        <f>+SUM(E145:E148)+SUM(E138:E142)</f>
        <v>#REF!</v>
      </c>
      <c r="F151" s="2273" t="e">
        <f>+SUM(F138:F142)+SUM(F145:F148)</f>
        <v>#REF!</v>
      </c>
      <c r="G151" s="2273" t="e">
        <f t="shared" ref="G151:H151" si="139">+SUM(G138:G142)+SUM(G145:G148)</f>
        <v>#REF!</v>
      </c>
      <c r="H151" s="2273" t="e">
        <f t="shared" si="139"/>
        <v>#REF!</v>
      </c>
      <c r="I151" s="2181" t="e">
        <f>SUM(I138:I142)+SUM(I145:I148)</f>
        <v>#REF!</v>
      </c>
      <c r="J151" s="2181" t="e">
        <f t="shared" ref="J151:N151" si="140">SUM(J138:J142)+SUM(J145:J148)</f>
        <v>#REF!</v>
      </c>
      <c r="K151" s="2181" t="e">
        <f t="shared" si="140"/>
        <v>#REF!</v>
      </c>
      <c r="L151" s="2181" t="e">
        <f t="shared" si="140"/>
        <v>#REF!</v>
      </c>
      <c r="M151" s="2181" t="e">
        <f t="shared" si="140"/>
        <v>#REF!</v>
      </c>
      <c r="N151" s="2181" t="e">
        <f t="shared" si="140"/>
        <v>#REF!</v>
      </c>
      <c r="O151" s="2183" t="e">
        <f>+SUM(O138:O142)+SUM(O145:O148)</f>
        <v>#REF!</v>
      </c>
      <c r="P151" s="2183" t="e">
        <f>+SUM(P138:P142)+SUM(P145:P148)</f>
        <v>#REF!</v>
      </c>
      <c r="Q151" s="2183" t="e">
        <f>+SUM(Q138:Q142)+SUM(Q145:Q148)</f>
        <v>#REF!</v>
      </c>
      <c r="R151" s="2263"/>
      <c r="S151" s="2263"/>
      <c r="T151" s="2263"/>
      <c r="U151" s="2263"/>
      <c r="Z151" s="1728"/>
      <c r="AA151" s="1728"/>
    </row>
    <row r="152" spans="1:123" s="1724" customFormat="1" ht="65.25" customHeight="1" x14ac:dyDescent="0.4">
      <c r="A152" s="1793"/>
      <c r="B152" s="1794"/>
      <c r="C152" s="1794"/>
      <c r="D152" s="1794"/>
      <c r="E152" s="1780"/>
      <c r="F152" s="1780"/>
      <c r="G152" s="1780"/>
      <c r="H152" s="1780"/>
      <c r="I152" s="1795"/>
      <c r="J152" s="1795"/>
      <c r="K152" s="1795"/>
      <c r="L152" s="1752"/>
      <c r="M152" s="1752"/>
      <c r="N152" s="1752"/>
      <c r="O152" s="1791"/>
      <c r="P152" s="1791"/>
      <c r="Q152" s="1792"/>
      <c r="R152" s="1791"/>
      <c r="S152" s="1791"/>
      <c r="T152" s="1791"/>
      <c r="U152" s="1791"/>
      <c r="Z152" s="1728"/>
      <c r="AA152" s="1728"/>
    </row>
    <row r="153" spans="1:123" s="1724" customFormat="1" ht="65.25" customHeight="1" thickBot="1" x14ac:dyDescent="0.45">
      <c r="A153" s="1793"/>
      <c r="B153" s="1794"/>
      <c r="C153" s="1794"/>
      <c r="D153" s="1794"/>
      <c r="E153" s="1780"/>
      <c r="F153" s="1780"/>
      <c r="G153" s="1780"/>
      <c r="H153" s="1780"/>
      <c r="I153" s="1795"/>
      <c r="J153" s="1795"/>
      <c r="K153" s="1795"/>
      <c r="L153" s="1752"/>
      <c r="M153" s="1752"/>
      <c r="N153" s="1752"/>
      <c r="O153" s="1791"/>
      <c r="P153" s="1791"/>
      <c r="Q153" s="1792"/>
      <c r="R153" s="1791"/>
      <c r="S153" s="1791"/>
      <c r="T153" s="1791"/>
      <c r="U153" s="1791"/>
      <c r="Z153" s="1728"/>
      <c r="AA153" s="1728"/>
    </row>
    <row r="154" spans="1:123" s="250" customFormat="1" ht="65.25" customHeight="1" thickBot="1" x14ac:dyDescent="0.4">
      <c r="A154" s="4443" t="s">
        <v>420</v>
      </c>
      <c r="B154" s="4444"/>
      <c r="C154" s="4444"/>
      <c r="D154" s="4444"/>
      <c r="E154" s="4444"/>
      <c r="F154" s="4444"/>
      <c r="G154" s="4444"/>
      <c r="H154" s="4444"/>
      <c r="I154" s="4444"/>
      <c r="J154" s="4444"/>
      <c r="K154" s="4444"/>
      <c r="L154" s="4444"/>
      <c r="M154" s="4444"/>
      <c r="N154" s="4445"/>
      <c r="O154" s="1797"/>
      <c r="P154" s="1797"/>
      <c r="Q154" s="1799"/>
      <c r="R154" s="1797"/>
      <c r="S154" s="1797"/>
      <c r="T154" s="1797"/>
      <c r="U154" s="1797"/>
      <c r="Z154" s="1736"/>
      <c r="AA154" s="1736"/>
    </row>
    <row r="155" spans="1:123" s="250" customFormat="1" ht="65.25" customHeight="1" x14ac:dyDescent="0.4">
      <c r="A155" s="4353" t="s">
        <v>421</v>
      </c>
      <c r="B155" s="1800" t="s">
        <v>29</v>
      </c>
      <c r="C155" s="1801" t="s">
        <v>101</v>
      </c>
      <c r="D155" s="1802" t="s">
        <v>422</v>
      </c>
      <c r="E155" s="1803"/>
      <c r="F155" s="5348" t="s">
        <v>899</v>
      </c>
      <c r="G155" s="5349"/>
      <c r="H155" s="5350"/>
      <c r="I155" s="5097" t="s">
        <v>304</v>
      </c>
      <c r="J155" s="5246"/>
      <c r="K155" s="5246"/>
      <c r="L155" s="5246" t="s">
        <v>368</v>
      </c>
      <c r="M155" s="5246"/>
      <c r="N155" s="5246"/>
      <c r="O155" s="4325" t="s">
        <v>377</v>
      </c>
      <c r="P155" s="4325"/>
      <c r="Q155" s="5229"/>
      <c r="R155" s="1860"/>
      <c r="S155" s="1860"/>
      <c r="T155" s="1860"/>
      <c r="U155" s="1860"/>
      <c r="Z155" s="1736"/>
      <c r="AA155" s="1736"/>
    </row>
    <row r="156" spans="1:123" s="250" customFormat="1" ht="65.25" customHeight="1" x14ac:dyDescent="0.35">
      <c r="A156" s="5261"/>
      <c r="C156" s="1806"/>
      <c r="D156" s="1806"/>
      <c r="E156" s="1803"/>
      <c r="F156" s="2104" t="s">
        <v>287</v>
      </c>
      <c r="G156" s="2104" t="s">
        <v>289</v>
      </c>
      <c r="H156" s="2105" t="s">
        <v>288</v>
      </c>
      <c r="I156" s="1740" t="s">
        <v>287</v>
      </c>
      <c r="J156" s="1738" t="s">
        <v>289</v>
      </c>
      <c r="K156" s="1738" t="s">
        <v>288</v>
      </c>
      <c r="L156" s="1738" t="s">
        <v>287</v>
      </c>
      <c r="M156" s="1738" t="s">
        <v>289</v>
      </c>
      <c r="N156" s="1738" t="s">
        <v>288</v>
      </c>
      <c r="O156" s="1730" t="s">
        <v>287</v>
      </c>
      <c r="P156" s="1730" t="s">
        <v>289</v>
      </c>
      <c r="Q156" s="1731" t="s">
        <v>288</v>
      </c>
      <c r="R156" s="1860"/>
      <c r="S156" s="1860"/>
      <c r="T156" s="1860"/>
      <c r="U156" s="1860"/>
      <c r="Z156" s="1736"/>
      <c r="AA156" s="1736"/>
    </row>
    <row r="157" spans="1:123" s="250" customFormat="1" ht="65.25" customHeight="1" thickBot="1" x14ac:dyDescent="0.4">
      <c r="A157" s="5261"/>
      <c r="B157" s="1807" t="s">
        <v>423</v>
      </c>
      <c r="C157" s="2273">
        <f>+D312</f>
        <v>0</v>
      </c>
      <c r="D157" s="2273">
        <f>+I312</f>
        <v>0</v>
      </c>
      <c r="E157" s="2257"/>
      <c r="F157" s="2273">
        <f>+O157</f>
        <v>0</v>
      </c>
      <c r="G157" s="2273">
        <f t="shared" ref="G157:H157" si="141">+P157</f>
        <v>0</v>
      </c>
      <c r="H157" s="2273">
        <f t="shared" si="141"/>
        <v>0</v>
      </c>
      <c r="I157" s="2045">
        <f t="shared" ref="I157:N157" si="142">+J312</f>
        <v>0</v>
      </c>
      <c r="J157" s="2044">
        <f t="shared" si="142"/>
        <v>0</v>
      </c>
      <c r="K157" s="2044">
        <f t="shared" si="142"/>
        <v>0</v>
      </c>
      <c r="L157" s="2044">
        <f t="shared" si="142"/>
        <v>0</v>
      </c>
      <c r="M157" s="2044">
        <f t="shared" si="142"/>
        <v>0</v>
      </c>
      <c r="N157" s="2044">
        <f t="shared" si="142"/>
        <v>0</v>
      </c>
      <c r="O157" s="2035">
        <f>+I157+L157</f>
        <v>0</v>
      </c>
      <c r="P157" s="2035">
        <f>+J157+M157</f>
        <v>0</v>
      </c>
      <c r="Q157" s="2036">
        <f>+K157+N157</f>
        <v>0</v>
      </c>
      <c r="R157" s="2261"/>
      <c r="S157" s="2261"/>
      <c r="T157" s="2261"/>
      <c r="U157" s="2261"/>
      <c r="V157" s="1746">
        <f>SUM(O157:Q157)</f>
        <v>0</v>
      </c>
      <c r="Z157" s="1736"/>
      <c r="AA157" s="1736"/>
    </row>
    <row r="158" spans="1:123" s="250" customFormat="1" ht="65.25" customHeight="1" x14ac:dyDescent="0.4">
      <c r="A158" s="5261"/>
      <c r="B158" s="4338"/>
      <c r="C158" s="4339"/>
      <c r="D158" s="4339"/>
      <c r="E158" s="4340"/>
      <c r="F158" s="1806"/>
      <c r="G158" s="1806"/>
      <c r="H158" s="1806"/>
      <c r="I158" s="4298" t="s">
        <v>377</v>
      </c>
      <c r="J158" s="4325"/>
      <c r="K158" s="5229"/>
      <c r="L158" s="1752"/>
      <c r="M158" s="1752"/>
      <c r="N158" s="1752"/>
      <c r="O158" s="1791"/>
      <c r="P158" s="1791"/>
      <c r="Q158" s="1792"/>
      <c r="R158" s="1791"/>
      <c r="S158" s="1791"/>
      <c r="T158" s="1791"/>
      <c r="U158" s="1791"/>
      <c r="Z158" s="1736"/>
      <c r="AA158" s="1736"/>
    </row>
    <row r="159" spans="1:123" s="250" customFormat="1" ht="65.25" customHeight="1" thickBot="1" x14ac:dyDescent="0.45">
      <c r="A159" s="5262"/>
      <c r="B159" s="4341"/>
      <c r="C159" s="4342"/>
      <c r="D159" s="4342"/>
      <c r="E159" s="4343"/>
      <c r="F159" s="2197"/>
      <c r="G159" s="2197"/>
      <c r="H159" s="2197"/>
      <c r="I159" s="2041">
        <f>+I157+L157</f>
        <v>0</v>
      </c>
      <c r="J159" s="2041">
        <f>+J157+M157</f>
        <v>0</v>
      </c>
      <c r="K159" s="2041">
        <f>+K157+N157</f>
        <v>0</v>
      </c>
      <c r="L159" s="1723">
        <f>SUM(I159:K159)</f>
        <v>0</v>
      </c>
      <c r="M159" s="1789"/>
      <c r="N159" s="1789"/>
      <c r="O159" s="1791"/>
      <c r="P159" s="1791"/>
      <c r="Q159" s="1792"/>
      <c r="R159" s="1791"/>
      <c r="S159" s="1791"/>
      <c r="T159" s="1791"/>
      <c r="U159" s="1791"/>
      <c r="Z159" s="1736"/>
      <c r="AA159" s="1736"/>
    </row>
    <row r="160" spans="1:123" s="250" customFormat="1" ht="65.25" customHeight="1" thickBot="1" x14ac:dyDescent="0.45">
      <c r="A160" s="1793"/>
      <c r="B160" s="1794"/>
      <c r="C160" s="1794"/>
      <c r="D160" s="1794"/>
      <c r="E160" s="1794"/>
      <c r="F160" s="1794"/>
      <c r="G160" s="1794"/>
      <c r="H160" s="1794"/>
      <c r="I160" s="1795"/>
      <c r="J160" s="1795"/>
      <c r="K160" s="1795"/>
      <c r="L160" s="1813"/>
      <c r="M160" s="1813"/>
      <c r="N160" s="1813"/>
      <c r="O160" s="1723"/>
      <c r="P160" s="1723"/>
      <c r="Q160" s="1767"/>
      <c r="R160" s="1723"/>
      <c r="S160" s="1723"/>
      <c r="T160" s="1723"/>
      <c r="U160" s="1723"/>
      <c r="V160" s="1724"/>
      <c r="W160" s="1724"/>
      <c r="X160" s="1724"/>
      <c r="Y160" s="1724"/>
      <c r="Z160" s="1728"/>
      <c r="AA160" s="1728"/>
    </row>
    <row r="161" spans="1:27" s="250" customFormat="1" ht="65.25" customHeight="1" thickBot="1" x14ac:dyDescent="0.4">
      <c r="A161" s="4443" t="s">
        <v>424</v>
      </c>
      <c r="B161" s="4444"/>
      <c r="C161" s="4444"/>
      <c r="D161" s="4444"/>
      <c r="E161" s="4444"/>
      <c r="F161" s="4444"/>
      <c r="G161" s="4444"/>
      <c r="H161" s="4444"/>
      <c r="I161" s="4444"/>
      <c r="J161" s="4444"/>
      <c r="K161" s="4444"/>
      <c r="L161" s="4444"/>
      <c r="M161" s="4444"/>
      <c r="N161" s="4445"/>
      <c r="O161" s="1806"/>
      <c r="P161" s="1806"/>
      <c r="Q161" s="1815"/>
      <c r="R161" s="1806"/>
      <c r="S161" s="1806"/>
      <c r="T161" s="1806"/>
      <c r="U161" s="1806"/>
      <c r="V161" s="1816"/>
      <c r="W161" s="1816"/>
      <c r="X161" s="1816"/>
      <c r="Y161" s="1816"/>
      <c r="Z161" s="1816"/>
      <c r="AA161" s="1816"/>
    </row>
    <row r="162" spans="1:27" s="250" customFormat="1" ht="65.25" customHeight="1" x14ac:dyDescent="0.4">
      <c r="A162" s="4351" t="s">
        <v>425</v>
      </c>
      <c r="B162" s="1800" t="s">
        <v>29</v>
      </c>
      <c r="C162" s="1801" t="s">
        <v>101</v>
      </c>
      <c r="D162" s="1802" t="s">
        <v>422</v>
      </c>
      <c r="E162" s="1803"/>
      <c r="F162" s="5348" t="s">
        <v>899</v>
      </c>
      <c r="G162" s="5349"/>
      <c r="H162" s="5350"/>
      <c r="I162" s="5097" t="s">
        <v>304</v>
      </c>
      <c r="J162" s="5246"/>
      <c r="K162" s="5246"/>
      <c r="L162" s="5246" t="s">
        <v>368</v>
      </c>
      <c r="M162" s="5246"/>
      <c r="N162" s="5246"/>
      <c r="O162" s="4325" t="s">
        <v>377</v>
      </c>
      <c r="P162" s="4325"/>
      <c r="Q162" s="5229"/>
      <c r="R162" s="1860"/>
      <c r="S162" s="1860"/>
      <c r="T162" s="1860"/>
      <c r="U162" s="1860"/>
      <c r="Z162" s="1736"/>
      <c r="AA162" s="1736"/>
    </row>
    <row r="163" spans="1:27" s="250" customFormat="1" ht="65.25" customHeight="1" x14ac:dyDescent="0.35">
      <c r="A163" s="4352"/>
      <c r="C163" s="1806"/>
      <c r="D163" s="1806"/>
      <c r="E163" s="1803"/>
      <c r="F163" s="2104" t="s">
        <v>287</v>
      </c>
      <c r="G163" s="2104" t="s">
        <v>289</v>
      </c>
      <c r="H163" s="2105" t="s">
        <v>288</v>
      </c>
      <c r="I163" s="1740" t="s">
        <v>287</v>
      </c>
      <c r="J163" s="1738" t="s">
        <v>289</v>
      </c>
      <c r="K163" s="1738" t="s">
        <v>288</v>
      </c>
      <c r="L163" s="1738" t="s">
        <v>287</v>
      </c>
      <c r="M163" s="1738" t="s">
        <v>289</v>
      </c>
      <c r="N163" s="1738" t="s">
        <v>288</v>
      </c>
      <c r="O163" s="1730" t="s">
        <v>287</v>
      </c>
      <c r="P163" s="1730" t="s">
        <v>289</v>
      </c>
      <c r="Q163" s="1731" t="s">
        <v>288</v>
      </c>
      <c r="R163" s="1860"/>
      <c r="S163" s="1860"/>
      <c r="T163" s="1860"/>
      <c r="U163" s="1860"/>
      <c r="Z163" s="1736"/>
      <c r="AA163" s="1736"/>
    </row>
    <row r="164" spans="1:27" s="250" customFormat="1" ht="65.25" customHeight="1" x14ac:dyDescent="0.35">
      <c r="A164" s="4352"/>
      <c r="B164" s="2046" t="s">
        <v>426</v>
      </c>
      <c r="C164" s="2273">
        <f>+D302</f>
        <v>0</v>
      </c>
      <c r="D164" s="2273">
        <f>+I302</f>
        <v>0</v>
      </c>
      <c r="E164" s="2257"/>
      <c r="F164" s="2273">
        <f>+O164</f>
        <v>0</v>
      </c>
      <c r="G164" s="2273">
        <f t="shared" ref="G164:H165" si="143">+P164</f>
        <v>0</v>
      </c>
      <c r="H164" s="2273">
        <f t="shared" si="143"/>
        <v>0</v>
      </c>
      <c r="I164" s="2044">
        <f>+J302</f>
        <v>0</v>
      </c>
      <c r="J164" s="2044">
        <f t="shared" ref="J164:M165" si="144">+K302</f>
        <v>0</v>
      </c>
      <c r="K164" s="2044">
        <f t="shared" si="144"/>
        <v>0</v>
      </c>
      <c r="L164" s="2044">
        <f t="shared" si="144"/>
        <v>0</v>
      </c>
      <c r="M164" s="2044">
        <f t="shared" si="144"/>
        <v>0</v>
      </c>
      <c r="N164" s="2044">
        <f>+O302</f>
        <v>0</v>
      </c>
      <c r="O164" s="1558">
        <f t="shared" ref="O164:Q165" si="145">+I164+L164</f>
        <v>0</v>
      </c>
      <c r="P164" s="1558">
        <f t="shared" si="145"/>
        <v>0</v>
      </c>
      <c r="Q164" s="1559">
        <f t="shared" si="145"/>
        <v>0</v>
      </c>
      <c r="R164" s="2261"/>
      <c r="S164" s="2261"/>
      <c r="T164" s="2261"/>
      <c r="U164" s="2261"/>
      <c r="Z164" s="1736"/>
      <c r="AA164" s="1736"/>
    </row>
    <row r="165" spans="1:27" s="250" customFormat="1" ht="65.25" customHeight="1" x14ac:dyDescent="0.35">
      <c r="A165" s="4353"/>
      <c r="B165" s="2046" t="s">
        <v>423</v>
      </c>
      <c r="C165" s="2273">
        <f>+D303</f>
        <v>0</v>
      </c>
      <c r="D165" s="2273">
        <f>+I303</f>
        <v>0</v>
      </c>
      <c r="E165" s="2258"/>
      <c r="F165" s="2273">
        <f>+O165</f>
        <v>0</v>
      </c>
      <c r="G165" s="2273">
        <f t="shared" si="143"/>
        <v>0</v>
      </c>
      <c r="H165" s="2273">
        <f t="shared" si="143"/>
        <v>0</v>
      </c>
      <c r="I165" s="2044">
        <f>+J303</f>
        <v>0</v>
      </c>
      <c r="J165" s="2044">
        <f t="shared" si="144"/>
        <v>0</v>
      </c>
      <c r="K165" s="2044">
        <f t="shared" si="144"/>
        <v>0</v>
      </c>
      <c r="L165" s="2044">
        <f t="shared" si="144"/>
        <v>0</v>
      </c>
      <c r="M165" s="2044">
        <f t="shared" si="144"/>
        <v>0</v>
      </c>
      <c r="N165" s="2044">
        <f>+O303</f>
        <v>0</v>
      </c>
      <c r="O165" s="1558">
        <f t="shared" si="145"/>
        <v>0</v>
      </c>
      <c r="P165" s="1558">
        <f t="shared" si="145"/>
        <v>0</v>
      </c>
      <c r="Q165" s="1559">
        <f t="shared" si="145"/>
        <v>0</v>
      </c>
      <c r="R165" s="2261"/>
      <c r="S165" s="2261"/>
      <c r="T165" s="2261"/>
      <c r="U165" s="2261"/>
      <c r="Z165" s="1736"/>
      <c r="AA165" s="1736"/>
    </row>
    <row r="166" spans="1:27" s="1724" customFormat="1" ht="65.25" customHeight="1" thickBot="1" x14ac:dyDescent="0.4">
      <c r="A166" s="5351" t="s">
        <v>924</v>
      </c>
      <c r="B166" s="5351"/>
      <c r="C166" s="5351"/>
      <c r="D166" s="5351"/>
      <c r="E166" s="5351"/>
      <c r="F166" s="5353" t="s">
        <v>899</v>
      </c>
      <c r="G166" s="5353"/>
      <c r="H166" s="5353"/>
      <c r="I166" s="2041">
        <f>SUM(I164:I165)</f>
        <v>0</v>
      </c>
      <c r="J166" s="2041">
        <f t="shared" ref="J166:Q166" si="146">SUM(J164:J165)</f>
        <v>0</v>
      </c>
      <c r="K166" s="2041">
        <f t="shared" si="146"/>
        <v>0</v>
      </c>
      <c r="L166" s="2041">
        <f t="shared" si="146"/>
        <v>0</v>
      </c>
      <c r="M166" s="2041">
        <f t="shared" si="146"/>
        <v>0</v>
      </c>
      <c r="N166" s="2041">
        <f t="shared" si="146"/>
        <v>0</v>
      </c>
      <c r="O166" s="2041">
        <f t="shared" si="146"/>
        <v>0</v>
      </c>
      <c r="P166" s="2041">
        <f t="shared" si="146"/>
        <v>0</v>
      </c>
      <c r="Q166" s="2056">
        <f t="shared" si="146"/>
        <v>0</v>
      </c>
      <c r="R166" s="2263"/>
      <c r="S166" s="2263"/>
      <c r="T166" s="2263"/>
      <c r="U166" s="2263"/>
      <c r="V166" s="1746">
        <f>SUM(O166:Q166)</f>
        <v>0</v>
      </c>
      <c r="Z166" s="1728"/>
      <c r="AA166" s="1728"/>
    </row>
    <row r="167" spans="1:27" s="250" customFormat="1" ht="65.25" customHeight="1" x14ac:dyDescent="0.5">
      <c r="A167" s="5352"/>
      <c r="B167" s="5352"/>
      <c r="C167" s="5352"/>
      <c r="D167" s="5352"/>
      <c r="E167" s="5352"/>
      <c r="F167" s="2109" t="s">
        <v>287</v>
      </c>
      <c r="G167" s="2109" t="s">
        <v>289</v>
      </c>
      <c r="H167" s="2109" t="s">
        <v>288</v>
      </c>
      <c r="I167" s="5265" t="s">
        <v>377</v>
      </c>
      <c r="J167" s="5266"/>
      <c r="K167" s="5267"/>
      <c r="L167" s="2057"/>
      <c r="M167" s="2057"/>
      <c r="N167" s="2057"/>
      <c r="O167" s="2058"/>
      <c r="P167" s="2058"/>
      <c r="Q167" s="2059"/>
      <c r="R167" s="2058"/>
      <c r="S167" s="2058"/>
      <c r="T167" s="2058"/>
      <c r="U167" s="2058"/>
      <c r="Z167" s="1736"/>
      <c r="AA167" s="1736"/>
    </row>
    <row r="168" spans="1:27" s="250" customFormat="1" ht="65.25" customHeight="1" thickBot="1" x14ac:dyDescent="0.55000000000000004">
      <c r="A168" s="5352"/>
      <c r="B168" s="5352"/>
      <c r="C168" s="5352"/>
      <c r="D168" s="5352"/>
      <c r="E168" s="5352"/>
      <c r="F168" s="2106">
        <f>+F165+F164+F157</f>
        <v>0</v>
      </c>
      <c r="G168" s="2106">
        <f t="shared" ref="G168:H168" si="147">+G165+G164+G157</f>
        <v>0</v>
      </c>
      <c r="H168" s="2106">
        <f t="shared" si="147"/>
        <v>0</v>
      </c>
      <c r="I168" s="2041">
        <f>+I166+L166</f>
        <v>0</v>
      </c>
      <c r="J168" s="2041">
        <f>+J166+M166</f>
        <v>0</v>
      </c>
      <c r="K168" s="2041">
        <f>+K166+N166</f>
        <v>0</v>
      </c>
      <c r="L168" s="1723">
        <f>SUM(I168:K168)</f>
        <v>0</v>
      </c>
      <c r="M168" s="2060"/>
      <c r="N168" s="2060"/>
      <c r="O168" s="2058"/>
      <c r="P168" s="2058"/>
      <c r="Q168" s="2059"/>
      <c r="R168" s="2058"/>
      <c r="S168" s="2058"/>
      <c r="T168" s="2058"/>
      <c r="U168" s="2058"/>
      <c r="Z168" s="1736"/>
      <c r="AA168" s="1736"/>
    </row>
    <row r="169" spans="1:27" s="250" customFormat="1" ht="65.25" customHeight="1" thickBot="1" x14ac:dyDescent="0.45">
      <c r="A169" s="1793"/>
      <c r="B169" s="1794"/>
      <c r="C169" s="1794"/>
      <c r="D169" s="1794"/>
      <c r="E169" s="1794"/>
      <c r="F169" s="1794"/>
      <c r="G169" s="1794"/>
      <c r="H169" s="1794"/>
      <c r="I169" s="1795"/>
      <c r="J169" s="1795"/>
      <c r="K169" s="1795"/>
      <c r="L169" s="1813"/>
      <c r="M169" s="1813"/>
      <c r="N169" s="1813"/>
      <c r="O169" s="1723"/>
      <c r="P169" s="1723"/>
      <c r="Q169" s="1767"/>
      <c r="R169" s="1723"/>
      <c r="S169" s="1723"/>
      <c r="T169" s="1723"/>
      <c r="U169" s="1723"/>
      <c r="Z169" s="1736"/>
      <c r="AA169" s="1736"/>
    </row>
    <row r="170" spans="1:27" s="250" customFormat="1" ht="65.25" customHeight="1" thickBot="1" x14ac:dyDescent="0.4">
      <c r="A170" s="4443" t="s">
        <v>427</v>
      </c>
      <c r="B170" s="4444"/>
      <c r="C170" s="4444"/>
      <c r="D170" s="4444"/>
      <c r="E170" s="4444"/>
      <c r="F170" s="4444"/>
      <c r="G170" s="4444"/>
      <c r="H170" s="4444"/>
      <c r="I170" s="4444"/>
      <c r="J170" s="4444"/>
      <c r="K170" s="4444"/>
      <c r="L170" s="4444"/>
      <c r="M170" s="4444"/>
      <c r="N170" s="4445"/>
      <c r="O170" s="1806"/>
      <c r="P170" s="1806"/>
      <c r="Q170" s="1815"/>
      <c r="R170" s="1806"/>
      <c r="S170" s="1806"/>
      <c r="T170" s="1806"/>
      <c r="U170" s="1806"/>
      <c r="Z170" s="1736"/>
      <c r="AA170" s="1736"/>
    </row>
    <row r="171" spans="1:27" s="250" customFormat="1" ht="65.25" customHeight="1" x14ac:dyDescent="0.4">
      <c r="A171" s="5261" t="s">
        <v>428</v>
      </c>
      <c r="B171" s="1821" t="s">
        <v>29</v>
      </c>
      <c r="C171" s="1822" t="s">
        <v>101</v>
      </c>
      <c r="D171" s="1823" t="s">
        <v>422</v>
      </c>
      <c r="E171" s="1824"/>
      <c r="F171" s="5348" t="s">
        <v>899</v>
      </c>
      <c r="G171" s="5349"/>
      <c r="H171" s="5350"/>
      <c r="I171" s="4295" t="s">
        <v>304</v>
      </c>
      <c r="J171" s="4317"/>
      <c r="K171" s="4317"/>
      <c r="L171" s="4317" t="s">
        <v>368</v>
      </c>
      <c r="M171" s="4317"/>
      <c r="N171" s="4317"/>
      <c r="O171" s="4325" t="s">
        <v>377</v>
      </c>
      <c r="P171" s="4325"/>
      <c r="Q171" s="5229"/>
      <c r="R171" s="1860"/>
      <c r="S171" s="1860"/>
      <c r="T171" s="1860"/>
      <c r="U171" s="1860"/>
      <c r="Z171" s="1736"/>
      <c r="AA171" s="1736"/>
    </row>
    <row r="172" spans="1:27" s="250" customFormat="1" ht="65.25" customHeight="1" x14ac:dyDescent="0.35">
      <c r="A172" s="5261"/>
      <c r="C172" s="1806"/>
      <c r="D172" s="1806"/>
      <c r="E172" s="1803"/>
      <c r="F172" s="2104" t="s">
        <v>287</v>
      </c>
      <c r="G172" s="2104" t="s">
        <v>289</v>
      </c>
      <c r="H172" s="2105" t="s">
        <v>288</v>
      </c>
      <c r="I172" s="1740" t="s">
        <v>287</v>
      </c>
      <c r="J172" s="1738" t="s">
        <v>289</v>
      </c>
      <c r="K172" s="1738" t="s">
        <v>288</v>
      </c>
      <c r="L172" s="1738" t="s">
        <v>287</v>
      </c>
      <c r="M172" s="1738" t="s">
        <v>289</v>
      </c>
      <c r="N172" s="1738" t="s">
        <v>288</v>
      </c>
      <c r="O172" s="1730" t="s">
        <v>287</v>
      </c>
      <c r="P172" s="1730" t="s">
        <v>289</v>
      </c>
      <c r="Q172" s="1731" t="s">
        <v>288</v>
      </c>
      <c r="R172" s="1860"/>
      <c r="S172" s="1860"/>
      <c r="T172" s="1860"/>
      <c r="U172" s="1860"/>
      <c r="Z172" s="1736"/>
      <c r="AA172" s="1736"/>
    </row>
    <row r="173" spans="1:27" s="250" customFormat="1" ht="65.25" customHeight="1" x14ac:dyDescent="0.35">
      <c r="A173" s="5261"/>
      <c r="B173" s="2046" t="s">
        <v>426</v>
      </c>
      <c r="C173" s="2274">
        <f>+D324</f>
        <v>0</v>
      </c>
      <c r="D173" s="2274">
        <f ca="1">+I324</f>
        <v>0</v>
      </c>
      <c r="E173" s="2257"/>
      <c r="F173" s="2272">
        <f ca="1">+O173</f>
        <v>0</v>
      </c>
      <c r="G173" s="2272">
        <f t="shared" ref="G173:H174" ca="1" si="148">+P173</f>
        <v>0</v>
      </c>
      <c r="H173" s="2272">
        <f t="shared" ca="1" si="148"/>
        <v>0</v>
      </c>
      <c r="I173" s="2044">
        <f t="shared" ref="I173:M174" ca="1" si="149">+J324</f>
        <v>0</v>
      </c>
      <c r="J173" s="2044">
        <f t="shared" ca="1" si="149"/>
        <v>0</v>
      </c>
      <c r="K173" s="2044">
        <f t="shared" ca="1" si="149"/>
        <v>0</v>
      </c>
      <c r="L173" s="2044">
        <f t="shared" ca="1" si="149"/>
        <v>0</v>
      </c>
      <c r="M173" s="2044">
        <f t="shared" ca="1" si="149"/>
        <v>0</v>
      </c>
      <c r="N173" s="2044">
        <f ca="1">+O324</f>
        <v>0</v>
      </c>
      <c r="O173" s="1558">
        <f t="shared" ref="O173:Q174" ca="1" si="150">+I173+L173</f>
        <v>0</v>
      </c>
      <c r="P173" s="1558">
        <f t="shared" ca="1" si="150"/>
        <v>0</v>
      </c>
      <c r="Q173" s="1559">
        <f t="shared" ca="1" si="150"/>
        <v>0</v>
      </c>
      <c r="R173" s="2261"/>
      <c r="S173" s="2261"/>
      <c r="T173" s="2261"/>
      <c r="U173" s="2261"/>
      <c r="Z173" s="1736"/>
      <c r="AA173" s="1736"/>
    </row>
    <row r="174" spans="1:27" s="250" customFormat="1" ht="65.25" customHeight="1" x14ac:dyDescent="0.35">
      <c r="A174" s="5261"/>
      <c r="B174" s="2046" t="s">
        <v>423</v>
      </c>
      <c r="C174" s="2274">
        <f>+D325</f>
        <v>0</v>
      </c>
      <c r="D174" s="2274">
        <f ca="1">+I325</f>
        <v>0</v>
      </c>
      <c r="E174" s="2258"/>
      <c r="F174" s="2272">
        <f ca="1">+O174</f>
        <v>0</v>
      </c>
      <c r="G174" s="2272">
        <f t="shared" ca="1" si="148"/>
        <v>0</v>
      </c>
      <c r="H174" s="2272">
        <f t="shared" ca="1" si="148"/>
        <v>0</v>
      </c>
      <c r="I174" s="2044">
        <f t="shared" ca="1" si="149"/>
        <v>0</v>
      </c>
      <c r="J174" s="2044">
        <f t="shared" ca="1" si="149"/>
        <v>0</v>
      </c>
      <c r="K174" s="2044">
        <f t="shared" ca="1" si="149"/>
        <v>0</v>
      </c>
      <c r="L174" s="2044">
        <f t="shared" ca="1" si="149"/>
        <v>0</v>
      </c>
      <c r="M174" s="2044">
        <f t="shared" ca="1" si="149"/>
        <v>0</v>
      </c>
      <c r="N174" s="2044">
        <f ca="1">+O325</f>
        <v>0</v>
      </c>
      <c r="O174" s="1558">
        <f t="shared" ca="1" si="150"/>
        <v>0</v>
      </c>
      <c r="P174" s="1558">
        <f t="shared" ca="1" si="150"/>
        <v>0</v>
      </c>
      <c r="Q174" s="1559">
        <f t="shared" ca="1" si="150"/>
        <v>0</v>
      </c>
      <c r="R174" s="2261"/>
      <c r="S174" s="2261"/>
      <c r="T174" s="2261"/>
      <c r="U174" s="2261"/>
      <c r="Z174" s="1736"/>
      <c r="AA174" s="1736"/>
    </row>
    <row r="175" spans="1:27" s="250" customFormat="1" ht="65.25" customHeight="1" thickBot="1" x14ac:dyDescent="0.4">
      <c r="A175" s="5261"/>
      <c r="B175" s="4319"/>
      <c r="C175" s="4319"/>
      <c r="D175" s="4319"/>
      <c r="E175" s="4333"/>
      <c r="F175" s="2236"/>
      <c r="G175" s="2236"/>
      <c r="H175" s="2236"/>
      <c r="I175" s="2019">
        <f t="shared" ref="I175:Q175" ca="1" si="151">SUM(I173:I174)</f>
        <v>0</v>
      </c>
      <c r="J175" s="2019">
        <f t="shared" ca="1" si="151"/>
        <v>0</v>
      </c>
      <c r="K175" s="2019">
        <f t="shared" ca="1" si="151"/>
        <v>0</v>
      </c>
      <c r="L175" s="2019">
        <f t="shared" ca="1" si="151"/>
        <v>0</v>
      </c>
      <c r="M175" s="2019">
        <f t="shared" ca="1" si="151"/>
        <v>0</v>
      </c>
      <c r="N175" s="2019">
        <f t="shared" ca="1" si="151"/>
        <v>0</v>
      </c>
      <c r="O175" s="2019">
        <f t="shared" ca="1" si="151"/>
        <v>0</v>
      </c>
      <c r="P175" s="2019">
        <f t="shared" ca="1" si="151"/>
        <v>0</v>
      </c>
      <c r="Q175" s="2020">
        <f t="shared" ca="1" si="151"/>
        <v>0</v>
      </c>
      <c r="R175" s="2265"/>
      <c r="S175" s="2265"/>
      <c r="T175" s="2265"/>
      <c r="U175" s="2265"/>
      <c r="V175" s="1746">
        <f ca="1">SUM(O175:Q175)</f>
        <v>0</v>
      </c>
      <c r="Z175" s="1736"/>
      <c r="AA175" s="1736"/>
    </row>
    <row r="176" spans="1:27" s="1724" customFormat="1" ht="65.25" customHeight="1" x14ac:dyDescent="0.5">
      <c r="A176" s="5261"/>
      <c r="B176" s="4319"/>
      <c r="C176" s="4319"/>
      <c r="D176" s="4319"/>
      <c r="E176" s="4333"/>
      <c r="F176" s="2236"/>
      <c r="G176" s="2236"/>
      <c r="H176" s="2236"/>
      <c r="I176" s="4240" t="s">
        <v>377</v>
      </c>
      <c r="J176" s="4510"/>
      <c r="K176" s="5245"/>
      <c r="L176" s="2047"/>
      <c r="M176" s="2047"/>
      <c r="N176" s="2047"/>
      <c r="O176" s="2048"/>
      <c r="P176" s="2048"/>
      <c r="Q176" s="2049"/>
      <c r="R176" s="2048"/>
      <c r="S176" s="2048"/>
      <c r="T176" s="2048"/>
      <c r="U176" s="2048"/>
      <c r="Z176" s="1728"/>
      <c r="AA176" s="1728"/>
    </row>
    <row r="177" spans="1:27" s="250" customFormat="1" ht="65.25" customHeight="1" thickBot="1" x14ac:dyDescent="0.55000000000000004">
      <c r="A177" s="5261"/>
      <c r="B177" s="4321"/>
      <c r="C177" s="4321"/>
      <c r="D177" s="4321"/>
      <c r="E177" s="4321"/>
      <c r="F177" s="2236"/>
      <c r="G177" s="2236"/>
      <c r="H177" s="2236"/>
      <c r="I177" s="2066">
        <f ca="1">+I175+L175</f>
        <v>0</v>
      </c>
      <c r="J177" s="2066">
        <f ca="1">+J175+M175</f>
        <v>0</v>
      </c>
      <c r="K177" s="2066">
        <f ca="1">+K175+N175</f>
        <v>0</v>
      </c>
      <c r="L177" s="1723">
        <f ca="1">SUM(I177:K177)</f>
        <v>0</v>
      </c>
      <c r="M177" s="2047"/>
      <c r="N177" s="2047"/>
      <c r="O177" s="2048"/>
      <c r="P177" s="2048"/>
      <c r="Q177" s="2049"/>
      <c r="R177" s="2048"/>
      <c r="S177" s="2048"/>
      <c r="T177" s="2048"/>
      <c r="U177" s="2048"/>
      <c r="Z177" s="1736"/>
      <c r="AA177" s="1736"/>
    </row>
    <row r="178" spans="1:27" s="1724" customFormat="1" ht="65.25" customHeight="1" thickBot="1" x14ac:dyDescent="0.45">
      <c r="A178" s="1793"/>
      <c r="B178" s="1794"/>
      <c r="C178" s="1794"/>
      <c r="D178" s="1794"/>
      <c r="E178" s="1794"/>
      <c r="F178" s="1794"/>
      <c r="G178" s="1794"/>
      <c r="H178" s="1794"/>
      <c r="I178" s="1795"/>
      <c r="J178" s="1795"/>
      <c r="K178" s="1795"/>
      <c r="L178" s="1827"/>
      <c r="M178" s="1827"/>
      <c r="N178" s="1827"/>
      <c r="O178" s="1723"/>
      <c r="P178" s="1723"/>
      <c r="Q178" s="1767"/>
      <c r="R178" s="1723"/>
      <c r="S178" s="1723"/>
      <c r="T178" s="1723"/>
      <c r="U178" s="1723"/>
      <c r="Z178" s="1728"/>
      <c r="AA178" s="1728"/>
    </row>
    <row r="179" spans="1:27" s="250" customFormat="1" ht="65.25" customHeight="1" x14ac:dyDescent="0.35">
      <c r="A179" s="4455" t="s">
        <v>429</v>
      </c>
      <c r="B179" s="4456"/>
      <c r="C179" s="4456"/>
      <c r="D179" s="4456"/>
      <c r="E179" s="5093"/>
      <c r="F179" s="2235"/>
      <c r="G179" s="2235"/>
      <c r="H179" s="2235"/>
      <c r="I179" s="5097" t="s">
        <v>304</v>
      </c>
      <c r="J179" s="5246"/>
      <c r="K179" s="5246"/>
      <c r="L179" s="5247" t="s">
        <v>368</v>
      </c>
      <c r="M179" s="5247"/>
      <c r="N179" s="5247"/>
      <c r="O179" s="5241" t="s">
        <v>377</v>
      </c>
      <c r="P179" s="5241"/>
      <c r="Q179" s="5242"/>
      <c r="R179" s="1860"/>
      <c r="S179" s="1860"/>
      <c r="T179" s="1860"/>
      <c r="U179" s="1860"/>
      <c r="Z179" s="1736"/>
      <c r="AA179" s="1736"/>
    </row>
    <row r="180" spans="1:27" s="1724" customFormat="1" ht="65.25" customHeight="1" x14ac:dyDescent="0.35">
      <c r="A180" s="4458"/>
      <c r="B180" s="4459"/>
      <c r="C180" s="4459"/>
      <c r="D180" s="4459"/>
      <c r="E180" s="5094"/>
      <c r="F180" s="2235"/>
      <c r="G180" s="2235"/>
      <c r="H180" s="2235"/>
      <c r="I180" s="1740" t="s">
        <v>287</v>
      </c>
      <c r="J180" s="1738" t="s">
        <v>289</v>
      </c>
      <c r="K180" s="1738" t="s">
        <v>288</v>
      </c>
      <c r="L180" s="1738" t="s">
        <v>287</v>
      </c>
      <c r="M180" s="1738" t="s">
        <v>289</v>
      </c>
      <c r="N180" s="1738" t="s">
        <v>288</v>
      </c>
      <c r="O180" s="1730" t="s">
        <v>287</v>
      </c>
      <c r="P180" s="1730" t="s">
        <v>289</v>
      </c>
      <c r="Q180" s="1731" t="s">
        <v>288</v>
      </c>
      <c r="R180" s="1860"/>
      <c r="S180" s="1860"/>
      <c r="T180" s="1860"/>
      <c r="U180" s="1860"/>
      <c r="Z180" s="1728"/>
      <c r="AA180" s="1728"/>
    </row>
    <row r="181" spans="1:27" s="1724" customFormat="1" ht="65.25" customHeight="1" x14ac:dyDescent="0.35">
      <c r="A181" s="4458"/>
      <c r="B181" s="4459"/>
      <c r="C181" s="4459"/>
      <c r="D181" s="4459"/>
      <c r="E181" s="5094"/>
      <c r="F181" s="2235"/>
      <c r="G181" s="2235"/>
      <c r="H181" s="2235"/>
      <c r="I181" s="1811" t="e">
        <f t="shared" ref="I181:N181" si="152">+J454</f>
        <v>#REF!</v>
      </c>
      <c r="J181" s="1829" t="e">
        <f t="shared" si="152"/>
        <v>#REF!</v>
      </c>
      <c r="K181" s="1829" t="e">
        <f t="shared" si="152"/>
        <v>#REF!</v>
      </c>
      <c r="L181" s="1829" t="e">
        <f t="shared" si="152"/>
        <v>#REF!</v>
      </c>
      <c r="M181" s="1829" t="e">
        <f t="shared" si="152"/>
        <v>#REF!</v>
      </c>
      <c r="N181" s="1829" t="e">
        <f t="shared" si="152"/>
        <v>#REF!</v>
      </c>
      <c r="O181" s="1831" t="e">
        <f>+I181+L181</f>
        <v>#REF!</v>
      </c>
      <c r="P181" s="1831" t="e">
        <f>+J181+M181</f>
        <v>#REF!</v>
      </c>
      <c r="Q181" s="1832" t="e">
        <f>+K181+N181</f>
        <v>#REF!</v>
      </c>
      <c r="R181" s="2266"/>
      <c r="S181" s="2266"/>
      <c r="T181" s="2266"/>
      <c r="U181" s="2266"/>
      <c r="V181" s="1746" t="e">
        <f>SUM(O181:Q181)</f>
        <v>#REF!</v>
      </c>
      <c r="Z181" s="1728"/>
      <c r="AA181" s="1728"/>
    </row>
    <row r="182" spans="1:27" s="1724" customFormat="1" ht="65.25" customHeight="1" x14ac:dyDescent="0.35">
      <c r="A182" s="4458"/>
      <c r="B182" s="4459"/>
      <c r="C182" s="4459"/>
      <c r="D182" s="4459"/>
      <c r="E182" s="5094"/>
      <c r="F182" s="2235"/>
      <c r="G182" s="2235"/>
      <c r="H182" s="2235"/>
      <c r="I182" s="4298" t="s">
        <v>377</v>
      </c>
      <c r="J182" s="4325"/>
      <c r="K182" s="5229"/>
      <c r="L182" s="1833"/>
      <c r="M182" s="1833"/>
      <c r="N182" s="1833"/>
      <c r="O182" s="1835"/>
      <c r="P182" s="1835"/>
      <c r="Q182" s="1836"/>
      <c r="R182" s="1835"/>
      <c r="S182" s="1835"/>
      <c r="T182" s="1835"/>
      <c r="U182" s="1835"/>
      <c r="Z182" s="1728"/>
      <c r="AA182" s="1728"/>
    </row>
    <row r="183" spans="1:27" s="1724" customFormat="1" ht="65.25" customHeight="1" thickBot="1" x14ac:dyDescent="0.4">
      <c r="A183" s="4461"/>
      <c r="B183" s="4462"/>
      <c r="C183" s="4462"/>
      <c r="D183" s="4462"/>
      <c r="E183" s="5095"/>
      <c r="F183" s="2195"/>
      <c r="G183" s="2195"/>
      <c r="H183" s="2195"/>
      <c r="I183" s="1786" t="e">
        <f>+I181+L181</f>
        <v>#REF!</v>
      </c>
      <c r="J183" s="1786" t="e">
        <f>+J181+M181</f>
        <v>#REF!</v>
      </c>
      <c r="K183" s="1786" t="e">
        <f>+K181+N181</f>
        <v>#REF!</v>
      </c>
      <c r="L183" s="1837"/>
      <c r="M183" s="1837"/>
      <c r="N183" s="1837"/>
      <c r="O183" s="1839"/>
      <c r="P183" s="1839"/>
      <c r="Q183" s="1840"/>
      <c r="R183" s="1835"/>
      <c r="S183" s="1835"/>
      <c r="T183" s="1835"/>
      <c r="U183" s="1835"/>
      <c r="Z183" s="1728"/>
      <c r="AA183" s="1728"/>
    </row>
    <row r="184" spans="1:27" s="1724" customFormat="1" ht="65.25" customHeight="1" thickBot="1" x14ac:dyDescent="0.4">
      <c r="A184" s="1841"/>
      <c r="B184" s="1842"/>
      <c r="C184" s="1842"/>
      <c r="D184" s="1842"/>
      <c r="E184" s="1842"/>
      <c r="F184" s="1842"/>
      <c r="G184" s="1842"/>
      <c r="H184" s="1842"/>
      <c r="I184" s="1833"/>
      <c r="J184" s="1833"/>
      <c r="K184" s="1833"/>
      <c r="L184" s="1833"/>
      <c r="M184" s="1833"/>
      <c r="N184" s="1833"/>
      <c r="O184" s="1835"/>
      <c r="P184" s="1835"/>
      <c r="Q184" s="1836"/>
      <c r="R184" s="1835"/>
      <c r="S184" s="1835"/>
      <c r="T184" s="1835"/>
      <c r="U184" s="1835"/>
      <c r="Z184" s="1728"/>
      <c r="AA184" s="1728"/>
    </row>
    <row r="185" spans="1:27" s="1724" customFormat="1" ht="65.25" customHeight="1" x14ac:dyDescent="0.35">
      <c r="A185" s="5248" t="s">
        <v>430</v>
      </c>
      <c r="B185" s="5249"/>
      <c r="C185" s="5249"/>
      <c r="D185" s="5249"/>
      <c r="E185" s="5249"/>
      <c r="F185" s="5348" t="s">
        <v>899</v>
      </c>
      <c r="G185" s="5349"/>
      <c r="H185" s="5350"/>
      <c r="I185" s="5247" t="s">
        <v>304</v>
      </c>
      <c r="J185" s="5247"/>
      <c r="K185" s="5254"/>
      <c r="L185" s="1833"/>
      <c r="M185" s="1833"/>
      <c r="N185" s="1833"/>
      <c r="O185" s="1835"/>
      <c r="P185" s="1835"/>
      <c r="Q185" s="1836"/>
      <c r="R185" s="1835"/>
      <c r="S185" s="1835"/>
      <c r="T185" s="1835"/>
      <c r="U185" s="1835"/>
      <c r="Z185" s="1728"/>
      <c r="AA185" s="1728"/>
    </row>
    <row r="186" spans="1:27" s="1724" customFormat="1" ht="65.25" customHeight="1" x14ac:dyDescent="0.4">
      <c r="A186" s="5250"/>
      <c r="B186" s="5251"/>
      <c r="C186" s="5251"/>
      <c r="D186" s="5251"/>
      <c r="E186" s="5251"/>
      <c r="F186" s="2104" t="s">
        <v>287</v>
      </c>
      <c r="G186" s="2104" t="s">
        <v>289</v>
      </c>
      <c r="H186" s="2105" t="s">
        <v>288</v>
      </c>
      <c r="I186" s="1738" t="s">
        <v>287</v>
      </c>
      <c r="J186" s="1738" t="s">
        <v>289</v>
      </c>
      <c r="K186" s="1772" t="s">
        <v>288</v>
      </c>
      <c r="L186" s="1827"/>
      <c r="M186" s="1827"/>
      <c r="N186" s="1827"/>
      <c r="O186" s="1723"/>
      <c r="P186" s="1723"/>
      <c r="Q186" s="1767"/>
      <c r="R186" s="1723"/>
      <c r="S186" s="1723"/>
      <c r="T186" s="1723"/>
      <c r="U186" s="1723"/>
      <c r="Z186" s="1728"/>
      <c r="AA186" s="1728"/>
    </row>
    <row r="187" spans="1:27" s="1724" customFormat="1" ht="65.25" customHeight="1" thickBot="1" x14ac:dyDescent="0.45">
      <c r="A187" s="5252"/>
      <c r="B187" s="5253"/>
      <c r="C187" s="5253"/>
      <c r="D187" s="5253"/>
      <c r="E187" s="5253"/>
      <c r="F187" s="2272">
        <f>+I187</f>
        <v>0</v>
      </c>
      <c r="G187" s="2272">
        <f t="shared" ref="G187:H187" si="153">+J187</f>
        <v>0</v>
      </c>
      <c r="H187" s="2272">
        <f t="shared" si="153"/>
        <v>0</v>
      </c>
      <c r="I187" s="2067">
        <f>+J455</f>
        <v>0</v>
      </c>
      <c r="J187" s="2067">
        <f>+K455</f>
        <v>0</v>
      </c>
      <c r="K187" s="2067">
        <f>+L455</f>
        <v>0</v>
      </c>
      <c r="L187" s="1723">
        <f>SUM(I187:K187)</f>
        <v>0</v>
      </c>
      <c r="M187" s="1827"/>
      <c r="N187" s="1827"/>
      <c r="O187" s="1723"/>
      <c r="P187" s="1723"/>
      <c r="Q187" s="1767"/>
      <c r="R187" s="1723"/>
      <c r="S187" s="1723"/>
      <c r="T187" s="1723"/>
      <c r="U187" s="1723"/>
      <c r="Z187" s="1728"/>
      <c r="AA187" s="1728"/>
    </row>
    <row r="188" spans="1:27" s="1724" customFormat="1" ht="65.25" customHeight="1" x14ac:dyDescent="0.4">
      <c r="A188" s="1841"/>
      <c r="B188" s="1842"/>
      <c r="C188" s="1842"/>
      <c r="D188" s="1842"/>
      <c r="E188" s="1842"/>
      <c r="F188" s="1842"/>
      <c r="G188" s="1842"/>
      <c r="H188" s="1842"/>
      <c r="I188" s="1795"/>
      <c r="J188" s="1795"/>
      <c r="K188" s="1795"/>
      <c r="L188" s="1827"/>
      <c r="M188" s="1827"/>
      <c r="N188" s="1827"/>
      <c r="O188" s="1723"/>
      <c r="P188" s="1723"/>
      <c r="Q188" s="1767"/>
      <c r="R188" s="1723"/>
      <c r="S188" s="1723"/>
      <c r="T188" s="1723"/>
      <c r="U188" s="1723"/>
      <c r="Z188" s="1728"/>
      <c r="AA188" s="1728"/>
    </row>
    <row r="189" spans="1:27" s="1724" customFormat="1" ht="65.25" customHeight="1" x14ac:dyDescent="0.35">
      <c r="A189" s="5263" t="s">
        <v>431</v>
      </c>
      <c r="B189" s="5264"/>
      <c r="C189" s="5264"/>
      <c r="D189" s="5264"/>
      <c r="E189" s="5264"/>
      <c r="F189" s="2196"/>
      <c r="G189" s="2196"/>
      <c r="H189" s="2196"/>
      <c r="I189" s="4317" t="s">
        <v>304</v>
      </c>
      <c r="J189" s="4317"/>
      <c r="K189" s="4317"/>
      <c r="L189" s="4317" t="s">
        <v>368</v>
      </c>
      <c r="M189" s="4317"/>
      <c r="N189" s="4317"/>
      <c r="O189" s="4325" t="s">
        <v>377</v>
      </c>
      <c r="P189" s="4325"/>
      <c r="Q189" s="5229"/>
      <c r="R189" s="1860"/>
      <c r="S189" s="1860"/>
      <c r="T189" s="1860"/>
      <c r="U189" s="1860"/>
      <c r="Z189" s="1728"/>
      <c r="AA189" s="1728"/>
    </row>
    <row r="190" spans="1:27" s="1724" customFormat="1" ht="65.25" customHeight="1" x14ac:dyDescent="0.35">
      <c r="A190" s="5263"/>
      <c r="B190" s="5264"/>
      <c r="C190" s="5264"/>
      <c r="D190" s="5264"/>
      <c r="E190" s="5264"/>
      <c r="F190" s="2196"/>
      <c r="G190" s="2196"/>
      <c r="H190" s="2196"/>
      <c r="I190" s="1738" t="s">
        <v>287</v>
      </c>
      <c r="J190" s="1738" t="s">
        <v>289</v>
      </c>
      <c r="K190" s="1738" t="s">
        <v>288</v>
      </c>
      <c r="L190" s="1738" t="s">
        <v>287</v>
      </c>
      <c r="M190" s="1738" t="s">
        <v>289</v>
      </c>
      <c r="N190" s="1738" t="s">
        <v>288</v>
      </c>
      <c r="O190" s="1730" t="s">
        <v>287</v>
      </c>
      <c r="P190" s="1730" t="s">
        <v>289</v>
      </c>
      <c r="Q190" s="1731" t="s">
        <v>288</v>
      </c>
      <c r="R190" s="1860"/>
      <c r="S190" s="1860"/>
      <c r="T190" s="1860"/>
      <c r="U190" s="1860"/>
      <c r="Z190" s="1728"/>
      <c r="AA190" s="1728"/>
    </row>
    <row r="191" spans="1:27" s="1724" customFormat="1" ht="65.25" customHeight="1" x14ac:dyDescent="0.35">
      <c r="A191" s="5263"/>
      <c r="B191" s="5264"/>
      <c r="C191" s="5264"/>
      <c r="D191" s="5264"/>
      <c r="E191" s="5264"/>
      <c r="F191" s="2196"/>
      <c r="G191" s="2196"/>
      <c r="H191" s="2196"/>
      <c r="I191" s="2071" t="e">
        <f t="shared" ref="I191:N191" ca="1" si="154">+I131+I157+I166+I175+I181+I187+I151</f>
        <v>#REF!</v>
      </c>
      <c r="J191" s="2071" t="e">
        <f t="shared" ca="1" si="154"/>
        <v>#REF!</v>
      </c>
      <c r="K191" s="2071" t="e">
        <f t="shared" ca="1" si="154"/>
        <v>#REF!</v>
      </c>
      <c r="L191" s="2071" t="e">
        <f t="shared" ca="1" si="154"/>
        <v>#REF!</v>
      </c>
      <c r="M191" s="2071" t="e">
        <f t="shared" ca="1" si="154"/>
        <v>#REF!</v>
      </c>
      <c r="N191" s="2071" t="e">
        <f t="shared" ca="1" si="154"/>
        <v>#REF!</v>
      </c>
      <c r="O191" s="2071" t="e">
        <f ca="1">+O131+O157+O166+O175+O181+O187</f>
        <v>#REF!</v>
      </c>
      <c r="P191" s="2071" t="e">
        <f ca="1">+P131+P157+P166+P175+P181+P187</f>
        <v>#REF!</v>
      </c>
      <c r="Q191" s="2072" t="e">
        <f ca="1">+Q131+Q157+Q166+Q175+Q181+Q187</f>
        <v>#REF!</v>
      </c>
      <c r="R191" s="2267"/>
      <c r="S191" s="2267"/>
      <c r="T191" s="2267"/>
      <c r="U191" s="2267"/>
      <c r="V191" s="1746" t="e">
        <f ca="1">SUM(O191:Q191)</f>
        <v>#REF!</v>
      </c>
      <c r="Z191" s="1728"/>
      <c r="AA191" s="1728"/>
    </row>
    <row r="192" spans="1:27" s="1724" customFormat="1" ht="65.25" customHeight="1" x14ac:dyDescent="0.4">
      <c r="A192" s="5263"/>
      <c r="B192" s="5264"/>
      <c r="C192" s="5264"/>
      <c r="D192" s="5264"/>
      <c r="E192" s="5264"/>
      <c r="F192" s="2259"/>
      <c r="G192" s="2259"/>
      <c r="H192" s="2259"/>
      <c r="I192" s="4344" t="s">
        <v>432</v>
      </c>
      <c r="J192" s="4344"/>
      <c r="K192" s="4344"/>
      <c r="L192" s="1827"/>
      <c r="M192" s="1827"/>
      <c r="N192" s="1827"/>
      <c r="O192" s="2068" t="e">
        <f ca="1">+I191+L191</f>
        <v>#REF!</v>
      </c>
      <c r="P192" s="2069" t="e">
        <f ca="1">+J191+M191</f>
        <v>#REF!</v>
      </c>
      <c r="Q192" s="2070" t="e">
        <f ca="1">+K191+N191</f>
        <v>#REF!</v>
      </c>
      <c r="R192" s="2268"/>
      <c r="S192" s="2268"/>
      <c r="T192" s="2268"/>
      <c r="U192" s="2268"/>
      <c r="Z192" s="1728"/>
      <c r="AA192" s="1728"/>
    </row>
    <row r="193" spans="1:27" s="1724" customFormat="1" ht="65.25" customHeight="1" x14ac:dyDescent="0.4">
      <c r="A193" s="5263"/>
      <c r="B193" s="5264"/>
      <c r="C193" s="5264"/>
      <c r="D193" s="5264"/>
      <c r="E193" s="5264"/>
      <c r="F193" s="2196"/>
      <c r="G193" s="2196"/>
      <c r="H193" s="2196"/>
      <c r="I193" s="1730" t="s">
        <v>287</v>
      </c>
      <c r="J193" s="1730" t="s">
        <v>289</v>
      </c>
      <c r="K193" s="1730" t="s">
        <v>288</v>
      </c>
      <c r="L193" s="1827"/>
      <c r="M193" s="1827"/>
      <c r="N193" s="1827"/>
      <c r="O193" s="1723"/>
      <c r="P193" s="1723"/>
      <c r="Q193" s="1767"/>
      <c r="R193" s="1723"/>
      <c r="S193" s="1723"/>
      <c r="T193" s="1723"/>
      <c r="U193" s="1723"/>
      <c r="Z193" s="1728"/>
      <c r="AA193" s="1728"/>
    </row>
    <row r="194" spans="1:27" s="250" customFormat="1" ht="65.25" customHeight="1" x14ac:dyDescent="0.4">
      <c r="A194" s="5263"/>
      <c r="B194" s="5264"/>
      <c r="C194" s="5264"/>
      <c r="D194" s="5264"/>
      <c r="E194" s="5264"/>
      <c r="F194" s="2196"/>
      <c r="G194" s="2196"/>
      <c r="H194" s="2196"/>
      <c r="I194" s="1557" t="e">
        <f ca="1">+I191+L191</f>
        <v>#REF!</v>
      </c>
      <c r="J194" s="1557" t="e">
        <f ca="1">+J191+M191</f>
        <v>#REF!</v>
      </c>
      <c r="K194" s="2050" t="e">
        <f ca="1">+K191+N191</f>
        <v>#REF!</v>
      </c>
      <c r="L194" s="1723" t="e">
        <f ca="1">SUM(I194:K194)</f>
        <v>#REF!</v>
      </c>
      <c r="O194" s="837"/>
      <c r="P194" s="837"/>
      <c r="Q194" s="2073"/>
      <c r="R194" s="837"/>
      <c r="S194" s="837"/>
      <c r="T194" s="837"/>
      <c r="U194" s="837"/>
      <c r="Z194" s="1736"/>
      <c r="AA194" s="1736"/>
    </row>
    <row r="195" spans="1:27" s="1724" customFormat="1" ht="65.25" customHeight="1" thickBot="1" x14ac:dyDescent="0.4">
      <c r="A195" s="1856"/>
      <c r="B195" s="1857"/>
      <c r="C195" s="1857"/>
      <c r="D195" s="1857"/>
      <c r="E195" s="1857"/>
      <c r="F195" s="1857"/>
      <c r="G195" s="1857"/>
      <c r="H195" s="1857"/>
      <c r="I195" s="1858"/>
      <c r="J195" s="1858"/>
      <c r="K195" s="1858"/>
      <c r="L195" s="1859"/>
      <c r="O195" s="1726"/>
      <c r="P195" s="1726"/>
      <c r="Q195" s="1727"/>
      <c r="R195" s="1726"/>
      <c r="S195" s="1726"/>
      <c r="T195" s="1726"/>
      <c r="U195" s="1726"/>
      <c r="Z195" s="1728"/>
      <c r="AA195" s="1728"/>
    </row>
    <row r="196" spans="1:27" s="250" customFormat="1" ht="65.25" customHeight="1" x14ac:dyDescent="0.35">
      <c r="A196" s="5235" t="s">
        <v>925</v>
      </c>
      <c r="B196" s="5236"/>
      <c r="C196" s="5236"/>
      <c r="D196" s="5236"/>
      <c r="E196" s="5236"/>
      <c r="F196" s="5348" t="s">
        <v>899</v>
      </c>
      <c r="G196" s="5349"/>
      <c r="H196" s="5350"/>
      <c r="I196" s="5241" t="s">
        <v>434</v>
      </c>
      <c r="J196" s="5241"/>
      <c r="K196" s="5242"/>
      <c r="L196" s="1855"/>
      <c r="O196" s="4304"/>
      <c r="P196" s="4304"/>
      <c r="Q196" s="4305"/>
      <c r="R196" s="1860"/>
      <c r="S196" s="1860"/>
      <c r="T196" s="1860"/>
      <c r="U196" s="1860"/>
      <c r="Z196" s="1736"/>
      <c r="AA196" s="1736"/>
    </row>
    <row r="197" spans="1:27" s="250" customFormat="1" ht="65.25" customHeight="1" x14ac:dyDescent="0.35">
      <c r="A197" s="5237"/>
      <c r="B197" s="5238"/>
      <c r="C197" s="5238"/>
      <c r="D197" s="5238"/>
      <c r="E197" s="5238"/>
      <c r="F197" s="2104" t="s">
        <v>287</v>
      </c>
      <c r="G197" s="2104" t="s">
        <v>289</v>
      </c>
      <c r="H197" s="2105" t="s">
        <v>288</v>
      </c>
      <c r="I197" s="1730" t="s">
        <v>287</v>
      </c>
      <c r="J197" s="1730" t="s">
        <v>289</v>
      </c>
      <c r="K197" s="1731" t="s">
        <v>288</v>
      </c>
      <c r="L197" s="1855"/>
      <c r="O197" s="1860"/>
      <c r="P197" s="1860"/>
      <c r="Q197" s="2074"/>
      <c r="R197" s="1860"/>
      <c r="S197" s="1860"/>
      <c r="T197" s="1860"/>
      <c r="U197" s="1860"/>
      <c r="Z197" s="1736"/>
      <c r="AA197" s="1736"/>
    </row>
    <row r="198" spans="1:27" s="250" customFormat="1" ht="65.25" customHeight="1" thickBot="1" x14ac:dyDescent="0.55000000000000004">
      <c r="A198" s="5239"/>
      <c r="B198" s="5240"/>
      <c r="C198" s="5240"/>
      <c r="D198" s="5240"/>
      <c r="E198" s="5240"/>
      <c r="F198" s="2278" t="e">
        <f ca="1">+F174+F173+F168+F151+F133</f>
        <v>#REF!</v>
      </c>
      <c r="G198" s="2278" t="e">
        <f t="shared" ref="G198:H198" ca="1" si="155">+G174+G173+G168+G151+G133</f>
        <v>#REF!</v>
      </c>
      <c r="H198" s="2278" t="e">
        <f t="shared" ca="1" si="155"/>
        <v>#REF!</v>
      </c>
      <c r="I198" s="2051">
        <f>+'Compra -HOJA1'!G10</f>
        <v>0</v>
      </c>
      <c r="J198" s="2051">
        <f>+'Compra -HOJA1'!I10</f>
        <v>0</v>
      </c>
      <c r="K198" s="2052">
        <f>+'Compra -HOJA1'!H10</f>
        <v>0</v>
      </c>
      <c r="L198" s="1723">
        <f>SUM(I198:K198)</f>
        <v>0</v>
      </c>
      <c r="O198" s="1855"/>
      <c r="P198" s="1855"/>
      <c r="Q198" s="2075"/>
      <c r="R198" s="1855"/>
      <c r="S198" s="1855"/>
      <c r="T198" s="1855"/>
      <c r="U198" s="1855"/>
      <c r="V198" s="1746">
        <f>SUM(O198:Q198)</f>
        <v>0</v>
      </c>
      <c r="Z198" s="1736"/>
      <c r="AA198" s="1736"/>
    </row>
    <row r="199" spans="1:27" s="1724" customFormat="1" ht="65.25" customHeight="1" thickBot="1" x14ac:dyDescent="0.4">
      <c r="A199" s="5235" t="s">
        <v>926</v>
      </c>
      <c r="B199" s="5236"/>
      <c r="C199" s="5236"/>
      <c r="D199" s="5236"/>
      <c r="E199" s="5236"/>
      <c r="F199" s="4344" t="s">
        <v>434</v>
      </c>
      <c r="G199" s="4344"/>
      <c r="H199" s="5271"/>
      <c r="I199" s="1859"/>
      <c r="J199" s="1859"/>
      <c r="K199" s="1859"/>
      <c r="L199" s="1859"/>
      <c r="O199" s="1855"/>
      <c r="P199" s="1855"/>
      <c r="Q199" s="2075"/>
      <c r="R199" s="1855"/>
      <c r="S199" s="1855"/>
      <c r="T199" s="1855"/>
      <c r="U199" s="1855"/>
      <c r="Z199" s="1728"/>
      <c r="AA199" s="1728"/>
    </row>
    <row r="200" spans="1:27" s="1724" customFormat="1" ht="65.25" customHeight="1" thickBot="1" x14ac:dyDescent="0.4">
      <c r="A200" s="5237"/>
      <c r="B200" s="5238"/>
      <c r="C200" s="5238"/>
      <c r="D200" s="5238"/>
      <c r="E200" s="5238"/>
      <c r="F200" s="1730" t="s">
        <v>287</v>
      </c>
      <c r="G200" s="1730" t="s">
        <v>289</v>
      </c>
      <c r="H200" s="1731" t="s">
        <v>288</v>
      </c>
      <c r="I200" s="1980" t="e">
        <f ca="1">+I198-I194</f>
        <v>#REF!</v>
      </c>
      <c r="J200" s="1981" t="e">
        <f ca="1">+J198-J194</f>
        <v>#REF!</v>
      </c>
      <c r="K200" s="1982" t="e">
        <f ca="1">+K198-K194</f>
        <v>#REF!</v>
      </c>
      <c r="L200" s="1859"/>
      <c r="O200" s="1855"/>
      <c r="P200" s="1855"/>
      <c r="Q200" s="2075"/>
      <c r="R200" s="1855"/>
      <c r="S200" s="1855"/>
      <c r="T200" s="1855"/>
      <c r="U200" s="1855"/>
      <c r="V200" s="1746">
        <f>SUM(O200:Q200)</f>
        <v>0</v>
      </c>
      <c r="Z200" s="1728"/>
      <c r="AA200" s="1728"/>
    </row>
    <row r="201" spans="1:27" s="1724" customFormat="1" ht="65.25" customHeight="1" thickBot="1" x14ac:dyDescent="0.85">
      <c r="A201" s="5239"/>
      <c r="B201" s="5240"/>
      <c r="C201" s="5240"/>
      <c r="D201" s="5240"/>
      <c r="E201" s="5240"/>
      <c r="F201" s="2279">
        <f>+I198</f>
        <v>0</v>
      </c>
      <c r="G201" s="2279">
        <f t="shared" ref="G201:H201" si="156">+J198</f>
        <v>0</v>
      </c>
      <c r="H201" s="2279">
        <f t="shared" si="156"/>
        <v>0</v>
      </c>
      <c r="I201" s="2053" t="e">
        <f ca="1">+IF(I198=I194,"OK","VERIFICAR")</f>
        <v>#REF!</v>
      </c>
      <c r="J201" s="2054" t="e">
        <f ca="1">+IF(J198=J194,"OK","VERIFICAR")</f>
        <v>#REF!</v>
      </c>
      <c r="K201" s="2055" t="e">
        <f ca="1">+IF(K198=K194,"OK","VERIFICAR")</f>
        <v>#REF!</v>
      </c>
      <c r="L201" s="1859"/>
      <c r="O201" s="1855"/>
      <c r="P201" s="1855"/>
      <c r="Q201" s="2075"/>
      <c r="R201" s="1855"/>
      <c r="S201" s="1855"/>
      <c r="T201" s="1855"/>
      <c r="U201" s="1855"/>
      <c r="Z201" s="1728"/>
      <c r="AA201" s="1728"/>
    </row>
    <row r="202" spans="1:27" s="250" customFormat="1" ht="65.25" customHeight="1" thickBot="1" x14ac:dyDescent="0.8">
      <c r="A202" s="5354" t="s">
        <v>435</v>
      </c>
      <c r="B202" s="5355"/>
      <c r="C202" s="5355"/>
      <c r="D202" s="5355"/>
      <c r="E202" s="2277"/>
      <c r="F202" s="2280" t="e">
        <f ca="1">+IF(F198-F201=0,"OK","VERIFICAR")</f>
        <v>#REF!</v>
      </c>
      <c r="G202" s="2280" t="e">
        <f t="shared" ref="G202:H202" ca="1" si="157">+IF(G198-G201=0,"OK","VERIFICAR")</f>
        <v>#REF!</v>
      </c>
      <c r="H202" s="2280" t="e">
        <f t="shared" ca="1" si="157"/>
        <v>#REF!</v>
      </c>
      <c r="I202" s="1869"/>
      <c r="J202" s="1869"/>
      <c r="K202" s="1869"/>
      <c r="L202" s="1869"/>
      <c r="M202" s="1870"/>
      <c r="N202" s="1870"/>
      <c r="O202" s="1872"/>
      <c r="P202" s="1872"/>
      <c r="Q202" s="1873"/>
      <c r="R202" s="837"/>
      <c r="S202" s="837"/>
      <c r="T202" s="837"/>
      <c r="U202" s="837"/>
      <c r="Z202" s="1736"/>
      <c r="AA202" s="1736"/>
    </row>
    <row r="203" spans="1:27" s="250" customFormat="1" ht="30" customHeight="1" x14ac:dyDescent="0.35">
      <c r="O203" s="837"/>
      <c r="P203" s="837"/>
      <c r="Q203" s="837"/>
      <c r="R203" s="837"/>
      <c r="S203" s="837"/>
      <c r="T203" s="837"/>
      <c r="U203" s="837"/>
      <c r="Z203" s="1736"/>
      <c r="AA203" s="1736"/>
    </row>
    <row r="204" spans="1:27" s="250" customFormat="1" ht="30" customHeight="1" x14ac:dyDescent="0.35">
      <c r="A204" s="1874" t="s">
        <v>436</v>
      </c>
      <c r="B204" s="1874"/>
      <c r="C204" s="1874"/>
      <c r="D204" s="1875" t="e">
        <f>'Compra -HOJA1'!#REF!</f>
        <v>#REF!</v>
      </c>
      <c r="E204" s="1875"/>
      <c r="F204" s="1875"/>
      <c r="G204" s="1875"/>
      <c r="H204" s="1875"/>
      <c r="I204" s="1876"/>
      <c r="J204" s="1876"/>
      <c r="K204" s="1876"/>
      <c r="O204" s="837"/>
      <c r="P204" s="837"/>
      <c r="Q204" s="837"/>
      <c r="R204" s="837"/>
      <c r="S204" s="837"/>
      <c r="T204" s="837"/>
      <c r="U204" s="837"/>
      <c r="Z204" s="1736"/>
      <c r="AA204" s="1736"/>
    </row>
    <row r="205" spans="1:27" s="250" customFormat="1" ht="30" customHeight="1" x14ac:dyDescent="0.35">
      <c r="A205" s="1874" t="s">
        <v>437</v>
      </c>
      <c r="B205" s="1874"/>
      <c r="C205" s="1874"/>
      <c r="D205" s="1877"/>
      <c r="E205" s="1877"/>
      <c r="F205" s="1877"/>
      <c r="G205" s="1877"/>
      <c r="H205" s="1877"/>
      <c r="I205" s="1736"/>
      <c r="J205" s="1736"/>
      <c r="K205" s="1736"/>
      <c r="O205" s="837"/>
      <c r="P205" s="837"/>
      <c r="Q205" s="837"/>
      <c r="R205" s="837"/>
      <c r="S205" s="837"/>
      <c r="T205" s="837"/>
      <c r="U205" s="837"/>
      <c r="Z205" s="1736"/>
      <c r="AA205" s="1736"/>
    </row>
    <row r="206" spans="1:27" s="250" customFormat="1" ht="30" customHeight="1" x14ac:dyDescent="0.35">
      <c r="A206" s="1878"/>
      <c r="B206" s="1878"/>
      <c r="C206" s="1878"/>
      <c r="D206" s="1878"/>
      <c r="E206" s="1878"/>
      <c r="F206" s="1878"/>
      <c r="G206" s="1878"/>
      <c r="H206" s="1878"/>
      <c r="I206" s="1878"/>
      <c r="J206" s="1878"/>
      <c r="K206" s="1878"/>
      <c r="L206" s="1879"/>
      <c r="O206" s="837"/>
      <c r="P206" s="837"/>
      <c r="Q206" s="837"/>
      <c r="R206" s="837"/>
      <c r="S206" s="837"/>
      <c r="T206" s="837"/>
      <c r="U206" s="837"/>
      <c r="Z206" s="1736"/>
      <c r="AA206" s="1736"/>
    </row>
    <row r="207" spans="1:27" s="250" customFormat="1" ht="30" customHeight="1" x14ac:dyDescent="0.35">
      <c r="A207" s="1878"/>
      <c r="B207" s="1878"/>
      <c r="C207" s="1878"/>
      <c r="D207" s="1878"/>
      <c r="E207" s="1878"/>
      <c r="F207" s="1878"/>
      <c r="G207" s="1878"/>
      <c r="H207" s="1878"/>
      <c r="I207" s="1878"/>
      <c r="J207" s="1878"/>
      <c r="K207" s="1878"/>
      <c r="O207" s="837"/>
      <c r="P207" s="837"/>
      <c r="Q207" s="837"/>
      <c r="R207" s="837"/>
      <c r="S207" s="837"/>
      <c r="T207" s="837"/>
      <c r="U207" s="837"/>
      <c r="Z207" s="1736"/>
      <c r="AA207" s="1736"/>
    </row>
    <row r="208" spans="1:27" s="250" customFormat="1" ht="30" customHeight="1" x14ac:dyDescent="0.35">
      <c r="A208" s="1880" t="s">
        <v>438</v>
      </c>
      <c r="B208" s="1880"/>
      <c r="C208" s="1880"/>
      <c r="D208" s="1880"/>
      <c r="E208" s="1880"/>
      <c r="F208" s="1880"/>
      <c r="G208" s="1880"/>
      <c r="H208" s="1880"/>
      <c r="I208" s="4325" t="s">
        <v>304</v>
      </c>
      <c r="J208" s="4325"/>
      <c r="K208" s="4325"/>
      <c r="L208" s="4325" t="s">
        <v>439</v>
      </c>
      <c r="M208" s="4325"/>
      <c r="N208" s="4325"/>
      <c r="O208" s="4325" t="s">
        <v>377</v>
      </c>
      <c r="P208" s="4325"/>
      <c r="Q208" s="4325"/>
      <c r="R208" s="1860"/>
      <c r="S208" s="1860"/>
      <c r="T208" s="1860"/>
      <c r="U208" s="1860"/>
      <c r="Z208" s="1736"/>
      <c r="AA208" s="1736"/>
    </row>
    <row r="209" spans="1:27" s="250" customFormat="1" ht="30" customHeight="1" thickBot="1" x14ac:dyDescent="0.4">
      <c r="A209" s="1882" t="s">
        <v>440</v>
      </c>
      <c r="B209" s="1882"/>
      <c r="C209" s="1882"/>
      <c r="D209" s="1880"/>
      <c r="E209" s="1880" t="s">
        <v>441</v>
      </c>
      <c r="F209" s="1880"/>
      <c r="G209" s="1880"/>
      <c r="H209" s="1880"/>
      <c r="I209" s="1883" t="s">
        <v>287</v>
      </c>
      <c r="J209" s="1883" t="s">
        <v>289</v>
      </c>
      <c r="K209" s="1883" t="s">
        <v>288</v>
      </c>
      <c r="L209" s="1883" t="s">
        <v>287</v>
      </c>
      <c r="M209" s="1883" t="s">
        <v>289</v>
      </c>
      <c r="N209" s="1883" t="s">
        <v>288</v>
      </c>
      <c r="O209" s="1883" t="s">
        <v>287</v>
      </c>
      <c r="P209" s="1883" t="s">
        <v>289</v>
      </c>
      <c r="Q209" s="1883" t="s">
        <v>288</v>
      </c>
      <c r="R209" s="1885"/>
      <c r="S209" s="1885"/>
      <c r="T209" s="1885"/>
      <c r="U209" s="1885"/>
      <c r="V209" s="1885" t="s">
        <v>290</v>
      </c>
      <c r="Z209" s="1736"/>
      <c r="AA209" s="1736"/>
    </row>
    <row r="210" spans="1:27" s="250" customFormat="1" ht="30" customHeight="1" thickBot="1" x14ac:dyDescent="0.4">
      <c r="A210" s="5243" t="s">
        <v>41</v>
      </c>
      <c r="B210" s="4597" t="s">
        <v>164</v>
      </c>
      <c r="C210" s="4597"/>
      <c r="D210" s="4597"/>
      <c r="E210" s="1886">
        <f>+INT(E346)</f>
        <v>0</v>
      </c>
      <c r="F210" s="1886"/>
      <c r="G210" s="1886"/>
      <c r="H210" s="1886"/>
      <c r="I210" s="1886">
        <f>+INT(I346)</f>
        <v>0</v>
      </c>
      <c r="J210" s="1886">
        <f t="shared" ref="J210:N211" si="158">+INT(J346)</f>
        <v>0</v>
      </c>
      <c r="K210" s="1886">
        <f t="shared" si="158"/>
        <v>0</v>
      </c>
      <c r="L210" s="1886">
        <f t="shared" ca="1" si="158"/>
        <v>0</v>
      </c>
      <c r="M210" s="1886">
        <f t="shared" ca="1" si="158"/>
        <v>0</v>
      </c>
      <c r="N210" s="1886">
        <f t="shared" ca="1" si="158"/>
        <v>0</v>
      </c>
      <c r="O210" s="1887">
        <f t="shared" ref="O210:Q241" ca="1" si="159">+I210+L210</f>
        <v>0</v>
      </c>
      <c r="P210" s="1887">
        <f t="shared" ca="1" si="159"/>
        <v>0</v>
      </c>
      <c r="Q210" s="1888">
        <f t="shared" ca="1" si="159"/>
        <v>0</v>
      </c>
      <c r="R210" s="1888"/>
      <c r="S210" s="1888"/>
      <c r="T210" s="1888"/>
      <c r="U210" s="1888"/>
      <c r="V210" s="1888">
        <f t="shared" ref="V210:V277" ca="1" si="160">SUM(O210:Q210)</f>
        <v>0</v>
      </c>
      <c r="W210" s="1889"/>
      <c r="X210" s="1889"/>
      <c r="Y210" s="1889"/>
      <c r="Z210" s="1736"/>
      <c r="AA210" s="1736"/>
    </row>
    <row r="211" spans="1:27" s="250" customFormat="1" ht="27" customHeight="1" thickBot="1" x14ac:dyDescent="0.45">
      <c r="A211" s="5244"/>
      <c r="B211" s="3743" t="s">
        <v>179</v>
      </c>
      <c r="C211" s="3744"/>
      <c r="D211" s="5175"/>
      <c r="E211" s="1886">
        <f>+INT(E347)</f>
        <v>0</v>
      </c>
      <c r="F211" s="1886"/>
      <c r="G211" s="1886"/>
      <c r="H211" s="1886"/>
      <c r="I211" s="1886">
        <f>+INT(I347)</f>
        <v>0</v>
      </c>
      <c r="J211" s="1886">
        <f t="shared" si="158"/>
        <v>0</v>
      </c>
      <c r="K211" s="1886">
        <f t="shared" si="158"/>
        <v>0</v>
      </c>
      <c r="L211" s="1886">
        <f t="shared" ca="1" si="158"/>
        <v>0</v>
      </c>
      <c r="M211" s="1886">
        <f t="shared" ca="1" si="158"/>
        <v>0</v>
      </c>
      <c r="N211" s="1886">
        <f t="shared" ca="1" si="158"/>
        <v>0</v>
      </c>
      <c r="O211" s="1887">
        <f t="shared" ca="1" si="159"/>
        <v>0</v>
      </c>
      <c r="P211" s="1887">
        <f t="shared" ca="1" si="159"/>
        <v>0</v>
      </c>
      <c r="Q211" s="1888">
        <f t="shared" ca="1" si="159"/>
        <v>0</v>
      </c>
      <c r="R211" s="1888"/>
      <c r="S211" s="1888"/>
      <c r="T211" s="1888"/>
      <c r="U211" s="1888"/>
      <c r="V211" s="1888">
        <f t="shared" ca="1" si="160"/>
        <v>0</v>
      </c>
      <c r="W211" s="1892"/>
      <c r="X211" s="1892"/>
      <c r="Y211" s="1892"/>
      <c r="Z211" s="1736"/>
      <c r="AA211" s="1736"/>
    </row>
    <row r="212" spans="1:27" s="250" customFormat="1" ht="27" customHeight="1" thickBot="1" x14ac:dyDescent="0.45">
      <c r="A212" s="5244"/>
      <c r="B212" s="4314" t="s">
        <v>195</v>
      </c>
      <c r="C212" s="4616"/>
      <c r="D212" s="5176"/>
      <c r="E212" s="1886">
        <f t="shared" ref="E212:N220" si="161">+INT(E349)</f>
        <v>0</v>
      </c>
      <c r="F212" s="1886"/>
      <c r="G212" s="1886"/>
      <c r="H212" s="1886"/>
      <c r="I212" s="1886">
        <f t="shared" si="161"/>
        <v>0</v>
      </c>
      <c r="J212" s="1886">
        <f t="shared" si="161"/>
        <v>0</v>
      </c>
      <c r="K212" s="1886">
        <f t="shared" si="161"/>
        <v>0</v>
      </c>
      <c r="L212" s="1886">
        <f t="shared" ca="1" si="161"/>
        <v>0</v>
      </c>
      <c r="M212" s="1886">
        <f t="shared" ca="1" si="161"/>
        <v>0</v>
      </c>
      <c r="N212" s="1886">
        <f t="shared" ca="1" si="161"/>
        <v>0</v>
      </c>
      <c r="O212" s="1887">
        <f t="shared" ca="1" si="159"/>
        <v>0</v>
      </c>
      <c r="P212" s="1887">
        <f t="shared" ca="1" si="159"/>
        <v>0</v>
      </c>
      <c r="Q212" s="1888">
        <f t="shared" ca="1" si="159"/>
        <v>0</v>
      </c>
      <c r="R212" s="1888"/>
      <c r="S212" s="1888"/>
      <c r="T212" s="1888"/>
      <c r="U212" s="1888"/>
      <c r="V212" s="1888">
        <f t="shared" ca="1" si="160"/>
        <v>0</v>
      </c>
      <c r="W212" s="1892"/>
      <c r="X212" s="1892"/>
      <c r="Y212" s="1892"/>
      <c r="Z212" s="1736"/>
      <c r="AA212" s="1736"/>
    </row>
    <row r="213" spans="1:27" s="250" customFormat="1" ht="27" customHeight="1" thickBot="1" x14ac:dyDescent="0.45">
      <c r="A213" s="5244"/>
      <c r="B213" s="5234" t="s">
        <v>927</v>
      </c>
      <c r="C213" s="5234"/>
      <c r="D213" s="5234"/>
      <c r="E213" s="1886" t="e">
        <f t="shared" si="161"/>
        <v>#REF!</v>
      </c>
      <c r="F213" s="1886"/>
      <c r="G213" s="1886"/>
      <c r="H213" s="1886"/>
      <c r="I213" s="1886" t="e">
        <f t="shared" si="161"/>
        <v>#REF!</v>
      </c>
      <c r="J213" s="1886" t="e">
        <f t="shared" si="161"/>
        <v>#REF!</v>
      </c>
      <c r="K213" s="1886" t="e">
        <f t="shared" si="161"/>
        <v>#REF!</v>
      </c>
      <c r="L213" s="1886" t="e">
        <f t="shared" si="161"/>
        <v>#REF!</v>
      </c>
      <c r="M213" s="1886" t="e">
        <f t="shared" si="161"/>
        <v>#REF!</v>
      </c>
      <c r="N213" s="1886" t="e">
        <f t="shared" si="161"/>
        <v>#REF!</v>
      </c>
      <c r="O213" s="1887" t="e">
        <f t="shared" si="159"/>
        <v>#REF!</v>
      </c>
      <c r="P213" s="1887" t="e">
        <f t="shared" si="159"/>
        <v>#REF!</v>
      </c>
      <c r="Q213" s="1888" t="e">
        <f t="shared" si="159"/>
        <v>#REF!</v>
      </c>
      <c r="R213" s="1888"/>
      <c r="S213" s="1888"/>
      <c r="T213" s="1888"/>
      <c r="U213" s="1888"/>
      <c r="V213" s="1888"/>
      <c r="W213" s="1892"/>
      <c r="X213" s="1892"/>
      <c r="Y213" s="1892"/>
      <c r="Z213" s="1736"/>
      <c r="AA213" s="1736"/>
    </row>
    <row r="214" spans="1:27" s="250" customFormat="1" ht="27" customHeight="1" thickBot="1" x14ac:dyDescent="0.45">
      <c r="A214" s="5244"/>
      <c r="B214" s="3751" t="s">
        <v>167</v>
      </c>
      <c r="C214" s="5230" t="s">
        <v>46</v>
      </c>
      <c r="D214" s="5230"/>
      <c r="E214" s="1886">
        <f t="shared" si="161"/>
        <v>0</v>
      </c>
      <c r="F214" s="1886"/>
      <c r="G214" s="1886"/>
      <c r="H214" s="1886"/>
      <c r="I214" s="1886">
        <f t="shared" si="161"/>
        <v>0</v>
      </c>
      <c r="J214" s="1886">
        <f t="shared" si="161"/>
        <v>0</v>
      </c>
      <c r="K214" s="1886">
        <f t="shared" si="161"/>
        <v>0</v>
      </c>
      <c r="L214" s="1886">
        <f t="shared" ca="1" si="161"/>
        <v>0</v>
      </c>
      <c r="M214" s="1886">
        <f t="shared" ca="1" si="161"/>
        <v>0</v>
      </c>
      <c r="N214" s="1886">
        <f t="shared" ca="1" si="161"/>
        <v>0</v>
      </c>
      <c r="O214" s="1887">
        <f t="shared" ca="1" si="159"/>
        <v>0</v>
      </c>
      <c r="P214" s="1887">
        <f t="shared" ca="1" si="159"/>
        <v>0</v>
      </c>
      <c r="Q214" s="1888">
        <f t="shared" ca="1" si="159"/>
        <v>0</v>
      </c>
      <c r="R214" s="1888"/>
      <c r="S214" s="1888"/>
      <c r="T214" s="1888"/>
      <c r="U214" s="1888"/>
      <c r="V214" s="1888">
        <f t="shared" ca="1" si="160"/>
        <v>0</v>
      </c>
      <c r="W214" s="1892"/>
      <c r="X214" s="1892"/>
      <c r="Y214" s="1892"/>
      <c r="Z214" s="1736"/>
      <c r="AA214" s="1736"/>
    </row>
    <row r="215" spans="1:27" s="250" customFormat="1" ht="27" customHeight="1" thickBot="1" x14ac:dyDescent="0.45">
      <c r="A215" s="5244"/>
      <c r="B215" s="3746"/>
      <c r="C215" s="5230" t="s">
        <v>47</v>
      </c>
      <c r="D215" s="5230"/>
      <c r="E215" s="1886">
        <f t="shared" si="161"/>
        <v>0</v>
      </c>
      <c r="F215" s="1886"/>
      <c r="G215" s="1886"/>
      <c r="H215" s="1886"/>
      <c r="I215" s="1886">
        <f t="shared" si="161"/>
        <v>0</v>
      </c>
      <c r="J215" s="1886">
        <f t="shared" si="161"/>
        <v>0</v>
      </c>
      <c r="K215" s="1886">
        <f t="shared" si="161"/>
        <v>0</v>
      </c>
      <c r="L215" s="1886">
        <f t="shared" ca="1" si="161"/>
        <v>0</v>
      </c>
      <c r="M215" s="1886">
        <f t="shared" ca="1" si="161"/>
        <v>0</v>
      </c>
      <c r="N215" s="1886">
        <f t="shared" ca="1" si="161"/>
        <v>0</v>
      </c>
      <c r="O215" s="1887">
        <f t="shared" ca="1" si="159"/>
        <v>0</v>
      </c>
      <c r="P215" s="1887">
        <f t="shared" ca="1" si="159"/>
        <v>0</v>
      </c>
      <c r="Q215" s="1888">
        <f t="shared" ca="1" si="159"/>
        <v>0</v>
      </c>
      <c r="R215" s="1888"/>
      <c r="S215" s="1888"/>
      <c r="T215" s="1888"/>
      <c r="U215" s="1888"/>
      <c r="V215" s="1888">
        <f t="shared" ca="1" si="160"/>
        <v>0</v>
      </c>
      <c r="W215" s="1892"/>
      <c r="X215" s="1892"/>
      <c r="Y215" s="1892"/>
      <c r="Z215" s="1736"/>
      <c r="AA215" s="1736"/>
    </row>
    <row r="216" spans="1:27" s="250" customFormat="1" ht="27" customHeight="1" thickBot="1" x14ac:dyDescent="0.45">
      <c r="A216" s="5244"/>
      <c r="B216" s="3746"/>
      <c r="C216" s="5225" t="s">
        <v>169</v>
      </c>
      <c r="D216" s="5225"/>
      <c r="E216" s="1886">
        <f t="shared" si="161"/>
        <v>0</v>
      </c>
      <c r="F216" s="1886"/>
      <c r="G216" s="1886"/>
      <c r="H216" s="1886"/>
      <c r="I216" s="1886">
        <f t="shared" si="161"/>
        <v>0</v>
      </c>
      <c r="J216" s="1886">
        <f t="shared" si="161"/>
        <v>0</v>
      </c>
      <c r="K216" s="1886">
        <f t="shared" si="161"/>
        <v>0</v>
      </c>
      <c r="L216" s="1886">
        <f t="shared" ca="1" si="161"/>
        <v>0</v>
      </c>
      <c r="M216" s="1886">
        <f t="shared" ca="1" si="161"/>
        <v>0</v>
      </c>
      <c r="N216" s="1886">
        <f t="shared" ca="1" si="161"/>
        <v>0</v>
      </c>
      <c r="O216" s="1887">
        <f t="shared" ca="1" si="159"/>
        <v>0</v>
      </c>
      <c r="P216" s="1887">
        <f t="shared" ca="1" si="159"/>
        <v>0</v>
      </c>
      <c r="Q216" s="1888">
        <f t="shared" ca="1" si="159"/>
        <v>0</v>
      </c>
      <c r="R216" s="1888"/>
      <c r="S216" s="1888"/>
      <c r="T216" s="1888"/>
      <c r="U216" s="1888"/>
      <c r="V216" s="1888">
        <f t="shared" ca="1" si="160"/>
        <v>0</v>
      </c>
      <c r="W216" s="1892"/>
      <c r="X216" s="1892"/>
      <c r="Y216" s="1892"/>
      <c r="Z216" s="1736"/>
      <c r="AA216" s="1736"/>
    </row>
    <row r="217" spans="1:27" s="250" customFormat="1" ht="27" customHeight="1" thickBot="1" x14ac:dyDescent="0.45">
      <c r="A217" s="5244"/>
      <c r="B217" s="3752"/>
      <c r="C217" s="5225" t="s">
        <v>49</v>
      </c>
      <c r="D217" s="5225"/>
      <c r="E217" s="1886">
        <f t="shared" si="161"/>
        <v>0</v>
      </c>
      <c r="F217" s="1886"/>
      <c r="G217" s="1886"/>
      <c r="H217" s="1886"/>
      <c r="I217" s="1886">
        <f t="shared" si="161"/>
        <v>0</v>
      </c>
      <c r="J217" s="1886">
        <f t="shared" si="161"/>
        <v>0</v>
      </c>
      <c r="K217" s="1886">
        <f t="shared" si="161"/>
        <v>0</v>
      </c>
      <c r="L217" s="1886">
        <f t="shared" ca="1" si="161"/>
        <v>0</v>
      </c>
      <c r="M217" s="1886">
        <f t="shared" ca="1" si="161"/>
        <v>0</v>
      </c>
      <c r="N217" s="1886">
        <f t="shared" ca="1" si="161"/>
        <v>0</v>
      </c>
      <c r="O217" s="1887">
        <f t="shared" ca="1" si="159"/>
        <v>0</v>
      </c>
      <c r="P217" s="1887">
        <f t="shared" ca="1" si="159"/>
        <v>0</v>
      </c>
      <c r="Q217" s="1888">
        <f t="shared" ca="1" si="159"/>
        <v>0</v>
      </c>
      <c r="R217" s="1888"/>
      <c r="S217" s="1888"/>
      <c r="T217" s="1888"/>
      <c r="U217" s="1888"/>
      <c r="V217" s="1888">
        <f t="shared" ca="1" si="160"/>
        <v>0</v>
      </c>
      <c r="W217" s="1892"/>
      <c r="X217" s="1892"/>
      <c r="Y217" s="1892"/>
      <c r="Z217" s="1736"/>
      <c r="AA217" s="1736"/>
    </row>
    <row r="218" spans="1:27" s="250" customFormat="1" ht="27" customHeight="1" thickBot="1" x14ac:dyDescent="0.45">
      <c r="A218" s="5244"/>
      <c r="B218" s="1893" t="s">
        <v>50</v>
      </c>
      <c r="C218" s="5323" t="s">
        <v>51</v>
      </c>
      <c r="D218" s="5323"/>
      <c r="E218" s="1886" t="e">
        <f t="shared" si="161"/>
        <v>#REF!</v>
      </c>
      <c r="F218" s="1886"/>
      <c r="G218" s="1886"/>
      <c r="H218" s="1886"/>
      <c r="I218" s="1886" t="e">
        <f t="shared" si="161"/>
        <v>#REF!</v>
      </c>
      <c r="J218" s="1886" t="e">
        <f t="shared" si="161"/>
        <v>#REF!</v>
      </c>
      <c r="K218" s="1886" t="e">
        <f t="shared" si="161"/>
        <v>#REF!</v>
      </c>
      <c r="L218" s="1886" t="e">
        <f t="shared" si="161"/>
        <v>#REF!</v>
      </c>
      <c r="M218" s="1886" t="e">
        <f t="shared" si="161"/>
        <v>#REF!</v>
      </c>
      <c r="N218" s="1886" t="e">
        <f t="shared" si="161"/>
        <v>#REF!</v>
      </c>
      <c r="O218" s="1887" t="e">
        <f t="shared" si="159"/>
        <v>#REF!</v>
      </c>
      <c r="P218" s="1887" t="e">
        <f t="shared" si="159"/>
        <v>#REF!</v>
      </c>
      <c r="Q218" s="1888" t="e">
        <f t="shared" si="159"/>
        <v>#REF!</v>
      </c>
      <c r="R218" s="1888"/>
      <c r="S218" s="1888"/>
      <c r="T218" s="1888"/>
      <c r="U218" s="1888"/>
      <c r="V218" s="1888" t="e">
        <f t="shared" si="160"/>
        <v>#REF!</v>
      </c>
      <c r="W218" s="1892"/>
      <c r="X218" s="1892"/>
      <c r="Y218" s="1892"/>
      <c r="Z218" s="1736" t="s">
        <v>866</v>
      </c>
      <c r="AA218" s="1736"/>
    </row>
    <row r="219" spans="1:27" s="250" customFormat="1" ht="27" customHeight="1" thickBot="1" x14ac:dyDescent="0.45">
      <c r="A219" s="5231" t="s">
        <v>52</v>
      </c>
      <c r="B219" s="4597" t="s">
        <v>164</v>
      </c>
      <c r="C219" s="4597"/>
      <c r="D219" s="4597"/>
      <c r="E219" s="1886">
        <f t="shared" si="161"/>
        <v>0</v>
      </c>
      <c r="F219" s="1886"/>
      <c r="G219" s="1886"/>
      <c r="H219" s="1886"/>
      <c r="I219" s="1886">
        <f t="shared" si="161"/>
        <v>0</v>
      </c>
      <c r="J219" s="1886">
        <f t="shared" si="161"/>
        <v>0</v>
      </c>
      <c r="K219" s="1886">
        <f t="shared" si="161"/>
        <v>0</v>
      </c>
      <c r="L219" s="1886">
        <f t="shared" ca="1" si="161"/>
        <v>0</v>
      </c>
      <c r="M219" s="1886">
        <f t="shared" ca="1" si="161"/>
        <v>0</v>
      </c>
      <c r="N219" s="1886">
        <f t="shared" ca="1" si="161"/>
        <v>0</v>
      </c>
      <c r="O219" s="1887">
        <f t="shared" ca="1" si="159"/>
        <v>0</v>
      </c>
      <c r="P219" s="1887">
        <f t="shared" ca="1" si="159"/>
        <v>0</v>
      </c>
      <c r="Q219" s="1888">
        <f t="shared" ca="1" si="159"/>
        <v>0</v>
      </c>
      <c r="R219" s="1888"/>
      <c r="S219" s="1888"/>
      <c r="T219" s="1888"/>
      <c r="U219" s="1888"/>
      <c r="V219" s="1888">
        <f t="shared" ca="1" si="160"/>
        <v>0</v>
      </c>
      <c r="W219" s="1892"/>
      <c r="X219" s="1892"/>
      <c r="Y219" s="1892"/>
      <c r="Z219" s="1736"/>
      <c r="AA219" s="1736"/>
    </row>
    <row r="220" spans="1:27" s="250" customFormat="1" ht="27" customHeight="1" thickBot="1" x14ac:dyDescent="0.45">
      <c r="A220" s="5232"/>
      <c r="B220" s="3743" t="s">
        <v>179</v>
      </c>
      <c r="C220" s="3744"/>
      <c r="D220" s="5175"/>
      <c r="E220" s="1886">
        <f t="shared" si="161"/>
        <v>0</v>
      </c>
      <c r="F220" s="1886"/>
      <c r="G220" s="1886"/>
      <c r="H220" s="1886"/>
      <c r="I220" s="1886">
        <f t="shared" si="161"/>
        <v>0</v>
      </c>
      <c r="J220" s="1886">
        <f t="shared" si="161"/>
        <v>0</v>
      </c>
      <c r="K220" s="1886">
        <f t="shared" si="161"/>
        <v>0</v>
      </c>
      <c r="L220" s="1886">
        <f t="shared" ca="1" si="161"/>
        <v>0</v>
      </c>
      <c r="M220" s="1886">
        <f t="shared" ca="1" si="161"/>
        <v>0</v>
      </c>
      <c r="N220" s="1886">
        <f t="shared" ca="1" si="161"/>
        <v>0</v>
      </c>
      <c r="O220" s="1887">
        <f t="shared" ca="1" si="159"/>
        <v>0</v>
      </c>
      <c r="P220" s="1887">
        <f t="shared" ca="1" si="159"/>
        <v>0</v>
      </c>
      <c r="Q220" s="1888">
        <f t="shared" ca="1" si="159"/>
        <v>0</v>
      </c>
      <c r="R220" s="1888"/>
      <c r="S220" s="1888"/>
      <c r="T220" s="1888"/>
      <c r="U220" s="1888"/>
      <c r="V220" s="1888">
        <f t="shared" ca="1" si="160"/>
        <v>0</v>
      </c>
      <c r="W220" s="1892"/>
      <c r="X220" s="1892"/>
      <c r="Y220" s="1892"/>
      <c r="Z220" s="1736"/>
      <c r="AA220" s="1736"/>
    </row>
    <row r="221" spans="1:27" s="250" customFormat="1" ht="27" customHeight="1" thickBot="1" x14ac:dyDescent="0.45">
      <c r="A221" s="5232"/>
      <c r="B221" s="4314" t="s">
        <v>195</v>
      </c>
      <c r="C221" s="4616"/>
      <c r="D221" s="5176"/>
      <c r="E221" s="1886">
        <f t="shared" ref="E221:N229" si="162">+INT(E359)</f>
        <v>0</v>
      </c>
      <c r="F221" s="1886"/>
      <c r="G221" s="1886"/>
      <c r="H221" s="1886"/>
      <c r="I221" s="1886">
        <f t="shared" si="162"/>
        <v>0</v>
      </c>
      <c r="J221" s="1886">
        <f t="shared" si="162"/>
        <v>0</v>
      </c>
      <c r="K221" s="1886">
        <f t="shared" si="162"/>
        <v>0</v>
      </c>
      <c r="L221" s="1886">
        <f t="shared" ca="1" si="162"/>
        <v>0</v>
      </c>
      <c r="M221" s="1886">
        <f t="shared" ca="1" si="162"/>
        <v>0</v>
      </c>
      <c r="N221" s="1886">
        <f t="shared" ca="1" si="162"/>
        <v>0</v>
      </c>
      <c r="O221" s="1887">
        <f t="shared" ca="1" si="159"/>
        <v>0</v>
      </c>
      <c r="P221" s="1887">
        <f t="shared" ca="1" si="159"/>
        <v>0</v>
      </c>
      <c r="Q221" s="1888">
        <f t="shared" ca="1" si="159"/>
        <v>0</v>
      </c>
      <c r="R221" s="1888"/>
      <c r="S221" s="1888"/>
      <c r="T221" s="1888"/>
      <c r="U221" s="1888"/>
      <c r="V221" s="1888">
        <f t="shared" ca="1" si="160"/>
        <v>0</v>
      </c>
      <c r="W221" s="1892"/>
      <c r="X221" s="1892"/>
      <c r="Y221" s="1892"/>
      <c r="Z221" s="1736"/>
      <c r="AA221" s="1736"/>
    </row>
    <row r="222" spans="1:27" s="250" customFormat="1" ht="27" customHeight="1" thickBot="1" x14ac:dyDescent="0.45">
      <c r="A222" s="5232"/>
      <c r="B222" s="5234" t="s">
        <v>927</v>
      </c>
      <c r="C222" s="5234"/>
      <c r="D222" s="5234"/>
      <c r="E222" s="1886">
        <f t="shared" si="162"/>
        <v>0</v>
      </c>
      <c r="F222" s="1886"/>
      <c r="G222" s="1886"/>
      <c r="H222" s="1886"/>
      <c r="I222" s="1886">
        <f t="shared" si="162"/>
        <v>0</v>
      </c>
      <c r="J222" s="1886">
        <f t="shared" si="162"/>
        <v>0</v>
      </c>
      <c r="K222" s="1886">
        <f t="shared" si="162"/>
        <v>0</v>
      </c>
      <c r="L222" s="1886">
        <f t="shared" ca="1" si="162"/>
        <v>0</v>
      </c>
      <c r="M222" s="1886">
        <f t="shared" ca="1" si="162"/>
        <v>0</v>
      </c>
      <c r="N222" s="1886">
        <f t="shared" ca="1" si="162"/>
        <v>0</v>
      </c>
      <c r="O222" s="1887">
        <f t="shared" ca="1" si="159"/>
        <v>0</v>
      </c>
      <c r="P222" s="1887">
        <f t="shared" ca="1" si="159"/>
        <v>0</v>
      </c>
      <c r="Q222" s="1888">
        <f t="shared" ca="1" si="159"/>
        <v>0</v>
      </c>
      <c r="R222" s="1888"/>
      <c r="S222" s="1888"/>
      <c r="T222" s="1888"/>
      <c r="U222" s="1888"/>
      <c r="V222" s="1888">
        <f t="shared" ca="1" si="160"/>
        <v>0</v>
      </c>
      <c r="W222" s="1892"/>
      <c r="X222" s="1892"/>
      <c r="Y222" s="1892"/>
      <c r="Z222" s="1736"/>
      <c r="AA222" s="1736"/>
    </row>
    <row r="223" spans="1:27" s="250" customFormat="1" ht="27" customHeight="1" thickBot="1" x14ac:dyDescent="0.45">
      <c r="A223" s="5232"/>
      <c r="B223" s="3751" t="s">
        <v>167</v>
      </c>
      <c r="C223" s="5224" t="s">
        <v>53</v>
      </c>
      <c r="D223" s="5224"/>
      <c r="E223" s="1886">
        <f t="shared" si="162"/>
        <v>0</v>
      </c>
      <c r="F223" s="1886"/>
      <c r="G223" s="1886"/>
      <c r="H223" s="1886"/>
      <c r="I223" s="1886">
        <f t="shared" si="162"/>
        <v>0</v>
      </c>
      <c r="J223" s="1886">
        <f t="shared" si="162"/>
        <v>0</v>
      </c>
      <c r="K223" s="1886">
        <f t="shared" si="162"/>
        <v>0</v>
      </c>
      <c r="L223" s="1886">
        <f t="shared" ca="1" si="162"/>
        <v>0</v>
      </c>
      <c r="M223" s="1886">
        <f t="shared" ca="1" si="162"/>
        <v>0</v>
      </c>
      <c r="N223" s="1886">
        <f t="shared" ca="1" si="162"/>
        <v>0</v>
      </c>
      <c r="O223" s="1887">
        <f t="shared" ca="1" si="159"/>
        <v>0</v>
      </c>
      <c r="P223" s="1887">
        <f t="shared" ca="1" si="159"/>
        <v>0</v>
      </c>
      <c r="Q223" s="1888">
        <f t="shared" ca="1" si="159"/>
        <v>0</v>
      </c>
      <c r="R223" s="1888"/>
      <c r="S223" s="1888"/>
      <c r="T223" s="1888"/>
      <c r="U223" s="1888"/>
      <c r="V223" s="1888">
        <f t="shared" ca="1" si="160"/>
        <v>0</v>
      </c>
      <c r="W223" s="1892"/>
      <c r="X223" s="1892"/>
      <c r="Y223" s="1892"/>
      <c r="Z223" s="1736"/>
      <c r="AA223" s="1736"/>
    </row>
    <row r="224" spans="1:27" s="250" customFormat="1" ht="27" customHeight="1" thickBot="1" x14ac:dyDescent="0.45">
      <c r="A224" s="5232"/>
      <c r="B224" s="3746"/>
      <c r="C224" s="5224" t="s">
        <v>54</v>
      </c>
      <c r="D224" s="5224"/>
      <c r="E224" s="1886">
        <f t="shared" si="162"/>
        <v>0</v>
      </c>
      <c r="F224" s="1886"/>
      <c r="G224" s="1886"/>
      <c r="H224" s="1886"/>
      <c r="I224" s="1886">
        <f t="shared" si="162"/>
        <v>0</v>
      </c>
      <c r="J224" s="1886">
        <f t="shared" si="162"/>
        <v>0</v>
      </c>
      <c r="K224" s="1886">
        <f t="shared" si="162"/>
        <v>0</v>
      </c>
      <c r="L224" s="1886">
        <f t="shared" ca="1" si="162"/>
        <v>0</v>
      </c>
      <c r="M224" s="1886">
        <f t="shared" ca="1" si="162"/>
        <v>0</v>
      </c>
      <c r="N224" s="1886">
        <f t="shared" ca="1" si="162"/>
        <v>0</v>
      </c>
      <c r="O224" s="1887">
        <f t="shared" ca="1" si="159"/>
        <v>0</v>
      </c>
      <c r="P224" s="1887">
        <f t="shared" ca="1" si="159"/>
        <v>0</v>
      </c>
      <c r="Q224" s="1888">
        <f t="shared" ca="1" si="159"/>
        <v>0</v>
      </c>
      <c r="R224" s="1888"/>
      <c r="S224" s="1888"/>
      <c r="T224" s="1888"/>
      <c r="U224" s="1888"/>
      <c r="V224" s="1888">
        <f t="shared" ca="1" si="160"/>
        <v>0</v>
      </c>
      <c r="W224" s="1892"/>
      <c r="X224" s="1892"/>
      <c r="Y224" s="1892"/>
      <c r="Z224" s="1736"/>
      <c r="AA224" s="1736"/>
    </row>
    <row r="225" spans="1:27" s="250" customFormat="1" ht="27" customHeight="1" thickBot="1" x14ac:dyDescent="0.45">
      <c r="A225" s="5232"/>
      <c r="B225" s="3746"/>
      <c r="C225" s="5225" t="s">
        <v>55</v>
      </c>
      <c r="D225" s="5225"/>
      <c r="E225" s="1886">
        <f t="shared" si="162"/>
        <v>0</v>
      </c>
      <c r="F225" s="1886"/>
      <c r="G225" s="1886"/>
      <c r="H225" s="1886"/>
      <c r="I225" s="1886">
        <f t="shared" si="162"/>
        <v>0</v>
      </c>
      <c r="J225" s="1886">
        <f t="shared" si="162"/>
        <v>0</v>
      </c>
      <c r="K225" s="1886">
        <f t="shared" si="162"/>
        <v>0</v>
      </c>
      <c r="L225" s="1886">
        <f t="shared" ca="1" si="162"/>
        <v>0</v>
      </c>
      <c r="M225" s="1886">
        <f t="shared" ca="1" si="162"/>
        <v>0</v>
      </c>
      <c r="N225" s="1886">
        <f t="shared" ca="1" si="162"/>
        <v>0</v>
      </c>
      <c r="O225" s="1887">
        <f t="shared" ca="1" si="159"/>
        <v>0</v>
      </c>
      <c r="P225" s="1887">
        <f t="shared" ca="1" si="159"/>
        <v>0</v>
      </c>
      <c r="Q225" s="1888">
        <f t="shared" ca="1" si="159"/>
        <v>0</v>
      </c>
      <c r="R225" s="1888"/>
      <c r="S225" s="1888"/>
      <c r="T225" s="1888"/>
      <c r="U225" s="1888"/>
      <c r="V225" s="1888">
        <f t="shared" ca="1" si="160"/>
        <v>0</v>
      </c>
      <c r="W225" s="1892"/>
      <c r="X225" s="1892"/>
      <c r="Y225" s="1892"/>
      <c r="Z225" s="1736" t="s">
        <v>866</v>
      </c>
      <c r="AA225" s="1736"/>
    </row>
    <row r="226" spans="1:27" s="250" customFormat="1" ht="27" customHeight="1" thickBot="1" x14ac:dyDescent="0.45">
      <c r="A226" s="5232"/>
      <c r="B226" s="3752"/>
      <c r="C226" s="5225" t="s">
        <v>56</v>
      </c>
      <c r="D226" s="5225"/>
      <c r="E226" s="1886">
        <f t="shared" si="162"/>
        <v>0</v>
      </c>
      <c r="F226" s="1886"/>
      <c r="G226" s="1886"/>
      <c r="H226" s="1886"/>
      <c r="I226" s="1886">
        <f t="shared" si="162"/>
        <v>0</v>
      </c>
      <c r="J226" s="1886">
        <f t="shared" si="162"/>
        <v>0</v>
      </c>
      <c r="K226" s="1886">
        <f t="shared" si="162"/>
        <v>0</v>
      </c>
      <c r="L226" s="1886">
        <f t="shared" ca="1" si="162"/>
        <v>0</v>
      </c>
      <c r="M226" s="1886">
        <f t="shared" ca="1" si="162"/>
        <v>0</v>
      </c>
      <c r="N226" s="1886">
        <f t="shared" ca="1" si="162"/>
        <v>0</v>
      </c>
      <c r="O226" s="1887">
        <f t="shared" ca="1" si="159"/>
        <v>0</v>
      </c>
      <c r="P226" s="1887">
        <f t="shared" ca="1" si="159"/>
        <v>0</v>
      </c>
      <c r="Q226" s="1888">
        <f t="shared" ca="1" si="159"/>
        <v>0</v>
      </c>
      <c r="R226" s="1888"/>
      <c r="S226" s="1888"/>
      <c r="T226" s="1888"/>
      <c r="U226" s="1888"/>
      <c r="V226" s="1888">
        <f t="shared" ca="1" si="160"/>
        <v>0</v>
      </c>
      <c r="W226" s="1898"/>
      <c r="X226" s="1898"/>
      <c r="Y226" s="1898"/>
      <c r="Z226" s="1899" t="e">
        <f ca="1">+W226-V39</f>
        <v>#REF!</v>
      </c>
      <c r="AA226" s="1736"/>
    </row>
    <row r="227" spans="1:27" s="250" customFormat="1" ht="27" customHeight="1" thickBot="1" x14ac:dyDescent="0.45">
      <c r="A227" s="5233"/>
      <c r="B227" s="1893" t="s">
        <v>50</v>
      </c>
      <c r="C227" s="5226" t="s">
        <v>51</v>
      </c>
      <c r="D227" s="5226"/>
      <c r="E227" s="1886" t="e">
        <f t="shared" si="162"/>
        <v>#REF!</v>
      </c>
      <c r="F227" s="1886"/>
      <c r="G227" s="1886"/>
      <c r="H227" s="1886"/>
      <c r="I227" s="1886" t="e">
        <f t="shared" si="162"/>
        <v>#REF!</v>
      </c>
      <c r="J227" s="1886" t="e">
        <f t="shared" si="162"/>
        <v>#REF!</v>
      </c>
      <c r="K227" s="1886" t="e">
        <f t="shared" si="162"/>
        <v>#REF!</v>
      </c>
      <c r="L227" s="1886" t="e">
        <f t="shared" si="162"/>
        <v>#REF!</v>
      </c>
      <c r="M227" s="1886" t="e">
        <f t="shared" si="162"/>
        <v>#REF!</v>
      </c>
      <c r="N227" s="1886" t="e">
        <f t="shared" si="162"/>
        <v>#REF!</v>
      </c>
      <c r="O227" s="1887" t="e">
        <f t="shared" si="159"/>
        <v>#REF!</v>
      </c>
      <c r="P227" s="1887" t="e">
        <f t="shared" si="159"/>
        <v>#REF!</v>
      </c>
      <c r="Q227" s="1888" t="e">
        <f t="shared" si="159"/>
        <v>#REF!</v>
      </c>
      <c r="R227" s="1888"/>
      <c r="S227" s="1888"/>
      <c r="T227" s="1888"/>
      <c r="U227" s="1888"/>
      <c r="V227" s="1888" t="e">
        <f t="shared" si="160"/>
        <v>#REF!</v>
      </c>
      <c r="W227" s="1892"/>
      <c r="X227" s="1892"/>
      <c r="Y227" s="1892"/>
      <c r="Z227" s="1736"/>
      <c r="AA227" s="1736"/>
    </row>
    <row r="228" spans="1:27" s="250" customFormat="1" ht="27" customHeight="1" thickBot="1" x14ac:dyDescent="0.45">
      <c r="A228" s="5222" t="s">
        <v>57</v>
      </c>
      <c r="B228" s="4597" t="s">
        <v>164</v>
      </c>
      <c r="C228" s="4597"/>
      <c r="D228" s="4597"/>
      <c r="E228" s="1886">
        <f t="shared" si="162"/>
        <v>0</v>
      </c>
      <c r="F228" s="1886"/>
      <c r="G228" s="1886"/>
      <c r="H228" s="1886"/>
      <c r="I228" s="1886">
        <f t="shared" si="162"/>
        <v>0</v>
      </c>
      <c r="J228" s="1886">
        <f t="shared" si="162"/>
        <v>0</v>
      </c>
      <c r="K228" s="1886">
        <f t="shared" si="162"/>
        <v>0</v>
      </c>
      <c r="L228" s="1886">
        <f t="shared" ca="1" si="162"/>
        <v>0</v>
      </c>
      <c r="M228" s="1886">
        <f t="shared" ca="1" si="162"/>
        <v>0</v>
      </c>
      <c r="N228" s="1886">
        <f t="shared" ca="1" si="162"/>
        <v>0</v>
      </c>
      <c r="O228" s="1887">
        <f t="shared" ca="1" si="159"/>
        <v>0</v>
      </c>
      <c r="P228" s="1887">
        <f t="shared" ca="1" si="159"/>
        <v>0</v>
      </c>
      <c r="Q228" s="1888">
        <f t="shared" ca="1" si="159"/>
        <v>0</v>
      </c>
      <c r="R228" s="1888"/>
      <c r="S228" s="1888"/>
      <c r="T228" s="1888"/>
      <c r="U228" s="1888"/>
      <c r="V228" s="1888">
        <f t="shared" ca="1" si="160"/>
        <v>0</v>
      </c>
      <c r="W228" s="1892"/>
      <c r="X228" s="1892"/>
      <c r="Y228" s="1892"/>
      <c r="Z228" s="1736"/>
      <c r="AA228" s="1736"/>
    </row>
    <row r="229" spans="1:27" s="250" customFormat="1" ht="27" customHeight="1" thickBot="1" x14ac:dyDescent="0.45">
      <c r="A229" s="5223"/>
      <c r="B229" s="3743" t="s">
        <v>179</v>
      </c>
      <c r="C229" s="3744"/>
      <c r="D229" s="5175"/>
      <c r="E229" s="1886">
        <f t="shared" si="162"/>
        <v>0</v>
      </c>
      <c r="F229" s="1886"/>
      <c r="G229" s="1886"/>
      <c r="H229" s="1886"/>
      <c r="I229" s="1886">
        <f t="shared" si="162"/>
        <v>0</v>
      </c>
      <c r="J229" s="1886">
        <f t="shared" si="162"/>
        <v>0</v>
      </c>
      <c r="K229" s="1886">
        <f t="shared" si="162"/>
        <v>0</v>
      </c>
      <c r="L229" s="1886">
        <f t="shared" ca="1" si="162"/>
        <v>0</v>
      </c>
      <c r="M229" s="1886">
        <f t="shared" ca="1" si="162"/>
        <v>0</v>
      </c>
      <c r="N229" s="1886">
        <f t="shared" ca="1" si="162"/>
        <v>0</v>
      </c>
      <c r="O229" s="1887">
        <f t="shared" ca="1" si="159"/>
        <v>0</v>
      </c>
      <c r="P229" s="1887">
        <f t="shared" ca="1" si="159"/>
        <v>0</v>
      </c>
      <c r="Q229" s="1888">
        <f t="shared" ca="1" si="159"/>
        <v>0</v>
      </c>
      <c r="R229" s="1888"/>
      <c r="S229" s="1888"/>
      <c r="T229" s="1888"/>
      <c r="U229" s="1888"/>
      <c r="V229" s="1888">
        <f t="shared" ca="1" si="160"/>
        <v>0</v>
      </c>
      <c r="W229" s="1892"/>
      <c r="X229" s="1892"/>
      <c r="Y229" s="1892"/>
      <c r="Z229" s="1736"/>
      <c r="AA229" s="1736"/>
    </row>
    <row r="230" spans="1:27" s="250" customFormat="1" ht="27" customHeight="1" thickBot="1" x14ac:dyDescent="0.45">
      <c r="A230" s="5223"/>
      <c r="B230" s="4314" t="s">
        <v>195</v>
      </c>
      <c r="C230" s="4616"/>
      <c r="D230" s="5176"/>
      <c r="E230" s="1886">
        <f t="shared" ref="E230:N236" si="163">+INT(E369)</f>
        <v>0</v>
      </c>
      <c r="F230" s="1886"/>
      <c r="G230" s="1886"/>
      <c r="H230" s="1886"/>
      <c r="I230" s="1886">
        <f t="shared" si="163"/>
        <v>0</v>
      </c>
      <c r="J230" s="1886">
        <f t="shared" si="163"/>
        <v>0</v>
      </c>
      <c r="K230" s="1886">
        <f t="shared" si="163"/>
        <v>0</v>
      </c>
      <c r="L230" s="1886">
        <f t="shared" ca="1" si="163"/>
        <v>0</v>
      </c>
      <c r="M230" s="1886">
        <f t="shared" ca="1" si="163"/>
        <v>0</v>
      </c>
      <c r="N230" s="1886">
        <f t="shared" ca="1" si="163"/>
        <v>0</v>
      </c>
      <c r="O230" s="1887">
        <f t="shared" ca="1" si="159"/>
        <v>0</v>
      </c>
      <c r="P230" s="1887">
        <f t="shared" ca="1" si="159"/>
        <v>0</v>
      </c>
      <c r="Q230" s="1888">
        <f t="shared" ca="1" si="159"/>
        <v>0</v>
      </c>
      <c r="R230" s="1888"/>
      <c r="S230" s="1888"/>
      <c r="T230" s="1888"/>
      <c r="U230" s="1888"/>
      <c r="V230" s="1888"/>
      <c r="W230" s="1892"/>
      <c r="X230" s="1892"/>
      <c r="Y230" s="1892"/>
      <c r="Z230" s="1736"/>
      <c r="AA230" s="1736"/>
    </row>
    <row r="231" spans="1:27" s="250" customFormat="1" ht="27" customHeight="1" thickBot="1" x14ac:dyDescent="0.45">
      <c r="A231" s="5223"/>
      <c r="B231" s="5234" t="s">
        <v>927</v>
      </c>
      <c r="C231" s="5234"/>
      <c r="D231" s="5234"/>
      <c r="E231" s="1886">
        <f t="shared" si="163"/>
        <v>0</v>
      </c>
      <c r="F231" s="1886"/>
      <c r="G231" s="1886"/>
      <c r="H231" s="1886"/>
      <c r="I231" s="1886">
        <f t="shared" si="163"/>
        <v>0</v>
      </c>
      <c r="J231" s="1886">
        <f t="shared" si="163"/>
        <v>0</v>
      </c>
      <c r="K231" s="1886">
        <f t="shared" si="163"/>
        <v>0</v>
      </c>
      <c r="L231" s="1886">
        <f t="shared" ca="1" si="163"/>
        <v>0</v>
      </c>
      <c r="M231" s="1886">
        <f t="shared" ca="1" si="163"/>
        <v>0</v>
      </c>
      <c r="N231" s="1886">
        <f t="shared" ca="1" si="163"/>
        <v>0</v>
      </c>
      <c r="O231" s="1887">
        <f t="shared" ca="1" si="159"/>
        <v>0</v>
      </c>
      <c r="P231" s="1887">
        <f t="shared" ca="1" si="159"/>
        <v>0</v>
      </c>
      <c r="Q231" s="1888">
        <f t="shared" ca="1" si="159"/>
        <v>0</v>
      </c>
      <c r="R231" s="1888"/>
      <c r="S231" s="1888"/>
      <c r="T231" s="1888"/>
      <c r="U231" s="1888"/>
      <c r="V231" s="1888">
        <f t="shared" ca="1" si="160"/>
        <v>0</v>
      </c>
      <c r="W231" s="1892"/>
      <c r="X231" s="1892"/>
      <c r="Y231" s="1892"/>
      <c r="Z231" s="1736"/>
      <c r="AA231" s="1736"/>
    </row>
    <row r="232" spans="1:27" s="250" customFormat="1" ht="27" customHeight="1" thickBot="1" x14ac:dyDescent="0.45">
      <c r="A232" s="5223"/>
      <c r="B232" s="3751" t="s">
        <v>58</v>
      </c>
      <c r="C232" s="5224" t="s">
        <v>59</v>
      </c>
      <c r="D232" s="5224"/>
      <c r="E232" s="1886">
        <f t="shared" si="163"/>
        <v>0</v>
      </c>
      <c r="F232" s="1886"/>
      <c r="G232" s="1886"/>
      <c r="H232" s="1886"/>
      <c r="I232" s="1886">
        <f t="shared" si="163"/>
        <v>0</v>
      </c>
      <c r="J232" s="1886">
        <f t="shared" si="163"/>
        <v>0</v>
      </c>
      <c r="K232" s="1886">
        <f t="shared" si="163"/>
        <v>0</v>
      </c>
      <c r="L232" s="1886">
        <f t="shared" ca="1" si="163"/>
        <v>0</v>
      </c>
      <c r="M232" s="1886">
        <f t="shared" ca="1" si="163"/>
        <v>0</v>
      </c>
      <c r="N232" s="1886">
        <f t="shared" ca="1" si="163"/>
        <v>0</v>
      </c>
      <c r="O232" s="1887">
        <f t="shared" ca="1" si="159"/>
        <v>0</v>
      </c>
      <c r="P232" s="1887">
        <f t="shared" ca="1" si="159"/>
        <v>0</v>
      </c>
      <c r="Q232" s="1888">
        <f t="shared" ca="1" si="159"/>
        <v>0</v>
      </c>
      <c r="R232" s="1888"/>
      <c r="S232" s="1888"/>
      <c r="T232" s="1888"/>
      <c r="U232" s="1888"/>
      <c r="V232" s="1888">
        <f t="shared" ca="1" si="160"/>
        <v>0</v>
      </c>
      <c r="W232" s="1892"/>
      <c r="X232" s="1892"/>
      <c r="Y232" s="1892"/>
      <c r="Z232" s="1736"/>
      <c r="AA232" s="1736"/>
    </row>
    <row r="233" spans="1:27" s="250" customFormat="1" ht="27" customHeight="1" thickBot="1" x14ac:dyDescent="0.4">
      <c r="A233" s="5223"/>
      <c r="B233" s="3752"/>
      <c r="C233" s="5225" t="s">
        <v>60</v>
      </c>
      <c r="D233" s="5225"/>
      <c r="E233" s="1886">
        <f>+INT(E372)</f>
        <v>0</v>
      </c>
      <c r="F233" s="1886"/>
      <c r="G233" s="1886"/>
      <c r="H233" s="1886"/>
      <c r="I233" s="1886">
        <f t="shared" si="163"/>
        <v>0</v>
      </c>
      <c r="J233" s="1886">
        <f t="shared" si="163"/>
        <v>0</v>
      </c>
      <c r="K233" s="1886">
        <f t="shared" si="163"/>
        <v>0</v>
      </c>
      <c r="L233" s="1886">
        <f t="shared" ca="1" si="163"/>
        <v>0</v>
      </c>
      <c r="M233" s="1886">
        <f t="shared" ca="1" si="163"/>
        <v>0</v>
      </c>
      <c r="N233" s="1886">
        <f t="shared" ca="1" si="163"/>
        <v>0</v>
      </c>
      <c r="O233" s="1887">
        <f t="shared" ca="1" si="159"/>
        <v>0</v>
      </c>
      <c r="P233" s="1887">
        <f t="shared" ca="1" si="159"/>
        <v>0</v>
      </c>
      <c r="Q233" s="1888">
        <f t="shared" ca="1" si="159"/>
        <v>0</v>
      </c>
      <c r="R233" s="1888"/>
      <c r="S233" s="1888"/>
      <c r="T233" s="1888"/>
      <c r="U233" s="1888"/>
      <c r="V233" s="1888">
        <f t="shared" ca="1" si="160"/>
        <v>0</v>
      </c>
      <c r="W233" s="1900"/>
      <c r="X233" s="1900"/>
      <c r="Y233" s="1900"/>
      <c r="Z233" s="1736"/>
      <c r="AA233" s="1736"/>
    </row>
    <row r="234" spans="1:27" s="250" customFormat="1" ht="27" customHeight="1" thickBot="1" x14ac:dyDescent="0.4">
      <c r="A234" s="5223"/>
      <c r="B234" s="1901" t="s">
        <v>61</v>
      </c>
      <c r="C234" s="5226" t="s">
        <v>51</v>
      </c>
      <c r="D234" s="5226"/>
      <c r="E234" s="1886" t="e">
        <f>+INT(E373)</f>
        <v>#REF!</v>
      </c>
      <c r="F234" s="1886"/>
      <c r="G234" s="1886"/>
      <c r="H234" s="1886"/>
      <c r="I234" s="1886" t="e">
        <f t="shared" si="163"/>
        <v>#REF!</v>
      </c>
      <c r="J234" s="1886" t="e">
        <f t="shared" si="163"/>
        <v>#REF!</v>
      </c>
      <c r="K234" s="1886" t="e">
        <f t="shared" si="163"/>
        <v>#REF!</v>
      </c>
      <c r="L234" s="1886" t="e">
        <f t="shared" si="163"/>
        <v>#REF!</v>
      </c>
      <c r="M234" s="1886" t="e">
        <f t="shared" si="163"/>
        <v>#REF!</v>
      </c>
      <c r="N234" s="1886" t="e">
        <f t="shared" si="163"/>
        <v>#REF!</v>
      </c>
      <c r="O234" s="1887" t="e">
        <f t="shared" si="159"/>
        <v>#REF!</v>
      </c>
      <c r="P234" s="1887" t="e">
        <f t="shared" si="159"/>
        <v>#REF!</v>
      </c>
      <c r="Q234" s="1888" t="e">
        <f t="shared" si="159"/>
        <v>#REF!</v>
      </c>
      <c r="R234" s="1888"/>
      <c r="S234" s="1888"/>
      <c r="T234" s="1888"/>
      <c r="U234" s="1888"/>
      <c r="V234" s="1888" t="e">
        <f t="shared" si="160"/>
        <v>#REF!</v>
      </c>
      <c r="W234" s="1900"/>
      <c r="X234" s="1900"/>
      <c r="Y234" s="1900"/>
      <c r="Z234" s="1736"/>
      <c r="AA234" s="1736"/>
    </row>
    <row r="235" spans="1:27" s="250" customFormat="1" ht="27" customHeight="1" thickBot="1" x14ac:dyDescent="0.4">
      <c r="A235" s="5227" t="s">
        <v>62</v>
      </c>
      <c r="B235" s="4597" t="s">
        <v>164</v>
      </c>
      <c r="C235" s="4597"/>
      <c r="D235" s="4597"/>
      <c r="E235" s="1886">
        <f>+INT(E374)</f>
        <v>0</v>
      </c>
      <c r="F235" s="1886"/>
      <c r="G235" s="1886"/>
      <c r="H235" s="1886"/>
      <c r="I235" s="1886">
        <f t="shared" si="163"/>
        <v>0</v>
      </c>
      <c r="J235" s="1886">
        <f t="shared" si="163"/>
        <v>0</v>
      </c>
      <c r="K235" s="1886">
        <f t="shared" si="163"/>
        <v>0</v>
      </c>
      <c r="L235" s="1886">
        <f t="shared" ca="1" si="163"/>
        <v>0</v>
      </c>
      <c r="M235" s="1886">
        <f t="shared" ca="1" si="163"/>
        <v>0</v>
      </c>
      <c r="N235" s="1886">
        <f t="shared" ca="1" si="163"/>
        <v>0</v>
      </c>
      <c r="O235" s="1887">
        <f t="shared" ca="1" si="159"/>
        <v>0</v>
      </c>
      <c r="P235" s="1887">
        <f t="shared" ca="1" si="159"/>
        <v>0</v>
      </c>
      <c r="Q235" s="1888">
        <f t="shared" ca="1" si="159"/>
        <v>0</v>
      </c>
      <c r="R235" s="1888"/>
      <c r="S235" s="1888"/>
      <c r="T235" s="1888"/>
      <c r="U235" s="1888"/>
      <c r="V235" s="1888">
        <f t="shared" ca="1" si="160"/>
        <v>0</v>
      </c>
      <c r="W235" s="1902"/>
      <c r="X235" s="1902"/>
      <c r="Y235" s="1902"/>
    </row>
    <row r="236" spans="1:27" s="250" customFormat="1" ht="27" customHeight="1" thickBot="1" x14ac:dyDescent="0.4">
      <c r="A236" s="5228"/>
      <c r="B236" s="3743" t="s">
        <v>179</v>
      </c>
      <c r="C236" s="3744"/>
      <c r="D236" s="5175"/>
      <c r="E236" s="1886">
        <f>+INT(E375)</f>
        <v>0</v>
      </c>
      <c r="F236" s="1886"/>
      <c r="G236" s="1886"/>
      <c r="H236" s="1886"/>
      <c r="I236" s="1886">
        <f t="shared" si="163"/>
        <v>0</v>
      </c>
      <c r="J236" s="1886">
        <f t="shared" si="163"/>
        <v>0</v>
      </c>
      <c r="K236" s="1886">
        <f t="shared" si="163"/>
        <v>0</v>
      </c>
      <c r="L236" s="1886">
        <f t="shared" ca="1" si="163"/>
        <v>0</v>
      </c>
      <c r="M236" s="1886">
        <f t="shared" ca="1" si="163"/>
        <v>0</v>
      </c>
      <c r="N236" s="1886">
        <f t="shared" ca="1" si="163"/>
        <v>0</v>
      </c>
      <c r="O236" s="1887">
        <f t="shared" ca="1" si="159"/>
        <v>0</v>
      </c>
      <c r="P236" s="1887">
        <f t="shared" ca="1" si="159"/>
        <v>0</v>
      </c>
      <c r="Q236" s="1888">
        <f t="shared" ca="1" si="159"/>
        <v>0</v>
      </c>
      <c r="R236" s="1888"/>
      <c r="S236" s="1888"/>
      <c r="T236" s="1888"/>
      <c r="U236" s="1888"/>
      <c r="V236" s="1888">
        <f t="shared" ca="1" si="160"/>
        <v>0</v>
      </c>
      <c r="W236" s="1900"/>
      <c r="X236" s="1900"/>
      <c r="Y236" s="1900"/>
    </row>
    <row r="237" spans="1:27" s="250" customFormat="1" ht="27" customHeight="1" thickBot="1" x14ac:dyDescent="0.4">
      <c r="A237" s="5228"/>
      <c r="B237" s="4314" t="s">
        <v>195</v>
      </c>
      <c r="C237" s="4616"/>
      <c r="D237" s="5176"/>
      <c r="E237" s="1886">
        <f t="shared" ref="E237:N243" si="164">+INT(E377)</f>
        <v>0</v>
      </c>
      <c r="F237" s="1886"/>
      <c r="G237" s="1886"/>
      <c r="H237" s="1886"/>
      <c r="I237" s="1886">
        <f t="shared" si="164"/>
        <v>0</v>
      </c>
      <c r="J237" s="1886">
        <f t="shared" si="164"/>
        <v>0</v>
      </c>
      <c r="K237" s="1886">
        <f t="shared" si="164"/>
        <v>0</v>
      </c>
      <c r="L237" s="1886">
        <f t="shared" ca="1" si="164"/>
        <v>0</v>
      </c>
      <c r="M237" s="1886">
        <f t="shared" ca="1" si="164"/>
        <v>0</v>
      </c>
      <c r="N237" s="1886">
        <f t="shared" ca="1" si="164"/>
        <v>0</v>
      </c>
      <c r="O237" s="1887">
        <f t="shared" ca="1" si="159"/>
        <v>0</v>
      </c>
      <c r="P237" s="1887">
        <f t="shared" ca="1" si="159"/>
        <v>0</v>
      </c>
      <c r="Q237" s="1888">
        <f t="shared" ca="1" si="159"/>
        <v>0</v>
      </c>
      <c r="R237" s="1888"/>
      <c r="S237" s="1888"/>
      <c r="T237" s="1888"/>
      <c r="U237" s="1888"/>
      <c r="V237" s="1888"/>
      <c r="W237" s="1900"/>
      <c r="X237" s="1900"/>
      <c r="Y237" s="1900"/>
    </row>
    <row r="238" spans="1:27" s="250" customFormat="1" ht="27" customHeight="1" thickBot="1" x14ac:dyDescent="0.4">
      <c r="A238" s="5228"/>
      <c r="B238" s="5234" t="s">
        <v>927</v>
      </c>
      <c r="C238" s="5234"/>
      <c r="D238" s="5234"/>
      <c r="E238" s="1886" t="e">
        <f t="shared" si="164"/>
        <v>#REF!</v>
      </c>
      <c r="F238" s="1886"/>
      <c r="G238" s="1886"/>
      <c r="H238" s="1886"/>
      <c r="I238" s="1886" t="e">
        <f t="shared" si="164"/>
        <v>#REF!</v>
      </c>
      <c r="J238" s="1886" t="e">
        <f t="shared" si="164"/>
        <v>#REF!</v>
      </c>
      <c r="K238" s="1886" t="e">
        <f t="shared" si="164"/>
        <v>#REF!</v>
      </c>
      <c r="L238" s="1886" t="e">
        <f t="shared" si="164"/>
        <v>#REF!</v>
      </c>
      <c r="M238" s="1886" t="e">
        <f t="shared" si="164"/>
        <v>#REF!</v>
      </c>
      <c r="N238" s="1886" t="e">
        <f t="shared" si="164"/>
        <v>#REF!</v>
      </c>
      <c r="O238" s="1887" t="e">
        <f t="shared" si="159"/>
        <v>#REF!</v>
      </c>
      <c r="P238" s="1887" t="e">
        <f t="shared" si="159"/>
        <v>#REF!</v>
      </c>
      <c r="Q238" s="1888" t="e">
        <f t="shared" si="159"/>
        <v>#REF!</v>
      </c>
      <c r="R238" s="1888"/>
      <c r="S238" s="1888"/>
      <c r="T238" s="1888"/>
      <c r="U238" s="1888"/>
      <c r="V238" s="1888" t="e">
        <f t="shared" si="160"/>
        <v>#REF!</v>
      </c>
      <c r="W238" s="1900"/>
      <c r="X238" s="1900"/>
      <c r="Y238" s="1900"/>
    </row>
    <row r="239" spans="1:27" s="250" customFormat="1" ht="27" customHeight="1" thickBot="1" x14ac:dyDescent="0.4">
      <c r="A239" s="5228"/>
      <c r="B239" s="4074" t="s">
        <v>45</v>
      </c>
      <c r="C239" s="5224" t="s">
        <v>64</v>
      </c>
      <c r="D239" s="5224"/>
      <c r="E239" s="1886">
        <f t="shared" si="164"/>
        <v>0</v>
      </c>
      <c r="F239" s="1886"/>
      <c r="G239" s="1886"/>
      <c r="H239" s="1886"/>
      <c r="I239" s="1886">
        <f t="shared" si="164"/>
        <v>0</v>
      </c>
      <c r="J239" s="1886">
        <f t="shared" si="164"/>
        <v>0</v>
      </c>
      <c r="K239" s="1886">
        <f t="shared" si="164"/>
        <v>0</v>
      </c>
      <c r="L239" s="1886">
        <f t="shared" ca="1" si="164"/>
        <v>0</v>
      </c>
      <c r="M239" s="1886">
        <f t="shared" ca="1" si="164"/>
        <v>0</v>
      </c>
      <c r="N239" s="1886">
        <f t="shared" ca="1" si="164"/>
        <v>0</v>
      </c>
      <c r="O239" s="1887">
        <f t="shared" ca="1" si="159"/>
        <v>0</v>
      </c>
      <c r="P239" s="1887">
        <f t="shared" ca="1" si="159"/>
        <v>0</v>
      </c>
      <c r="Q239" s="1888">
        <f t="shared" ca="1" si="159"/>
        <v>0</v>
      </c>
      <c r="R239" s="1888"/>
      <c r="S239" s="1888"/>
      <c r="T239" s="1888"/>
      <c r="U239" s="1888"/>
      <c r="V239" s="1888">
        <f t="shared" ca="1" si="160"/>
        <v>0</v>
      </c>
      <c r="W239" s="1900"/>
      <c r="X239" s="1900"/>
      <c r="Y239" s="1900"/>
    </row>
    <row r="240" spans="1:27" s="250" customFormat="1" ht="27" customHeight="1" thickBot="1" x14ac:dyDescent="0.4">
      <c r="A240" s="5228"/>
      <c r="B240" s="4074"/>
      <c r="C240" s="5225" t="s">
        <v>65</v>
      </c>
      <c r="D240" s="5225"/>
      <c r="E240" s="1886">
        <f t="shared" si="164"/>
        <v>0</v>
      </c>
      <c r="F240" s="1886"/>
      <c r="G240" s="1886"/>
      <c r="H240" s="1886"/>
      <c r="I240" s="1886">
        <f t="shared" si="164"/>
        <v>0</v>
      </c>
      <c r="J240" s="1886">
        <f t="shared" si="164"/>
        <v>0</v>
      </c>
      <c r="K240" s="1886">
        <f t="shared" si="164"/>
        <v>0</v>
      </c>
      <c r="L240" s="1886">
        <f t="shared" ca="1" si="164"/>
        <v>0</v>
      </c>
      <c r="M240" s="1886">
        <f t="shared" ca="1" si="164"/>
        <v>0</v>
      </c>
      <c r="N240" s="1886">
        <f t="shared" ca="1" si="164"/>
        <v>0</v>
      </c>
      <c r="O240" s="1887">
        <f t="shared" ca="1" si="159"/>
        <v>0</v>
      </c>
      <c r="P240" s="1887">
        <f t="shared" ca="1" si="159"/>
        <v>0</v>
      </c>
      <c r="Q240" s="1888">
        <f t="shared" ca="1" si="159"/>
        <v>0</v>
      </c>
      <c r="R240" s="1888"/>
      <c r="S240" s="1888"/>
      <c r="T240" s="1888"/>
      <c r="U240" s="1888"/>
      <c r="V240" s="1888">
        <f t="shared" ca="1" si="160"/>
        <v>0</v>
      </c>
      <c r="W240" s="1900"/>
      <c r="X240" s="1900"/>
      <c r="Y240" s="1900"/>
    </row>
    <row r="241" spans="1:25" s="250" customFormat="1" ht="27" customHeight="1" thickBot="1" x14ac:dyDescent="0.4">
      <c r="A241" s="5228"/>
      <c r="B241" s="1903" t="s">
        <v>66</v>
      </c>
      <c r="C241" s="5226" t="s">
        <v>51</v>
      </c>
      <c r="D241" s="5226"/>
      <c r="E241" s="1886" t="e">
        <f t="shared" si="164"/>
        <v>#REF!</v>
      </c>
      <c r="F241" s="1886"/>
      <c r="G241" s="1886"/>
      <c r="H241" s="1886"/>
      <c r="I241" s="1886" t="e">
        <f t="shared" si="164"/>
        <v>#REF!</v>
      </c>
      <c r="J241" s="1886" t="e">
        <f t="shared" si="164"/>
        <v>#REF!</v>
      </c>
      <c r="K241" s="1886" t="e">
        <f t="shared" si="164"/>
        <v>#REF!</v>
      </c>
      <c r="L241" s="1886" t="e">
        <f t="shared" si="164"/>
        <v>#REF!</v>
      </c>
      <c r="M241" s="1886" t="e">
        <f t="shared" si="164"/>
        <v>#REF!</v>
      </c>
      <c r="N241" s="1886" t="e">
        <f t="shared" si="164"/>
        <v>#REF!</v>
      </c>
      <c r="O241" s="1887" t="e">
        <f t="shared" si="159"/>
        <v>#REF!</v>
      </c>
      <c r="P241" s="1887" t="e">
        <f t="shared" si="159"/>
        <v>#REF!</v>
      </c>
      <c r="Q241" s="1888" t="e">
        <f t="shared" si="159"/>
        <v>#REF!</v>
      </c>
      <c r="R241" s="1888"/>
      <c r="S241" s="1888"/>
      <c r="T241" s="1888"/>
      <c r="U241" s="1888"/>
      <c r="V241" s="1888" t="e">
        <f t="shared" si="160"/>
        <v>#REF!</v>
      </c>
      <c r="W241" s="1900"/>
      <c r="X241" s="1900"/>
      <c r="Y241" s="1900"/>
    </row>
    <row r="242" spans="1:25" s="250" customFormat="1" ht="27" customHeight="1" thickBot="1" x14ac:dyDescent="0.4">
      <c r="A242" s="5324" t="s">
        <v>67</v>
      </c>
      <c r="B242" s="4597" t="s">
        <v>164</v>
      </c>
      <c r="C242" s="4597"/>
      <c r="D242" s="4597"/>
      <c r="E242" s="1886">
        <f t="shared" si="164"/>
        <v>0</v>
      </c>
      <c r="F242" s="1886"/>
      <c r="G242" s="1886"/>
      <c r="H242" s="1886"/>
      <c r="I242" s="1886">
        <f t="shared" si="164"/>
        <v>0</v>
      </c>
      <c r="J242" s="1886">
        <f t="shared" si="164"/>
        <v>0</v>
      </c>
      <c r="K242" s="1886">
        <f t="shared" si="164"/>
        <v>0</v>
      </c>
      <c r="L242" s="1886">
        <f t="shared" ca="1" si="164"/>
        <v>0</v>
      </c>
      <c r="M242" s="1886">
        <f t="shared" ca="1" si="164"/>
        <v>0</v>
      </c>
      <c r="N242" s="1886">
        <f t="shared" ca="1" si="164"/>
        <v>0</v>
      </c>
      <c r="O242" s="1887">
        <f t="shared" ref="O242:Q275" ca="1" si="165">+I242+L242</f>
        <v>0</v>
      </c>
      <c r="P242" s="1887">
        <f t="shared" ca="1" si="165"/>
        <v>0</v>
      </c>
      <c r="Q242" s="1888">
        <f t="shared" ca="1" si="165"/>
        <v>0</v>
      </c>
      <c r="R242" s="1888"/>
      <c r="S242" s="1888"/>
      <c r="T242" s="1888"/>
      <c r="U242" s="1888"/>
      <c r="V242" s="1888">
        <f t="shared" ca="1" si="160"/>
        <v>0</v>
      </c>
      <c r="W242" s="1900"/>
      <c r="X242" s="1900"/>
      <c r="Y242" s="1900"/>
    </row>
    <row r="243" spans="1:25" s="250" customFormat="1" ht="27" customHeight="1" thickBot="1" x14ac:dyDescent="0.4">
      <c r="A243" s="5324"/>
      <c r="B243" s="3743" t="s">
        <v>179</v>
      </c>
      <c r="C243" s="3744"/>
      <c r="D243" s="5175"/>
      <c r="E243" s="1886">
        <f t="shared" si="164"/>
        <v>0</v>
      </c>
      <c r="F243" s="1886"/>
      <c r="G243" s="1886"/>
      <c r="H243" s="1886"/>
      <c r="I243" s="1886">
        <f t="shared" si="164"/>
        <v>0</v>
      </c>
      <c r="J243" s="1886">
        <f t="shared" si="164"/>
        <v>0</v>
      </c>
      <c r="K243" s="1886">
        <f t="shared" si="164"/>
        <v>0</v>
      </c>
      <c r="L243" s="1886">
        <f t="shared" ca="1" si="164"/>
        <v>0</v>
      </c>
      <c r="M243" s="1886">
        <f t="shared" ca="1" si="164"/>
        <v>0</v>
      </c>
      <c r="N243" s="1886">
        <f ca="1">+INT(N383)</f>
        <v>0</v>
      </c>
      <c r="O243" s="1887">
        <f t="shared" ca="1" si="165"/>
        <v>0</v>
      </c>
      <c r="P243" s="1887">
        <f t="shared" ca="1" si="165"/>
        <v>0</v>
      </c>
      <c r="Q243" s="1888">
        <f t="shared" ca="1" si="165"/>
        <v>0</v>
      </c>
      <c r="R243" s="1888"/>
      <c r="S243" s="1888"/>
      <c r="T243" s="1888"/>
      <c r="U243" s="1888"/>
      <c r="V243" s="1888">
        <f t="shared" ca="1" si="160"/>
        <v>0</v>
      </c>
      <c r="W243" s="1900"/>
      <c r="X243" s="1900"/>
      <c r="Y243" s="1900"/>
    </row>
    <row r="244" spans="1:25" s="250" customFormat="1" ht="27" customHeight="1" thickBot="1" x14ac:dyDescent="0.4">
      <c r="A244" s="5324"/>
      <c r="B244" s="4314" t="s">
        <v>195</v>
      </c>
      <c r="C244" s="4616"/>
      <c r="D244" s="5176"/>
      <c r="E244" s="1886">
        <f t="shared" ref="E244:N250" si="166">+INT(E385)</f>
        <v>0</v>
      </c>
      <c r="F244" s="1886"/>
      <c r="G244" s="1886"/>
      <c r="H244" s="1886"/>
      <c r="I244" s="1886">
        <f t="shared" si="166"/>
        <v>0</v>
      </c>
      <c r="J244" s="1886">
        <f t="shared" si="166"/>
        <v>0</v>
      </c>
      <c r="K244" s="1886">
        <f t="shared" si="166"/>
        <v>0</v>
      </c>
      <c r="L244" s="1886">
        <f t="shared" ca="1" si="166"/>
        <v>0</v>
      </c>
      <c r="M244" s="1886">
        <f t="shared" ca="1" si="166"/>
        <v>0</v>
      </c>
      <c r="N244" s="1886">
        <f t="shared" ca="1" si="166"/>
        <v>0</v>
      </c>
      <c r="O244" s="1887">
        <f t="shared" ca="1" si="165"/>
        <v>0</v>
      </c>
      <c r="P244" s="1887">
        <f t="shared" ca="1" si="165"/>
        <v>0</v>
      </c>
      <c r="Q244" s="1888">
        <f t="shared" ca="1" si="165"/>
        <v>0</v>
      </c>
      <c r="R244" s="1888"/>
      <c r="S244" s="1888"/>
      <c r="T244" s="1888"/>
      <c r="U244" s="1888"/>
      <c r="V244" s="1888"/>
      <c r="W244" s="1900"/>
      <c r="X244" s="1900"/>
      <c r="Y244" s="1900"/>
    </row>
    <row r="245" spans="1:25" s="250" customFormat="1" ht="27" customHeight="1" thickBot="1" x14ac:dyDescent="0.4">
      <c r="A245" s="5324"/>
      <c r="B245" s="5234" t="s">
        <v>927</v>
      </c>
      <c r="C245" s="5234"/>
      <c r="D245" s="5234"/>
      <c r="E245" s="1886">
        <f t="shared" si="166"/>
        <v>0</v>
      </c>
      <c r="F245" s="1886"/>
      <c r="G245" s="1886"/>
      <c r="H245" s="1886"/>
      <c r="I245" s="1886">
        <f t="shared" si="166"/>
        <v>0</v>
      </c>
      <c r="J245" s="1886">
        <f t="shared" si="166"/>
        <v>0</v>
      </c>
      <c r="K245" s="1886">
        <f t="shared" si="166"/>
        <v>0</v>
      </c>
      <c r="L245" s="1886">
        <f t="shared" ca="1" si="166"/>
        <v>0</v>
      </c>
      <c r="M245" s="1886">
        <f t="shared" ca="1" si="166"/>
        <v>0</v>
      </c>
      <c r="N245" s="1886">
        <f t="shared" ca="1" si="166"/>
        <v>0</v>
      </c>
      <c r="O245" s="1887">
        <f t="shared" ca="1" si="165"/>
        <v>0</v>
      </c>
      <c r="P245" s="1887">
        <f t="shared" ca="1" si="165"/>
        <v>0</v>
      </c>
      <c r="Q245" s="1888">
        <f t="shared" ca="1" si="165"/>
        <v>0</v>
      </c>
      <c r="R245" s="1888"/>
      <c r="S245" s="1888"/>
      <c r="T245" s="1888"/>
      <c r="U245" s="1888"/>
      <c r="V245" s="1888">
        <f t="shared" ca="1" si="160"/>
        <v>0</v>
      </c>
      <c r="W245" s="1900"/>
      <c r="X245" s="1900"/>
      <c r="Y245" s="1900"/>
    </row>
    <row r="246" spans="1:25" s="250" customFormat="1" ht="27" customHeight="1" thickBot="1" x14ac:dyDescent="0.4">
      <c r="A246" s="5324"/>
      <c r="B246" s="4074" t="s">
        <v>45</v>
      </c>
      <c r="C246" s="5224" t="s">
        <v>68</v>
      </c>
      <c r="D246" s="5224"/>
      <c r="E246" s="1886">
        <f t="shared" si="166"/>
        <v>0</v>
      </c>
      <c r="F246" s="1886"/>
      <c r="G246" s="1886"/>
      <c r="H246" s="1886"/>
      <c r="I246" s="1886">
        <f t="shared" si="166"/>
        <v>0</v>
      </c>
      <c r="J246" s="1886">
        <f t="shared" si="166"/>
        <v>0</v>
      </c>
      <c r="K246" s="1886">
        <f t="shared" si="166"/>
        <v>0</v>
      </c>
      <c r="L246" s="1886">
        <f t="shared" ca="1" si="166"/>
        <v>0</v>
      </c>
      <c r="M246" s="1886">
        <f t="shared" ca="1" si="166"/>
        <v>0</v>
      </c>
      <c r="N246" s="1886">
        <f t="shared" ca="1" si="166"/>
        <v>0</v>
      </c>
      <c r="O246" s="1887">
        <f t="shared" ca="1" si="165"/>
        <v>0</v>
      </c>
      <c r="P246" s="1887">
        <f t="shared" ca="1" si="165"/>
        <v>0</v>
      </c>
      <c r="Q246" s="1888">
        <f t="shared" ca="1" si="165"/>
        <v>0</v>
      </c>
      <c r="R246" s="1888"/>
      <c r="S246" s="1888"/>
      <c r="T246" s="1888"/>
      <c r="U246" s="1888"/>
      <c r="V246" s="1888">
        <f t="shared" ca="1" si="160"/>
        <v>0</v>
      </c>
      <c r="W246" s="1900"/>
      <c r="X246" s="1900"/>
      <c r="Y246" s="1900"/>
    </row>
    <row r="247" spans="1:25" s="250" customFormat="1" ht="27" customHeight="1" thickBot="1" x14ac:dyDescent="0.4">
      <c r="A247" s="5324"/>
      <c r="B247" s="4074"/>
      <c r="C247" s="5225" t="s">
        <v>69</v>
      </c>
      <c r="D247" s="5225"/>
      <c r="E247" s="1886">
        <f t="shared" si="166"/>
        <v>0</v>
      </c>
      <c r="F247" s="1886"/>
      <c r="G247" s="1886"/>
      <c r="H247" s="1886"/>
      <c r="I247" s="1886">
        <f t="shared" si="166"/>
        <v>0</v>
      </c>
      <c r="J247" s="1886">
        <f t="shared" si="166"/>
        <v>0</v>
      </c>
      <c r="K247" s="1886">
        <f t="shared" si="166"/>
        <v>0</v>
      </c>
      <c r="L247" s="1886">
        <f t="shared" ca="1" si="166"/>
        <v>0</v>
      </c>
      <c r="M247" s="1886">
        <f t="shared" ca="1" si="166"/>
        <v>0</v>
      </c>
      <c r="N247" s="1886">
        <f t="shared" ca="1" si="166"/>
        <v>0</v>
      </c>
      <c r="O247" s="1887">
        <f t="shared" ca="1" si="165"/>
        <v>0</v>
      </c>
      <c r="P247" s="1887">
        <f t="shared" ca="1" si="165"/>
        <v>0</v>
      </c>
      <c r="Q247" s="1888">
        <f t="shared" ca="1" si="165"/>
        <v>0</v>
      </c>
      <c r="R247" s="1888"/>
      <c r="S247" s="1888"/>
      <c r="T247" s="1888"/>
      <c r="U247" s="1888"/>
      <c r="V247" s="1888">
        <f t="shared" ca="1" si="160"/>
        <v>0</v>
      </c>
      <c r="W247" s="1900"/>
      <c r="X247" s="1900"/>
      <c r="Y247" s="1900"/>
    </row>
    <row r="248" spans="1:25" ht="27" customHeight="1" thickBot="1" x14ac:dyDescent="0.55000000000000004">
      <c r="A248" s="5324"/>
      <c r="B248" s="1578" t="s">
        <v>66</v>
      </c>
      <c r="C248" s="5325" t="s">
        <v>51</v>
      </c>
      <c r="D248" s="5325"/>
      <c r="E248" s="1602" t="e">
        <f t="shared" si="166"/>
        <v>#REF!</v>
      </c>
      <c r="F248" s="1602"/>
      <c r="G248" s="1602"/>
      <c r="H248" s="1602"/>
      <c r="I248" s="1602" t="e">
        <f t="shared" si="166"/>
        <v>#REF!</v>
      </c>
      <c r="J248" s="1602" t="e">
        <f t="shared" si="166"/>
        <v>#REF!</v>
      </c>
      <c r="K248" s="1602" t="e">
        <f t="shared" si="166"/>
        <v>#REF!</v>
      </c>
      <c r="L248" s="1602" t="e">
        <f t="shared" si="166"/>
        <v>#REF!</v>
      </c>
      <c r="M248" s="1602" t="e">
        <f t="shared" si="166"/>
        <v>#REF!</v>
      </c>
      <c r="N248" s="1602" t="e">
        <f t="shared" si="166"/>
        <v>#REF!</v>
      </c>
      <c r="O248" s="1603" t="e">
        <f t="shared" si="165"/>
        <v>#REF!</v>
      </c>
      <c r="P248" s="1603" t="e">
        <f t="shared" si="165"/>
        <v>#REF!</v>
      </c>
      <c r="Q248" s="1604" t="e">
        <f t="shared" si="165"/>
        <v>#REF!</v>
      </c>
      <c r="R248" s="1604"/>
      <c r="S248" s="1604"/>
      <c r="T248" s="1604"/>
      <c r="U248" s="1604"/>
      <c r="V248" s="1604" t="e">
        <f t="shared" si="160"/>
        <v>#REF!</v>
      </c>
      <c r="W248" s="1610"/>
      <c r="X248" s="1610"/>
      <c r="Y248" s="1610"/>
    </row>
    <row r="249" spans="1:25" ht="27" customHeight="1" thickBot="1" x14ac:dyDescent="0.5">
      <c r="A249" s="5326" t="s">
        <v>21</v>
      </c>
      <c r="B249" s="4592" t="s">
        <v>210</v>
      </c>
      <c r="C249" s="4593"/>
      <c r="D249" s="4645"/>
      <c r="E249" s="1602">
        <f t="shared" si="166"/>
        <v>0</v>
      </c>
      <c r="F249" s="1602"/>
      <c r="G249" s="1602"/>
      <c r="H249" s="1602"/>
      <c r="I249" s="1602">
        <f t="shared" si="166"/>
        <v>0</v>
      </c>
      <c r="J249" s="1602">
        <f t="shared" si="166"/>
        <v>0</v>
      </c>
      <c r="K249" s="1602">
        <f t="shared" si="166"/>
        <v>0</v>
      </c>
      <c r="L249" s="1602">
        <f t="shared" ca="1" si="166"/>
        <v>0</v>
      </c>
      <c r="M249" s="1602">
        <f t="shared" ca="1" si="166"/>
        <v>0</v>
      </c>
      <c r="N249" s="1602">
        <f ca="1">+INT(N390)</f>
        <v>0</v>
      </c>
      <c r="O249" s="1603">
        <f t="shared" ca="1" si="165"/>
        <v>0</v>
      </c>
      <c r="P249" s="1603">
        <f t="shared" ca="1" si="165"/>
        <v>0</v>
      </c>
      <c r="Q249" s="1604">
        <f t="shared" ca="1" si="165"/>
        <v>0</v>
      </c>
      <c r="R249" s="1604"/>
      <c r="S249" s="1604"/>
      <c r="T249" s="1604"/>
      <c r="U249" s="1604"/>
      <c r="V249" s="1604">
        <f t="shared" ca="1" si="160"/>
        <v>0</v>
      </c>
      <c r="W249" s="1610"/>
      <c r="X249" s="1610"/>
      <c r="Y249" s="1610"/>
    </row>
    <row r="250" spans="1:25" ht="27" customHeight="1" thickBot="1" x14ac:dyDescent="0.5">
      <c r="A250" s="5327"/>
      <c r="B250" s="4592" t="s">
        <v>211</v>
      </c>
      <c r="C250" s="4593"/>
      <c r="D250" s="4645"/>
      <c r="E250" s="1602">
        <f t="shared" si="166"/>
        <v>0</v>
      </c>
      <c r="F250" s="1602"/>
      <c r="G250" s="1602"/>
      <c r="H250" s="1602"/>
      <c r="I250" s="1602">
        <f>+INT(I391)</f>
        <v>0</v>
      </c>
      <c r="J250" s="1602">
        <f>+INT(J391)</f>
        <v>0</v>
      </c>
      <c r="K250" s="1602">
        <f>+INT(K391)</f>
        <v>0</v>
      </c>
      <c r="L250" s="1602">
        <f ca="1">+INT(L391)</f>
        <v>0</v>
      </c>
      <c r="M250" s="1602">
        <f ca="1">+INT(M391)</f>
        <v>0</v>
      </c>
      <c r="N250" s="1602">
        <f ca="1">+INT(N391)</f>
        <v>0</v>
      </c>
      <c r="O250" s="1603">
        <f t="shared" ca="1" si="165"/>
        <v>0</v>
      </c>
      <c r="P250" s="1603">
        <f t="shared" ca="1" si="165"/>
        <v>0</v>
      </c>
      <c r="Q250" s="1604">
        <f t="shared" ca="1" si="165"/>
        <v>0</v>
      </c>
      <c r="R250" s="1604"/>
      <c r="S250" s="1604"/>
      <c r="T250" s="1604"/>
      <c r="U250" s="1604"/>
      <c r="V250" s="1604">
        <f t="shared" ref="V250:V252" ca="1" si="167">SUM(O250:Q250)</f>
        <v>0</v>
      </c>
      <c r="W250" s="1610"/>
      <c r="X250" s="1610"/>
      <c r="Y250" s="1610"/>
    </row>
    <row r="251" spans="1:25" ht="27" customHeight="1" thickBot="1" x14ac:dyDescent="0.5">
      <c r="A251" s="5328" t="s">
        <v>71</v>
      </c>
      <c r="B251" s="3794" t="s">
        <v>212</v>
      </c>
      <c r="C251" s="3795"/>
      <c r="D251" s="3796"/>
      <c r="E251" s="1602">
        <f t="shared" ref="E251:N252" si="168">+INT(E393)</f>
        <v>0</v>
      </c>
      <c r="F251" s="1602"/>
      <c r="G251" s="1602"/>
      <c r="H251" s="1602"/>
      <c r="I251" s="1602">
        <f t="shared" si="168"/>
        <v>0</v>
      </c>
      <c r="J251" s="1602">
        <f t="shared" si="168"/>
        <v>0</v>
      </c>
      <c r="K251" s="1602">
        <f t="shared" si="168"/>
        <v>0</v>
      </c>
      <c r="L251" s="1602">
        <f t="shared" ca="1" si="168"/>
        <v>0</v>
      </c>
      <c r="M251" s="1602">
        <f t="shared" ca="1" si="168"/>
        <v>0</v>
      </c>
      <c r="N251" s="1602">
        <f t="shared" ca="1" si="168"/>
        <v>0</v>
      </c>
      <c r="O251" s="1603">
        <f t="shared" ca="1" si="165"/>
        <v>0</v>
      </c>
      <c r="P251" s="1603">
        <f t="shared" ca="1" si="165"/>
        <v>0</v>
      </c>
      <c r="Q251" s="1604">
        <f t="shared" ca="1" si="165"/>
        <v>0</v>
      </c>
      <c r="R251" s="1604"/>
      <c r="S251" s="1604"/>
      <c r="T251" s="1604"/>
      <c r="U251" s="1604"/>
      <c r="V251" s="1604">
        <f t="shared" ca="1" si="167"/>
        <v>0</v>
      </c>
      <c r="W251" s="1610"/>
      <c r="X251" s="1610"/>
      <c r="Y251" s="1610"/>
    </row>
    <row r="252" spans="1:25" ht="27" customHeight="1" thickBot="1" x14ac:dyDescent="0.5">
      <c r="A252" s="5329"/>
      <c r="B252" s="3794" t="s">
        <v>213</v>
      </c>
      <c r="C252" s="3795"/>
      <c r="D252" s="3796"/>
      <c r="E252" s="1602">
        <f t="shared" si="168"/>
        <v>0</v>
      </c>
      <c r="F252" s="1602"/>
      <c r="G252" s="1602"/>
      <c r="H252" s="1602"/>
      <c r="I252" s="1602">
        <f t="shared" si="168"/>
        <v>0</v>
      </c>
      <c r="J252" s="1602">
        <f t="shared" si="168"/>
        <v>0</v>
      </c>
      <c r="K252" s="1602">
        <f t="shared" si="168"/>
        <v>0</v>
      </c>
      <c r="L252" s="1602">
        <f t="shared" ca="1" si="168"/>
        <v>0</v>
      </c>
      <c r="M252" s="1602">
        <f t="shared" ca="1" si="168"/>
        <v>0</v>
      </c>
      <c r="N252" s="1602">
        <f t="shared" ca="1" si="168"/>
        <v>0</v>
      </c>
      <c r="O252" s="1603">
        <f t="shared" ca="1" si="165"/>
        <v>0</v>
      </c>
      <c r="P252" s="1603">
        <f t="shared" ca="1" si="165"/>
        <v>0</v>
      </c>
      <c r="Q252" s="1604">
        <f t="shared" ca="1" si="165"/>
        <v>0</v>
      </c>
      <c r="R252" s="1604"/>
      <c r="S252" s="1604"/>
      <c r="T252" s="1604"/>
      <c r="U252" s="1604"/>
      <c r="V252" s="1604">
        <f t="shared" ca="1" si="167"/>
        <v>0</v>
      </c>
      <c r="W252" s="1610"/>
      <c r="X252" s="1610"/>
      <c r="Y252" s="1610"/>
    </row>
    <row r="253" spans="1:25" ht="27" customHeight="1" thickBot="1" x14ac:dyDescent="0.5">
      <c r="A253" s="1579"/>
      <c r="B253" s="1614"/>
      <c r="C253" s="1578"/>
      <c r="D253" s="1552"/>
      <c r="E253" s="1602">
        <f t="shared" ref="E253:N268" si="169">+INT(E396)</f>
        <v>0</v>
      </c>
      <c r="F253" s="1602"/>
      <c r="G253" s="1602"/>
      <c r="H253" s="1602"/>
      <c r="I253" s="1602">
        <f t="shared" si="169"/>
        <v>0</v>
      </c>
      <c r="J253" s="1602">
        <f t="shared" si="169"/>
        <v>0</v>
      </c>
      <c r="K253" s="1602">
        <f t="shared" si="169"/>
        <v>0</v>
      </c>
      <c r="L253" s="1602">
        <f t="shared" si="169"/>
        <v>0</v>
      </c>
      <c r="M253" s="1602">
        <f t="shared" si="169"/>
        <v>0</v>
      </c>
      <c r="N253" s="1602">
        <f t="shared" si="169"/>
        <v>0</v>
      </c>
      <c r="O253" s="1603">
        <f t="shared" si="165"/>
        <v>0</v>
      </c>
      <c r="P253" s="1603">
        <f t="shared" si="165"/>
        <v>0</v>
      </c>
      <c r="Q253" s="1604">
        <f t="shared" si="165"/>
        <v>0</v>
      </c>
      <c r="R253" s="1604"/>
      <c r="S253" s="1604"/>
      <c r="T253" s="1604"/>
      <c r="U253" s="1604"/>
      <c r="V253" s="1604">
        <f t="shared" si="160"/>
        <v>0</v>
      </c>
      <c r="W253" s="1610"/>
      <c r="X253" s="1610"/>
      <c r="Y253" s="1610"/>
    </row>
    <row r="254" spans="1:25" ht="27" customHeight="1" thickBot="1" x14ac:dyDescent="0.5">
      <c r="A254" s="1579"/>
      <c r="B254" s="1615"/>
      <c r="C254" s="1578"/>
      <c r="D254" s="1552"/>
      <c r="E254" s="1602">
        <f t="shared" si="169"/>
        <v>0</v>
      </c>
      <c r="F254" s="1602"/>
      <c r="G254" s="1602"/>
      <c r="H254" s="1602"/>
      <c r="I254" s="1602">
        <f t="shared" si="169"/>
        <v>0</v>
      </c>
      <c r="J254" s="1602">
        <f t="shared" si="169"/>
        <v>0</v>
      </c>
      <c r="K254" s="1602">
        <f t="shared" si="169"/>
        <v>0</v>
      </c>
      <c r="L254" s="1602">
        <f t="shared" si="169"/>
        <v>0</v>
      </c>
      <c r="M254" s="1602">
        <f t="shared" si="169"/>
        <v>0</v>
      </c>
      <c r="N254" s="1602">
        <f t="shared" si="169"/>
        <v>0</v>
      </c>
      <c r="O254" s="1603">
        <f t="shared" si="165"/>
        <v>0</v>
      </c>
      <c r="P254" s="1603">
        <f t="shared" si="165"/>
        <v>0</v>
      </c>
      <c r="Q254" s="1604">
        <f t="shared" si="165"/>
        <v>0</v>
      </c>
      <c r="R254" s="1604"/>
      <c r="S254" s="1604"/>
      <c r="T254" s="1604"/>
      <c r="U254" s="1604"/>
      <c r="V254" s="1604">
        <f t="shared" si="160"/>
        <v>0</v>
      </c>
      <c r="W254" s="1610"/>
      <c r="X254" s="1610"/>
      <c r="Y254" s="1610"/>
    </row>
    <row r="255" spans="1:25" ht="27" customHeight="1" thickBot="1" x14ac:dyDescent="0.5">
      <c r="A255" s="1579"/>
      <c r="B255" s="1552"/>
      <c r="C255" s="1578"/>
      <c r="D255" s="1552"/>
      <c r="E255" s="1602">
        <f t="shared" si="169"/>
        <v>0</v>
      </c>
      <c r="F255" s="1602"/>
      <c r="G255" s="1602"/>
      <c r="H255" s="1602"/>
      <c r="I255" s="1602">
        <f t="shared" si="169"/>
        <v>0</v>
      </c>
      <c r="J255" s="1602">
        <f t="shared" si="169"/>
        <v>0</v>
      </c>
      <c r="K255" s="1602">
        <f t="shared" si="169"/>
        <v>0</v>
      </c>
      <c r="L255" s="1602">
        <f t="shared" si="169"/>
        <v>0</v>
      </c>
      <c r="M255" s="1602">
        <f t="shared" si="169"/>
        <v>0</v>
      </c>
      <c r="N255" s="1602">
        <f t="shared" si="169"/>
        <v>0</v>
      </c>
      <c r="O255" s="1603">
        <f t="shared" si="165"/>
        <v>0</v>
      </c>
      <c r="P255" s="1603">
        <f t="shared" si="165"/>
        <v>0</v>
      </c>
      <c r="Q255" s="1604">
        <f t="shared" si="165"/>
        <v>0</v>
      </c>
      <c r="R255" s="1604"/>
      <c r="S255" s="1604"/>
      <c r="T255" s="1604"/>
      <c r="U255" s="1604"/>
      <c r="V255" s="1604">
        <f t="shared" si="160"/>
        <v>0</v>
      </c>
      <c r="W255" s="1610"/>
      <c r="X255" s="1610"/>
      <c r="Y255" s="1610"/>
    </row>
    <row r="256" spans="1:25" ht="27" customHeight="1" thickBot="1" x14ac:dyDescent="0.5">
      <c r="A256" s="1579"/>
      <c r="B256" s="1552"/>
      <c r="C256" s="1578"/>
      <c r="D256" s="1552"/>
      <c r="E256" s="1602">
        <f t="shared" si="169"/>
        <v>0</v>
      </c>
      <c r="F256" s="1602"/>
      <c r="G256" s="1602"/>
      <c r="H256" s="1602"/>
      <c r="I256" s="1602">
        <f t="shared" si="169"/>
        <v>0</v>
      </c>
      <c r="J256" s="1602">
        <f t="shared" si="169"/>
        <v>0</v>
      </c>
      <c r="K256" s="1602">
        <f t="shared" si="169"/>
        <v>0</v>
      </c>
      <c r="L256" s="1602">
        <f t="shared" si="169"/>
        <v>0</v>
      </c>
      <c r="M256" s="1602">
        <f t="shared" si="169"/>
        <v>0</v>
      </c>
      <c r="N256" s="1602">
        <f t="shared" si="169"/>
        <v>0</v>
      </c>
      <c r="O256" s="1603">
        <f t="shared" si="165"/>
        <v>0</v>
      </c>
      <c r="P256" s="1603">
        <f t="shared" si="165"/>
        <v>0</v>
      </c>
      <c r="Q256" s="1604">
        <f t="shared" si="165"/>
        <v>0</v>
      </c>
      <c r="R256" s="1604"/>
      <c r="S256" s="1604"/>
      <c r="T256" s="1604"/>
      <c r="U256" s="1604"/>
      <c r="V256" s="1604">
        <f t="shared" si="160"/>
        <v>0</v>
      </c>
      <c r="W256" s="1610"/>
      <c r="X256" s="1610"/>
      <c r="Y256" s="1610"/>
    </row>
    <row r="257" spans="1:25" ht="27" customHeight="1" thickBot="1" x14ac:dyDescent="0.5">
      <c r="A257" s="1579"/>
      <c r="B257" s="1552"/>
      <c r="C257" s="1578"/>
      <c r="D257" s="1531"/>
      <c r="E257" s="1602">
        <f t="shared" si="169"/>
        <v>0</v>
      </c>
      <c r="F257" s="1602"/>
      <c r="G257" s="1602"/>
      <c r="H257" s="1602"/>
      <c r="I257" s="1602">
        <f t="shared" si="169"/>
        <v>0</v>
      </c>
      <c r="J257" s="1602">
        <f t="shared" si="169"/>
        <v>0</v>
      </c>
      <c r="K257" s="1602">
        <f t="shared" si="169"/>
        <v>0</v>
      </c>
      <c r="L257" s="1602">
        <f t="shared" si="169"/>
        <v>0</v>
      </c>
      <c r="M257" s="1602">
        <f t="shared" si="169"/>
        <v>0</v>
      </c>
      <c r="N257" s="1602">
        <f t="shared" si="169"/>
        <v>0</v>
      </c>
      <c r="O257" s="1603">
        <f t="shared" si="165"/>
        <v>0</v>
      </c>
      <c r="P257" s="1603">
        <f t="shared" si="165"/>
        <v>0</v>
      </c>
      <c r="Q257" s="1604">
        <f t="shared" si="165"/>
        <v>0</v>
      </c>
      <c r="R257" s="1604"/>
      <c r="S257" s="1604"/>
      <c r="T257" s="1604"/>
      <c r="U257" s="1604"/>
      <c r="V257" s="1604">
        <f t="shared" si="160"/>
        <v>0</v>
      </c>
      <c r="W257" s="1610"/>
      <c r="X257" s="1610"/>
      <c r="Y257" s="1610"/>
    </row>
    <row r="258" spans="1:25" ht="27" customHeight="1" thickBot="1" x14ac:dyDescent="0.5">
      <c r="A258" s="1579"/>
      <c r="B258" s="1552"/>
      <c r="C258" s="1578"/>
      <c r="D258" s="1531"/>
      <c r="E258" s="1602">
        <f t="shared" si="169"/>
        <v>0</v>
      </c>
      <c r="F258" s="1602"/>
      <c r="G258" s="1602"/>
      <c r="H258" s="1602"/>
      <c r="I258" s="1602">
        <f t="shared" si="169"/>
        <v>0</v>
      </c>
      <c r="J258" s="1602">
        <f t="shared" si="169"/>
        <v>0</v>
      </c>
      <c r="K258" s="1602">
        <f t="shared" si="169"/>
        <v>0</v>
      </c>
      <c r="L258" s="1602">
        <f t="shared" si="169"/>
        <v>0</v>
      </c>
      <c r="M258" s="1602">
        <f t="shared" si="169"/>
        <v>0</v>
      </c>
      <c r="N258" s="1602">
        <f t="shared" si="169"/>
        <v>0</v>
      </c>
      <c r="O258" s="1603">
        <f t="shared" si="165"/>
        <v>0</v>
      </c>
      <c r="P258" s="1603">
        <f t="shared" si="165"/>
        <v>0</v>
      </c>
      <c r="Q258" s="1604">
        <f t="shared" si="165"/>
        <v>0</v>
      </c>
      <c r="R258" s="1604"/>
      <c r="S258" s="1604"/>
      <c r="T258" s="1604"/>
      <c r="U258" s="1604"/>
      <c r="V258" s="1604">
        <f t="shared" si="160"/>
        <v>0</v>
      </c>
      <c r="W258" s="1610"/>
      <c r="X258" s="1610"/>
      <c r="Y258" s="1610"/>
    </row>
    <row r="259" spans="1:25" ht="27" customHeight="1" thickBot="1" x14ac:dyDescent="0.5">
      <c r="A259" s="1579"/>
      <c r="B259" s="1531"/>
      <c r="C259" s="1578"/>
      <c r="D259" s="1531"/>
      <c r="E259" s="1602">
        <f t="shared" si="169"/>
        <v>0</v>
      </c>
      <c r="F259" s="1602"/>
      <c r="G259" s="1602"/>
      <c r="H259" s="1602"/>
      <c r="I259" s="1602">
        <f t="shared" si="169"/>
        <v>0</v>
      </c>
      <c r="J259" s="1602">
        <f t="shared" si="169"/>
        <v>0</v>
      </c>
      <c r="K259" s="1602">
        <f t="shared" si="169"/>
        <v>0</v>
      </c>
      <c r="L259" s="1602">
        <f t="shared" si="169"/>
        <v>0</v>
      </c>
      <c r="M259" s="1602">
        <f t="shared" si="169"/>
        <v>0</v>
      </c>
      <c r="N259" s="1602">
        <f t="shared" si="169"/>
        <v>0</v>
      </c>
      <c r="O259" s="1603">
        <f t="shared" si="165"/>
        <v>0</v>
      </c>
      <c r="P259" s="1603">
        <f t="shared" si="165"/>
        <v>0</v>
      </c>
      <c r="Q259" s="1604">
        <f t="shared" si="165"/>
        <v>0</v>
      </c>
      <c r="R259" s="1604"/>
      <c r="S259" s="1604"/>
      <c r="T259" s="1604"/>
      <c r="U259" s="1604"/>
      <c r="V259" s="1604">
        <f t="shared" si="160"/>
        <v>0</v>
      </c>
      <c r="W259" s="1610"/>
      <c r="X259" s="1610"/>
      <c r="Y259" s="1610"/>
    </row>
    <row r="260" spans="1:25" ht="27" customHeight="1" thickBot="1" x14ac:dyDescent="0.5">
      <c r="A260" s="1579"/>
      <c r="B260" s="1531"/>
      <c r="C260" s="1578"/>
      <c r="D260" s="1531"/>
      <c r="E260" s="1602">
        <f t="shared" si="169"/>
        <v>0</v>
      </c>
      <c r="F260" s="1602"/>
      <c r="G260" s="1602"/>
      <c r="H260" s="1602"/>
      <c r="I260" s="1602">
        <f t="shared" si="169"/>
        <v>0</v>
      </c>
      <c r="J260" s="1602">
        <f t="shared" si="169"/>
        <v>0</v>
      </c>
      <c r="K260" s="1602">
        <f t="shared" si="169"/>
        <v>0</v>
      </c>
      <c r="L260" s="1602">
        <f t="shared" si="169"/>
        <v>0</v>
      </c>
      <c r="M260" s="1602">
        <f t="shared" si="169"/>
        <v>0</v>
      </c>
      <c r="N260" s="1602">
        <f t="shared" si="169"/>
        <v>0</v>
      </c>
      <c r="O260" s="1603">
        <f t="shared" si="165"/>
        <v>0</v>
      </c>
      <c r="P260" s="1603">
        <f t="shared" si="165"/>
        <v>0</v>
      </c>
      <c r="Q260" s="1604">
        <f t="shared" si="165"/>
        <v>0</v>
      </c>
      <c r="R260" s="1604"/>
      <c r="S260" s="1604"/>
      <c r="T260" s="1604"/>
      <c r="U260" s="1604"/>
      <c r="V260" s="1604">
        <f t="shared" si="160"/>
        <v>0</v>
      </c>
      <c r="W260" s="1610"/>
      <c r="X260" s="1610"/>
      <c r="Y260" s="1610"/>
    </row>
    <row r="261" spans="1:25" ht="27" customHeight="1" thickBot="1" x14ac:dyDescent="0.5">
      <c r="A261" s="1579"/>
      <c r="B261" s="1532"/>
      <c r="C261" s="1551"/>
      <c r="D261" s="1591"/>
      <c r="E261" s="1602">
        <f t="shared" si="169"/>
        <v>0</v>
      </c>
      <c r="F261" s="1602"/>
      <c r="G261" s="1602"/>
      <c r="H261" s="1602"/>
      <c r="I261" s="1602">
        <f t="shared" si="169"/>
        <v>0</v>
      </c>
      <c r="J261" s="1602">
        <f t="shared" si="169"/>
        <v>0</v>
      </c>
      <c r="K261" s="1602">
        <f t="shared" si="169"/>
        <v>0</v>
      </c>
      <c r="L261" s="1602">
        <f t="shared" si="169"/>
        <v>0</v>
      </c>
      <c r="M261" s="1602">
        <f t="shared" si="169"/>
        <v>0</v>
      </c>
      <c r="N261" s="1602">
        <f t="shared" si="169"/>
        <v>0</v>
      </c>
      <c r="O261" s="1603">
        <f t="shared" si="165"/>
        <v>0</v>
      </c>
      <c r="P261" s="1603">
        <f t="shared" si="165"/>
        <v>0</v>
      </c>
      <c r="Q261" s="1604">
        <f t="shared" si="165"/>
        <v>0</v>
      </c>
      <c r="R261" s="1604"/>
      <c r="S261" s="1604"/>
      <c r="T261" s="1604"/>
      <c r="U261" s="1604"/>
      <c r="V261" s="1604">
        <f t="shared" si="160"/>
        <v>0</v>
      </c>
      <c r="W261" s="1610"/>
      <c r="X261" s="1610"/>
      <c r="Y261" s="1610"/>
    </row>
    <row r="262" spans="1:25" ht="27" customHeight="1" thickBot="1" x14ac:dyDescent="0.5">
      <c r="A262" s="1616"/>
      <c r="B262" s="1588"/>
      <c r="C262" s="1589"/>
      <c r="D262" s="1590"/>
      <c r="E262" s="1602">
        <f t="shared" si="169"/>
        <v>0</v>
      </c>
      <c r="F262" s="1602"/>
      <c r="G262" s="1602"/>
      <c r="H262" s="1602"/>
      <c r="I262" s="1602">
        <f t="shared" si="169"/>
        <v>0</v>
      </c>
      <c r="J262" s="1602">
        <f t="shared" si="169"/>
        <v>0</v>
      </c>
      <c r="K262" s="1602">
        <f t="shared" si="169"/>
        <v>0</v>
      </c>
      <c r="L262" s="1602">
        <f t="shared" si="169"/>
        <v>0</v>
      </c>
      <c r="M262" s="1602">
        <f t="shared" si="169"/>
        <v>0</v>
      </c>
      <c r="N262" s="1602">
        <f t="shared" si="169"/>
        <v>0</v>
      </c>
      <c r="O262" s="1603">
        <f t="shared" si="165"/>
        <v>0</v>
      </c>
      <c r="P262" s="1603">
        <f t="shared" si="165"/>
        <v>0</v>
      </c>
      <c r="Q262" s="1604">
        <f t="shared" si="165"/>
        <v>0</v>
      </c>
      <c r="R262" s="1604"/>
      <c r="S262" s="1604"/>
      <c r="T262" s="1604"/>
      <c r="U262" s="1604"/>
      <c r="V262" s="1604">
        <f t="shared" si="160"/>
        <v>0</v>
      </c>
      <c r="W262" s="1610"/>
      <c r="X262" s="1610"/>
      <c r="Y262" s="1610"/>
    </row>
    <row r="263" spans="1:25" ht="27" customHeight="1" thickBot="1" x14ac:dyDescent="0.5">
      <c r="A263" s="1616"/>
      <c r="B263" s="1617"/>
      <c r="C263" s="1551"/>
      <c r="D263" s="1618"/>
      <c r="E263" s="1602">
        <f t="shared" si="169"/>
        <v>0</v>
      </c>
      <c r="F263" s="1602"/>
      <c r="G263" s="1602"/>
      <c r="H263" s="1602"/>
      <c r="I263" s="1602">
        <f t="shared" si="169"/>
        <v>0</v>
      </c>
      <c r="J263" s="1602">
        <f t="shared" si="169"/>
        <v>0</v>
      </c>
      <c r="K263" s="1602">
        <f t="shared" si="169"/>
        <v>0</v>
      </c>
      <c r="L263" s="1602">
        <f t="shared" si="169"/>
        <v>0</v>
      </c>
      <c r="M263" s="1602">
        <f t="shared" si="169"/>
        <v>0</v>
      </c>
      <c r="N263" s="1602">
        <f t="shared" si="169"/>
        <v>0</v>
      </c>
      <c r="O263" s="1603">
        <f t="shared" si="165"/>
        <v>0</v>
      </c>
      <c r="P263" s="1603">
        <f t="shared" si="165"/>
        <v>0</v>
      </c>
      <c r="Q263" s="1604">
        <f t="shared" si="165"/>
        <v>0</v>
      </c>
      <c r="R263" s="1604"/>
      <c r="S263" s="1604"/>
      <c r="T263" s="1604"/>
      <c r="U263" s="1604"/>
      <c r="V263" s="1604">
        <f t="shared" si="160"/>
        <v>0</v>
      </c>
      <c r="W263" s="1610"/>
      <c r="X263" s="1610"/>
      <c r="Y263" s="1610"/>
    </row>
    <row r="264" spans="1:25" ht="27" customHeight="1" thickBot="1" x14ac:dyDescent="0.5">
      <c r="A264" s="1616"/>
      <c r="B264" s="1614"/>
      <c r="C264" s="1578"/>
      <c r="D264" s="1552"/>
      <c r="E264" s="1602">
        <f t="shared" si="169"/>
        <v>0</v>
      </c>
      <c r="F264" s="1602"/>
      <c r="G264" s="1602"/>
      <c r="H264" s="1602"/>
      <c r="I264" s="1602">
        <f t="shared" si="169"/>
        <v>0</v>
      </c>
      <c r="J264" s="1602">
        <f t="shared" si="169"/>
        <v>0</v>
      </c>
      <c r="K264" s="1602">
        <f t="shared" si="169"/>
        <v>0</v>
      </c>
      <c r="L264" s="1602">
        <f t="shared" si="169"/>
        <v>0</v>
      </c>
      <c r="M264" s="1602">
        <f t="shared" si="169"/>
        <v>0</v>
      </c>
      <c r="N264" s="1602">
        <f t="shared" si="169"/>
        <v>0</v>
      </c>
      <c r="O264" s="1603">
        <f t="shared" si="165"/>
        <v>0</v>
      </c>
      <c r="P264" s="1603">
        <f t="shared" si="165"/>
        <v>0</v>
      </c>
      <c r="Q264" s="1604">
        <f t="shared" si="165"/>
        <v>0</v>
      </c>
      <c r="R264" s="1604"/>
      <c r="S264" s="1604"/>
      <c r="T264" s="1604"/>
      <c r="U264" s="1604"/>
      <c r="V264" s="1604">
        <f t="shared" si="160"/>
        <v>0</v>
      </c>
      <c r="W264" s="1610"/>
      <c r="X264" s="1610"/>
      <c r="Y264" s="1610"/>
    </row>
    <row r="265" spans="1:25" ht="27" customHeight="1" thickBot="1" x14ac:dyDescent="0.55000000000000004">
      <c r="A265" s="1616"/>
      <c r="B265" s="1615"/>
      <c r="C265" s="1578"/>
      <c r="D265" s="1552"/>
      <c r="E265" s="1602">
        <f t="shared" si="169"/>
        <v>0</v>
      </c>
      <c r="F265" s="1602"/>
      <c r="G265" s="1602"/>
      <c r="H265" s="1602"/>
      <c r="I265" s="1602">
        <f t="shared" si="169"/>
        <v>0</v>
      </c>
      <c r="J265" s="1602">
        <f t="shared" si="169"/>
        <v>0</v>
      </c>
      <c r="K265" s="1602">
        <f t="shared" si="169"/>
        <v>0</v>
      </c>
      <c r="L265" s="1602">
        <f t="shared" si="169"/>
        <v>0</v>
      </c>
      <c r="M265" s="1602">
        <f t="shared" si="169"/>
        <v>0</v>
      </c>
      <c r="N265" s="1602">
        <f t="shared" si="169"/>
        <v>0</v>
      </c>
      <c r="O265" s="1603">
        <f t="shared" si="165"/>
        <v>0</v>
      </c>
      <c r="P265" s="1603">
        <f t="shared" si="165"/>
        <v>0</v>
      </c>
      <c r="Q265" s="1604">
        <f t="shared" si="165"/>
        <v>0</v>
      </c>
      <c r="R265" s="1604"/>
      <c r="S265" s="1604"/>
      <c r="T265" s="1604"/>
      <c r="U265" s="1604"/>
      <c r="V265" s="1604">
        <f t="shared" si="160"/>
        <v>0</v>
      </c>
      <c r="W265" s="1609"/>
      <c r="X265" s="1609"/>
      <c r="Y265" s="1609"/>
    </row>
    <row r="266" spans="1:25" ht="27" customHeight="1" thickBot="1" x14ac:dyDescent="0.55000000000000004">
      <c r="A266" s="1616"/>
      <c r="B266" s="1552"/>
      <c r="C266" s="1578"/>
      <c r="D266" s="1552"/>
      <c r="E266" s="1602">
        <f t="shared" si="169"/>
        <v>0</v>
      </c>
      <c r="F266" s="1602"/>
      <c r="G266" s="1602"/>
      <c r="H266" s="1602"/>
      <c r="I266" s="1602">
        <f t="shared" si="169"/>
        <v>0</v>
      </c>
      <c r="J266" s="1602">
        <f t="shared" si="169"/>
        <v>0</v>
      </c>
      <c r="K266" s="1602">
        <f t="shared" si="169"/>
        <v>0</v>
      </c>
      <c r="L266" s="1602">
        <f t="shared" si="169"/>
        <v>0</v>
      </c>
      <c r="M266" s="1602">
        <f t="shared" si="169"/>
        <v>0</v>
      </c>
      <c r="N266" s="1602">
        <f t="shared" si="169"/>
        <v>0</v>
      </c>
      <c r="O266" s="1603">
        <f t="shared" si="165"/>
        <v>0</v>
      </c>
      <c r="P266" s="1603">
        <f t="shared" si="165"/>
        <v>0</v>
      </c>
      <c r="Q266" s="1604">
        <f t="shared" si="165"/>
        <v>0</v>
      </c>
      <c r="R266" s="1604"/>
      <c r="S266" s="1604"/>
      <c r="T266" s="1604"/>
      <c r="U266" s="1604"/>
      <c r="V266" s="1604">
        <f t="shared" si="160"/>
        <v>0</v>
      </c>
      <c r="W266" s="1609"/>
      <c r="X266" s="1609"/>
      <c r="Y266" s="1609"/>
    </row>
    <row r="267" spans="1:25" ht="27" customHeight="1" thickBot="1" x14ac:dyDescent="0.55000000000000004">
      <c r="A267" s="1616"/>
      <c r="B267" s="1552"/>
      <c r="C267" s="1578"/>
      <c r="D267" s="1552"/>
      <c r="E267" s="1602">
        <f t="shared" si="169"/>
        <v>0</v>
      </c>
      <c r="F267" s="1602"/>
      <c r="G267" s="1602"/>
      <c r="H267" s="1602"/>
      <c r="I267" s="1602">
        <f t="shared" si="169"/>
        <v>0</v>
      </c>
      <c r="J267" s="1602">
        <f t="shared" si="169"/>
        <v>0</v>
      </c>
      <c r="K267" s="1602">
        <f t="shared" si="169"/>
        <v>0</v>
      </c>
      <c r="L267" s="1602">
        <f t="shared" si="169"/>
        <v>0</v>
      </c>
      <c r="M267" s="1602">
        <f t="shared" si="169"/>
        <v>0</v>
      </c>
      <c r="N267" s="1602">
        <f t="shared" si="169"/>
        <v>0</v>
      </c>
      <c r="O267" s="1603">
        <f t="shared" si="165"/>
        <v>0</v>
      </c>
      <c r="P267" s="1603">
        <f t="shared" si="165"/>
        <v>0</v>
      </c>
      <c r="Q267" s="1604">
        <f t="shared" si="165"/>
        <v>0</v>
      </c>
      <c r="R267" s="1604"/>
      <c r="S267" s="1604"/>
      <c r="T267" s="1604"/>
      <c r="U267" s="1604"/>
      <c r="V267" s="1604">
        <f t="shared" si="160"/>
        <v>0</v>
      </c>
      <c r="W267" s="1609"/>
      <c r="X267" s="1609"/>
      <c r="Y267" s="1609"/>
    </row>
    <row r="268" spans="1:25" ht="27" customHeight="1" thickBot="1" x14ac:dyDescent="0.55000000000000004">
      <c r="A268" s="1616"/>
      <c r="B268" s="1552"/>
      <c r="C268" s="1578"/>
      <c r="D268" s="1531"/>
      <c r="E268" s="1602">
        <f t="shared" si="169"/>
        <v>0</v>
      </c>
      <c r="F268" s="1602"/>
      <c r="G268" s="1602"/>
      <c r="H268" s="1602"/>
      <c r="I268" s="1602">
        <f t="shared" si="169"/>
        <v>0</v>
      </c>
      <c r="J268" s="1602">
        <f t="shared" si="169"/>
        <v>0</v>
      </c>
      <c r="K268" s="1602">
        <f t="shared" si="169"/>
        <v>0</v>
      </c>
      <c r="L268" s="1602">
        <f t="shared" si="169"/>
        <v>0</v>
      </c>
      <c r="M268" s="1602">
        <f t="shared" si="169"/>
        <v>0</v>
      </c>
      <c r="N268" s="1602">
        <f t="shared" si="169"/>
        <v>0</v>
      </c>
      <c r="O268" s="1603">
        <f t="shared" si="165"/>
        <v>0</v>
      </c>
      <c r="P268" s="1603">
        <f t="shared" si="165"/>
        <v>0</v>
      </c>
      <c r="Q268" s="1604">
        <f t="shared" si="165"/>
        <v>0</v>
      </c>
      <c r="R268" s="1604"/>
      <c r="S268" s="1604"/>
      <c r="T268" s="1604"/>
      <c r="U268" s="1604"/>
      <c r="V268" s="1604">
        <f t="shared" si="160"/>
        <v>0</v>
      </c>
      <c r="W268" s="1609"/>
      <c r="X268" s="1609"/>
      <c r="Y268" s="1609"/>
    </row>
    <row r="269" spans="1:25" ht="27" customHeight="1" thickBot="1" x14ac:dyDescent="0.55000000000000004">
      <c r="A269" s="1616"/>
      <c r="B269" s="1552"/>
      <c r="C269" s="1578"/>
      <c r="D269" s="1531"/>
      <c r="E269" s="1602">
        <f t="shared" ref="E269:N275" si="170">+INT(E412)</f>
        <v>0</v>
      </c>
      <c r="F269" s="1602"/>
      <c r="G269" s="1602"/>
      <c r="H269" s="1602"/>
      <c r="I269" s="1602">
        <f t="shared" si="170"/>
        <v>0</v>
      </c>
      <c r="J269" s="1602">
        <f t="shared" si="170"/>
        <v>0</v>
      </c>
      <c r="K269" s="1602">
        <f t="shared" si="170"/>
        <v>0</v>
      </c>
      <c r="L269" s="1602">
        <f t="shared" si="170"/>
        <v>0</v>
      </c>
      <c r="M269" s="1602">
        <f t="shared" si="170"/>
        <v>0</v>
      </c>
      <c r="N269" s="1602">
        <f t="shared" si="170"/>
        <v>0</v>
      </c>
      <c r="O269" s="1603">
        <f t="shared" si="165"/>
        <v>0</v>
      </c>
      <c r="P269" s="1603">
        <f t="shared" si="165"/>
        <v>0</v>
      </c>
      <c r="Q269" s="1604">
        <f t="shared" si="165"/>
        <v>0</v>
      </c>
      <c r="R269" s="1604"/>
      <c r="S269" s="1604"/>
      <c r="T269" s="1604"/>
      <c r="U269" s="1604"/>
      <c r="V269" s="1604">
        <f t="shared" si="160"/>
        <v>0</v>
      </c>
      <c r="W269" s="1609"/>
      <c r="X269" s="1609"/>
      <c r="Y269" s="1609"/>
    </row>
    <row r="270" spans="1:25" ht="27" customHeight="1" thickBot="1" x14ac:dyDescent="0.55000000000000004">
      <c r="A270" s="1616"/>
      <c r="B270" s="1531"/>
      <c r="C270" s="1578"/>
      <c r="D270" s="1531"/>
      <c r="E270" s="1602">
        <f t="shared" si="170"/>
        <v>0</v>
      </c>
      <c r="F270" s="1602"/>
      <c r="G270" s="1602"/>
      <c r="H270" s="1602"/>
      <c r="I270" s="1602">
        <f t="shared" si="170"/>
        <v>0</v>
      </c>
      <c r="J270" s="1602">
        <f t="shared" si="170"/>
        <v>0</v>
      </c>
      <c r="K270" s="1602">
        <f t="shared" si="170"/>
        <v>0</v>
      </c>
      <c r="L270" s="1602">
        <f t="shared" si="170"/>
        <v>0</v>
      </c>
      <c r="M270" s="1602">
        <f t="shared" si="170"/>
        <v>0</v>
      </c>
      <c r="N270" s="1602">
        <f t="shared" si="170"/>
        <v>0</v>
      </c>
      <c r="O270" s="1603">
        <f t="shared" si="165"/>
        <v>0</v>
      </c>
      <c r="P270" s="1603">
        <f t="shared" si="165"/>
        <v>0</v>
      </c>
      <c r="Q270" s="1604">
        <f t="shared" si="165"/>
        <v>0</v>
      </c>
      <c r="R270" s="1604"/>
      <c r="S270" s="1604"/>
      <c r="T270" s="1604"/>
      <c r="U270" s="1604"/>
      <c r="V270" s="1604">
        <f t="shared" si="160"/>
        <v>0</v>
      </c>
      <c r="W270" s="1609"/>
      <c r="X270" s="1609"/>
      <c r="Y270" s="1609"/>
    </row>
    <row r="271" spans="1:25" ht="27" customHeight="1" thickBot="1" x14ac:dyDescent="0.55000000000000004">
      <c r="A271" s="1616"/>
      <c r="B271" s="1531"/>
      <c r="C271" s="1578"/>
      <c r="D271" s="1531"/>
      <c r="E271" s="1602">
        <f t="shared" si="170"/>
        <v>0</v>
      </c>
      <c r="F271" s="1602"/>
      <c r="G271" s="1602"/>
      <c r="H271" s="1602"/>
      <c r="I271" s="1602">
        <f t="shared" si="170"/>
        <v>0</v>
      </c>
      <c r="J271" s="1602">
        <f t="shared" si="170"/>
        <v>0</v>
      </c>
      <c r="K271" s="1602">
        <f t="shared" si="170"/>
        <v>0</v>
      </c>
      <c r="L271" s="1602">
        <f t="shared" si="170"/>
        <v>0</v>
      </c>
      <c r="M271" s="1602">
        <f t="shared" si="170"/>
        <v>0</v>
      </c>
      <c r="N271" s="1602">
        <f t="shared" si="170"/>
        <v>0</v>
      </c>
      <c r="O271" s="1603">
        <f t="shared" si="165"/>
        <v>0</v>
      </c>
      <c r="P271" s="1603">
        <f t="shared" si="165"/>
        <v>0</v>
      </c>
      <c r="Q271" s="1604">
        <f t="shared" si="165"/>
        <v>0</v>
      </c>
      <c r="R271" s="1604"/>
      <c r="S271" s="1604"/>
      <c r="T271" s="1604"/>
      <c r="U271" s="1604"/>
      <c r="V271" s="1604">
        <f t="shared" si="160"/>
        <v>0</v>
      </c>
      <c r="W271" s="1609"/>
      <c r="X271" s="1609"/>
      <c r="Y271" s="1609"/>
    </row>
    <row r="272" spans="1:25" ht="27" customHeight="1" thickBot="1" x14ac:dyDescent="0.5">
      <c r="A272" s="1616"/>
      <c r="B272" s="1532"/>
      <c r="C272" s="1551"/>
      <c r="D272" s="1591"/>
      <c r="E272" s="1602">
        <f t="shared" si="170"/>
        <v>0</v>
      </c>
      <c r="F272" s="1602"/>
      <c r="G272" s="1602"/>
      <c r="H272" s="1602"/>
      <c r="I272" s="1602">
        <f t="shared" si="170"/>
        <v>0</v>
      </c>
      <c r="J272" s="1602">
        <f t="shared" si="170"/>
        <v>0</v>
      </c>
      <c r="K272" s="1602">
        <f t="shared" si="170"/>
        <v>0</v>
      </c>
      <c r="L272" s="1602">
        <f t="shared" si="170"/>
        <v>0</v>
      </c>
      <c r="M272" s="1602">
        <f t="shared" si="170"/>
        <v>0</v>
      </c>
      <c r="N272" s="1602">
        <f t="shared" si="170"/>
        <v>0</v>
      </c>
      <c r="O272" s="1603">
        <f t="shared" si="165"/>
        <v>0</v>
      </c>
      <c r="P272" s="1603">
        <f t="shared" si="165"/>
        <v>0</v>
      </c>
      <c r="Q272" s="1604">
        <f t="shared" si="165"/>
        <v>0</v>
      </c>
      <c r="R272" s="1604"/>
      <c r="S272" s="1604"/>
      <c r="T272" s="1604"/>
      <c r="U272" s="1604"/>
      <c r="V272" s="1604">
        <f t="shared" si="160"/>
        <v>0</v>
      </c>
      <c r="W272" s="1604" t="e">
        <f ca="1">SUM(V210:V272)</f>
        <v>#REF!</v>
      </c>
      <c r="X272" s="1619"/>
      <c r="Y272" s="1619"/>
    </row>
    <row r="273" spans="1:34" ht="27" customHeight="1" thickBot="1" x14ac:dyDescent="0.55000000000000004">
      <c r="A273" s="1612"/>
      <c r="B273" s="1620"/>
      <c r="C273" s="1621"/>
      <c r="D273" s="1622"/>
      <c r="E273" s="1602">
        <f t="shared" si="170"/>
        <v>0</v>
      </c>
      <c r="F273" s="1602"/>
      <c r="G273" s="1602"/>
      <c r="H273" s="1602"/>
      <c r="I273" s="1602">
        <f t="shared" si="170"/>
        <v>0</v>
      </c>
      <c r="J273" s="1602">
        <f t="shared" si="170"/>
        <v>0</v>
      </c>
      <c r="K273" s="1602">
        <f t="shared" si="170"/>
        <v>0</v>
      </c>
      <c r="L273" s="1602">
        <f t="shared" si="170"/>
        <v>0</v>
      </c>
      <c r="M273" s="1602">
        <f t="shared" si="170"/>
        <v>0</v>
      </c>
      <c r="N273" s="1602">
        <f t="shared" si="170"/>
        <v>0</v>
      </c>
      <c r="O273" s="1603">
        <f t="shared" si="165"/>
        <v>0</v>
      </c>
      <c r="P273" s="1603">
        <f t="shared" si="165"/>
        <v>0</v>
      </c>
      <c r="Q273" s="1604">
        <f t="shared" si="165"/>
        <v>0</v>
      </c>
      <c r="R273" s="1604"/>
      <c r="S273" s="1604"/>
      <c r="T273" s="1604"/>
      <c r="U273" s="1604"/>
      <c r="V273" s="1604">
        <f t="shared" si="160"/>
        <v>0</v>
      </c>
      <c r="W273" s="1623"/>
      <c r="X273" s="1623"/>
      <c r="Y273" s="1623"/>
    </row>
    <row r="274" spans="1:34" ht="27" customHeight="1" thickBot="1" x14ac:dyDescent="0.55000000000000004">
      <c r="A274" s="1613"/>
      <c r="B274" s="1624"/>
      <c r="C274" s="1625"/>
      <c r="D274" s="1626"/>
      <c r="E274" s="1602">
        <f t="shared" si="170"/>
        <v>0</v>
      </c>
      <c r="F274" s="1602"/>
      <c r="G274" s="1602"/>
      <c r="H274" s="1602"/>
      <c r="I274" s="1602">
        <f t="shared" si="170"/>
        <v>0</v>
      </c>
      <c r="J274" s="1602">
        <f t="shared" si="170"/>
        <v>0</v>
      </c>
      <c r="K274" s="1602">
        <f t="shared" si="170"/>
        <v>0</v>
      </c>
      <c r="L274" s="1602">
        <f t="shared" si="170"/>
        <v>0</v>
      </c>
      <c r="M274" s="1602">
        <f t="shared" si="170"/>
        <v>0</v>
      </c>
      <c r="N274" s="1602">
        <f t="shared" si="170"/>
        <v>0</v>
      </c>
      <c r="O274" s="1603">
        <f t="shared" si="165"/>
        <v>0</v>
      </c>
      <c r="P274" s="1603">
        <f t="shared" si="165"/>
        <v>0</v>
      </c>
      <c r="Q274" s="1604">
        <f t="shared" si="165"/>
        <v>0</v>
      </c>
      <c r="R274" s="1604"/>
      <c r="S274" s="1604"/>
      <c r="T274" s="1604"/>
      <c r="U274" s="1604"/>
      <c r="V274" s="1604">
        <f t="shared" si="160"/>
        <v>0</v>
      </c>
      <c r="W274" s="1623"/>
      <c r="X274" s="1623"/>
      <c r="Y274" s="1623"/>
    </row>
    <row r="275" spans="1:34" ht="62.1" customHeight="1" x14ac:dyDescent="0.5">
      <c r="A275" s="4288" t="s">
        <v>417</v>
      </c>
      <c r="B275" s="4289"/>
      <c r="C275" s="4289"/>
      <c r="D275" s="4290"/>
      <c r="E275" s="1602" t="e">
        <f t="shared" si="170"/>
        <v>#REF!</v>
      </c>
      <c r="F275" s="1602"/>
      <c r="G275" s="1602"/>
      <c r="H275" s="1602"/>
      <c r="I275" s="1602">
        <f t="shared" si="170"/>
        <v>0</v>
      </c>
      <c r="J275" s="1602">
        <f t="shared" si="170"/>
        <v>0</v>
      </c>
      <c r="K275" s="1602">
        <f t="shared" si="170"/>
        <v>0</v>
      </c>
      <c r="L275" s="1602">
        <f t="shared" si="170"/>
        <v>0</v>
      </c>
      <c r="M275" s="1602">
        <f t="shared" si="170"/>
        <v>0</v>
      </c>
      <c r="N275" s="1602">
        <f t="shared" si="170"/>
        <v>0</v>
      </c>
      <c r="O275" s="1603">
        <f t="shared" si="165"/>
        <v>0</v>
      </c>
      <c r="P275" s="1603">
        <f t="shared" si="165"/>
        <v>0</v>
      </c>
      <c r="Q275" s="1604">
        <f t="shared" si="165"/>
        <v>0</v>
      </c>
      <c r="R275" s="1604"/>
      <c r="S275" s="1604"/>
      <c r="T275" s="1604"/>
      <c r="U275" s="1604"/>
      <c r="V275" s="1604">
        <f t="shared" si="160"/>
        <v>0</v>
      </c>
      <c r="W275" s="1623"/>
      <c r="X275" s="1623"/>
      <c r="Y275" s="1623"/>
    </row>
    <row r="276" spans="1:34" ht="62.1" customHeight="1" thickBot="1" x14ac:dyDescent="0.5">
      <c r="A276" s="1627"/>
      <c r="B276" s="1628"/>
      <c r="C276" s="1629"/>
      <c r="D276" s="1628"/>
    </row>
    <row r="277" spans="1:34" ht="62.1" customHeight="1" x14ac:dyDescent="0.5">
      <c r="A277" s="4283" t="s">
        <v>855</v>
      </c>
      <c r="B277" s="4283"/>
      <c r="C277" s="4283"/>
      <c r="D277" s="4283"/>
      <c r="E277" s="1630" t="e">
        <f t="shared" ref="E277:Q277" si="171">SUM(E210:E276)</f>
        <v>#REF!</v>
      </c>
      <c r="F277" s="1630"/>
      <c r="G277" s="1630"/>
      <c r="H277" s="1630"/>
      <c r="I277" s="1630" t="e">
        <f t="shared" si="171"/>
        <v>#REF!</v>
      </c>
      <c r="J277" s="1630" t="e">
        <f t="shared" si="171"/>
        <v>#REF!</v>
      </c>
      <c r="K277" s="1630" t="e">
        <f t="shared" si="171"/>
        <v>#REF!</v>
      </c>
      <c r="L277" s="1630" t="e">
        <f t="shared" ca="1" si="171"/>
        <v>#REF!</v>
      </c>
      <c r="M277" s="1630" t="e">
        <f t="shared" ca="1" si="171"/>
        <v>#REF!</v>
      </c>
      <c r="N277" s="1630" t="e">
        <f t="shared" ca="1" si="171"/>
        <v>#REF!</v>
      </c>
      <c r="O277" s="1632" t="e">
        <f t="shared" ca="1" si="171"/>
        <v>#REF!</v>
      </c>
      <c r="P277" s="1632" t="e">
        <f t="shared" ca="1" si="171"/>
        <v>#REF!</v>
      </c>
      <c r="Q277" s="1632" t="e">
        <f t="shared" ca="1" si="171"/>
        <v>#REF!</v>
      </c>
      <c r="R277" s="2269"/>
      <c r="S277" s="2269"/>
      <c r="T277" s="2269"/>
      <c r="U277" s="2269"/>
      <c r="V277" s="1604" t="e">
        <f t="shared" ca="1" si="160"/>
        <v>#REF!</v>
      </c>
      <c r="W277" s="1489" t="e">
        <f ca="1">SUM(W210:W276)</f>
        <v>#REF!</v>
      </c>
      <c r="Y277" s="1490"/>
      <c r="Z277" s="4237" t="s">
        <v>304</v>
      </c>
      <c r="AA277" s="4238"/>
      <c r="AB277" s="4240"/>
      <c r="AC277" s="4237" t="s">
        <v>439</v>
      </c>
      <c r="AD277" s="4238"/>
      <c r="AE277" s="4240"/>
      <c r="AF277" s="4237" t="s">
        <v>449</v>
      </c>
      <c r="AG277" s="4238"/>
      <c r="AH277" s="4240"/>
    </row>
    <row r="278" spans="1:34" ht="62.1" customHeight="1" x14ac:dyDescent="0.45">
      <c r="A278" s="1633"/>
      <c r="B278" s="1634"/>
      <c r="C278" s="1634"/>
      <c r="D278" s="1634"/>
      <c r="I278" s="4237" t="s">
        <v>304</v>
      </c>
      <c r="J278" s="4238"/>
      <c r="K278" s="4240"/>
      <c r="L278" s="4237" t="s">
        <v>439</v>
      </c>
      <c r="M278" s="4238"/>
      <c r="N278" s="4240"/>
      <c r="O278" s="4237" t="s">
        <v>449</v>
      </c>
      <c r="P278" s="4238"/>
      <c r="Q278" s="4240"/>
      <c r="R278" s="1638"/>
      <c r="S278" s="1638"/>
      <c r="T278" s="1638"/>
      <c r="U278" s="1638"/>
      <c r="Z278" s="1600" t="s">
        <v>287</v>
      </c>
      <c r="AA278" s="1600" t="s">
        <v>289</v>
      </c>
      <c r="AB278" s="1600" t="s">
        <v>288</v>
      </c>
      <c r="AC278" s="1600" t="s">
        <v>287</v>
      </c>
      <c r="AD278" s="1600" t="s">
        <v>289</v>
      </c>
      <c r="AE278" s="1600" t="s">
        <v>288</v>
      </c>
      <c r="AF278" s="1600" t="s">
        <v>287</v>
      </c>
      <c r="AG278" s="1600" t="s">
        <v>289</v>
      </c>
      <c r="AH278" s="1600" t="s">
        <v>288</v>
      </c>
    </row>
    <row r="279" spans="1:34" ht="62.1" customHeight="1" x14ac:dyDescent="0.45">
      <c r="A279" s="1633"/>
      <c r="B279" s="1634"/>
      <c r="C279" s="1634"/>
      <c r="D279" s="1634"/>
      <c r="E279" s="1594"/>
      <c r="F279" s="1594"/>
      <c r="G279" s="1594"/>
      <c r="H279" s="1594"/>
      <c r="I279" s="1600" t="s">
        <v>287</v>
      </c>
      <c r="J279" s="1600" t="s">
        <v>289</v>
      </c>
      <c r="K279" s="1600" t="s">
        <v>288</v>
      </c>
      <c r="L279" s="1600" t="s">
        <v>287</v>
      </c>
      <c r="M279" s="1600" t="s">
        <v>289</v>
      </c>
      <c r="N279" s="1600" t="s">
        <v>288</v>
      </c>
      <c r="O279" s="1600" t="s">
        <v>287</v>
      </c>
      <c r="P279" s="1600" t="s">
        <v>289</v>
      </c>
      <c r="Q279" s="1600" t="s">
        <v>288</v>
      </c>
      <c r="R279" s="1638"/>
      <c r="S279" s="1638"/>
      <c r="T279" s="1638"/>
      <c r="U279" s="1638"/>
      <c r="X279" s="1489" t="s">
        <v>867</v>
      </c>
      <c r="Y279" s="1573" t="e">
        <f>+E277</f>
        <v>#REF!</v>
      </c>
      <c r="Z279" s="1573" t="e">
        <f t="shared" ref="Z279:AH279" si="172">+I277</f>
        <v>#REF!</v>
      </c>
      <c r="AA279" s="1573" t="e">
        <f t="shared" si="172"/>
        <v>#REF!</v>
      </c>
      <c r="AB279" s="1573" t="e">
        <f t="shared" si="172"/>
        <v>#REF!</v>
      </c>
      <c r="AC279" s="1573" t="e">
        <f t="shared" ca="1" si="172"/>
        <v>#REF!</v>
      </c>
      <c r="AD279" s="1573" t="e">
        <f t="shared" ca="1" si="172"/>
        <v>#REF!</v>
      </c>
      <c r="AE279" s="1573" t="e">
        <f t="shared" ca="1" si="172"/>
        <v>#REF!</v>
      </c>
      <c r="AF279" s="1573" t="e">
        <f t="shared" ca="1" si="172"/>
        <v>#REF!</v>
      </c>
      <c r="AG279" s="1573" t="e">
        <f t="shared" ca="1" si="172"/>
        <v>#REF!</v>
      </c>
      <c r="AH279" s="1573" t="e">
        <f t="shared" ca="1" si="172"/>
        <v>#REF!</v>
      </c>
    </row>
    <row r="280" spans="1:34" ht="62.1" customHeight="1" thickBot="1" x14ac:dyDescent="0.5">
      <c r="A280" s="5086" t="s">
        <v>868</v>
      </c>
      <c r="B280" s="5086"/>
      <c r="C280" s="5086"/>
      <c r="D280" s="5086"/>
      <c r="E280" s="5086"/>
      <c r="F280" s="5086"/>
      <c r="G280" s="5086"/>
      <c r="H280" s="5086"/>
      <c r="I280" s="5086"/>
      <c r="J280" s="5086"/>
      <c r="K280" s="5086"/>
      <c r="L280" s="5086"/>
      <c r="M280" s="5086"/>
      <c r="N280" s="5086"/>
      <c r="O280" s="5086"/>
      <c r="P280" s="5086"/>
      <c r="Q280" s="5086"/>
      <c r="R280" s="2262"/>
      <c r="S280" s="2262"/>
      <c r="T280" s="2262"/>
      <c r="U280" s="2262"/>
      <c r="X280" s="1489" t="s">
        <v>869</v>
      </c>
      <c r="Y280" s="1573" t="e">
        <f>+SUM(E283:E287)</f>
        <v>#REF!</v>
      </c>
      <c r="Z280" s="1573" t="e">
        <f t="shared" ref="Z280:AH280" si="173">+SUM(I283:I287)</f>
        <v>#REF!</v>
      </c>
      <c r="AA280" s="1573" t="e">
        <f t="shared" si="173"/>
        <v>#REF!</v>
      </c>
      <c r="AB280" s="1573" t="e">
        <f t="shared" si="173"/>
        <v>#REF!</v>
      </c>
      <c r="AC280" s="1573" t="e">
        <f t="shared" si="173"/>
        <v>#REF!</v>
      </c>
      <c r="AD280" s="1573" t="e">
        <f t="shared" si="173"/>
        <v>#REF!</v>
      </c>
      <c r="AE280" s="1573" t="e">
        <f t="shared" si="173"/>
        <v>#REF!</v>
      </c>
      <c r="AF280" s="1573" t="e">
        <f t="shared" si="173"/>
        <v>#REF!</v>
      </c>
      <c r="AG280" s="1573" t="e">
        <f t="shared" si="173"/>
        <v>#REF!</v>
      </c>
      <c r="AH280" s="1573" t="e">
        <f t="shared" si="173"/>
        <v>#REF!</v>
      </c>
    </row>
    <row r="281" spans="1:34" ht="62.1" customHeight="1" x14ac:dyDescent="0.45">
      <c r="A281" s="2163"/>
      <c r="B281" s="2163"/>
      <c r="C281" s="2163"/>
      <c r="D281" s="2163"/>
      <c r="E281" s="4210" t="s">
        <v>101</v>
      </c>
      <c r="F281" s="2255"/>
      <c r="G281" s="2255"/>
      <c r="H281" s="2255"/>
      <c r="I281" s="4295" t="s">
        <v>304</v>
      </c>
      <c r="J281" s="4317"/>
      <c r="K281" s="4317"/>
      <c r="L281" s="4317" t="s">
        <v>368</v>
      </c>
      <c r="M281" s="4317"/>
      <c r="N281" s="4317"/>
      <c r="O281" s="4325" t="s">
        <v>377</v>
      </c>
      <c r="P281" s="4325"/>
      <c r="Q281" s="5229"/>
      <c r="R281" s="1860"/>
      <c r="S281" s="1860"/>
      <c r="T281" s="1860"/>
      <c r="U281" s="1860"/>
      <c r="X281" s="1489" t="s">
        <v>870</v>
      </c>
      <c r="Y281" s="1573" t="e">
        <f>+SUM(E290:E291)</f>
        <v>#REF!</v>
      </c>
      <c r="Z281" s="1573" t="e">
        <f t="shared" ref="Z281:AH281" si="174">+SUM(I290:I291)</f>
        <v>#REF!</v>
      </c>
      <c r="AA281" s="1573" t="e">
        <f t="shared" si="174"/>
        <v>#REF!</v>
      </c>
      <c r="AB281" s="1573" t="e">
        <f t="shared" si="174"/>
        <v>#REF!</v>
      </c>
      <c r="AC281" s="1573" t="e">
        <f t="shared" si="174"/>
        <v>#REF!</v>
      </c>
      <c r="AD281" s="1573" t="e">
        <f t="shared" si="174"/>
        <v>#REF!</v>
      </c>
      <c r="AE281" s="1573" t="e">
        <f t="shared" si="174"/>
        <v>#REF!</v>
      </c>
      <c r="AF281" s="1573" t="e">
        <f t="shared" si="174"/>
        <v>#REF!</v>
      </c>
      <c r="AG281" s="1573" t="e">
        <f t="shared" si="174"/>
        <v>#REF!</v>
      </c>
      <c r="AH281" s="1573" t="e">
        <f t="shared" si="174"/>
        <v>#REF!</v>
      </c>
    </row>
    <row r="282" spans="1:34" ht="62.1" customHeight="1" x14ac:dyDescent="0.45">
      <c r="A282" s="5312" t="s">
        <v>163</v>
      </c>
      <c r="B282" s="5312"/>
      <c r="C282" s="5312"/>
      <c r="D282" s="5312"/>
      <c r="E282" s="4211"/>
      <c r="F282" s="2256"/>
      <c r="G282" s="2256"/>
      <c r="H282" s="2256"/>
      <c r="I282" s="1740" t="s">
        <v>287</v>
      </c>
      <c r="J282" s="1738" t="s">
        <v>289</v>
      </c>
      <c r="K282" s="1738" t="s">
        <v>288</v>
      </c>
      <c r="L282" s="1738" t="s">
        <v>287</v>
      </c>
      <c r="M282" s="1738" t="s">
        <v>289</v>
      </c>
      <c r="N282" s="1738" t="s">
        <v>288</v>
      </c>
      <c r="O282" s="1730" t="s">
        <v>287</v>
      </c>
      <c r="P282" s="1730" t="s">
        <v>289</v>
      </c>
      <c r="Q282" s="1731" t="s">
        <v>288</v>
      </c>
      <c r="R282" s="1860"/>
      <c r="S282" s="1860"/>
      <c r="T282" s="1860"/>
      <c r="U282" s="1860"/>
      <c r="X282" s="1489" t="s">
        <v>871</v>
      </c>
      <c r="Y282" s="1573" t="e">
        <f>SUM(Y279:Y281)</f>
        <v>#REF!</v>
      </c>
      <c r="Z282" s="1573" t="e">
        <f t="shared" ref="Z282:AH282" si="175">SUM(Z279:Z281)</f>
        <v>#REF!</v>
      </c>
      <c r="AA282" s="1573" t="e">
        <f t="shared" si="175"/>
        <v>#REF!</v>
      </c>
      <c r="AB282" s="1573" t="e">
        <f t="shared" si="175"/>
        <v>#REF!</v>
      </c>
      <c r="AC282" s="1573" t="e">
        <f t="shared" ca="1" si="175"/>
        <v>#REF!</v>
      </c>
      <c r="AD282" s="1573" t="e">
        <f t="shared" ca="1" si="175"/>
        <v>#REF!</v>
      </c>
      <c r="AE282" s="1573" t="e">
        <f t="shared" ca="1" si="175"/>
        <v>#REF!</v>
      </c>
      <c r="AF282" s="1573" t="e">
        <f t="shared" ca="1" si="175"/>
        <v>#REF!</v>
      </c>
      <c r="AG282" s="1573" t="e">
        <f t="shared" ca="1" si="175"/>
        <v>#REF!</v>
      </c>
      <c r="AH282" s="1573" t="e">
        <f t="shared" ca="1" si="175"/>
        <v>#REF!</v>
      </c>
    </row>
    <row r="283" spans="1:34" ht="62.1" customHeight="1" x14ac:dyDescent="0.45">
      <c r="A283" s="5330" t="s">
        <v>857</v>
      </c>
      <c r="B283" s="5330"/>
      <c r="C283" s="5330"/>
      <c r="D283" s="5330"/>
      <c r="E283" s="2030" t="e">
        <f>+INT(E348)</f>
        <v>#REF!</v>
      </c>
      <c r="F283" s="2030"/>
      <c r="G283" s="2030"/>
      <c r="H283" s="2030"/>
      <c r="I283" s="2030" t="e">
        <f t="shared" ref="I283:N283" si="176">+INT(I348)</f>
        <v>#REF!</v>
      </c>
      <c r="J283" s="2030" t="e">
        <f t="shared" si="176"/>
        <v>#REF!</v>
      </c>
      <c r="K283" s="2030" t="e">
        <f t="shared" si="176"/>
        <v>#REF!</v>
      </c>
      <c r="L283" s="2030" t="e">
        <f t="shared" si="176"/>
        <v>#REF!</v>
      </c>
      <c r="M283" s="2030" t="e">
        <f t="shared" si="176"/>
        <v>#REF!</v>
      </c>
      <c r="N283" s="2030" t="e">
        <f t="shared" si="176"/>
        <v>#REF!</v>
      </c>
      <c r="O283" s="1558" t="e">
        <f t="shared" ref="O283:Q287" si="177">+I283+L283</f>
        <v>#REF!</v>
      </c>
      <c r="P283" s="1558" t="e">
        <f t="shared" si="177"/>
        <v>#REF!</v>
      </c>
      <c r="Q283" s="1559" t="e">
        <f t="shared" si="177"/>
        <v>#REF!</v>
      </c>
      <c r="R283" s="2261"/>
      <c r="S283" s="2261"/>
      <c r="T283" s="2261"/>
      <c r="U283" s="2261"/>
      <c r="X283" s="1489" t="s">
        <v>467</v>
      </c>
      <c r="Y283" s="1573" t="e">
        <f>+E420+D429</f>
        <v>#REF!</v>
      </c>
      <c r="Z283" s="1573" t="e">
        <f>+Z420</f>
        <v>#REF!</v>
      </c>
      <c r="AA283" s="1573" t="e">
        <f>+AB420</f>
        <v>#REF!</v>
      </c>
      <c r="AB283" s="1573" t="e">
        <f>+AA420</f>
        <v>#REF!</v>
      </c>
      <c r="AC283" s="1573" t="e">
        <f ca="1">+AC420</f>
        <v>#REF!</v>
      </c>
      <c r="AD283" s="1573" t="e">
        <f ca="1">+AE420</f>
        <v>#REF!</v>
      </c>
      <c r="AE283" s="1573" t="e">
        <f ca="1">+AD420</f>
        <v>#REF!</v>
      </c>
      <c r="AF283" s="1573" t="e">
        <f ca="1">+AF420</f>
        <v>#REF!</v>
      </c>
      <c r="AG283" s="1573" t="e">
        <f ca="1">+AH420</f>
        <v>#REF!</v>
      </c>
      <c r="AH283" s="1573" t="e">
        <f ca="1">+AG420</f>
        <v>#REF!</v>
      </c>
    </row>
    <row r="284" spans="1:34" ht="62.1" customHeight="1" x14ac:dyDescent="0.45">
      <c r="A284" s="5330" t="s">
        <v>858</v>
      </c>
      <c r="B284" s="5330"/>
      <c r="C284" s="5330"/>
      <c r="D284" s="5330"/>
      <c r="E284" s="2030" t="e">
        <f>+INT(E358)</f>
        <v>#REF!</v>
      </c>
      <c r="F284" s="2030"/>
      <c r="G284" s="2030"/>
      <c r="H284" s="2030"/>
      <c r="I284" s="2030" t="e">
        <f t="shared" ref="I284:N284" si="178">+INT(I358)</f>
        <v>#REF!</v>
      </c>
      <c r="J284" s="2030" t="e">
        <f t="shared" si="178"/>
        <v>#REF!</v>
      </c>
      <c r="K284" s="2030" t="e">
        <f t="shared" si="178"/>
        <v>#REF!</v>
      </c>
      <c r="L284" s="2030" t="e">
        <f t="shared" si="178"/>
        <v>#REF!</v>
      </c>
      <c r="M284" s="2030" t="e">
        <f t="shared" si="178"/>
        <v>#REF!</v>
      </c>
      <c r="N284" s="2030" t="e">
        <f t="shared" si="178"/>
        <v>#REF!</v>
      </c>
      <c r="O284" s="1558" t="e">
        <f t="shared" si="177"/>
        <v>#REF!</v>
      </c>
      <c r="P284" s="1558" t="e">
        <f t="shared" si="177"/>
        <v>#REF!</v>
      </c>
      <c r="Q284" s="1559" t="e">
        <f t="shared" si="177"/>
        <v>#REF!</v>
      </c>
      <c r="R284" s="2261"/>
      <c r="S284" s="2261"/>
      <c r="T284" s="2261"/>
      <c r="U284" s="2261"/>
      <c r="X284" s="1489" t="s">
        <v>872</v>
      </c>
      <c r="Z284" s="1573" t="e">
        <f>+Z283-Z282</f>
        <v>#REF!</v>
      </c>
      <c r="AA284" s="1573" t="e">
        <f t="shared" ref="AA284:AH284" si="179">+AA283-AA282</f>
        <v>#REF!</v>
      </c>
      <c r="AB284" s="1573" t="e">
        <f t="shared" si="179"/>
        <v>#REF!</v>
      </c>
      <c r="AC284" s="1573" t="e">
        <f t="shared" ca="1" si="179"/>
        <v>#REF!</v>
      </c>
      <c r="AD284" s="1573" t="e">
        <f t="shared" ca="1" si="179"/>
        <v>#REF!</v>
      </c>
      <c r="AE284" s="1573" t="e">
        <f t="shared" ca="1" si="179"/>
        <v>#REF!</v>
      </c>
      <c r="AF284" s="1573" t="e">
        <f t="shared" ca="1" si="179"/>
        <v>#REF!</v>
      </c>
      <c r="AG284" s="1573" t="e">
        <f t="shared" ca="1" si="179"/>
        <v>#REF!</v>
      </c>
      <c r="AH284" s="1573" t="e">
        <f t="shared" ca="1" si="179"/>
        <v>#REF!</v>
      </c>
    </row>
    <row r="285" spans="1:34" ht="62.1" customHeight="1" x14ac:dyDescent="0.45">
      <c r="A285" s="5330" t="s">
        <v>859</v>
      </c>
      <c r="B285" s="5330"/>
      <c r="C285" s="5330"/>
      <c r="D285" s="5330"/>
      <c r="E285" s="2030" t="e">
        <f>+INT(E368)</f>
        <v>#REF!</v>
      </c>
      <c r="F285" s="2030"/>
      <c r="G285" s="2030"/>
      <c r="H285" s="2030"/>
      <c r="I285" s="2030" t="e">
        <f t="shared" ref="I285:N285" si="180">+INT(I368)</f>
        <v>#REF!</v>
      </c>
      <c r="J285" s="2030" t="e">
        <f t="shared" si="180"/>
        <v>#REF!</v>
      </c>
      <c r="K285" s="2030" t="e">
        <f t="shared" si="180"/>
        <v>#REF!</v>
      </c>
      <c r="L285" s="2030" t="e">
        <f t="shared" si="180"/>
        <v>#REF!</v>
      </c>
      <c r="M285" s="2030" t="e">
        <f t="shared" si="180"/>
        <v>#REF!</v>
      </c>
      <c r="N285" s="2030" t="e">
        <f t="shared" si="180"/>
        <v>#REF!</v>
      </c>
      <c r="O285" s="1558" t="e">
        <f t="shared" si="177"/>
        <v>#REF!</v>
      </c>
      <c r="P285" s="1558" t="e">
        <f t="shared" si="177"/>
        <v>#REF!</v>
      </c>
      <c r="Q285" s="1559" t="e">
        <f t="shared" si="177"/>
        <v>#REF!</v>
      </c>
      <c r="R285" s="2261"/>
      <c r="S285" s="2261"/>
      <c r="T285" s="2261"/>
      <c r="U285" s="2261"/>
    </row>
    <row r="286" spans="1:34" ht="62.1" customHeight="1" x14ac:dyDescent="0.45">
      <c r="A286" s="5330" t="s">
        <v>860</v>
      </c>
      <c r="B286" s="5330"/>
      <c r="C286" s="5330"/>
      <c r="D286" s="5330"/>
      <c r="E286" s="2030" t="e">
        <f>+INT(E376)</f>
        <v>#REF!</v>
      </c>
      <c r="F286" s="2030"/>
      <c r="G286" s="2030"/>
      <c r="H286" s="2030"/>
      <c r="I286" s="2030" t="e">
        <f t="shared" ref="I286:N286" si="181">+INT(I376)</f>
        <v>#REF!</v>
      </c>
      <c r="J286" s="2030" t="e">
        <f t="shared" si="181"/>
        <v>#REF!</v>
      </c>
      <c r="K286" s="2030" t="e">
        <f t="shared" si="181"/>
        <v>#REF!</v>
      </c>
      <c r="L286" s="2030" t="e">
        <f t="shared" si="181"/>
        <v>#REF!</v>
      </c>
      <c r="M286" s="2030" t="e">
        <f t="shared" si="181"/>
        <v>#REF!</v>
      </c>
      <c r="N286" s="2030" t="e">
        <f t="shared" si="181"/>
        <v>#REF!</v>
      </c>
      <c r="O286" s="1558" t="e">
        <f t="shared" si="177"/>
        <v>#REF!</v>
      </c>
      <c r="P286" s="1558" t="e">
        <f t="shared" si="177"/>
        <v>#REF!</v>
      </c>
      <c r="Q286" s="1559" t="e">
        <f t="shared" si="177"/>
        <v>#REF!</v>
      </c>
      <c r="R286" s="2261"/>
      <c r="S286" s="2261"/>
      <c r="T286" s="2261"/>
      <c r="U286" s="2261"/>
    </row>
    <row r="287" spans="1:34" ht="62.1" customHeight="1" thickBot="1" x14ac:dyDescent="0.5">
      <c r="A287" s="5330" t="s">
        <v>861</v>
      </c>
      <c r="B287" s="5330"/>
      <c r="C287" s="5330"/>
      <c r="D287" s="5330"/>
      <c r="E287" s="2030" t="e">
        <f>+INT(E384)</f>
        <v>#REF!</v>
      </c>
      <c r="F287" s="2030"/>
      <c r="G287" s="2030"/>
      <c r="H287" s="2030"/>
      <c r="I287" s="2030" t="e">
        <f t="shared" ref="I287:N287" si="182">+INT(I384)</f>
        <v>#REF!</v>
      </c>
      <c r="J287" s="2030" t="e">
        <f t="shared" si="182"/>
        <v>#REF!</v>
      </c>
      <c r="K287" s="2030" t="e">
        <f t="shared" si="182"/>
        <v>#REF!</v>
      </c>
      <c r="L287" s="2030" t="e">
        <f t="shared" si="182"/>
        <v>#REF!</v>
      </c>
      <c r="M287" s="2030" t="e">
        <f t="shared" si="182"/>
        <v>#REF!</v>
      </c>
      <c r="N287" s="2030" t="e">
        <f t="shared" si="182"/>
        <v>#REF!</v>
      </c>
      <c r="O287" s="1558" t="e">
        <f t="shared" si="177"/>
        <v>#REF!</v>
      </c>
      <c r="P287" s="1558" t="e">
        <f t="shared" si="177"/>
        <v>#REF!</v>
      </c>
      <c r="Q287" s="1559" t="e">
        <f t="shared" si="177"/>
        <v>#REF!</v>
      </c>
      <c r="R287" s="2261"/>
      <c r="S287" s="2261"/>
      <c r="T287" s="2261"/>
      <c r="U287" s="2261"/>
    </row>
    <row r="288" spans="1:34" ht="62.1" customHeight="1" x14ac:dyDescent="0.45">
      <c r="A288" s="5083"/>
      <c r="B288" s="5084"/>
      <c r="C288" s="5084"/>
      <c r="D288" s="5085"/>
      <c r="E288" s="4210" t="s">
        <v>101</v>
      </c>
      <c r="F288" s="2255"/>
      <c r="G288" s="2255"/>
      <c r="H288" s="2255"/>
      <c r="I288" s="4295" t="s">
        <v>304</v>
      </c>
      <c r="J288" s="4317"/>
      <c r="K288" s="4317"/>
      <c r="L288" s="4317" t="s">
        <v>368</v>
      </c>
      <c r="M288" s="4317"/>
      <c r="N288" s="4317"/>
      <c r="O288" s="4325" t="s">
        <v>377</v>
      </c>
      <c r="P288" s="4325"/>
      <c r="Q288" s="5229"/>
      <c r="R288" s="1860"/>
      <c r="S288" s="1860"/>
      <c r="T288" s="1860"/>
      <c r="U288" s="1860"/>
    </row>
    <row r="289" spans="1:22" ht="62.1" customHeight="1" x14ac:dyDescent="0.45">
      <c r="A289" s="5316" t="s">
        <v>186</v>
      </c>
      <c r="B289" s="5316"/>
      <c r="C289" s="5316"/>
      <c r="D289" s="5316"/>
      <c r="E289" s="4211"/>
      <c r="F289" s="2256"/>
      <c r="G289" s="2256"/>
      <c r="H289" s="2256"/>
      <c r="I289" s="1740" t="s">
        <v>287</v>
      </c>
      <c r="J289" s="1738" t="s">
        <v>289</v>
      </c>
      <c r="K289" s="1738" t="s">
        <v>288</v>
      </c>
      <c r="L289" s="1738" t="s">
        <v>287</v>
      </c>
      <c r="M289" s="1738" t="s">
        <v>289</v>
      </c>
      <c r="N289" s="1738" t="s">
        <v>288</v>
      </c>
      <c r="O289" s="1730" t="s">
        <v>287</v>
      </c>
      <c r="P289" s="1730" t="s">
        <v>289</v>
      </c>
      <c r="Q289" s="1731" t="s">
        <v>288</v>
      </c>
      <c r="R289" s="1860"/>
      <c r="S289" s="1860"/>
      <c r="T289" s="1860"/>
      <c r="U289" s="1860"/>
    </row>
    <row r="290" spans="1:22" ht="62.1" customHeight="1" x14ac:dyDescent="0.45">
      <c r="A290" s="5332" t="s">
        <v>862</v>
      </c>
      <c r="B290" s="5332"/>
      <c r="C290" s="5332"/>
      <c r="D290" s="5332"/>
      <c r="E290" s="2030" t="e">
        <f>+INT(E392)</f>
        <v>#REF!</v>
      </c>
      <c r="F290" s="2030"/>
      <c r="G290" s="2030"/>
      <c r="H290" s="2030"/>
      <c r="I290" s="2030" t="e">
        <f t="shared" ref="I290:N290" si="183">+INT(I392)</f>
        <v>#REF!</v>
      </c>
      <c r="J290" s="2030" t="e">
        <f t="shared" si="183"/>
        <v>#REF!</v>
      </c>
      <c r="K290" s="2030" t="e">
        <f t="shared" si="183"/>
        <v>#REF!</v>
      </c>
      <c r="L290" s="2030" t="e">
        <f t="shared" si="183"/>
        <v>#REF!</v>
      </c>
      <c r="M290" s="2030" t="e">
        <f t="shared" si="183"/>
        <v>#REF!</v>
      </c>
      <c r="N290" s="2030" t="e">
        <f t="shared" si="183"/>
        <v>#REF!</v>
      </c>
      <c r="O290" s="1558" t="e">
        <f t="shared" ref="O290:Q293" si="184">+I290+L290</f>
        <v>#REF!</v>
      </c>
      <c r="P290" s="1558" t="e">
        <f t="shared" si="184"/>
        <v>#REF!</v>
      </c>
      <c r="Q290" s="1559" t="e">
        <f t="shared" si="184"/>
        <v>#REF!</v>
      </c>
      <c r="R290" s="2261"/>
      <c r="S290" s="2261"/>
      <c r="T290" s="2261"/>
      <c r="U290" s="2261"/>
    </row>
    <row r="291" spans="1:22" ht="62.1" customHeight="1" x14ac:dyDescent="0.45">
      <c r="A291" s="5332" t="s">
        <v>863</v>
      </c>
      <c r="B291" s="5332"/>
      <c r="C291" s="5332"/>
      <c r="D291" s="5332"/>
      <c r="E291" s="2030" t="e">
        <f>+INT(E395)</f>
        <v>#REF!</v>
      </c>
      <c r="F291" s="2030"/>
      <c r="G291" s="2030"/>
      <c r="H291" s="2030"/>
      <c r="I291" s="2030" t="e">
        <f t="shared" ref="I291:N291" si="185">+INT(I395)</f>
        <v>#REF!</v>
      </c>
      <c r="J291" s="2030" t="e">
        <f t="shared" si="185"/>
        <v>#REF!</v>
      </c>
      <c r="K291" s="2030" t="e">
        <f t="shared" si="185"/>
        <v>#REF!</v>
      </c>
      <c r="L291" s="2030" t="e">
        <f t="shared" si="185"/>
        <v>#REF!</v>
      </c>
      <c r="M291" s="2030" t="e">
        <f t="shared" si="185"/>
        <v>#REF!</v>
      </c>
      <c r="N291" s="2030" t="e">
        <f t="shared" si="185"/>
        <v>#REF!</v>
      </c>
      <c r="O291" s="1558" t="e">
        <f t="shared" si="184"/>
        <v>#REF!</v>
      </c>
      <c r="P291" s="1558" t="e">
        <f t="shared" si="184"/>
        <v>#REF!</v>
      </c>
      <c r="Q291" s="1559" t="e">
        <f t="shared" si="184"/>
        <v>#REF!</v>
      </c>
      <c r="R291" s="2261"/>
      <c r="S291" s="2261"/>
      <c r="T291" s="2261"/>
      <c r="U291" s="2261"/>
    </row>
    <row r="292" spans="1:22" ht="62.1" customHeight="1" x14ac:dyDescent="0.45">
      <c r="A292" s="5332" t="s">
        <v>864</v>
      </c>
      <c r="B292" s="5332"/>
      <c r="C292" s="5332"/>
      <c r="D292" s="5332"/>
      <c r="E292" s="2030" t="e">
        <f>+INT(D439)</f>
        <v>#REF!</v>
      </c>
      <c r="F292" s="2030"/>
      <c r="G292" s="2030"/>
      <c r="H292" s="2030"/>
      <c r="I292" s="2030" t="e">
        <f>+INT(J439)</f>
        <v>#REF!</v>
      </c>
      <c r="J292" s="2030" t="e">
        <f t="shared" ref="J292:N292" si="186">+INT(K439)</f>
        <v>#REF!</v>
      </c>
      <c r="K292" s="2030" t="e">
        <f t="shared" si="186"/>
        <v>#REF!</v>
      </c>
      <c r="L292" s="2030" t="e">
        <f t="shared" si="186"/>
        <v>#REF!</v>
      </c>
      <c r="M292" s="2030" t="e">
        <f t="shared" si="186"/>
        <v>#REF!</v>
      </c>
      <c r="N292" s="2030" t="e">
        <f t="shared" si="186"/>
        <v>#REF!</v>
      </c>
      <c r="O292" s="1558" t="e">
        <f t="shared" si="184"/>
        <v>#REF!</v>
      </c>
      <c r="P292" s="1558" t="e">
        <f t="shared" si="184"/>
        <v>#REF!</v>
      </c>
      <c r="Q292" s="1559" t="e">
        <f t="shared" si="184"/>
        <v>#REF!</v>
      </c>
      <c r="R292" s="2261"/>
      <c r="S292" s="2261"/>
      <c r="T292" s="2261"/>
      <c r="U292" s="2261"/>
    </row>
    <row r="293" spans="1:22" ht="62.1" customHeight="1" x14ac:dyDescent="0.45">
      <c r="A293" s="5332" t="s">
        <v>865</v>
      </c>
      <c r="B293" s="5332"/>
      <c r="C293" s="5332"/>
      <c r="D293" s="5332"/>
      <c r="E293" s="2030" t="e">
        <f>+INT(D429)</f>
        <v>#REF!</v>
      </c>
      <c r="F293" s="2025"/>
      <c r="G293" s="2025"/>
      <c r="H293" s="2025"/>
      <c r="I293" s="2025" t="e">
        <f>+INT(J429)</f>
        <v>#REF!</v>
      </c>
      <c r="J293" s="2025" t="e">
        <f t="shared" ref="J293:N293" si="187">+INT(K429)</f>
        <v>#REF!</v>
      </c>
      <c r="K293" s="2025" t="e">
        <f t="shared" si="187"/>
        <v>#REF!</v>
      </c>
      <c r="L293" s="2025" t="e">
        <f t="shared" si="187"/>
        <v>#REF!</v>
      </c>
      <c r="M293" s="2025" t="e">
        <f t="shared" si="187"/>
        <v>#REF!</v>
      </c>
      <c r="N293" s="2025" t="e">
        <f t="shared" si="187"/>
        <v>#REF!</v>
      </c>
      <c r="O293" s="1558" t="e">
        <f t="shared" si="184"/>
        <v>#REF!</v>
      </c>
      <c r="P293" s="1558" t="e">
        <f t="shared" si="184"/>
        <v>#REF!</v>
      </c>
      <c r="Q293" s="1559" t="e">
        <f t="shared" si="184"/>
        <v>#REF!</v>
      </c>
      <c r="R293" s="2261"/>
      <c r="S293" s="2261"/>
      <c r="T293" s="2261"/>
      <c r="U293" s="2261"/>
    </row>
    <row r="294" spans="1:22" ht="62.1" customHeight="1" thickBot="1" x14ac:dyDescent="0.5">
      <c r="A294" s="2175"/>
      <c r="B294" s="2175"/>
      <c r="C294" s="2175"/>
      <c r="D294" s="2175"/>
      <c r="E294" s="2179"/>
      <c r="F294" s="2179"/>
      <c r="G294" s="2179"/>
      <c r="H294" s="2179"/>
      <c r="I294" s="4295" t="s">
        <v>304</v>
      </c>
      <c r="J294" s="4317"/>
      <c r="K294" s="4317"/>
      <c r="L294" s="4317" t="s">
        <v>368</v>
      </c>
      <c r="M294" s="4317"/>
      <c r="N294" s="4317"/>
      <c r="O294" s="2176"/>
      <c r="P294" s="2177"/>
      <c r="Q294" s="2178"/>
      <c r="R294" s="2261"/>
      <c r="S294" s="2261"/>
      <c r="T294" s="2261"/>
      <c r="U294" s="2261"/>
    </row>
    <row r="295" spans="1:22" ht="62.1" customHeight="1" x14ac:dyDescent="0.45">
      <c r="A295" s="1793"/>
      <c r="B295" s="1794"/>
      <c r="C295" s="1794"/>
      <c r="D295" s="1794"/>
      <c r="I295" s="1740" t="s">
        <v>287</v>
      </c>
      <c r="J295" s="1738" t="s">
        <v>289</v>
      </c>
      <c r="K295" s="1738" t="s">
        <v>288</v>
      </c>
      <c r="L295" s="1738" t="s">
        <v>287</v>
      </c>
      <c r="M295" s="1738" t="s">
        <v>289</v>
      </c>
      <c r="N295" s="1738" t="s">
        <v>288</v>
      </c>
      <c r="O295" s="5333" t="s">
        <v>377</v>
      </c>
      <c r="P295" s="5334"/>
      <c r="Q295" s="5335"/>
      <c r="R295" s="1860"/>
      <c r="S295" s="1860"/>
      <c r="T295" s="1860"/>
      <c r="U295" s="1860"/>
    </row>
    <row r="296" spans="1:22" ht="62.1" customHeight="1" x14ac:dyDescent="0.5">
      <c r="A296" s="1793"/>
      <c r="B296" s="1794"/>
      <c r="C296" s="1794"/>
      <c r="D296" s="1794"/>
      <c r="E296" s="2174" t="e">
        <f>+SUM(E283:E287)+SUM(E290:E293)</f>
        <v>#REF!</v>
      </c>
      <c r="F296" s="2174"/>
      <c r="G296" s="2174"/>
      <c r="H296" s="2174"/>
      <c r="I296" s="1630" t="e">
        <f t="shared" ref="I296:N296" si="188">+SUM(I283:I287)+SUM(I290:I293)</f>
        <v>#REF!</v>
      </c>
      <c r="J296" s="1630" t="e">
        <f t="shared" si="188"/>
        <v>#REF!</v>
      </c>
      <c r="K296" s="1630" t="e">
        <f t="shared" si="188"/>
        <v>#REF!</v>
      </c>
      <c r="L296" s="1630" t="e">
        <f t="shared" si="188"/>
        <v>#REF!</v>
      </c>
      <c r="M296" s="1630" t="e">
        <f t="shared" si="188"/>
        <v>#REF!</v>
      </c>
      <c r="N296" s="1630" t="e">
        <f t="shared" si="188"/>
        <v>#REF!</v>
      </c>
      <c r="O296" s="1671" t="e">
        <f>+SUM(O283:O287)+SUM(O290:O293)</f>
        <v>#REF!</v>
      </c>
      <c r="P296" s="1671" t="e">
        <f>+SUM(P283:P287)+SUM(P290:P293)</f>
        <v>#REF!</v>
      </c>
      <c r="Q296" s="1671" t="e">
        <f>+SUM(Q283:Q287)+SUM(Q290:Q293)</f>
        <v>#REF!</v>
      </c>
      <c r="R296" s="1671"/>
      <c r="S296" s="1671"/>
      <c r="T296" s="1671"/>
      <c r="U296" s="1671"/>
    </row>
    <row r="297" spans="1:22" ht="62.1" customHeight="1" x14ac:dyDescent="0.45">
      <c r="A297" s="1594"/>
      <c r="B297" s="1594"/>
      <c r="C297" s="1594"/>
      <c r="D297" s="1594"/>
      <c r="E297" s="1594"/>
      <c r="F297" s="1594"/>
      <c r="G297" s="1594"/>
      <c r="H297" s="1594"/>
      <c r="I297" s="1637"/>
      <c r="J297" s="1638"/>
      <c r="K297" s="1638"/>
      <c r="L297" s="1638"/>
      <c r="M297" s="1638"/>
      <c r="N297" s="1638"/>
      <c r="O297" s="1638"/>
      <c r="P297" s="1638"/>
      <c r="Q297" s="1638"/>
      <c r="R297" s="1638"/>
      <c r="S297" s="1638"/>
      <c r="T297" s="1638"/>
      <c r="U297" s="1638"/>
    </row>
    <row r="298" spans="1:22" ht="62.1" customHeight="1" x14ac:dyDescent="0.45">
      <c r="A298" s="1594"/>
      <c r="B298" s="1594"/>
      <c r="C298" s="1594"/>
      <c r="D298" s="1594"/>
      <c r="E298" s="1594"/>
      <c r="F298" s="1594"/>
      <c r="G298" s="1594"/>
      <c r="H298" s="1594"/>
      <c r="I298" s="1638"/>
      <c r="J298" s="1638"/>
      <c r="K298" s="1638"/>
      <c r="L298" s="1638"/>
      <c r="M298" s="1638"/>
      <c r="N298" s="1638"/>
      <c r="O298" s="1638"/>
      <c r="P298" s="1638"/>
      <c r="Q298" s="1638"/>
      <c r="R298" s="1638"/>
      <c r="S298" s="1638"/>
      <c r="T298" s="1638"/>
      <c r="U298" s="1638"/>
    </row>
    <row r="299" spans="1:22" ht="62.1" customHeight="1" x14ac:dyDescent="0.45">
      <c r="A299" s="1639" t="s">
        <v>445</v>
      </c>
      <c r="B299" s="1640"/>
      <c r="C299" s="1640"/>
      <c r="D299" s="4274" t="s">
        <v>446</v>
      </c>
      <c r="E299" s="1639"/>
      <c r="F299" s="1639"/>
      <c r="G299" s="1639"/>
      <c r="H299" s="1639"/>
      <c r="I299" s="4275" t="s">
        <v>447</v>
      </c>
      <c r="J299" s="5336" t="s">
        <v>304</v>
      </c>
      <c r="K299" s="5336"/>
      <c r="L299" s="5336"/>
      <c r="M299" s="5336" t="s">
        <v>448</v>
      </c>
      <c r="N299" s="5336"/>
      <c r="O299" s="5336"/>
      <c r="P299" s="5337" t="s">
        <v>449</v>
      </c>
      <c r="Q299" s="5337"/>
      <c r="R299" s="5337"/>
      <c r="S299" s="5337"/>
      <c r="T299" s="5337"/>
      <c r="U299" s="5337"/>
      <c r="V299" s="5337"/>
    </row>
    <row r="300" spans="1:22" ht="62.1" customHeight="1" x14ac:dyDescent="0.45">
      <c r="A300" s="1639"/>
      <c r="B300" s="1640"/>
      <c r="C300" s="1640"/>
      <c r="D300" s="4274"/>
      <c r="E300" s="1639"/>
      <c r="F300" s="1639"/>
      <c r="G300" s="1639"/>
      <c r="H300" s="1639"/>
      <c r="I300" s="4275"/>
      <c r="J300" s="1641" t="s">
        <v>287</v>
      </c>
      <c r="K300" s="1641" t="s">
        <v>450</v>
      </c>
      <c r="L300" s="1641" t="s">
        <v>288</v>
      </c>
      <c r="M300" s="1641" t="s">
        <v>287</v>
      </c>
      <c r="N300" s="1641" t="s">
        <v>450</v>
      </c>
      <c r="O300" s="1641" t="s">
        <v>288</v>
      </c>
      <c r="P300" s="1515" t="s">
        <v>287</v>
      </c>
      <c r="Q300" s="1515" t="s">
        <v>289</v>
      </c>
      <c r="R300" s="1515"/>
      <c r="S300" s="1515"/>
      <c r="T300" s="1515"/>
      <c r="U300" s="1515"/>
      <c r="V300" s="1515" t="s">
        <v>288</v>
      </c>
    </row>
    <row r="301" spans="1:22" ht="62.1" customHeight="1" thickBot="1" x14ac:dyDescent="0.5">
      <c r="A301" s="1510"/>
      <c r="B301" s="1510"/>
      <c r="C301" s="1510"/>
      <c r="D301" s="1510"/>
      <c r="E301" s="1510"/>
      <c r="F301" s="1510"/>
      <c r="G301" s="1510"/>
      <c r="H301" s="1510"/>
      <c r="I301" s="1510"/>
      <c r="J301" s="1510"/>
      <c r="K301" s="1510"/>
      <c r="L301" s="1510"/>
    </row>
    <row r="302" spans="1:22" ht="62.1" customHeight="1" thickBot="1" x14ac:dyDescent="0.5">
      <c r="A302" s="1643" t="s">
        <v>23</v>
      </c>
      <c r="B302" s="1644" t="s">
        <v>454</v>
      </c>
      <c r="C302" s="1645"/>
      <c r="D302" s="1646">
        <f t="shared" ref="D302:N303" si="189">+INT(D427)</f>
        <v>0</v>
      </c>
      <c r="E302" s="1646">
        <f t="shared" si="189"/>
        <v>0</v>
      </c>
      <c r="F302" s="1646"/>
      <c r="G302" s="1646"/>
      <c r="H302" s="1646"/>
      <c r="I302" s="1646">
        <f t="shared" si="189"/>
        <v>0</v>
      </c>
      <c r="J302" s="1646">
        <f t="shared" si="189"/>
        <v>0</v>
      </c>
      <c r="K302" s="1646">
        <f t="shared" si="189"/>
        <v>0</v>
      </c>
      <c r="L302" s="1646">
        <f t="shared" si="189"/>
        <v>0</v>
      </c>
      <c r="M302" s="1646">
        <f t="shared" si="189"/>
        <v>0</v>
      </c>
      <c r="N302" s="1646">
        <f t="shared" si="189"/>
        <v>0</v>
      </c>
      <c r="O302" s="1646">
        <f>+ROUND((O427),0)</f>
        <v>0</v>
      </c>
      <c r="P302" s="1648">
        <f t="shared" ref="P302:Q303" si="190">+J302+M302</f>
        <v>0</v>
      </c>
      <c r="Q302" s="1648">
        <f t="shared" si="190"/>
        <v>0</v>
      </c>
      <c r="R302" s="1648"/>
      <c r="S302" s="1648"/>
      <c r="T302" s="1648"/>
      <c r="U302" s="1648"/>
      <c r="V302" s="1649">
        <f>+L302+O302</f>
        <v>0</v>
      </c>
    </row>
    <row r="303" spans="1:22" ht="62.1" customHeight="1" x14ac:dyDescent="0.45">
      <c r="A303" s="1643" t="s">
        <v>24</v>
      </c>
      <c r="B303" s="1644" t="s">
        <v>454</v>
      </c>
      <c r="C303" s="1645"/>
      <c r="D303" s="1646">
        <f t="shared" si="189"/>
        <v>0</v>
      </c>
      <c r="E303" s="1646">
        <f t="shared" si="189"/>
        <v>0</v>
      </c>
      <c r="F303" s="1646"/>
      <c r="G303" s="1646"/>
      <c r="H303" s="1646"/>
      <c r="I303" s="1646">
        <f t="shared" si="189"/>
        <v>0</v>
      </c>
      <c r="J303" s="1646">
        <f t="shared" si="189"/>
        <v>0</v>
      </c>
      <c r="K303" s="1646">
        <f t="shared" si="189"/>
        <v>0</v>
      </c>
      <c r="L303" s="1646">
        <f t="shared" si="189"/>
        <v>0</v>
      </c>
      <c r="M303" s="1646">
        <f t="shared" si="189"/>
        <v>0</v>
      </c>
      <c r="N303" s="1646">
        <f t="shared" si="189"/>
        <v>0</v>
      </c>
      <c r="O303" s="1646">
        <f>+ROUND((O428),0)</f>
        <v>0</v>
      </c>
      <c r="P303" s="1648">
        <f t="shared" si="190"/>
        <v>0</v>
      </c>
      <c r="Q303" s="1648">
        <f t="shared" si="190"/>
        <v>0</v>
      </c>
      <c r="R303" s="1648"/>
      <c r="S303" s="1648"/>
      <c r="T303" s="1648"/>
      <c r="U303" s="1648"/>
      <c r="V303" s="1649">
        <f>+L303+O303</f>
        <v>0</v>
      </c>
    </row>
    <row r="304" spans="1:22" ht="62.1" customHeight="1" x14ac:dyDescent="0.5">
      <c r="A304" s="4285" t="s">
        <v>451</v>
      </c>
      <c r="B304" s="4286"/>
      <c r="C304" s="4287"/>
      <c r="D304" s="1630">
        <f>SUM(D302:D303)</f>
        <v>0</v>
      </c>
      <c r="E304" s="1630"/>
      <c r="F304" s="1630"/>
      <c r="G304" s="1630"/>
      <c r="H304" s="1630"/>
      <c r="I304" s="1630">
        <f t="shared" ref="I304:V304" si="191">SUM(I302:I303)</f>
        <v>0</v>
      </c>
      <c r="J304" s="1630">
        <f t="shared" si="191"/>
        <v>0</v>
      </c>
      <c r="K304" s="1630">
        <f t="shared" si="191"/>
        <v>0</v>
      </c>
      <c r="L304" s="1630">
        <f t="shared" si="191"/>
        <v>0</v>
      </c>
      <c r="M304" s="1630">
        <f t="shared" si="191"/>
        <v>0</v>
      </c>
      <c r="N304" s="1630">
        <f t="shared" si="191"/>
        <v>0</v>
      </c>
      <c r="O304" s="1630">
        <f t="shared" si="191"/>
        <v>0</v>
      </c>
      <c r="P304" s="1650">
        <f t="shared" si="191"/>
        <v>0</v>
      </c>
      <c r="Q304" s="1650">
        <f t="shared" si="191"/>
        <v>0</v>
      </c>
      <c r="R304" s="1650"/>
      <c r="S304" s="1650"/>
      <c r="T304" s="1650"/>
      <c r="U304" s="1650"/>
      <c r="V304" s="1650">
        <f t="shared" si="191"/>
        <v>0</v>
      </c>
    </row>
    <row r="305" spans="1:22" ht="62.1" customHeight="1" x14ac:dyDescent="0.45"/>
    <row r="306" spans="1:22" ht="62.1" customHeight="1" x14ac:dyDescent="0.45"/>
    <row r="307" spans="1:22" ht="62.1" customHeight="1" x14ac:dyDescent="0.45"/>
    <row r="308" spans="1:22" ht="62.1" customHeight="1" x14ac:dyDescent="0.45">
      <c r="A308" s="1594" t="s">
        <v>452</v>
      </c>
      <c r="B308" s="1594"/>
      <c r="C308" s="1594"/>
      <c r="D308" s="1594"/>
      <c r="E308" s="1594"/>
      <c r="F308" s="1594"/>
      <c r="G308" s="1594"/>
      <c r="H308" s="1594"/>
      <c r="I308" s="1594"/>
      <c r="J308" s="1594"/>
      <c r="K308" s="1594"/>
      <c r="L308" s="1594"/>
    </row>
    <row r="309" spans="1:22" ht="62.1" customHeight="1" x14ac:dyDescent="0.45">
      <c r="A309" s="1639" t="s">
        <v>445</v>
      </c>
      <c r="B309" s="1640"/>
      <c r="C309" s="1640"/>
      <c r="D309" s="1639" t="s">
        <v>446</v>
      </c>
      <c r="E309" s="1639"/>
      <c r="F309" s="1639"/>
      <c r="G309" s="1639"/>
      <c r="H309" s="1639"/>
      <c r="I309" s="1639" t="s">
        <v>447</v>
      </c>
      <c r="J309" s="4274" t="s">
        <v>304</v>
      </c>
      <c r="K309" s="4274"/>
      <c r="L309" s="4274"/>
      <c r="M309" s="4274" t="s">
        <v>453</v>
      </c>
      <c r="N309" s="4274"/>
      <c r="O309" s="4274"/>
      <c r="P309" s="4237" t="s">
        <v>449</v>
      </c>
      <c r="Q309" s="4238"/>
      <c r="R309" s="4238"/>
      <c r="S309" s="4238"/>
      <c r="T309" s="4238"/>
      <c r="U309" s="4238"/>
      <c r="V309" s="4240"/>
    </row>
    <row r="310" spans="1:22" ht="62.1" customHeight="1" x14ac:dyDescent="0.45">
      <c r="A310" s="1639"/>
      <c r="B310" s="1640"/>
      <c r="C310" s="1640"/>
      <c r="D310" s="1639"/>
      <c r="E310" s="1639"/>
      <c r="F310" s="1639"/>
      <c r="G310" s="1639"/>
      <c r="H310" s="1639"/>
      <c r="I310" s="1639"/>
      <c r="J310" s="1640" t="s">
        <v>287</v>
      </c>
      <c r="K310" s="1640" t="s">
        <v>450</v>
      </c>
      <c r="L310" s="1640" t="s">
        <v>288</v>
      </c>
      <c r="M310" s="1640" t="s">
        <v>287</v>
      </c>
      <c r="N310" s="1640" t="s">
        <v>450</v>
      </c>
      <c r="O310" s="1640" t="s">
        <v>288</v>
      </c>
      <c r="P310" s="1515" t="s">
        <v>287</v>
      </c>
      <c r="Q310" s="1515" t="s">
        <v>289</v>
      </c>
      <c r="R310" s="1515"/>
      <c r="S310" s="1515"/>
      <c r="T310" s="1515"/>
      <c r="U310" s="1515"/>
      <c r="V310" s="1515" t="s">
        <v>288</v>
      </c>
    </row>
    <row r="311" spans="1:22" ht="62.1" customHeight="1" x14ac:dyDescent="0.45">
      <c r="A311" s="1510"/>
      <c r="B311" s="1510"/>
      <c r="C311" s="1510"/>
      <c r="D311" s="1510"/>
      <c r="E311" s="1510"/>
      <c r="F311" s="1510"/>
      <c r="G311" s="1510"/>
      <c r="H311" s="1510"/>
      <c r="I311" s="1510"/>
      <c r="J311" s="1510"/>
      <c r="K311" s="1510"/>
      <c r="L311" s="1510"/>
    </row>
    <row r="312" spans="1:22" ht="62.1" customHeight="1" x14ac:dyDescent="0.45">
      <c r="A312" s="1652" t="s">
        <v>24</v>
      </c>
      <c r="B312" s="1645" t="s">
        <v>454</v>
      </c>
      <c r="C312" s="1645"/>
      <c r="D312" s="1646">
        <f>+ROUND(D438,0)</f>
        <v>0</v>
      </c>
      <c r="E312" s="1646">
        <f t="shared" ref="E312:N312" si="192">+INT(E438)</f>
        <v>0</v>
      </c>
      <c r="F312" s="1646"/>
      <c r="G312" s="1646"/>
      <c r="H312" s="1646"/>
      <c r="I312" s="1646">
        <f t="shared" si="192"/>
        <v>0</v>
      </c>
      <c r="J312" s="1646">
        <f t="shared" si="192"/>
        <v>0</v>
      </c>
      <c r="K312" s="1646">
        <f t="shared" si="192"/>
        <v>0</v>
      </c>
      <c r="L312" s="1646">
        <f t="shared" si="192"/>
        <v>0</v>
      </c>
      <c r="M312" s="1646">
        <f t="shared" si="192"/>
        <v>0</v>
      </c>
      <c r="N312" s="1646">
        <f t="shared" si="192"/>
        <v>0</v>
      </c>
      <c r="O312" s="1646">
        <f>+ROUND((O438),0)</f>
        <v>0</v>
      </c>
      <c r="P312" s="1653">
        <f>+J312+M312</f>
        <v>0</v>
      </c>
      <c r="Q312" s="1653">
        <f>+K312+N312</f>
        <v>0</v>
      </c>
      <c r="R312" s="1653"/>
      <c r="S312" s="1653"/>
      <c r="T312" s="1653"/>
      <c r="U312" s="1653"/>
      <c r="V312" s="1573">
        <f>+L312+O312</f>
        <v>0</v>
      </c>
    </row>
    <row r="313" spans="1:22" ht="62.1" customHeight="1" x14ac:dyDescent="0.45">
      <c r="A313" s="1654"/>
      <c r="B313" s="1654"/>
      <c r="C313" s="1654"/>
      <c r="D313" s="1655"/>
      <c r="E313" s="1655"/>
      <c r="F313" s="1655"/>
      <c r="G313" s="1655"/>
      <c r="H313" s="1655"/>
      <c r="I313" s="1655"/>
      <c r="J313" s="1655"/>
      <c r="K313" s="1655"/>
      <c r="L313" s="1655"/>
    </row>
    <row r="314" spans="1:22" ht="62.1" customHeight="1" x14ac:dyDescent="0.5">
      <c r="A314" s="4285" t="s">
        <v>455</v>
      </c>
      <c r="B314" s="4286"/>
      <c r="C314" s="4287"/>
      <c r="D314" s="1630">
        <f>SUM(D312:D313)</f>
        <v>0</v>
      </c>
      <c r="E314" s="1630"/>
      <c r="F314" s="1630"/>
      <c r="G314" s="1630"/>
      <c r="H314" s="1630"/>
      <c r="I314" s="1630">
        <f>SUM(I312:I313)</f>
        <v>0</v>
      </c>
      <c r="J314" s="1630">
        <f>SUM(J312:J312)</f>
        <v>0</v>
      </c>
      <c r="K314" s="1630">
        <f>SUM(K312:K312)</f>
        <v>0</v>
      </c>
      <c r="L314" s="1630">
        <f>SUM(L312:L312)</f>
        <v>0</v>
      </c>
      <c r="M314" s="1630">
        <f t="shared" ref="M314:V314" si="193">SUM(M312:M312)</f>
        <v>0</v>
      </c>
      <c r="N314" s="1630">
        <f t="shared" si="193"/>
        <v>0</v>
      </c>
      <c r="O314" s="1630">
        <f t="shared" si="193"/>
        <v>0</v>
      </c>
      <c r="P314" s="1656">
        <f t="shared" si="193"/>
        <v>0</v>
      </c>
      <c r="Q314" s="1656">
        <f t="shared" si="193"/>
        <v>0</v>
      </c>
      <c r="R314" s="1656"/>
      <c r="S314" s="1656"/>
      <c r="T314" s="1656"/>
      <c r="U314" s="1656"/>
      <c r="V314" s="1656">
        <f t="shared" si="193"/>
        <v>0</v>
      </c>
    </row>
    <row r="315" spans="1:22" ht="62.1" customHeight="1" x14ac:dyDescent="0.45"/>
    <row r="316" spans="1:22" ht="62.1" customHeight="1" x14ac:dyDescent="0.45"/>
    <row r="317" spans="1:22" ht="62.1" customHeight="1" x14ac:dyDescent="0.45"/>
    <row r="318" spans="1:22" ht="62.1" customHeight="1" x14ac:dyDescent="0.45">
      <c r="A318" s="1594" t="s">
        <v>456</v>
      </c>
      <c r="B318" s="1594"/>
      <c r="C318" s="1594"/>
      <c r="D318" s="1594"/>
      <c r="E318" s="1594"/>
      <c r="F318" s="1594"/>
      <c r="G318" s="1594"/>
      <c r="H318" s="1594"/>
      <c r="I318" s="1594"/>
      <c r="J318" s="1594"/>
      <c r="K318" s="1594"/>
      <c r="L318" s="1594"/>
      <c r="M318" s="1594"/>
      <c r="N318" s="1594"/>
      <c r="O318" s="1658"/>
      <c r="P318" s="1658"/>
      <c r="Q318" s="1658"/>
      <c r="R318" s="1658"/>
      <c r="S318" s="1658"/>
      <c r="T318" s="1658"/>
      <c r="U318" s="1658"/>
      <c r="V318" s="1594"/>
    </row>
    <row r="319" spans="1:22" ht="62.1" customHeight="1" x14ac:dyDescent="0.45">
      <c r="A319" s="1594"/>
      <c r="B319" s="1594"/>
      <c r="C319" s="1594"/>
      <c r="D319" s="1594"/>
      <c r="E319" s="1594"/>
      <c r="F319" s="1594"/>
      <c r="G319" s="1594"/>
      <c r="H319" s="1594"/>
      <c r="I319" s="1594"/>
      <c r="J319" s="1594"/>
      <c r="K319" s="1594"/>
      <c r="L319" s="1594"/>
      <c r="M319" s="1594"/>
      <c r="N319" s="1594"/>
      <c r="O319" s="1658"/>
      <c r="P319" s="1658"/>
      <c r="Q319" s="1658"/>
      <c r="R319" s="1658"/>
      <c r="S319" s="1658"/>
      <c r="T319" s="1658"/>
      <c r="U319" s="1658"/>
      <c r="V319" s="1594"/>
    </row>
    <row r="320" spans="1:22" ht="62.1" customHeight="1" x14ac:dyDescent="0.45"/>
    <row r="321" spans="1:26" ht="62.1" customHeight="1" x14ac:dyDescent="0.45">
      <c r="A321" s="1639" t="s">
        <v>457</v>
      </c>
      <c r="B321" s="1640"/>
      <c r="C321" s="1640"/>
      <c r="D321" s="1639" t="s">
        <v>26</v>
      </c>
      <c r="E321" s="1639"/>
      <c r="F321" s="1639"/>
      <c r="G321" s="1639"/>
      <c r="H321" s="1639"/>
      <c r="I321" s="1639" t="s">
        <v>458</v>
      </c>
      <c r="J321" s="4274" t="s">
        <v>304</v>
      </c>
      <c r="K321" s="4274"/>
      <c r="L321" s="4274"/>
      <c r="M321" s="4274" t="s">
        <v>453</v>
      </c>
      <c r="N321" s="4274"/>
      <c r="O321" s="4274"/>
      <c r="P321" s="4237" t="s">
        <v>449</v>
      </c>
      <c r="Q321" s="4238"/>
      <c r="R321" s="4238"/>
      <c r="S321" s="4238"/>
      <c r="T321" s="4238"/>
      <c r="U321" s="4238"/>
      <c r="V321" s="4240"/>
    </row>
    <row r="322" spans="1:26" ht="62.1" customHeight="1" x14ac:dyDescent="0.45">
      <c r="A322" s="1639"/>
      <c r="B322" s="1640"/>
      <c r="C322" s="1640"/>
      <c r="D322" s="1639"/>
      <c r="E322" s="1639"/>
      <c r="F322" s="1639"/>
      <c r="G322" s="1639"/>
      <c r="H322" s="1639"/>
      <c r="I322" s="1639"/>
      <c r="J322" s="1640" t="s">
        <v>287</v>
      </c>
      <c r="K322" s="1640" t="s">
        <v>450</v>
      </c>
      <c r="L322" s="1640" t="s">
        <v>288</v>
      </c>
      <c r="M322" s="1640" t="s">
        <v>287</v>
      </c>
      <c r="N322" s="1640" t="s">
        <v>450</v>
      </c>
      <c r="O322" s="1640" t="s">
        <v>288</v>
      </c>
      <c r="P322" s="1515" t="s">
        <v>287</v>
      </c>
      <c r="Q322" s="1515" t="s">
        <v>289</v>
      </c>
      <c r="R322" s="1515"/>
      <c r="S322" s="1515"/>
      <c r="T322" s="1515"/>
      <c r="U322" s="1515"/>
      <c r="V322" s="1515" t="s">
        <v>288</v>
      </c>
    </row>
    <row r="323" spans="1:26" ht="62.1" customHeight="1" x14ac:dyDescent="0.45"/>
    <row r="324" spans="1:26" ht="62.1" customHeight="1" x14ac:dyDescent="0.45">
      <c r="A324" s="1652" t="s">
        <v>23</v>
      </c>
      <c r="B324" s="1645" t="s">
        <v>454</v>
      </c>
      <c r="C324" s="1645"/>
      <c r="D324" s="1646">
        <f>+INT(D450)</f>
        <v>0</v>
      </c>
      <c r="E324" s="1646">
        <f t="shared" ref="E324:O325" si="194">+INT(E450)</f>
        <v>0</v>
      </c>
      <c r="F324" s="1646"/>
      <c r="G324" s="1646"/>
      <c r="H324" s="1646"/>
      <c r="I324" s="1646">
        <f t="shared" ca="1" si="194"/>
        <v>0</v>
      </c>
      <c r="J324" s="1646">
        <f t="shared" ca="1" si="194"/>
        <v>0</v>
      </c>
      <c r="K324" s="1646">
        <f t="shared" ca="1" si="194"/>
        <v>0</v>
      </c>
      <c r="L324" s="1646">
        <f t="shared" ca="1" si="194"/>
        <v>0</v>
      </c>
      <c r="M324" s="1646">
        <f t="shared" ca="1" si="194"/>
        <v>0</v>
      </c>
      <c r="N324" s="1646">
        <f t="shared" ca="1" si="194"/>
        <v>0</v>
      </c>
      <c r="O324" s="1660">
        <f ca="1">+INT(O450)</f>
        <v>0</v>
      </c>
      <c r="P324" s="1661">
        <f t="shared" ref="P324:Q325" ca="1" si="195">+M324+J324</f>
        <v>0</v>
      </c>
      <c r="Q324" s="1661">
        <f t="shared" ca="1" si="195"/>
        <v>0</v>
      </c>
      <c r="R324" s="1661"/>
      <c r="S324" s="1661"/>
      <c r="T324" s="1661"/>
      <c r="U324" s="1661"/>
      <c r="V324" s="1662">
        <f ca="1">+O324+L324</f>
        <v>0</v>
      </c>
    </row>
    <row r="325" spans="1:26" ht="62.1" customHeight="1" x14ac:dyDescent="0.45">
      <c r="A325" s="1652" t="s">
        <v>24</v>
      </c>
      <c r="B325" s="1645" t="s">
        <v>454</v>
      </c>
      <c r="C325" s="1645"/>
      <c r="D325" s="1646">
        <f>+INT(D451)</f>
        <v>0</v>
      </c>
      <c r="E325" s="1646">
        <f t="shared" si="194"/>
        <v>0</v>
      </c>
      <c r="F325" s="1646"/>
      <c r="G325" s="1646"/>
      <c r="H325" s="1646"/>
      <c r="I325" s="1646">
        <f t="shared" ca="1" si="194"/>
        <v>0</v>
      </c>
      <c r="J325" s="1646">
        <f t="shared" ca="1" si="194"/>
        <v>0</v>
      </c>
      <c r="K325" s="1646">
        <f t="shared" ca="1" si="194"/>
        <v>0</v>
      </c>
      <c r="L325" s="1646">
        <f t="shared" ca="1" si="194"/>
        <v>0</v>
      </c>
      <c r="M325" s="1646">
        <f t="shared" ca="1" si="194"/>
        <v>0</v>
      </c>
      <c r="N325" s="1646">
        <f t="shared" ca="1" si="194"/>
        <v>0</v>
      </c>
      <c r="O325" s="1660">
        <f t="shared" ca="1" si="194"/>
        <v>0</v>
      </c>
      <c r="P325" s="1661">
        <f t="shared" ca="1" si="195"/>
        <v>0</v>
      </c>
      <c r="Q325" s="1661">
        <f t="shared" ca="1" si="195"/>
        <v>0</v>
      </c>
      <c r="R325" s="1661"/>
      <c r="S325" s="1661"/>
      <c r="T325" s="1661"/>
      <c r="U325" s="1661"/>
      <c r="V325" s="1662">
        <f ca="1">+O325+L325</f>
        <v>0</v>
      </c>
    </row>
    <row r="326" spans="1:26" ht="62.1" customHeight="1" x14ac:dyDescent="0.5">
      <c r="A326" s="1630" t="s">
        <v>459</v>
      </c>
      <c r="B326" s="1630"/>
      <c r="C326" s="1630"/>
      <c r="D326" s="1630">
        <f>SUM(D324:D325)</f>
        <v>0</v>
      </c>
      <c r="E326" s="1630"/>
      <c r="F326" s="1630"/>
      <c r="G326" s="1630"/>
      <c r="H326" s="1630"/>
      <c r="I326" s="1630">
        <f t="shared" ref="I326:V326" ca="1" si="196">SUM(I324:I325)</f>
        <v>0</v>
      </c>
      <c r="J326" s="1630">
        <f t="shared" ca="1" si="196"/>
        <v>0</v>
      </c>
      <c r="K326" s="1630">
        <f t="shared" ca="1" si="196"/>
        <v>0</v>
      </c>
      <c r="L326" s="1630">
        <f t="shared" ca="1" si="196"/>
        <v>0</v>
      </c>
      <c r="M326" s="1630">
        <f t="shared" ca="1" si="196"/>
        <v>0</v>
      </c>
      <c r="N326" s="1630">
        <f t="shared" ca="1" si="196"/>
        <v>0</v>
      </c>
      <c r="O326" s="1630">
        <f t="shared" ca="1" si="196"/>
        <v>0</v>
      </c>
      <c r="P326" s="1994">
        <f t="shared" ca="1" si="196"/>
        <v>0</v>
      </c>
      <c r="Q326" s="1994">
        <f t="shared" ca="1" si="196"/>
        <v>0</v>
      </c>
      <c r="R326" s="1994"/>
      <c r="S326" s="1994"/>
      <c r="T326" s="1994"/>
      <c r="U326" s="1994"/>
      <c r="V326" s="1995">
        <f t="shared" ca="1" si="196"/>
        <v>0</v>
      </c>
    </row>
    <row r="327" spans="1:26" ht="62.1" customHeight="1" x14ac:dyDescent="0.5">
      <c r="B327" s="1665" t="s">
        <v>429</v>
      </c>
      <c r="C327" s="1665"/>
      <c r="J327" s="1666" t="e">
        <f t="shared" ref="J327:O328" si="197">+INT(J454)</f>
        <v>#REF!</v>
      </c>
      <c r="K327" s="1666" t="e">
        <f t="shared" si="197"/>
        <v>#REF!</v>
      </c>
      <c r="L327" s="1666" t="e">
        <f t="shared" si="197"/>
        <v>#REF!</v>
      </c>
      <c r="M327" s="1666" t="e">
        <f t="shared" si="197"/>
        <v>#REF!</v>
      </c>
      <c r="N327" s="1666" t="e">
        <f t="shared" si="197"/>
        <v>#REF!</v>
      </c>
      <c r="O327" s="1666" t="e">
        <f t="shared" si="197"/>
        <v>#REF!</v>
      </c>
      <c r="P327" s="1661" t="e">
        <f t="shared" ref="P327:Q328" si="198">+M327+J327</f>
        <v>#REF!</v>
      </c>
      <c r="Q327" s="1661" t="e">
        <f t="shared" si="198"/>
        <v>#REF!</v>
      </c>
      <c r="R327" s="1661"/>
      <c r="S327" s="1661"/>
      <c r="T327" s="1661"/>
      <c r="U327" s="1661"/>
      <c r="V327" s="1662" t="e">
        <f>+O327+L327</f>
        <v>#REF!</v>
      </c>
    </row>
    <row r="328" spans="1:26" ht="62.1" customHeight="1" x14ac:dyDescent="0.5">
      <c r="A328" s="1498"/>
      <c r="B328" s="1665" t="s">
        <v>430</v>
      </c>
      <c r="C328" s="1498"/>
      <c r="D328" s="1498"/>
      <c r="E328" s="1498"/>
      <c r="F328" s="1498"/>
      <c r="G328" s="1498"/>
      <c r="H328" s="1498"/>
      <c r="I328" s="1498"/>
      <c r="J328" s="1666">
        <f t="shared" si="197"/>
        <v>0</v>
      </c>
      <c r="K328" s="1666">
        <f t="shared" si="197"/>
        <v>0</v>
      </c>
      <c r="L328" s="1666">
        <f t="shared" si="197"/>
        <v>0</v>
      </c>
      <c r="M328" s="1666">
        <f t="shared" si="197"/>
        <v>0</v>
      </c>
      <c r="N328" s="1666">
        <f t="shared" si="197"/>
        <v>0</v>
      </c>
      <c r="O328" s="1666">
        <f t="shared" si="197"/>
        <v>0</v>
      </c>
      <c r="P328" s="1661">
        <f t="shared" si="198"/>
        <v>0</v>
      </c>
      <c r="Q328" s="1661">
        <f t="shared" si="198"/>
        <v>0</v>
      </c>
      <c r="R328" s="1661"/>
      <c r="S328" s="1661"/>
      <c r="T328" s="1661"/>
      <c r="U328" s="1661"/>
      <c r="V328" s="1662">
        <f>+O328+L328</f>
        <v>0</v>
      </c>
    </row>
    <row r="329" spans="1:26" ht="62.1" customHeight="1" x14ac:dyDescent="0.45">
      <c r="A329" s="1668"/>
      <c r="B329" s="5331" t="s">
        <v>460</v>
      </c>
      <c r="C329" s="5331"/>
      <c r="D329" s="5331"/>
      <c r="E329" s="5331"/>
      <c r="F329" s="5331"/>
      <c r="G329" s="5331"/>
      <c r="H329" s="5331"/>
      <c r="I329" s="5331"/>
      <c r="J329" s="1669" t="e">
        <f t="shared" ref="J329:V329" si="199">SUM(J327:J328)</f>
        <v>#REF!</v>
      </c>
      <c r="K329" s="1669" t="e">
        <f t="shared" si="199"/>
        <v>#REF!</v>
      </c>
      <c r="L329" s="1669" t="e">
        <f t="shared" si="199"/>
        <v>#REF!</v>
      </c>
      <c r="M329" s="1669" t="e">
        <f t="shared" si="199"/>
        <v>#REF!</v>
      </c>
      <c r="N329" s="1669" t="e">
        <f t="shared" si="199"/>
        <v>#REF!</v>
      </c>
      <c r="O329" s="1671" t="e">
        <f t="shared" si="199"/>
        <v>#REF!</v>
      </c>
      <c r="P329" s="1671" t="e">
        <f t="shared" si="199"/>
        <v>#REF!</v>
      </c>
      <c r="Q329" s="1671" t="e">
        <f t="shared" si="199"/>
        <v>#REF!</v>
      </c>
      <c r="R329" s="1671"/>
      <c r="S329" s="1671"/>
      <c r="T329" s="1671"/>
      <c r="U329" s="1671"/>
      <c r="V329" s="1669" t="e">
        <f t="shared" si="199"/>
        <v>#REF!</v>
      </c>
    </row>
    <row r="330" spans="1:26" ht="62.1" customHeight="1" x14ac:dyDescent="0.45">
      <c r="A330" s="1672"/>
      <c r="B330" s="1672"/>
      <c r="C330" s="1672"/>
      <c r="J330" s="4264" t="s">
        <v>304</v>
      </c>
      <c r="K330" s="4264"/>
      <c r="L330" s="4264"/>
      <c r="M330" s="4264" t="s">
        <v>453</v>
      </c>
      <c r="N330" s="4264"/>
      <c r="O330" s="4264"/>
      <c r="P330" s="4510" t="s">
        <v>449</v>
      </c>
      <c r="Q330" s="4510"/>
      <c r="R330" s="4510"/>
      <c r="S330" s="4510"/>
      <c r="T330" s="4510"/>
      <c r="U330" s="4510"/>
      <c r="V330" s="4510"/>
    </row>
    <row r="331" spans="1:26" ht="62.1" customHeight="1" x14ac:dyDescent="0.45">
      <c r="A331" s="1672"/>
      <c r="B331" s="1672"/>
      <c r="C331" s="1672"/>
      <c r="J331" s="1641" t="s">
        <v>287</v>
      </c>
      <c r="K331" s="1641" t="s">
        <v>450</v>
      </c>
      <c r="L331" s="1641" t="s">
        <v>288</v>
      </c>
      <c r="M331" s="1641" t="s">
        <v>287</v>
      </c>
      <c r="N331" s="1641" t="s">
        <v>450</v>
      </c>
      <c r="O331" s="1641" t="s">
        <v>288</v>
      </c>
      <c r="P331" s="1515" t="s">
        <v>287</v>
      </c>
      <c r="Q331" s="1515" t="s">
        <v>289</v>
      </c>
      <c r="R331" s="1515"/>
      <c r="S331" s="1515"/>
      <c r="T331" s="1515"/>
      <c r="U331" s="1515"/>
      <c r="V331" s="1515" t="s">
        <v>288</v>
      </c>
    </row>
    <row r="332" spans="1:26" ht="62.1" customHeight="1" x14ac:dyDescent="0.45">
      <c r="A332" s="4264" t="s">
        <v>431</v>
      </c>
      <c r="B332" s="4264"/>
      <c r="C332" s="4264"/>
      <c r="D332" s="4264"/>
      <c r="E332" s="4264"/>
      <c r="F332" s="4278"/>
      <c r="G332" s="4278"/>
      <c r="H332" s="4278"/>
      <c r="I332" s="4278"/>
      <c r="J332" s="1673" t="e">
        <f t="shared" ref="J332:Q332" ca="1" si="200">+I277+J304+J314+J326+J329+I296</f>
        <v>#REF!</v>
      </c>
      <c r="K332" s="1673" t="e">
        <f t="shared" ca="1" si="200"/>
        <v>#REF!</v>
      </c>
      <c r="L332" s="1673" t="e">
        <f t="shared" ca="1" si="200"/>
        <v>#REF!</v>
      </c>
      <c r="M332" s="1673" t="e">
        <f t="shared" ca="1" si="200"/>
        <v>#REF!</v>
      </c>
      <c r="N332" s="1673" t="e">
        <f t="shared" ca="1" si="200"/>
        <v>#REF!</v>
      </c>
      <c r="O332" s="1673" t="e">
        <f t="shared" ca="1" si="200"/>
        <v>#REF!</v>
      </c>
      <c r="P332" s="1673" t="e">
        <f t="shared" ca="1" si="200"/>
        <v>#REF!</v>
      </c>
      <c r="Q332" s="1673" t="e">
        <f t="shared" ca="1" si="200"/>
        <v>#REF!</v>
      </c>
      <c r="R332" s="1673"/>
      <c r="S332" s="1673"/>
      <c r="T332" s="1673"/>
      <c r="U332" s="1673"/>
      <c r="V332" s="1673" t="e">
        <f ca="1">+Q277+V304+V314+V326+V329+Q296</f>
        <v>#REF!</v>
      </c>
    </row>
    <row r="333" spans="1:26" ht="62.1" customHeight="1" x14ac:dyDescent="0.45">
      <c r="A333" s="1641"/>
      <c r="B333" s="1641"/>
      <c r="C333" s="1641"/>
      <c r="D333" s="1641"/>
      <c r="E333" s="1641"/>
      <c r="F333" s="1641"/>
      <c r="G333" s="1641"/>
      <c r="H333" s="1641"/>
      <c r="I333" s="1641"/>
      <c r="J333" s="4395" t="s">
        <v>449</v>
      </c>
      <c r="K333" s="4323"/>
      <c r="L333" s="4396"/>
    </row>
    <row r="334" spans="1:26" ht="62.1" customHeight="1" x14ac:dyDescent="0.45">
      <c r="A334" s="4264" t="s">
        <v>431</v>
      </c>
      <c r="B334" s="4264"/>
      <c r="C334" s="4264"/>
      <c r="D334" s="4264"/>
      <c r="E334" s="4264"/>
      <c r="F334" s="4264"/>
      <c r="G334" s="4264"/>
      <c r="H334" s="4264"/>
      <c r="I334" s="4264"/>
      <c r="J334" s="1674" t="e">
        <f ca="1">+J332+M332</f>
        <v>#REF!</v>
      </c>
      <c r="K334" s="1674" t="e">
        <f ca="1">+K332+N332</f>
        <v>#REF!</v>
      </c>
      <c r="L334" s="1674" t="e">
        <f ca="1">+L332+O332</f>
        <v>#REF!</v>
      </c>
      <c r="M334" s="1573"/>
      <c r="N334" s="1573" t="e">
        <f ca="1">SUM(J334:M334)</f>
        <v>#REF!</v>
      </c>
      <c r="O334" s="1653" t="e">
        <f ca="1">+L334-V332</f>
        <v>#REF!</v>
      </c>
      <c r="W334" s="1594"/>
      <c r="X334" s="1594"/>
      <c r="Y334" s="1594"/>
      <c r="Z334" s="1594"/>
    </row>
    <row r="335" spans="1:26" ht="62.1" customHeight="1" x14ac:dyDescent="0.45">
      <c r="A335" s="4264" t="s">
        <v>433</v>
      </c>
      <c r="B335" s="4264"/>
      <c r="C335" s="4264"/>
      <c r="D335" s="4264"/>
      <c r="E335" s="4264"/>
      <c r="F335" s="4264"/>
      <c r="G335" s="4264"/>
      <c r="H335" s="4264"/>
      <c r="I335" s="4264"/>
      <c r="J335" s="1675">
        <f>+'Compra -HOJA1'!G10</f>
        <v>0</v>
      </c>
      <c r="K335" s="1675">
        <f>+'Compra -HOJA1'!I10</f>
        <v>0</v>
      </c>
      <c r="L335" s="1675">
        <f>+'Compra -HOJA1'!H10</f>
        <v>0</v>
      </c>
      <c r="N335" s="1573">
        <f>SUM(J335:M335)</f>
        <v>0</v>
      </c>
      <c r="W335" s="1594"/>
      <c r="X335" s="1594"/>
      <c r="Y335" s="1594"/>
      <c r="Z335" s="1594"/>
    </row>
    <row r="336" spans="1:26" ht="62.1" customHeight="1" x14ac:dyDescent="0.45">
      <c r="A336" s="1676"/>
      <c r="B336" s="1676"/>
      <c r="C336" s="1676"/>
    </row>
    <row r="337" spans="1:38" ht="62.1" customHeight="1" x14ac:dyDescent="0.45">
      <c r="A337" s="1676"/>
      <c r="B337" s="1676"/>
      <c r="C337" s="1676"/>
      <c r="D337" s="1489" t="s">
        <v>435</v>
      </c>
      <c r="J337" s="1573" t="e">
        <f ca="1">IF((J335-J334)=0,"O.K.","VERIFICAR¨")</f>
        <v>#REF!</v>
      </c>
      <c r="K337" s="1573" t="e">
        <f ca="1">IF((K335-K334)=0,"O.K.","VERIFICAR¨")</f>
        <v>#REF!</v>
      </c>
      <c r="L337" s="1573" t="e">
        <f ca="1">IF((L335-L334)=0,"O.K.","VERIFICAR¨")</f>
        <v>#REF!</v>
      </c>
    </row>
    <row r="338" spans="1:38" ht="62.1" customHeight="1" x14ac:dyDescent="0.45">
      <c r="A338" s="1677"/>
      <c r="B338" s="1677"/>
      <c r="C338" s="1677"/>
      <c r="J338" s="1678" t="e">
        <f ca="1">+J335-J334</f>
        <v>#REF!</v>
      </c>
      <c r="K338" s="1678" t="e">
        <f ca="1">+K335-K334</f>
        <v>#REF!</v>
      </c>
      <c r="L338" s="1678" t="e">
        <f ca="1">+L335-L334</f>
        <v>#REF!</v>
      </c>
      <c r="M338" s="1573" t="e">
        <f ca="1">SUM(J338:L338)</f>
        <v>#REF!</v>
      </c>
    </row>
    <row r="339" spans="1:38" ht="62.1" customHeight="1" x14ac:dyDescent="0.45"/>
    <row r="340" spans="1:38" ht="62.1" customHeight="1" x14ac:dyDescent="0.45">
      <c r="A340" s="1594" t="s">
        <v>363</v>
      </c>
      <c r="B340" s="1594"/>
      <c r="C340" s="1594"/>
      <c r="D340" s="1595">
        <f>'Compra -HOJA1'!D2:H2</f>
        <v>0</v>
      </c>
      <c r="E340" s="1595"/>
      <c r="F340" s="1595"/>
      <c r="G340" s="1595"/>
      <c r="H340" s="1595"/>
      <c r="I340" s="1596"/>
      <c r="J340" s="1596"/>
      <c r="K340" s="1596"/>
    </row>
    <row r="341" spans="1:38" ht="62.1" customHeight="1" x14ac:dyDescent="0.45">
      <c r="A341" s="1594" t="s">
        <v>364</v>
      </c>
      <c r="B341" s="1594"/>
      <c r="C341" s="1594"/>
      <c r="D341" s="1502">
        <f>'Compra -HOJA1'!F4</f>
        <v>45536</v>
      </c>
      <c r="E341" s="1502"/>
      <c r="F341" s="1502"/>
      <c r="G341" s="1502"/>
      <c r="H341" s="1502"/>
      <c r="I341" s="1503"/>
      <c r="J341" s="1503"/>
      <c r="K341" s="1503"/>
    </row>
    <row r="342" spans="1:38" ht="62.1" customHeight="1" x14ac:dyDescent="0.45">
      <c r="A342" s="1506"/>
      <c r="B342" s="1506"/>
      <c r="C342" s="1506"/>
      <c r="D342" s="1506"/>
      <c r="E342" s="1506"/>
      <c r="F342" s="1506"/>
      <c r="G342" s="1506"/>
      <c r="H342" s="1506"/>
      <c r="I342" s="1506"/>
      <c r="J342" s="1506"/>
      <c r="K342" s="1506"/>
      <c r="L342" s="1597"/>
    </row>
    <row r="343" spans="1:38" ht="62.1" customHeight="1" x14ac:dyDescent="0.45">
      <c r="A343" s="1506"/>
      <c r="B343" s="1506"/>
      <c r="C343" s="1506"/>
      <c r="D343" s="1506"/>
      <c r="E343" s="1506"/>
      <c r="F343" s="1506"/>
      <c r="G343" s="1506"/>
      <c r="H343" s="1506"/>
      <c r="I343" s="1506"/>
      <c r="J343" s="1506"/>
      <c r="K343" s="1506"/>
    </row>
    <row r="344" spans="1:38" ht="62.1" customHeight="1" x14ac:dyDescent="0.5">
      <c r="A344" s="1598" t="s">
        <v>463</v>
      </c>
      <c r="B344" s="1598"/>
      <c r="C344" s="1598"/>
      <c r="D344" s="1598"/>
      <c r="E344" s="1598"/>
      <c r="F344" s="1598"/>
      <c r="G344" s="1598"/>
      <c r="H344" s="1598"/>
      <c r="I344" s="4510" t="s">
        <v>304</v>
      </c>
      <c r="J344" s="4510"/>
      <c r="K344" s="4510"/>
      <c r="L344" s="4510" t="s">
        <v>439</v>
      </c>
      <c r="M344" s="4510"/>
      <c r="N344" s="4510"/>
      <c r="O344" s="4510" t="s">
        <v>377</v>
      </c>
      <c r="P344" s="4510"/>
      <c r="Q344" s="4510"/>
      <c r="R344" s="1638"/>
      <c r="S344" s="1638"/>
      <c r="T344" s="1638"/>
      <c r="U344" s="1638"/>
      <c r="Z344" s="4253" t="s">
        <v>191</v>
      </c>
      <c r="AA344" s="4253"/>
      <c r="AB344" s="4253"/>
      <c r="AC344" s="4253" t="s">
        <v>464</v>
      </c>
      <c r="AD344" s="4253"/>
      <c r="AE344" s="4253"/>
      <c r="AF344" s="4253" t="s">
        <v>465</v>
      </c>
      <c r="AG344" s="4253"/>
      <c r="AH344" s="4253"/>
    </row>
    <row r="345" spans="1:38" ht="62.1" customHeight="1" thickBot="1" x14ac:dyDescent="0.5">
      <c r="A345" s="1599" t="s">
        <v>440</v>
      </c>
      <c r="B345" s="1599"/>
      <c r="C345" s="1599"/>
      <c r="D345" s="1598"/>
      <c r="E345" s="1598" t="s">
        <v>441</v>
      </c>
      <c r="F345" s="1598"/>
      <c r="G345" s="1598"/>
      <c r="H345" s="1598"/>
      <c r="I345" s="1515" t="s">
        <v>287</v>
      </c>
      <c r="J345" s="1515" t="s">
        <v>289</v>
      </c>
      <c r="K345" s="1515" t="s">
        <v>288</v>
      </c>
      <c r="L345" s="1515" t="s">
        <v>287</v>
      </c>
      <c r="M345" s="1515" t="s">
        <v>289</v>
      </c>
      <c r="N345" s="1515" t="s">
        <v>288</v>
      </c>
      <c r="O345" s="1515" t="s">
        <v>287</v>
      </c>
      <c r="P345" s="1515" t="s">
        <v>289</v>
      </c>
      <c r="Q345" s="1515" t="s">
        <v>288</v>
      </c>
      <c r="R345" s="1638"/>
      <c r="S345" s="1638"/>
      <c r="T345" s="1638"/>
      <c r="U345" s="1638"/>
      <c r="Z345" s="1515" t="s">
        <v>5</v>
      </c>
      <c r="AA345" s="1515" t="s">
        <v>6</v>
      </c>
      <c r="AB345" s="1515" t="s">
        <v>7</v>
      </c>
      <c r="AC345" s="1515" t="s">
        <v>5</v>
      </c>
      <c r="AD345" s="1515" t="s">
        <v>6</v>
      </c>
      <c r="AE345" s="1515" t="s">
        <v>7</v>
      </c>
      <c r="AF345" s="1515" t="s">
        <v>5</v>
      </c>
      <c r="AG345" s="1515" t="s">
        <v>6</v>
      </c>
      <c r="AH345" s="1515" t="s">
        <v>7</v>
      </c>
    </row>
    <row r="346" spans="1:38" ht="62.1" customHeight="1" x14ac:dyDescent="0.45">
      <c r="A346" s="5338" t="s">
        <v>41</v>
      </c>
      <c r="B346" s="3907" t="s">
        <v>164</v>
      </c>
      <c r="C346" s="3907"/>
      <c r="D346" s="3907"/>
      <c r="E346" s="1679">
        <f>+'Compra -HOJA1'!G181</f>
        <v>0</v>
      </c>
      <c r="F346" s="1679"/>
      <c r="G346" s="1679"/>
      <c r="H346" s="1679"/>
      <c r="I346" s="1680">
        <f>(Z346)</f>
        <v>0</v>
      </c>
      <c r="J346" s="1680">
        <f>(AB346)</f>
        <v>0</v>
      </c>
      <c r="K346" s="1680">
        <f>(AA346)</f>
        <v>0</v>
      </c>
      <c r="L346" s="1680">
        <f ca="1">(AC346)</f>
        <v>0</v>
      </c>
      <c r="M346" s="1680">
        <f ca="1">(AE346)</f>
        <v>0</v>
      </c>
      <c r="N346" s="1680">
        <f ca="1">(AD346)</f>
        <v>0</v>
      </c>
      <c r="O346" s="1619">
        <f ca="1">+I346+L346</f>
        <v>0</v>
      </c>
      <c r="P346" s="1619">
        <f ca="1">+J346+M346</f>
        <v>0</v>
      </c>
      <c r="Q346" s="1619">
        <f ca="1">+K346+N346</f>
        <v>0</v>
      </c>
      <c r="R346" s="1619"/>
      <c r="S346" s="1619"/>
      <c r="T346" s="1619"/>
      <c r="U346" s="1619"/>
      <c r="V346" s="5338" t="s">
        <v>41</v>
      </c>
      <c r="W346" s="3907" t="s">
        <v>164</v>
      </c>
      <c r="X346" s="3907"/>
      <c r="Y346" s="3907"/>
      <c r="Z346" s="1659">
        <f>+'Compra -HOJA1'!I181</f>
        <v>0</v>
      </c>
      <c r="AA346" s="1659">
        <f>+'Compra -HOJA1'!J181</f>
        <v>0</v>
      </c>
      <c r="AB346" s="1659">
        <f>+'Compra -HOJA1'!K181</f>
        <v>0</v>
      </c>
      <c r="AC346" s="1659">
        <f ca="1">+'Compra -HOJA1'!L181</f>
        <v>0</v>
      </c>
      <c r="AD346" s="1659">
        <f ca="1">+'Compra -HOJA1'!M181</f>
        <v>0</v>
      </c>
      <c r="AE346" s="1659">
        <f ca="1">+'Compra -HOJA1'!N181</f>
        <v>0</v>
      </c>
      <c r="AF346" s="1659">
        <f ca="1">+'Compra -HOJA1'!O181</f>
        <v>0</v>
      </c>
      <c r="AG346" s="1659">
        <f ca="1">+'Compra -HOJA1'!P181</f>
        <v>0</v>
      </c>
      <c r="AH346" s="1659">
        <f ca="1">+'Compra -HOJA1'!Q181</f>
        <v>0</v>
      </c>
      <c r="AJ346" s="1490">
        <f ca="1">+Z346+AC346</f>
        <v>0</v>
      </c>
      <c r="AK346" s="1490">
        <f t="shared" ref="AK346:AL361" ca="1" si="201">+AA346+AD346</f>
        <v>0</v>
      </c>
      <c r="AL346" s="1490">
        <f t="shared" ca="1" si="201"/>
        <v>0</v>
      </c>
    </row>
    <row r="347" spans="1:38" ht="62.1" customHeight="1" x14ac:dyDescent="0.45">
      <c r="A347" s="5339"/>
      <c r="B347" s="4025" t="s">
        <v>179</v>
      </c>
      <c r="C347" s="3913"/>
      <c r="D347" s="4021"/>
      <c r="E347" s="1679">
        <f>+'Compra -HOJA1'!G182</f>
        <v>0</v>
      </c>
      <c r="F347" s="1679"/>
      <c r="G347" s="1679"/>
      <c r="H347" s="1679"/>
      <c r="I347" s="1680">
        <f t="shared" ref="I347:I410" si="202">(Z347)</f>
        <v>0</v>
      </c>
      <c r="J347" s="1680">
        <f t="shared" ref="J347:J410" si="203">(AB347)</f>
        <v>0</v>
      </c>
      <c r="K347" s="1680">
        <f t="shared" ref="K347:K410" si="204">(AA347)</f>
        <v>0</v>
      </c>
      <c r="L347" s="1680">
        <f t="shared" ref="L347:L410" ca="1" si="205">(AC347)</f>
        <v>0</v>
      </c>
      <c r="M347" s="1680">
        <f t="shared" ref="M347:M410" ca="1" si="206">(AE347)</f>
        <v>0</v>
      </c>
      <c r="N347" s="1680">
        <f t="shared" ref="N347:N410" ca="1" si="207">(AD347)</f>
        <v>0</v>
      </c>
      <c r="O347" s="1619">
        <f t="shared" ref="O347:Q410" ca="1" si="208">+I347+L347</f>
        <v>0</v>
      </c>
      <c r="P347" s="1619">
        <f t="shared" ca="1" si="208"/>
        <v>0</v>
      </c>
      <c r="Q347" s="1619">
        <f t="shared" ca="1" si="208"/>
        <v>0</v>
      </c>
      <c r="R347" s="1619"/>
      <c r="S347" s="1619"/>
      <c r="T347" s="1619"/>
      <c r="U347" s="1619"/>
      <c r="V347" s="5339"/>
      <c r="W347" s="4025" t="s">
        <v>179</v>
      </c>
      <c r="X347" s="3913"/>
      <c r="Y347" s="4021"/>
      <c r="Z347" s="1659">
        <f>+'Compra -HOJA1'!I182</f>
        <v>0</v>
      </c>
      <c r="AA347" s="1659">
        <f>+'Compra -HOJA1'!J182</f>
        <v>0</v>
      </c>
      <c r="AB347" s="1659">
        <f>+'Compra -HOJA1'!K182</f>
        <v>0</v>
      </c>
      <c r="AC347" s="1659">
        <f ca="1">+'Compra -HOJA1'!L182</f>
        <v>0</v>
      </c>
      <c r="AD347" s="1659">
        <f ca="1">+'Compra -HOJA1'!M182</f>
        <v>0</v>
      </c>
      <c r="AE347" s="1659">
        <f ca="1">+'Compra -HOJA1'!N182</f>
        <v>0</v>
      </c>
      <c r="AF347" s="1659">
        <f ca="1">+'Compra -HOJA1'!O182</f>
        <v>0</v>
      </c>
      <c r="AG347" s="1659">
        <f ca="1">+'Compra -HOJA1'!P182</f>
        <v>0</v>
      </c>
      <c r="AH347" s="1659">
        <f ca="1">+'Compra -HOJA1'!Q182</f>
        <v>0</v>
      </c>
      <c r="AJ347" s="1490">
        <f t="shared" ref="AJ347:AL393" ca="1" si="209">+Z347+AC347</f>
        <v>0</v>
      </c>
      <c r="AK347" s="1490">
        <f t="shared" ca="1" si="201"/>
        <v>0</v>
      </c>
      <c r="AL347" s="1490">
        <f t="shared" ca="1" si="201"/>
        <v>0</v>
      </c>
    </row>
    <row r="348" spans="1:38" ht="62.1" customHeight="1" x14ac:dyDescent="0.45">
      <c r="A348" s="5339"/>
      <c r="B348" s="5257" t="s">
        <v>535</v>
      </c>
      <c r="C348" s="5258"/>
      <c r="D348" s="5259"/>
      <c r="E348" s="1679" t="e">
        <f>+'Compra -HOJA1'!#REF!</f>
        <v>#REF!</v>
      </c>
      <c r="F348" s="1679"/>
      <c r="G348" s="1679"/>
      <c r="H348" s="1679"/>
      <c r="I348" s="1680" t="e">
        <f t="shared" si="202"/>
        <v>#REF!</v>
      </c>
      <c r="J348" s="1680" t="e">
        <f t="shared" si="203"/>
        <v>#REF!</v>
      </c>
      <c r="K348" s="1680" t="e">
        <f t="shared" si="204"/>
        <v>#REF!</v>
      </c>
      <c r="L348" s="1680" t="e">
        <f t="shared" si="205"/>
        <v>#REF!</v>
      </c>
      <c r="M348" s="1680" t="e">
        <f t="shared" si="206"/>
        <v>#REF!</v>
      </c>
      <c r="N348" s="1680" t="e">
        <f t="shared" si="207"/>
        <v>#REF!</v>
      </c>
      <c r="O348" s="1619" t="e">
        <f t="shared" si="208"/>
        <v>#REF!</v>
      </c>
      <c r="P348" s="1619" t="e">
        <f t="shared" si="208"/>
        <v>#REF!</v>
      </c>
      <c r="Q348" s="1619" t="e">
        <f t="shared" si="208"/>
        <v>#REF!</v>
      </c>
      <c r="R348" s="1619"/>
      <c r="S348" s="1619"/>
      <c r="T348" s="1619"/>
      <c r="U348" s="1619"/>
      <c r="V348" s="5339"/>
      <c r="W348" s="5257" t="s">
        <v>535</v>
      </c>
      <c r="X348" s="5258"/>
      <c r="Y348" s="5259"/>
      <c r="Z348" s="1659" t="e">
        <f>+'Compra -HOJA1'!#REF!</f>
        <v>#REF!</v>
      </c>
      <c r="AA348" s="1659" t="e">
        <f>+'Compra -HOJA1'!#REF!</f>
        <v>#REF!</v>
      </c>
      <c r="AB348" s="1659" t="e">
        <f>+'Compra -HOJA1'!#REF!</f>
        <v>#REF!</v>
      </c>
      <c r="AC348" s="1659" t="e">
        <f>+'Compra -HOJA1'!#REF!</f>
        <v>#REF!</v>
      </c>
      <c r="AD348" s="1659" t="e">
        <f>+'Compra -HOJA1'!#REF!</f>
        <v>#REF!</v>
      </c>
      <c r="AE348" s="1659" t="e">
        <f>+'Compra -HOJA1'!#REF!</f>
        <v>#REF!</v>
      </c>
      <c r="AF348" s="1659" t="e">
        <f>+'Compra -HOJA1'!#REF!</f>
        <v>#REF!</v>
      </c>
      <c r="AG348" s="1659" t="e">
        <f>+'Compra -HOJA1'!#REF!</f>
        <v>#REF!</v>
      </c>
      <c r="AH348" s="1659" t="e">
        <f>+'Compra -HOJA1'!#REF!</f>
        <v>#REF!</v>
      </c>
      <c r="AJ348" s="1490"/>
      <c r="AK348" s="1490"/>
      <c r="AL348" s="1490"/>
    </row>
    <row r="349" spans="1:38" ht="62.1" customHeight="1" x14ac:dyDescent="0.45">
      <c r="A349" s="5339"/>
      <c r="B349" s="3948" t="s">
        <v>195</v>
      </c>
      <c r="C349" s="3912"/>
      <c r="D349" s="3947"/>
      <c r="E349" s="1679">
        <f>+'Compra -HOJA1'!G183</f>
        <v>0</v>
      </c>
      <c r="F349" s="1679"/>
      <c r="G349" s="1679"/>
      <c r="H349" s="1679"/>
      <c r="I349" s="1680">
        <f t="shared" si="202"/>
        <v>0</v>
      </c>
      <c r="J349" s="1680">
        <f t="shared" si="203"/>
        <v>0</v>
      </c>
      <c r="K349" s="1680">
        <f t="shared" si="204"/>
        <v>0</v>
      </c>
      <c r="L349" s="1680">
        <f t="shared" ca="1" si="205"/>
        <v>0</v>
      </c>
      <c r="M349" s="1680">
        <f t="shared" ca="1" si="206"/>
        <v>0</v>
      </c>
      <c r="N349" s="1680">
        <f t="shared" ca="1" si="207"/>
        <v>0</v>
      </c>
      <c r="O349" s="1619">
        <f t="shared" ca="1" si="208"/>
        <v>0</v>
      </c>
      <c r="P349" s="1619">
        <f t="shared" ca="1" si="208"/>
        <v>0</v>
      </c>
      <c r="Q349" s="1619">
        <f t="shared" ca="1" si="208"/>
        <v>0</v>
      </c>
      <c r="R349" s="1619"/>
      <c r="S349" s="1619"/>
      <c r="T349" s="1619"/>
      <c r="U349" s="1619"/>
      <c r="V349" s="5339"/>
      <c r="W349" s="3948" t="s">
        <v>195</v>
      </c>
      <c r="X349" s="3912"/>
      <c r="Y349" s="3947"/>
      <c r="Z349" s="1659">
        <f>+'Compra -HOJA1'!I183</f>
        <v>0</v>
      </c>
      <c r="AA349" s="1659">
        <f>+'Compra -HOJA1'!J183</f>
        <v>0</v>
      </c>
      <c r="AB349" s="1659">
        <f>+'Compra -HOJA1'!K183</f>
        <v>0</v>
      </c>
      <c r="AC349" s="1659">
        <f ca="1">+'Compra -HOJA1'!L183</f>
        <v>0</v>
      </c>
      <c r="AD349" s="1659">
        <f ca="1">+'Compra -HOJA1'!M183</f>
        <v>0</v>
      </c>
      <c r="AE349" s="1659">
        <f ca="1">+'Compra -HOJA1'!N183</f>
        <v>0</v>
      </c>
      <c r="AF349" s="1659">
        <f ca="1">+'Compra -HOJA1'!O183</f>
        <v>0</v>
      </c>
      <c r="AG349" s="1659">
        <f ca="1">+'Compra -HOJA1'!P183</f>
        <v>0</v>
      </c>
      <c r="AH349" s="1659">
        <f ca="1">+'Compra -HOJA1'!Q183</f>
        <v>0</v>
      </c>
      <c r="AJ349" s="1490">
        <f t="shared" ca="1" si="209"/>
        <v>0</v>
      </c>
      <c r="AK349" s="1490">
        <f t="shared" ca="1" si="201"/>
        <v>0</v>
      </c>
      <c r="AL349" s="1490">
        <f t="shared" ca="1" si="201"/>
        <v>0</v>
      </c>
    </row>
    <row r="350" spans="1:38" ht="62.1" customHeight="1" x14ac:dyDescent="0.45">
      <c r="A350" s="5339"/>
      <c r="B350" s="4098" t="s">
        <v>927</v>
      </c>
      <c r="C350" s="4098"/>
      <c r="D350" s="4098"/>
      <c r="E350" s="1679" t="e">
        <f>+'Compra -HOJA1'!#REF!</f>
        <v>#REF!</v>
      </c>
      <c r="F350" s="1679"/>
      <c r="G350" s="1679"/>
      <c r="H350" s="1679"/>
      <c r="I350" s="1680" t="e">
        <f t="shared" si="202"/>
        <v>#REF!</v>
      </c>
      <c r="J350" s="1680" t="e">
        <f t="shared" si="203"/>
        <v>#REF!</v>
      </c>
      <c r="K350" s="1680" t="e">
        <f t="shared" si="204"/>
        <v>#REF!</v>
      </c>
      <c r="L350" s="1680" t="e">
        <f t="shared" si="205"/>
        <v>#REF!</v>
      </c>
      <c r="M350" s="1680" t="e">
        <f t="shared" si="206"/>
        <v>#REF!</v>
      </c>
      <c r="N350" s="1680" t="e">
        <f t="shared" si="207"/>
        <v>#REF!</v>
      </c>
      <c r="O350" s="1619" t="e">
        <f t="shared" si="208"/>
        <v>#REF!</v>
      </c>
      <c r="P350" s="1619" t="e">
        <f t="shared" si="208"/>
        <v>#REF!</v>
      </c>
      <c r="Q350" s="1619" t="e">
        <f t="shared" si="208"/>
        <v>#REF!</v>
      </c>
      <c r="R350" s="1619"/>
      <c r="S350" s="1619"/>
      <c r="T350" s="1619"/>
      <c r="U350" s="1619"/>
      <c r="V350" s="5339"/>
      <c r="W350" s="4098" t="s">
        <v>927</v>
      </c>
      <c r="X350" s="4098"/>
      <c r="Y350" s="4098"/>
      <c r="Z350" s="1659" t="e">
        <f>+'Compra -HOJA1'!#REF!</f>
        <v>#REF!</v>
      </c>
      <c r="AA350" s="1659" t="e">
        <f>+'Compra -HOJA1'!#REF!</f>
        <v>#REF!</v>
      </c>
      <c r="AB350" s="1659" t="e">
        <f>+'Compra -HOJA1'!#REF!</f>
        <v>#REF!</v>
      </c>
      <c r="AC350" s="1659" t="e">
        <f>+'Compra -HOJA1'!#REF!</f>
        <v>#REF!</v>
      </c>
      <c r="AD350" s="1659" t="e">
        <f>+'Compra -HOJA1'!#REF!</f>
        <v>#REF!</v>
      </c>
      <c r="AE350" s="1659" t="e">
        <f>+'Compra -HOJA1'!#REF!</f>
        <v>#REF!</v>
      </c>
      <c r="AF350" s="1659" t="e">
        <f>+'Compra -HOJA1'!#REF!</f>
        <v>#REF!</v>
      </c>
      <c r="AG350" s="1659" t="e">
        <f>+'Compra -HOJA1'!#REF!</f>
        <v>#REF!</v>
      </c>
      <c r="AH350" s="1659" t="e">
        <f>+'Compra -HOJA1'!#REF!</f>
        <v>#REF!</v>
      </c>
      <c r="AJ350" s="1490" t="e">
        <f t="shared" si="209"/>
        <v>#REF!</v>
      </c>
      <c r="AK350" s="1490" t="e">
        <f t="shared" si="201"/>
        <v>#REF!</v>
      </c>
      <c r="AL350" s="1490" t="e">
        <f t="shared" si="201"/>
        <v>#REF!</v>
      </c>
    </row>
    <row r="351" spans="1:38" ht="62.1" customHeight="1" x14ac:dyDescent="0.45">
      <c r="A351" s="5339"/>
      <c r="B351" s="3691" t="s">
        <v>167</v>
      </c>
      <c r="C351" s="5340" t="s">
        <v>46</v>
      </c>
      <c r="D351" s="5340"/>
      <c r="E351" s="1679">
        <f>+'Compra -HOJA1'!G184</f>
        <v>0</v>
      </c>
      <c r="F351" s="1679"/>
      <c r="G351" s="1679"/>
      <c r="H351" s="1679"/>
      <c r="I351" s="1680">
        <f t="shared" si="202"/>
        <v>0</v>
      </c>
      <c r="J351" s="1680">
        <f t="shared" si="203"/>
        <v>0</v>
      </c>
      <c r="K351" s="1680">
        <f t="shared" si="204"/>
        <v>0</v>
      </c>
      <c r="L351" s="1680">
        <f t="shared" ca="1" si="205"/>
        <v>0</v>
      </c>
      <c r="M351" s="1680">
        <f t="shared" ca="1" si="206"/>
        <v>0</v>
      </c>
      <c r="N351" s="1680">
        <f t="shared" ca="1" si="207"/>
        <v>0</v>
      </c>
      <c r="O351" s="1619">
        <f t="shared" ca="1" si="208"/>
        <v>0</v>
      </c>
      <c r="P351" s="1619">
        <f t="shared" ca="1" si="208"/>
        <v>0</v>
      </c>
      <c r="Q351" s="1619">
        <f t="shared" ca="1" si="208"/>
        <v>0</v>
      </c>
      <c r="R351" s="1619"/>
      <c r="S351" s="1619"/>
      <c r="T351" s="1619"/>
      <c r="U351" s="1619"/>
      <c r="V351" s="5339"/>
      <c r="W351" s="3691" t="s">
        <v>167</v>
      </c>
      <c r="X351" s="5340" t="s">
        <v>46</v>
      </c>
      <c r="Y351" s="5340"/>
      <c r="Z351" s="1659">
        <f>+'Compra -HOJA1'!I184</f>
        <v>0</v>
      </c>
      <c r="AA351" s="1659">
        <f>+'Compra -HOJA1'!J184</f>
        <v>0</v>
      </c>
      <c r="AB351" s="1659">
        <f>+'Compra -HOJA1'!K184</f>
        <v>0</v>
      </c>
      <c r="AC351" s="1659">
        <f ca="1">+'Compra -HOJA1'!L184</f>
        <v>0</v>
      </c>
      <c r="AD351" s="1659">
        <f ca="1">+'Compra -HOJA1'!M184</f>
        <v>0</v>
      </c>
      <c r="AE351" s="1659">
        <f ca="1">+'Compra -HOJA1'!N184</f>
        <v>0</v>
      </c>
      <c r="AF351" s="1659">
        <f ca="1">+'Compra -HOJA1'!O184</f>
        <v>0</v>
      </c>
      <c r="AG351" s="1659">
        <f ca="1">+'Compra -HOJA1'!P184</f>
        <v>0</v>
      </c>
      <c r="AH351" s="1659">
        <f ca="1">+'Compra -HOJA1'!Q184</f>
        <v>0</v>
      </c>
      <c r="AJ351" s="1490">
        <f t="shared" ca="1" si="209"/>
        <v>0</v>
      </c>
      <c r="AK351" s="1490">
        <f t="shared" ca="1" si="201"/>
        <v>0</v>
      </c>
      <c r="AL351" s="1490">
        <f t="shared" ca="1" si="201"/>
        <v>0</v>
      </c>
    </row>
    <row r="352" spans="1:38" ht="62.1" customHeight="1" x14ac:dyDescent="0.45">
      <c r="A352" s="5339"/>
      <c r="B352" s="3970"/>
      <c r="C352" s="5340" t="s">
        <v>47</v>
      </c>
      <c r="D352" s="5340"/>
      <c r="E352" s="1679">
        <f>+'Compra -HOJA1'!G185</f>
        <v>0</v>
      </c>
      <c r="F352" s="1679"/>
      <c r="G352" s="1679"/>
      <c r="H352" s="1679"/>
      <c r="I352" s="1680">
        <f t="shared" si="202"/>
        <v>0</v>
      </c>
      <c r="J352" s="1680">
        <f t="shared" si="203"/>
        <v>0</v>
      </c>
      <c r="K352" s="1680">
        <f t="shared" si="204"/>
        <v>0</v>
      </c>
      <c r="L352" s="1680">
        <f t="shared" ca="1" si="205"/>
        <v>0</v>
      </c>
      <c r="M352" s="1680">
        <f t="shared" ca="1" si="206"/>
        <v>0</v>
      </c>
      <c r="N352" s="1680">
        <f t="shared" ca="1" si="207"/>
        <v>0</v>
      </c>
      <c r="O352" s="1619">
        <f t="shared" ca="1" si="208"/>
        <v>0</v>
      </c>
      <c r="P352" s="1619">
        <f t="shared" ca="1" si="208"/>
        <v>0</v>
      </c>
      <c r="Q352" s="1619">
        <f t="shared" ca="1" si="208"/>
        <v>0</v>
      </c>
      <c r="R352" s="1619"/>
      <c r="S352" s="1619"/>
      <c r="T352" s="1619"/>
      <c r="U352" s="1619"/>
      <c r="V352" s="5339"/>
      <c r="W352" s="3970"/>
      <c r="X352" s="5340" t="s">
        <v>47</v>
      </c>
      <c r="Y352" s="5340"/>
      <c r="Z352" s="1659">
        <f>+'Compra -HOJA1'!I185</f>
        <v>0</v>
      </c>
      <c r="AA352" s="1659">
        <f>+'Compra -HOJA1'!J185</f>
        <v>0</v>
      </c>
      <c r="AB352" s="1659">
        <f>+'Compra -HOJA1'!K185</f>
        <v>0</v>
      </c>
      <c r="AC352" s="1659">
        <f ca="1">+'Compra -HOJA1'!L185</f>
        <v>0</v>
      </c>
      <c r="AD352" s="1659">
        <f ca="1">+'Compra -HOJA1'!M185</f>
        <v>0</v>
      </c>
      <c r="AE352" s="1659">
        <f ca="1">+'Compra -HOJA1'!N185</f>
        <v>0</v>
      </c>
      <c r="AF352" s="1659">
        <f ca="1">+'Compra -HOJA1'!O185</f>
        <v>0</v>
      </c>
      <c r="AG352" s="1659">
        <f ca="1">+'Compra -HOJA1'!P185</f>
        <v>0</v>
      </c>
      <c r="AH352" s="1659">
        <f ca="1">+'Compra -HOJA1'!Q185</f>
        <v>0</v>
      </c>
      <c r="AJ352" s="1490">
        <f t="shared" ca="1" si="209"/>
        <v>0</v>
      </c>
      <c r="AK352" s="1490">
        <f t="shared" ca="1" si="201"/>
        <v>0</v>
      </c>
      <c r="AL352" s="1490">
        <f t="shared" ca="1" si="201"/>
        <v>0</v>
      </c>
    </row>
    <row r="353" spans="1:38" ht="62.1" customHeight="1" x14ac:dyDescent="0.45">
      <c r="A353" s="5339"/>
      <c r="B353" s="3970"/>
      <c r="C353" s="5260" t="s">
        <v>169</v>
      </c>
      <c r="D353" s="5260"/>
      <c r="E353" s="1679">
        <f>+'Compra -HOJA1'!G186</f>
        <v>0</v>
      </c>
      <c r="F353" s="1679"/>
      <c r="G353" s="1679"/>
      <c r="H353" s="1679"/>
      <c r="I353" s="1680">
        <f t="shared" si="202"/>
        <v>0</v>
      </c>
      <c r="J353" s="1680">
        <f t="shared" si="203"/>
        <v>0</v>
      </c>
      <c r="K353" s="1680">
        <f t="shared" si="204"/>
        <v>0</v>
      </c>
      <c r="L353" s="1680">
        <f t="shared" ca="1" si="205"/>
        <v>0</v>
      </c>
      <c r="M353" s="1680">
        <f t="shared" ca="1" si="206"/>
        <v>0</v>
      </c>
      <c r="N353" s="1680">
        <f t="shared" ca="1" si="207"/>
        <v>0</v>
      </c>
      <c r="O353" s="1619">
        <f t="shared" ca="1" si="208"/>
        <v>0</v>
      </c>
      <c r="P353" s="1619">
        <f t="shared" ca="1" si="208"/>
        <v>0</v>
      </c>
      <c r="Q353" s="1619">
        <f t="shared" ca="1" si="208"/>
        <v>0</v>
      </c>
      <c r="R353" s="1619"/>
      <c r="S353" s="1619"/>
      <c r="T353" s="1619"/>
      <c r="U353" s="1619"/>
      <c r="V353" s="5339"/>
      <c r="W353" s="3970"/>
      <c r="X353" s="5260" t="s">
        <v>169</v>
      </c>
      <c r="Y353" s="5260"/>
      <c r="Z353" s="1659">
        <f>+'Compra -HOJA1'!I186</f>
        <v>0</v>
      </c>
      <c r="AA353" s="1659">
        <f>+'Compra -HOJA1'!J186</f>
        <v>0</v>
      </c>
      <c r="AB353" s="1659">
        <f>+'Compra -HOJA1'!K186</f>
        <v>0</v>
      </c>
      <c r="AC353" s="1659">
        <f ca="1">+'Compra -HOJA1'!L186</f>
        <v>0</v>
      </c>
      <c r="AD353" s="1659">
        <f ca="1">+'Compra -HOJA1'!M186</f>
        <v>0</v>
      </c>
      <c r="AE353" s="1659">
        <f ca="1">+'Compra -HOJA1'!N186</f>
        <v>0</v>
      </c>
      <c r="AF353" s="1659">
        <f ca="1">+'Compra -HOJA1'!O186</f>
        <v>0</v>
      </c>
      <c r="AG353" s="1659">
        <f ca="1">+'Compra -HOJA1'!P186</f>
        <v>0</v>
      </c>
      <c r="AH353" s="1659">
        <f ca="1">+'Compra -HOJA1'!Q186</f>
        <v>0</v>
      </c>
      <c r="AJ353" s="1490">
        <f t="shared" ca="1" si="209"/>
        <v>0</v>
      </c>
      <c r="AK353" s="1490">
        <f t="shared" ca="1" si="201"/>
        <v>0</v>
      </c>
      <c r="AL353" s="1490">
        <f t="shared" ca="1" si="201"/>
        <v>0</v>
      </c>
    </row>
    <row r="354" spans="1:38" ht="62.1" customHeight="1" x14ac:dyDescent="0.45">
      <c r="A354" s="5339"/>
      <c r="B354" s="3971"/>
      <c r="C354" s="5260" t="s">
        <v>49</v>
      </c>
      <c r="D354" s="5260"/>
      <c r="E354" s="1679">
        <f>+'Compra -HOJA1'!G187</f>
        <v>0</v>
      </c>
      <c r="F354" s="1679"/>
      <c r="G354" s="1679"/>
      <c r="H354" s="1679"/>
      <c r="I354" s="1680">
        <f t="shared" si="202"/>
        <v>0</v>
      </c>
      <c r="J354" s="1680">
        <f t="shared" si="203"/>
        <v>0</v>
      </c>
      <c r="K354" s="1680">
        <f t="shared" si="204"/>
        <v>0</v>
      </c>
      <c r="L354" s="1680">
        <f t="shared" ca="1" si="205"/>
        <v>0</v>
      </c>
      <c r="M354" s="1680">
        <f t="shared" ca="1" si="206"/>
        <v>0</v>
      </c>
      <c r="N354" s="1680">
        <f t="shared" ca="1" si="207"/>
        <v>0</v>
      </c>
      <c r="O354" s="1619">
        <f t="shared" ca="1" si="208"/>
        <v>0</v>
      </c>
      <c r="P354" s="1619">
        <f t="shared" ca="1" si="208"/>
        <v>0</v>
      </c>
      <c r="Q354" s="1619">
        <f t="shared" ca="1" si="208"/>
        <v>0</v>
      </c>
      <c r="R354" s="1619"/>
      <c r="S354" s="1619"/>
      <c r="T354" s="1619"/>
      <c r="U354" s="1619"/>
      <c r="V354" s="5339"/>
      <c r="W354" s="3971"/>
      <c r="X354" s="5260" t="s">
        <v>49</v>
      </c>
      <c r="Y354" s="5260"/>
      <c r="Z354" s="1659">
        <f>+'Compra -HOJA1'!I187</f>
        <v>0</v>
      </c>
      <c r="AA354" s="1659">
        <f>+'Compra -HOJA1'!J187</f>
        <v>0</v>
      </c>
      <c r="AB354" s="1659">
        <f>+'Compra -HOJA1'!K187</f>
        <v>0</v>
      </c>
      <c r="AC354" s="1659">
        <f ca="1">+'Compra -HOJA1'!L187</f>
        <v>0</v>
      </c>
      <c r="AD354" s="1659">
        <f ca="1">+'Compra -HOJA1'!M187</f>
        <v>0</v>
      </c>
      <c r="AE354" s="1659">
        <f ca="1">+'Compra -HOJA1'!N187</f>
        <v>0</v>
      </c>
      <c r="AF354" s="1659">
        <f ca="1">+'Compra -HOJA1'!O187</f>
        <v>0</v>
      </c>
      <c r="AG354" s="1659">
        <f ca="1">+'Compra -HOJA1'!P187</f>
        <v>0</v>
      </c>
      <c r="AH354" s="1659">
        <f ca="1">+'Compra -HOJA1'!Q187</f>
        <v>0</v>
      </c>
      <c r="AJ354" s="1490">
        <f t="shared" ca="1" si="209"/>
        <v>0</v>
      </c>
      <c r="AK354" s="1490">
        <f t="shared" ca="1" si="201"/>
        <v>0</v>
      </c>
      <c r="AL354" s="1490">
        <f t="shared" ca="1" si="201"/>
        <v>0</v>
      </c>
    </row>
    <row r="355" spans="1:38" ht="62.1" customHeight="1" thickBot="1" x14ac:dyDescent="0.5">
      <c r="A355" s="5339"/>
      <c r="B355" s="1578" t="s">
        <v>50</v>
      </c>
      <c r="C355" s="5341" t="s">
        <v>51</v>
      </c>
      <c r="D355" s="5341"/>
      <c r="E355" s="1679" t="e">
        <f>+'Compra -HOJA1'!#REF!</f>
        <v>#REF!</v>
      </c>
      <c r="F355" s="1679"/>
      <c r="G355" s="1679"/>
      <c r="H355" s="1679"/>
      <c r="I355" s="1680" t="e">
        <f t="shared" si="202"/>
        <v>#REF!</v>
      </c>
      <c r="J355" s="1680" t="e">
        <f t="shared" si="203"/>
        <v>#REF!</v>
      </c>
      <c r="K355" s="1680" t="e">
        <f t="shared" si="204"/>
        <v>#REF!</v>
      </c>
      <c r="L355" s="1680" t="e">
        <f t="shared" si="205"/>
        <v>#REF!</v>
      </c>
      <c r="M355" s="1680" t="e">
        <f t="shared" si="206"/>
        <v>#REF!</v>
      </c>
      <c r="N355" s="1680" t="e">
        <f t="shared" si="207"/>
        <v>#REF!</v>
      </c>
      <c r="O355" s="1619" t="e">
        <f t="shared" si="208"/>
        <v>#REF!</v>
      </c>
      <c r="P355" s="1619" t="e">
        <f t="shared" si="208"/>
        <v>#REF!</v>
      </c>
      <c r="Q355" s="1619" t="e">
        <f t="shared" si="208"/>
        <v>#REF!</v>
      </c>
      <c r="R355" s="1619"/>
      <c r="S355" s="1619"/>
      <c r="T355" s="1619"/>
      <c r="U355" s="1619"/>
      <c r="V355" s="5339"/>
      <c r="W355" s="1578" t="s">
        <v>50</v>
      </c>
      <c r="X355" s="5341" t="s">
        <v>51</v>
      </c>
      <c r="Y355" s="5341"/>
      <c r="Z355" s="1659" t="e">
        <f>+'Compra -HOJA1'!#REF!</f>
        <v>#REF!</v>
      </c>
      <c r="AA355" s="1659" t="e">
        <f>+'Compra -HOJA1'!#REF!</f>
        <v>#REF!</v>
      </c>
      <c r="AB355" s="1659" t="e">
        <f>+'Compra -HOJA1'!#REF!</f>
        <v>#REF!</v>
      </c>
      <c r="AC355" s="1659" t="e">
        <f>+'Compra -HOJA1'!#REF!</f>
        <v>#REF!</v>
      </c>
      <c r="AD355" s="1659" t="e">
        <f>+'Compra -HOJA1'!#REF!</f>
        <v>#REF!</v>
      </c>
      <c r="AE355" s="1659" t="e">
        <f>+'Compra -HOJA1'!#REF!</f>
        <v>#REF!</v>
      </c>
      <c r="AF355" s="1659" t="e">
        <f>+'Compra -HOJA1'!#REF!</f>
        <v>#REF!</v>
      </c>
      <c r="AG355" s="1659" t="e">
        <f>+'Compra -HOJA1'!#REF!</f>
        <v>#REF!</v>
      </c>
      <c r="AH355" s="1659" t="e">
        <f>+'Compra -HOJA1'!#REF!</f>
        <v>#REF!</v>
      </c>
      <c r="AJ355" s="1490" t="e">
        <f t="shared" si="209"/>
        <v>#REF!</v>
      </c>
      <c r="AK355" s="1490" t="e">
        <f t="shared" si="201"/>
        <v>#REF!</v>
      </c>
      <c r="AL355" s="1490" t="e">
        <f t="shared" si="201"/>
        <v>#REF!</v>
      </c>
    </row>
    <row r="356" spans="1:38" ht="62.1" customHeight="1" x14ac:dyDescent="0.45">
      <c r="A356" s="4607" t="s">
        <v>52</v>
      </c>
      <c r="B356" s="3907" t="s">
        <v>164</v>
      </c>
      <c r="C356" s="3907"/>
      <c r="D356" s="3907"/>
      <c r="E356" s="1679">
        <f>+'Compra -HOJA1'!G196</f>
        <v>0</v>
      </c>
      <c r="F356" s="1679"/>
      <c r="G356" s="1679"/>
      <c r="H356" s="1679"/>
      <c r="I356" s="1680">
        <f t="shared" si="202"/>
        <v>0</v>
      </c>
      <c r="J356" s="1680">
        <f t="shared" si="203"/>
        <v>0</v>
      </c>
      <c r="K356" s="1680">
        <f t="shared" si="204"/>
        <v>0</v>
      </c>
      <c r="L356" s="1680">
        <f t="shared" ca="1" si="205"/>
        <v>0</v>
      </c>
      <c r="M356" s="1680">
        <f t="shared" ca="1" si="206"/>
        <v>0</v>
      </c>
      <c r="N356" s="1680">
        <f t="shared" ca="1" si="207"/>
        <v>0</v>
      </c>
      <c r="O356" s="1619">
        <f t="shared" ca="1" si="208"/>
        <v>0</v>
      </c>
      <c r="P356" s="1619">
        <f t="shared" ca="1" si="208"/>
        <v>0</v>
      </c>
      <c r="Q356" s="1619">
        <f t="shared" ca="1" si="208"/>
        <v>0</v>
      </c>
      <c r="R356" s="1619"/>
      <c r="S356" s="1619"/>
      <c r="T356" s="1619"/>
      <c r="U356" s="1619"/>
      <c r="V356" s="4607" t="s">
        <v>52</v>
      </c>
      <c r="W356" s="3907" t="s">
        <v>164</v>
      </c>
      <c r="X356" s="3907"/>
      <c r="Y356" s="3907"/>
      <c r="Z356" s="1659">
        <f>+'Compra -HOJA1'!I196</f>
        <v>0</v>
      </c>
      <c r="AA356" s="1659">
        <f>+'Compra -HOJA1'!J196</f>
        <v>0</v>
      </c>
      <c r="AB356" s="1659">
        <f>+'Compra -HOJA1'!K196</f>
        <v>0</v>
      </c>
      <c r="AC356" s="1659">
        <f ca="1">+'Compra -HOJA1'!L196</f>
        <v>0</v>
      </c>
      <c r="AD356" s="1659">
        <f ca="1">+'Compra -HOJA1'!M196</f>
        <v>0</v>
      </c>
      <c r="AE356" s="1659">
        <f ca="1">+'Compra -HOJA1'!N196</f>
        <v>0</v>
      </c>
      <c r="AF356" s="1659">
        <f ca="1">+'Compra -HOJA1'!O196</f>
        <v>0</v>
      </c>
      <c r="AG356" s="1659">
        <f ca="1">+'Compra -HOJA1'!P196</f>
        <v>0</v>
      </c>
      <c r="AH356" s="1659">
        <f ca="1">+'Compra -HOJA1'!Q196</f>
        <v>0</v>
      </c>
      <c r="AJ356" s="1490">
        <f t="shared" ca="1" si="209"/>
        <v>0</v>
      </c>
      <c r="AK356" s="1490">
        <f t="shared" ca="1" si="201"/>
        <v>0</v>
      </c>
      <c r="AL356" s="1490">
        <f t="shared" ca="1" si="201"/>
        <v>0</v>
      </c>
    </row>
    <row r="357" spans="1:38" ht="62.1" customHeight="1" x14ac:dyDescent="0.45">
      <c r="A357" s="4608"/>
      <c r="B357" s="4025" t="s">
        <v>179</v>
      </c>
      <c r="C357" s="3913"/>
      <c r="D357" s="4021"/>
      <c r="E357" s="1679">
        <f>+'Compra -HOJA1'!G197</f>
        <v>0</v>
      </c>
      <c r="F357" s="1679"/>
      <c r="G357" s="1679"/>
      <c r="H357" s="1679"/>
      <c r="I357" s="1680">
        <f t="shared" si="202"/>
        <v>0</v>
      </c>
      <c r="J357" s="1680">
        <f t="shared" si="203"/>
        <v>0</v>
      </c>
      <c r="K357" s="1680">
        <f t="shared" si="204"/>
        <v>0</v>
      </c>
      <c r="L357" s="1680">
        <f t="shared" ca="1" si="205"/>
        <v>0</v>
      </c>
      <c r="M357" s="1680">
        <f t="shared" ca="1" si="206"/>
        <v>0</v>
      </c>
      <c r="N357" s="1680">
        <f t="shared" ca="1" si="207"/>
        <v>0</v>
      </c>
      <c r="O357" s="1619">
        <f t="shared" ca="1" si="208"/>
        <v>0</v>
      </c>
      <c r="P357" s="1619">
        <f t="shared" ca="1" si="208"/>
        <v>0</v>
      </c>
      <c r="Q357" s="1619">
        <f t="shared" ca="1" si="208"/>
        <v>0</v>
      </c>
      <c r="R357" s="1619"/>
      <c r="S357" s="1619"/>
      <c r="T357" s="1619"/>
      <c r="U357" s="1619"/>
      <c r="V357" s="4608"/>
      <c r="W357" s="4025" t="s">
        <v>179</v>
      </c>
      <c r="X357" s="3913"/>
      <c r="Y357" s="4021"/>
      <c r="Z357" s="1659">
        <f>+'Compra -HOJA1'!I197</f>
        <v>0</v>
      </c>
      <c r="AA357" s="1659">
        <f>+'Compra -HOJA1'!J197</f>
        <v>0</v>
      </c>
      <c r="AB357" s="1659">
        <f>+'Compra -HOJA1'!K197</f>
        <v>0</v>
      </c>
      <c r="AC357" s="1659">
        <f ca="1">+'Compra -HOJA1'!L197</f>
        <v>0</v>
      </c>
      <c r="AD357" s="1659">
        <f ca="1">+'Compra -HOJA1'!M197</f>
        <v>0</v>
      </c>
      <c r="AE357" s="1659">
        <f ca="1">+'Compra -HOJA1'!N197</f>
        <v>0</v>
      </c>
      <c r="AF357" s="1659">
        <f ca="1">+'Compra -HOJA1'!O197</f>
        <v>0</v>
      </c>
      <c r="AG357" s="1659">
        <f ca="1">+'Compra -HOJA1'!P197</f>
        <v>0</v>
      </c>
      <c r="AH357" s="1659">
        <f ca="1">+'Compra -HOJA1'!Q197</f>
        <v>0</v>
      </c>
      <c r="AJ357" s="1490">
        <f t="shared" ca="1" si="209"/>
        <v>0</v>
      </c>
      <c r="AK357" s="1490">
        <f t="shared" ca="1" si="201"/>
        <v>0</v>
      </c>
      <c r="AL357" s="1490">
        <f t="shared" ca="1" si="201"/>
        <v>0</v>
      </c>
    </row>
    <row r="358" spans="1:38" ht="62.1" customHeight="1" x14ac:dyDescent="0.45">
      <c r="A358" s="4608"/>
      <c r="B358" s="5257" t="s">
        <v>535</v>
      </c>
      <c r="C358" s="5258"/>
      <c r="D358" s="5259"/>
      <c r="E358" s="1679" t="e">
        <f>+'Compra -HOJA1'!#REF!</f>
        <v>#REF!</v>
      </c>
      <c r="F358" s="1679"/>
      <c r="G358" s="1679"/>
      <c r="H358" s="1679"/>
      <c r="I358" s="1680" t="e">
        <f t="shared" si="202"/>
        <v>#REF!</v>
      </c>
      <c r="J358" s="1680" t="e">
        <f t="shared" si="203"/>
        <v>#REF!</v>
      </c>
      <c r="K358" s="1680" t="e">
        <f t="shared" si="204"/>
        <v>#REF!</v>
      </c>
      <c r="L358" s="1680" t="e">
        <f t="shared" si="205"/>
        <v>#REF!</v>
      </c>
      <c r="M358" s="1680" t="e">
        <f t="shared" si="206"/>
        <v>#REF!</v>
      </c>
      <c r="N358" s="1680" t="e">
        <f t="shared" si="207"/>
        <v>#REF!</v>
      </c>
      <c r="O358" s="1619" t="e">
        <f t="shared" si="208"/>
        <v>#REF!</v>
      </c>
      <c r="P358" s="1619" t="e">
        <f t="shared" si="208"/>
        <v>#REF!</v>
      </c>
      <c r="Q358" s="1619" t="e">
        <f t="shared" si="208"/>
        <v>#REF!</v>
      </c>
      <c r="R358" s="1619"/>
      <c r="S358" s="1619"/>
      <c r="T358" s="1619"/>
      <c r="U358" s="1619"/>
      <c r="V358" s="4608"/>
      <c r="W358" s="5257" t="s">
        <v>535</v>
      </c>
      <c r="X358" s="5258"/>
      <c r="Y358" s="5259"/>
      <c r="Z358" s="1659" t="e">
        <f>+'Compra -HOJA1'!#REF!</f>
        <v>#REF!</v>
      </c>
      <c r="AA358" s="1659" t="e">
        <f>+'Compra -HOJA1'!#REF!</f>
        <v>#REF!</v>
      </c>
      <c r="AB358" s="1659" t="e">
        <f>+'Compra -HOJA1'!#REF!</f>
        <v>#REF!</v>
      </c>
      <c r="AC358" s="1659" t="e">
        <f>+'Compra -HOJA1'!#REF!</f>
        <v>#REF!</v>
      </c>
      <c r="AD358" s="1659" t="e">
        <f>+'Compra -HOJA1'!#REF!</f>
        <v>#REF!</v>
      </c>
      <c r="AE358" s="1659" t="e">
        <f>+'Compra -HOJA1'!#REF!</f>
        <v>#REF!</v>
      </c>
      <c r="AF358" s="1659" t="e">
        <f>+'Compra -HOJA1'!#REF!</f>
        <v>#REF!</v>
      </c>
      <c r="AG358" s="1659" t="e">
        <f>+'Compra -HOJA1'!#REF!</f>
        <v>#REF!</v>
      </c>
      <c r="AH358" s="1659" t="e">
        <f>+'Compra -HOJA1'!#REF!</f>
        <v>#REF!</v>
      </c>
      <c r="AJ358" s="1490"/>
      <c r="AK358" s="1490"/>
      <c r="AL358" s="1490"/>
    </row>
    <row r="359" spans="1:38" ht="62.1" customHeight="1" x14ac:dyDescent="0.45">
      <c r="A359" s="4608"/>
      <c r="B359" s="3948" t="s">
        <v>195</v>
      </c>
      <c r="C359" s="3912"/>
      <c r="D359" s="3947"/>
      <c r="E359" s="1679">
        <f>+'Compra -HOJA1'!G200</f>
        <v>0</v>
      </c>
      <c r="F359" s="1679"/>
      <c r="G359" s="1679"/>
      <c r="H359" s="1679"/>
      <c r="I359" s="1680">
        <f t="shared" si="202"/>
        <v>0</v>
      </c>
      <c r="J359" s="1680">
        <f t="shared" si="203"/>
        <v>0</v>
      </c>
      <c r="K359" s="1680">
        <f t="shared" si="204"/>
        <v>0</v>
      </c>
      <c r="L359" s="1680">
        <f t="shared" ca="1" si="205"/>
        <v>0</v>
      </c>
      <c r="M359" s="1680">
        <f t="shared" ca="1" si="206"/>
        <v>0</v>
      </c>
      <c r="N359" s="1680">
        <f t="shared" ca="1" si="207"/>
        <v>0</v>
      </c>
      <c r="O359" s="1619">
        <f t="shared" ca="1" si="208"/>
        <v>0</v>
      </c>
      <c r="P359" s="1619">
        <f t="shared" ca="1" si="208"/>
        <v>0</v>
      </c>
      <c r="Q359" s="1619">
        <f t="shared" ca="1" si="208"/>
        <v>0</v>
      </c>
      <c r="R359" s="1619"/>
      <c r="S359" s="1619"/>
      <c r="T359" s="1619"/>
      <c r="U359" s="1619"/>
      <c r="V359" s="4608"/>
      <c r="W359" s="3948" t="s">
        <v>195</v>
      </c>
      <c r="X359" s="3912"/>
      <c r="Y359" s="3947"/>
      <c r="Z359" s="1659">
        <f>+'Compra -HOJA1'!I200</f>
        <v>0</v>
      </c>
      <c r="AA359" s="1659">
        <f>+'Compra -HOJA1'!J200</f>
        <v>0</v>
      </c>
      <c r="AB359" s="1659">
        <f>+'Compra -HOJA1'!K200</f>
        <v>0</v>
      </c>
      <c r="AC359" s="1659">
        <f ca="1">+'Compra -HOJA1'!L200</f>
        <v>0</v>
      </c>
      <c r="AD359" s="1659">
        <f ca="1">+'Compra -HOJA1'!M200</f>
        <v>0</v>
      </c>
      <c r="AE359" s="1659">
        <f ca="1">+'Compra -HOJA1'!N200</f>
        <v>0</v>
      </c>
      <c r="AF359" s="1659">
        <f ca="1">+'Compra -HOJA1'!O200</f>
        <v>0</v>
      </c>
      <c r="AG359" s="1659">
        <f ca="1">+'Compra -HOJA1'!P200</f>
        <v>0</v>
      </c>
      <c r="AH359" s="1659">
        <f ca="1">+'Compra -HOJA1'!Q200</f>
        <v>0</v>
      </c>
      <c r="AJ359" s="1490">
        <f t="shared" ca="1" si="209"/>
        <v>0</v>
      </c>
      <c r="AK359" s="1490">
        <f t="shared" ca="1" si="201"/>
        <v>0</v>
      </c>
      <c r="AL359" s="1490">
        <f t="shared" ca="1" si="201"/>
        <v>0</v>
      </c>
    </row>
    <row r="360" spans="1:38" ht="62.1" customHeight="1" x14ac:dyDescent="0.45">
      <c r="A360" s="4608"/>
      <c r="B360" s="4098" t="s">
        <v>927</v>
      </c>
      <c r="C360" s="4098"/>
      <c r="D360" s="4098"/>
      <c r="E360" s="1679">
        <f>+'Compra -HOJA1'!G202</f>
        <v>0</v>
      </c>
      <c r="F360" s="1679"/>
      <c r="G360" s="1679"/>
      <c r="H360" s="1679"/>
      <c r="I360" s="1680">
        <f t="shared" si="202"/>
        <v>0</v>
      </c>
      <c r="J360" s="1680">
        <f t="shared" si="203"/>
        <v>0</v>
      </c>
      <c r="K360" s="1680">
        <f t="shared" si="204"/>
        <v>0</v>
      </c>
      <c r="L360" s="1680">
        <f t="shared" ca="1" si="205"/>
        <v>0</v>
      </c>
      <c r="M360" s="1680">
        <f t="shared" ca="1" si="206"/>
        <v>0</v>
      </c>
      <c r="N360" s="1680">
        <f t="shared" ca="1" si="207"/>
        <v>0</v>
      </c>
      <c r="O360" s="1619">
        <f t="shared" ca="1" si="208"/>
        <v>0</v>
      </c>
      <c r="P360" s="1619">
        <f t="shared" ca="1" si="208"/>
        <v>0</v>
      </c>
      <c r="Q360" s="1619">
        <f t="shared" ca="1" si="208"/>
        <v>0</v>
      </c>
      <c r="R360" s="1619"/>
      <c r="S360" s="1619"/>
      <c r="T360" s="1619"/>
      <c r="U360" s="1619"/>
      <c r="V360" s="4608"/>
      <c r="W360" s="4098" t="s">
        <v>927</v>
      </c>
      <c r="X360" s="4098"/>
      <c r="Y360" s="4098"/>
      <c r="Z360" s="1659">
        <f>+'Compra -HOJA1'!I202</f>
        <v>0</v>
      </c>
      <c r="AA360" s="1659">
        <f>+'Compra -HOJA1'!J202</f>
        <v>0</v>
      </c>
      <c r="AB360" s="1659">
        <f>+'Compra -HOJA1'!K202</f>
        <v>0</v>
      </c>
      <c r="AC360" s="1659">
        <f ca="1">+'Compra -HOJA1'!L202</f>
        <v>0</v>
      </c>
      <c r="AD360" s="1659">
        <f ca="1">+'Compra -HOJA1'!M202</f>
        <v>0</v>
      </c>
      <c r="AE360" s="1659">
        <f ca="1">+'Compra -HOJA1'!N202</f>
        <v>0</v>
      </c>
      <c r="AF360" s="1659">
        <f ca="1">+'Compra -HOJA1'!O202</f>
        <v>0</v>
      </c>
      <c r="AG360" s="1659">
        <f ca="1">+'Compra -HOJA1'!P202</f>
        <v>0</v>
      </c>
      <c r="AH360" s="1659">
        <f ca="1">+'Compra -HOJA1'!Q202</f>
        <v>0</v>
      </c>
      <c r="AJ360" s="1490">
        <f t="shared" ca="1" si="209"/>
        <v>0</v>
      </c>
      <c r="AK360" s="1490">
        <f t="shared" ca="1" si="201"/>
        <v>0</v>
      </c>
      <c r="AL360" s="1490">
        <f t="shared" ca="1" si="201"/>
        <v>0</v>
      </c>
    </row>
    <row r="361" spans="1:38" ht="62.1" customHeight="1" x14ac:dyDescent="0.45">
      <c r="A361" s="4608"/>
      <c r="B361" s="3691" t="s">
        <v>167</v>
      </c>
      <c r="C361" s="5342" t="s">
        <v>53</v>
      </c>
      <c r="D361" s="5342"/>
      <c r="E361" s="1679">
        <f>+'Compra -HOJA1'!G203</f>
        <v>0</v>
      </c>
      <c r="F361" s="1679"/>
      <c r="G361" s="1679"/>
      <c r="H361" s="1679"/>
      <c r="I361" s="1680">
        <f t="shared" si="202"/>
        <v>0</v>
      </c>
      <c r="J361" s="1680">
        <f t="shared" si="203"/>
        <v>0</v>
      </c>
      <c r="K361" s="1680">
        <f t="shared" si="204"/>
        <v>0</v>
      </c>
      <c r="L361" s="1680">
        <f t="shared" ca="1" si="205"/>
        <v>0</v>
      </c>
      <c r="M361" s="1680">
        <f t="shared" ca="1" si="206"/>
        <v>0</v>
      </c>
      <c r="N361" s="1680">
        <f t="shared" ca="1" si="207"/>
        <v>0</v>
      </c>
      <c r="O361" s="1619">
        <f t="shared" ca="1" si="208"/>
        <v>0</v>
      </c>
      <c r="P361" s="1619">
        <f t="shared" ca="1" si="208"/>
        <v>0</v>
      </c>
      <c r="Q361" s="1619">
        <f t="shared" ca="1" si="208"/>
        <v>0</v>
      </c>
      <c r="R361" s="1619"/>
      <c r="S361" s="1619"/>
      <c r="T361" s="1619"/>
      <c r="U361" s="1619"/>
      <c r="V361" s="4608"/>
      <c r="W361" s="3691" t="s">
        <v>167</v>
      </c>
      <c r="X361" s="5342" t="s">
        <v>53</v>
      </c>
      <c r="Y361" s="5342"/>
      <c r="Z361" s="1659">
        <f>+'Compra -HOJA1'!I203</f>
        <v>0</v>
      </c>
      <c r="AA361" s="1659">
        <f>+'Compra -HOJA1'!J203</f>
        <v>0</v>
      </c>
      <c r="AB361" s="1659">
        <f>+'Compra -HOJA1'!K203</f>
        <v>0</v>
      </c>
      <c r="AC361" s="1659">
        <f ca="1">+'Compra -HOJA1'!L203</f>
        <v>0</v>
      </c>
      <c r="AD361" s="1659">
        <f ca="1">+'Compra -HOJA1'!M203</f>
        <v>0</v>
      </c>
      <c r="AE361" s="1659">
        <f ca="1">+'Compra -HOJA1'!N203</f>
        <v>0</v>
      </c>
      <c r="AF361" s="1659">
        <f ca="1">+'Compra -HOJA1'!O203</f>
        <v>0</v>
      </c>
      <c r="AG361" s="1659">
        <f ca="1">+'Compra -HOJA1'!P203</f>
        <v>0</v>
      </c>
      <c r="AH361" s="1659">
        <f ca="1">+'Compra -HOJA1'!Q203</f>
        <v>0</v>
      </c>
      <c r="AJ361" s="1490">
        <f t="shared" ca="1" si="209"/>
        <v>0</v>
      </c>
      <c r="AK361" s="1490">
        <f t="shared" ca="1" si="201"/>
        <v>0</v>
      </c>
      <c r="AL361" s="1490">
        <f t="shared" ca="1" si="201"/>
        <v>0</v>
      </c>
    </row>
    <row r="362" spans="1:38" ht="62.1" customHeight="1" x14ac:dyDescent="0.45">
      <c r="A362" s="4608"/>
      <c r="B362" s="3970"/>
      <c r="C362" s="5342" t="s">
        <v>54</v>
      </c>
      <c r="D362" s="5342"/>
      <c r="E362" s="1679">
        <f>+'Compra -HOJA1'!G204</f>
        <v>0</v>
      </c>
      <c r="F362" s="1679"/>
      <c r="G362" s="1679"/>
      <c r="H362" s="1679"/>
      <c r="I362" s="1680">
        <f t="shared" si="202"/>
        <v>0</v>
      </c>
      <c r="J362" s="1680">
        <f t="shared" si="203"/>
        <v>0</v>
      </c>
      <c r="K362" s="1680">
        <f t="shared" si="204"/>
        <v>0</v>
      </c>
      <c r="L362" s="1680">
        <f t="shared" ca="1" si="205"/>
        <v>0</v>
      </c>
      <c r="M362" s="1680">
        <f t="shared" ca="1" si="206"/>
        <v>0</v>
      </c>
      <c r="N362" s="1680">
        <f t="shared" ca="1" si="207"/>
        <v>0</v>
      </c>
      <c r="O362" s="1619">
        <f t="shared" ca="1" si="208"/>
        <v>0</v>
      </c>
      <c r="P362" s="1619">
        <f t="shared" ca="1" si="208"/>
        <v>0</v>
      </c>
      <c r="Q362" s="1619">
        <f t="shared" ca="1" si="208"/>
        <v>0</v>
      </c>
      <c r="R362" s="1619"/>
      <c r="S362" s="1619"/>
      <c r="T362" s="1619"/>
      <c r="U362" s="1619"/>
      <c r="V362" s="4608"/>
      <c r="W362" s="3970"/>
      <c r="X362" s="5342" t="s">
        <v>54</v>
      </c>
      <c r="Y362" s="5342"/>
      <c r="Z362" s="1659">
        <f>+'Compra -HOJA1'!I204</f>
        <v>0</v>
      </c>
      <c r="AA362" s="1659">
        <f>+'Compra -HOJA1'!J204</f>
        <v>0</v>
      </c>
      <c r="AB362" s="1659">
        <f>+'Compra -HOJA1'!K204</f>
        <v>0</v>
      </c>
      <c r="AC362" s="1659">
        <f ca="1">+'Compra -HOJA1'!L204</f>
        <v>0</v>
      </c>
      <c r="AD362" s="1659">
        <f ca="1">+'Compra -HOJA1'!M204</f>
        <v>0</v>
      </c>
      <c r="AE362" s="1659">
        <f ca="1">+'Compra -HOJA1'!N204</f>
        <v>0</v>
      </c>
      <c r="AF362" s="1659">
        <f ca="1">+'Compra -HOJA1'!O204</f>
        <v>0</v>
      </c>
      <c r="AG362" s="1659">
        <f ca="1">+'Compra -HOJA1'!P204</f>
        <v>0</v>
      </c>
      <c r="AH362" s="1659">
        <f ca="1">+'Compra -HOJA1'!Q204</f>
        <v>0</v>
      </c>
      <c r="AJ362" s="1490">
        <f t="shared" ca="1" si="209"/>
        <v>0</v>
      </c>
      <c r="AK362" s="1490">
        <f t="shared" ca="1" si="209"/>
        <v>0</v>
      </c>
      <c r="AL362" s="1490">
        <f t="shared" ca="1" si="209"/>
        <v>0</v>
      </c>
    </row>
    <row r="363" spans="1:38" ht="62.1" customHeight="1" x14ac:dyDescent="0.45">
      <c r="A363" s="4608"/>
      <c r="B363" s="3970"/>
      <c r="C363" s="5260" t="s">
        <v>55</v>
      </c>
      <c r="D363" s="5260"/>
      <c r="E363" s="1679">
        <f>+'Compra -HOJA1'!G207</f>
        <v>0</v>
      </c>
      <c r="F363" s="1679"/>
      <c r="G363" s="1679"/>
      <c r="H363" s="1679"/>
      <c r="I363" s="1680">
        <f t="shared" si="202"/>
        <v>0</v>
      </c>
      <c r="J363" s="1680">
        <f t="shared" si="203"/>
        <v>0</v>
      </c>
      <c r="K363" s="1680">
        <f t="shared" si="204"/>
        <v>0</v>
      </c>
      <c r="L363" s="1680">
        <f t="shared" ca="1" si="205"/>
        <v>0</v>
      </c>
      <c r="M363" s="1680">
        <f t="shared" ca="1" si="206"/>
        <v>0</v>
      </c>
      <c r="N363" s="1680">
        <f t="shared" ca="1" si="207"/>
        <v>0</v>
      </c>
      <c r="O363" s="1619">
        <f t="shared" ca="1" si="208"/>
        <v>0</v>
      </c>
      <c r="P363" s="1619">
        <f t="shared" ca="1" si="208"/>
        <v>0</v>
      </c>
      <c r="Q363" s="1619">
        <f t="shared" ca="1" si="208"/>
        <v>0</v>
      </c>
      <c r="R363" s="1619"/>
      <c r="S363" s="1619"/>
      <c r="T363" s="1619"/>
      <c r="U363" s="1619"/>
      <c r="V363" s="4608"/>
      <c r="W363" s="3970"/>
      <c r="X363" s="5260" t="s">
        <v>55</v>
      </c>
      <c r="Y363" s="5260"/>
      <c r="Z363" s="1659">
        <f>+'Compra -HOJA1'!I207</f>
        <v>0</v>
      </c>
      <c r="AA363" s="1659">
        <f>+'Compra -HOJA1'!J207</f>
        <v>0</v>
      </c>
      <c r="AB363" s="1659">
        <f>+'Compra -HOJA1'!K207</f>
        <v>0</v>
      </c>
      <c r="AC363" s="1659">
        <f ca="1">+'Compra -HOJA1'!L207</f>
        <v>0</v>
      </c>
      <c r="AD363" s="1659">
        <f ca="1">+'Compra -HOJA1'!M207</f>
        <v>0</v>
      </c>
      <c r="AE363" s="1659">
        <f ca="1">+'Compra -HOJA1'!N207</f>
        <v>0</v>
      </c>
      <c r="AF363" s="1659">
        <f ca="1">+'Compra -HOJA1'!O207</f>
        <v>0</v>
      </c>
      <c r="AG363" s="1659">
        <f ca="1">+'Compra -HOJA1'!P207</f>
        <v>0</v>
      </c>
      <c r="AH363" s="1659">
        <f ca="1">+'Compra -HOJA1'!Q207</f>
        <v>0</v>
      </c>
      <c r="AJ363" s="1490">
        <f t="shared" ca="1" si="209"/>
        <v>0</v>
      </c>
      <c r="AK363" s="1490">
        <f t="shared" ca="1" si="209"/>
        <v>0</v>
      </c>
      <c r="AL363" s="1490">
        <f t="shared" ca="1" si="209"/>
        <v>0</v>
      </c>
    </row>
    <row r="364" spans="1:38" ht="62.1" customHeight="1" x14ac:dyDescent="0.45">
      <c r="A364" s="4608"/>
      <c r="B364" s="3971"/>
      <c r="C364" s="5260" t="s">
        <v>56</v>
      </c>
      <c r="D364" s="5260"/>
      <c r="E364" s="1679">
        <f>+'Compra -HOJA1'!G208</f>
        <v>0</v>
      </c>
      <c r="F364" s="1679"/>
      <c r="G364" s="1679"/>
      <c r="H364" s="1679"/>
      <c r="I364" s="1680">
        <f t="shared" si="202"/>
        <v>0</v>
      </c>
      <c r="J364" s="1680">
        <f t="shared" si="203"/>
        <v>0</v>
      </c>
      <c r="K364" s="1680">
        <f t="shared" si="204"/>
        <v>0</v>
      </c>
      <c r="L364" s="1680">
        <f t="shared" ca="1" si="205"/>
        <v>0</v>
      </c>
      <c r="M364" s="1680">
        <f t="shared" ca="1" si="206"/>
        <v>0</v>
      </c>
      <c r="N364" s="1680">
        <f t="shared" ca="1" si="207"/>
        <v>0</v>
      </c>
      <c r="O364" s="1619">
        <f t="shared" ca="1" si="208"/>
        <v>0</v>
      </c>
      <c r="P364" s="1619">
        <f t="shared" ca="1" si="208"/>
        <v>0</v>
      </c>
      <c r="Q364" s="1619">
        <f t="shared" ca="1" si="208"/>
        <v>0</v>
      </c>
      <c r="R364" s="1619"/>
      <c r="S364" s="1619"/>
      <c r="T364" s="1619"/>
      <c r="U364" s="1619"/>
      <c r="V364" s="4608"/>
      <c r="W364" s="3971"/>
      <c r="X364" s="5260" t="s">
        <v>56</v>
      </c>
      <c r="Y364" s="5260"/>
      <c r="Z364" s="1659">
        <f>+'Compra -HOJA1'!I208</f>
        <v>0</v>
      </c>
      <c r="AA364" s="1659">
        <f>+'Compra -HOJA1'!J208</f>
        <v>0</v>
      </c>
      <c r="AB364" s="1659">
        <f>+'Compra -HOJA1'!K208</f>
        <v>0</v>
      </c>
      <c r="AC364" s="1659">
        <f ca="1">+'Compra -HOJA1'!L208</f>
        <v>0</v>
      </c>
      <c r="AD364" s="1659">
        <f ca="1">+'Compra -HOJA1'!M208</f>
        <v>0</v>
      </c>
      <c r="AE364" s="1659">
        <f ca="1">+'Compra -HOJA1'!N208</f>
        <v>0</v>
      </c>
      <c r="AF364" s="1659">
        <f ca="1">+'Compra -HOJA1'!O208</f>
        <v>0</v>
      </c>
      <c r="AG364" s="1659">
        <f ca="1">+'Compra -HOJA1'!P208</f>
        <v>0</v>
      </c>
      <c r="AH364" s="1659">
        <f ca="1">+'Compra -HOJA1'!Q208</f>
        <v>0</v>
      </c>
      <c r="AJ364" s="1490">
        <f t="shared" ca="1" si="209"/>
        <v>0</v>
      </c>
      <c r="AK364" s="1490">
        <f t="shared" ca="1" si="209"/>
        <v>0</v>
      </c>
      <c r="AL364" s="1490">
        <f t="shared" ca="1" si="209"/>
        <v>0</v>
      </c>
    </row>
    <row r="365" spans="1:38" ht="62.1" customHeight="1" thickBot="1" x14ac:dyDescent="0.55000000000000004">
      <c r="A365" s="4609"/>
      <c r="B365" s="1578" t="s">
        <v>50</v>
      </c>
      <c r="C365" s="5325" t="s">
        <v>51</v>
      </c>
      <c r="D365" s="5325"/>
      <c r="E365" s="1679" t="e">
        <f>+'Compra -HOJA1'!#REF!</f>
        <v>#REF!</v>
      </c>
      <c r="F365" s="1679"/>
      <c r="G365" s="1679"/>
      <c r="H365" s="1679"/>
      <c r="I365" s="1680" t="e">
        <f t="shared" si="202"/>
        <v>#REF!</v>
      </c>
      <c r="J365" s="1680" t="e">
        <f t="shared" si="203"/>
        <v>#REF!</v>
      </c>
      <c r="K365" s="1680" t="e">
        <f t="shared" si="204"/>
        <v>#REF!</v>
      </c>
      <c r="L365" s="1680" t="e">
        <f t="shared" si="205"/>
        <v>#REF!</v>
      </c>
      <c r="M365" s="1680" t="e">
        <f t="shared" si="206"/>
        <v>#REF!</v>
      </c>
      <c r="N365" s="1680" t="e">
        <f t="shared" si="207"/>
        <v>#REF!</v>
      </c>
      <c r="O365" s="1619" t="e">
        <f t="shared" si="208"/>
        <v>#REF!</v>
      </c>
      <c r="P365" s="1619" t="e">
        <f t="shared" si="208"/>
        <v>#REF!</v>
      </c>
      <c r="Q365" s="1619" t="e">
        <f t="shared" si="208"/>
        <v>#REF!</v>
      </c>
      <c r="R365" s="1619"/>
      <c r="S365" s="1619"/>
      <c r="T365" s="1619"/>
      <c r="U365" s="1619"/>
      <c r="V365" s="4609"/>
      <c r="W365" s="1578" t="s">
        <v>50</v>
      </c>
      <c r="X365" s="5325" t="s">
        <v>51</v>
      </c>
      <c r="Y365" s="5325"/>
      <c r="Z365" s="1659" t="e">
        <f>+'Compra -HOJA1'!#REF!</f>
        <v>#REF!</v>
      </c>
      <c r="AA365" s="1659" t="e">
        <f>+'Compra -HOJA1'!#REF!</f>
        <v>#REF!</v>
      </c>
      <c r="AB365" s="1659" t="e">
        <f>+'Compra -HOJA1'!#REF!</f>
        <v>#REF!</v>
      </c>
      <c r="AC365" s="1659" t="e">
        <f>+'Compra -HOJA1'!#REF!</f>
        <v>#REF!</v>
      </c>
      <c r="AD365" s="1659" t="e">
        <f>+'Compra -HOJA1'!#REF!</f>
        <v>#REF!</v>
      </c>
      <c r="AE365" s="1659" t="e">
        <f>+'Compra -HOJA1'!#REF!</f>
        <v>#REF!</v>
      </c>
      <c r="AF365" s="1659" t="e">
        <f>+'Compra -HOJA1'!#REF!</f>
        <v>#REF!</v>
      </c>
      <c r="AG365" s="1659" t="e">
        <f>+'Compra -HOJA1'!#REF!</f>
        <v>#REF!</v>
      </c>
      <c r="AH365" s="1659" t="e">
        <f>+'Compra -HOJA1'!#REF!</f>
        <v>#REF!</v>
      </c>
      <c r="AJ365" s="1490" t="e">
        <f t="shared" si="209"/>
        <v>#REF!</v>
      </c>
      <c r="AK365" s="1490" t="e">
        <f t="shared" si="209"/>
        <v>#REF!</v>
      </c>
      <c r="AL365" s="1490" t="e">
        <f t="shared" si="209"/>
        <v>#REF!</v>
      </c>
    </row>
    <row r="366" spans="1:38" ht="62.1" customHeight="1" x14ac:dyDescent="0.45">
      <c r="A366" s="5343" t="s">
        <v>57</v>
      </c>
      <c r="B366" s="3907" t="s">
        <v>164</v>
      </c>
      <c r="C366" s="3907"/>
      <c r="D366" s="3907"/>
      <c r="E366" s="1679">
        <f>+'Compra -HOJA1'!G225</f>
        <v>0</v>
      </c>
      <c r="F366" s="1679"/>
      <c r="G366" s="1679"/>
      <c r="H366" s="1679"/>
      <c r="I366" s="1680">
        <f t="shared" si="202"/>
        <v>0</v>
      </c>
      <c r="J366" s="1680">
        <f t="shared" si="203"/>
        <v>0</v>
      </c>
      <c r="K366" s="1680">
        <f t="shared" si="204"/>
        <v>0</v>
      </c>
      <c r="L366" s="1680">
        <f t="shared" ca="1" si="205"/>
        <v>0</v>
      </c>
      <c r="M366" s="1680">
        <f t="shared" ca="1" si="206"/>
        <v>0</v>
      </c>
      <c r="N366" s="1680">
        <f t="shared" ca="1" si="207"/>
        <v>0</v>
      </c>
      <c r="O366" s="1619">
        <f t="shared" ca="1" si="208"/>
        <v>0</v>
      </c>
      <c r="P366" s="1619">
        <f t="shared" ca="1" si="208"/>
        <v>0</v>
      </c>
      <c r="Q366" s="1619">
        <f t="shared" ca="1" si="208"/>
        <v>0</v>
      </c>
      <c r="R366" s="1619"/>
      <c r="S366" s="1619"/>
      <c r="T366" s="1619"/>
      <c r="U366" s="1619"/>
      <c r="V366" s="5343" t="s">
        <v>57</v>
      </c>
      <c r="W366" s="3907" t="s">
        <v>164</v>
      </c>
      <c r="X366" s="3907"/>
      <c r="Y366" s="3907"/>
      <c r="Z366" s="1659">
        <f>+'Compra -HOJA1'!I225</f>
        <v>0</v>
      </c>
      <c r="AA366" s="1659">
        <f>+'Compra -HOJA1'!J225</f>
        <v>0</v>
      </c>
      <c r="AB366" s="1659">
        <f>+'Compra -HOJA1'!K225</f>
        <v>0</v>
      </c>
      <c r="AC366" s="1659">
        <f ca="1">+'Compra -HOJA1'!L225</f>
        <v>0</v>
      </c>
      <c r="AD366" s="1659">
        <f ca="1">+'Compra -HOJA1'!M225</f>
        <v>0</v>
      </c>
      <c r="AE366" s="1659">
        <f ca="1">+'Compra -HOJA1'!N225</f>
        <v>0</v>
      </c>
      <c r="AF366" s="1659">
        <f ca="1">+'Compra -HOJA1'!O225</f>
        <v>0</v>
      </c>
      <c r="AG366" s="1659">
        <f ca="1">+'Compra -HOJA1'!P225</f>
        <v>0</v>
      </c>
      <c r="AH366" s="1659">
        <f ca="1">+'Compra -HOJA1'!Q225</f>
        <v>0</v>
      </c>
      <c r="AJ366" s="1490">
        <f t="shared" ca="1" si="209"/>
        <v>0</v>
      </c>
      <c r="AK366" s="1490">
        <f t="shared" ca="1" si="209"/>
        <v>0</v>
      </c>
      <c r="AL366" s="1490">
        <f t="shared" ca="1" si="209"/>
        <v>0</v>
      </c>
    </row>
    <row r="367" spans="1:38" ht="62.1" customHeight="1" x14ac:dyDescent="0.45">
      <c r="A367" s="5344"/>
      <c r="B367" s="4025" t="s">
        <v>179</v>
      </c>
      <c r="C367" s="3913"/>
      <c r="D367" s="4021"/>
      <c r="E367" s="1679">
        <f>+'Compra -HOJA1'!G226</f>
        <v>0</v>
      </c>
      <c r="F367" s="1679"/>
      <c r="G367" s="1679"/>
      <c r="H367" s="1679"/>
      <c r="I367" s="1680">
        <f t="shared" si="202"/>
        <v>0</v>
      </c>
      <c r="J367" s="1680">
        <f t="shared" si="203"/>
        <v>0</v>
      </c>
      <c r="K367" s="1680">
        <f t="shared" si="204"/>
        <v>0</v>
      </c>
      <c r="L367" s="1680">
        <f t="shared" ca="1" si="205"/>
        <v>0</v>
      </c>
      <c r="M367" s="1680">
        <f t="shared" ca="1" si="206"/>
        <v>0</v>
      </c>
      <c r="N367" s="1680">
        <f t="shared" ca="1" si="207"/>
        <v>0</v>
      </c>
      <c r="O367" s="1619">
        <f t="shared" ca="1" si="208"/>
        <v>0</v>
      </c>
      <c r="P367" s="1619">
        <f t="shared" ca="1" si="208"/>
        <v>0</v>
      </c>
      <c r="Q367" s="1619">
        <f t="shared" ca="1" si="208"/>
        <v>0</v>
      </c>
      <c r="R367" s="1619"/>
      <c r="S367" s="1619"/>
      <c r="T367" s="1619"/>
      <c r="U367" s="1619"/>
      <c r="V367" s="5344"/>
      <c r="W367" s="4025" t="s">
        <v>179</v>
      </c>
      <c r="X367" s="3913"/>
      <c r="Y367" s="4021"/>
      <c r="Z367" s="1659">
        <f>+'Compra -HOJA1'!I226</f>
        <v>0</v>
      </c>
      <c r="AA367" s="1659">
        <f>+'Compra -HOJA1'!J226</f>
        <v>0</v>
      </c>
      <c r="AB367" s="1659">
        <f>+'Compra -HOJA1'!K226</f>
        <v>0</v>
      </c>
      <c r="AC367" s="1659">
        <f ca="1">+'Compra -HOJA1'!L226</f>
        <v>0</v>
      </c>
      <c r="AD367" s="1659">
        <f ca="1">+'Compra -HOJA1'!M226</f>
        <v>0</v>
      </c>
      <c r="AE367" s="1659">
        <f ca="1">+'Compra -HOJA1'!N226</f>
        <v>0</v>
      </c>
      <c r="AF367" s="1659">
        <f ca="1">+'Compra -HOJA1'!O226</f>
        <v>0</v>
      </c>
      <c r="AG367" s="1659">
        <f ca="1">+'Compra -HOJA1'!P226</f>
        <v>0</v>
      </c>
      <c r="AH367" s="1659">
        <f ca="1">+'Compra -HOJA1'!Q226</f>
        <v>0</v>
      </c>
      <c r="AJ367" s="1490">
        <f t="shared" ca="1" si="209"/>
        <v>0</v>
      </c>
      <c r="AK367" s="1490">
        <f t="shared" ca="1" si="209"/>
        <v>0</v>
      </c>
      <c r="AL367" s="1490">
        <f t="shared" ca="1" si="209"/>
        <v>0</v>
      </c>
    </row>
    <row r="368" spans="1:38" ht="62.1" customHeight="1" x14ac:dyDescent="0.45">
      <c r="A368" s="5344"/>
      <c r="B368" s="5257" t="s">
        <v>535</v>
      </c>
      <c r="C368" s="5258"/>
      <c r="D368" s="5259"/>
      <c r="E368" s="1679" t="e">
        <f>+'Compra -HOJA1'!#REF!</f>
        <v>#REF!</v>
      </c>
      <c r="F368" s="1679"/>
      <c r="G368" s="1679"/>
      <c r="H368" s="1679"/>
      <c r="I368" s="1680" t="e">
        <f t="shared" si="202"/>
        <v>#REF!</v>
      </c>
      <c r="J368" s="1680" t="e">
        <f t="shared" si="203"/>
        <v>#REF!</v>
      </c>
      <c r="K368" s="1680" t="e">
        <f t="shared" si="204"/>
        <v>#REF!</v>
      </c>
      <c r="L368" s="1680" t="e">
        <f t="shared" si="205"/>
        <v>#REF!</v>
      </c>
      <c r="M368" s="1680" t="e">
        <f t="shared" si="206"/>
        <v>#REF!</v>
      </c>
      <c r="N368" s="1680" t="e">
        <f t="shared" si="207"/>
        <v>#REF!</v>
      </c>
      <c r="O368" s="1619" t="e">
        <f t="shared" si="208"/>
        <v>#REF!</v>
      </c>
      <c r="P368" s="1619" t="e">
        <f t="shared" si="208"/>
        <v>#REF!</v>
      </c>
      <c r="Q368" s="1619" t="e">
        <f t="shared" si="208"/>
        <v>#REF!</v>
      </c>
      <c r="R368" s="1619"/>
      <c r="S368" s="1619"/>
      <c r="T368" s="1619"/>
      <c r="U368" s="1619"/>
      <c r="V368" s="5344"/>
      <c r="W368" s="5257" t="s">
        <v>535</v>
      </c>
      <c r="X368" s="5258"/>
      <c r="Y368" s="5259"/>
      <c r="Z368" s="1659" t="e">
        <f>+'Compra -HOJA1'!#REF!</f>
        <v>#REF!</v>
      </c>
      <c r="AA368" s="1659" t="e">
        <f>+'Compra -HOJA1'!#REF!</f>
        <v>#REF!</v>
      </c>
      <c r="AB368" s="1659" t="e">
        <f>+'Compra -HOJA1'!#REF!</f>
        <v>#REF!</v>
      </c>
      <c r="AC368" s="1659" t="e">
        <f>+'Compra -HOJA1'!#REF!</f>
        <v>#REF!</v>
      </c>
      <c r="AD368" s="1659" t="e">
        <f>+'Compra -HOJA1'!#REF!</f>
        <v>#REF!</v>
      </c>
      <c r="AE368" s="1659" t="e">
        <f>+'Compra -HOJA1'!#REF!</f>
        <v>#REF!</v>
      </c>
      <c r="AF368" s="1659" t="e">
        <f>+'Compra -HOJA1'!#REF!</f>
        <v>#REF!</v>
      </c>
      <c r="AG368" s="1659" t="e">
        <f>+'Compra -HOJA1'!#REF!</f>
        <v>#REF!</v>
      </c>
      <c r="AH368" s="1659" t="e">
        <f>+'Compra -HOJA1'!#REF!</f>
        <v>#REF!</v>
      </c>
      <c r="AJ368" s="1490"/>
      <c r="AK368" s="1490"/>
      <c r="AL368" s="1490"/>
    </row>
    <row r="369" spans="1:38" ht="62.1" customHeight="1" x14ac:dyDescent="0.45">
      <c r="A369" s="5344"/>
      <c r="B369" s="3948" t="s">
        <v>195</v>
      </c>
      <c r="C369" s="3912"/>
      <c r="D369" s="3947"/>
      <c r="E369" s="1679">
        <f>+'Compra -HOJA1'!G229</f>
        <v>0</v>
      </c>
      <c r="F369" s="1679"/>
      <c r="G369" s="1679"/>
      <c r="H369" s="1679"/>
      <c r="I369" s="1680">
        <f t="shared" si="202"/>
        <v>0</v>
      </c>
      <c r="J369" s="1680">
        <f t="shared" si="203"/>
        <v>0</v>
      </c>
      <c r="K369" s="1680">
        <f t="shared" si="204"/>
        <v>0</v>
      </c>
      <c r="L369" s="1680">
        <f t="shared" ca="1" si="205"/>
        <v>0</v>
      </c>
      <c r="M369" s="1680">
        <f t="shared" ca="1" si="206"/>
        <v>0</v>
      </c>
      <c r="N369" s="1680">
        <f t="shared" ca="1" si="207"/>
        <v>0</v>
      </c>
      <c r="O369" s="1619">
        <f t="shared" ca="1" si="208"/>
        <v>0</v>
      </c>
      <c r="P369" s="1619">
        <f t="shared" ca="1" si="208"/>
        <v>0</v>
      </c>
      <c r="Q369" s="1619">
        <f t="shared" ca="1" si="208"/>
        <v>0</v>
      </c>
      <c r="R369" s="1619"/>
      <c r="S369" s="1619"/>
      <c r="T369" s="1619"/>
      <c r="U369" s="1619"/>
      <c r="V369" s="5344"/>
      <c r="W369" s="3948" t="s">
        <v>195</v>
      </c>
      <c r="X369" s="3912"/>
      <c r="Y369" s="3947"/>
      <c r="Z369" s="1659">
        <f>+'Compra -HOJA1'!I229</f>
        <v>0</v>
      </c>
      <c r="AA369" s="1659">
        <f>+'Compra -HOJA1'!J229</f>
        <v>0</v>
      </c>
      <c r="AB369" s="1659">
        <f>+'Compra -HOJA1'!K229</f>
        <v>0</v>
      </c>
      <c r="AC369" s="1659">
        <f ca="1">+'Compra -HOJA1'!L229</f>
        <v>0</v>
      </c>
      <c r="AD369" s="1659">
        <f ca="1">+'Compra -HOJA1'!M229</f>
        <v>0</v>
      </c>
      <c r="AE369" s="1659">
        <f ca="1">+'Compra -HOJA1'!N229</f>
        <v>0</v>
      </c>
      <c r="AF369" s="1659">
        <f ca="1">+'Compra -HOJA1'!O229</f>
        <v>0</v>
      </c>
      <c r="AG369" s="1659">
        <f ca="1">+'Compra -HOJA1'!P229</f>
        <v>0</v>
      </c>
      <c r="AH369" s="1659">
        <f ca="1">+'Compra -HOJA1'!Q229</f>
        <v>0</v>
      </c>
      <c r="AJ369" s="1490">
        <f t="shared" ref="AJ369:AL369" ca="1" si="210">+Z369+AC369</f>
        <v>0</v>
      </c>
      <c r="AK369" s="1490">
        <f t="shared" ca="1" si="210"/>
        <v>0</v>
      </c>
      <c r="AL369" s="1490">
        <f t="shared" ca="1" si="210"/>
        <v>0</v>
      </c>
    </row>
    <row r="370" spans="1:38" ht="62.1" customHeight="1" x14ac:dyDescent="0.45">
      <c r="A370" s="5344"/>
      <c r="B370" s="4098" t="s">
        <v>927</v>
      </c>
      <c r="C370" s="4098"/>
      <c r="D370" s="4098"/>
      <c r="E370" s="1679">
        <f>+'Compra -HOJA1'!G231</f>
        <v>0</v>
      </c>
      <c r="F370" s="1679"/>
      <c r="G370" s="1679"/>
      <c r="H370" s="1679"/>
      <c r="I370" s="1680">
        <f t="shared" si="202"/>
        <v>0</v>
      </c>
      <c r="J370" s="1680">
        <f t="shared" si="203"/>
        <v>0</v>
      </c>
      <c r="K370" s="1680">
        <f t="shared" si="204"/>
        <v>0</v>
      </c>
      <c r="L370" s="1680">
        <f t="shared" ca="1" si="205"/>
        <v>0</v>
      </c>
      <c r="M370" s="1680">
        <f t="shared" ca="1" si="206"/>
        <v>0</v>
      </c>
      <c r="N370" s="1680">
        <f t="shared" ca="1" si="207"/>
        <v>0</v>
      </c>
      <c r="O370" s="1619">
        <f t="shared" ca="1" si="208"/>
        <v>0</v>
      </c>
      <c r="P370" s="1619">
        <f t="shared" ca="1" si="208"/>
        <v>0</v>
      </c>
      <c r="Q370" s="1619">
        <f t="shared" ca="1" si="208"/>
        <v>0</v>
      </c>
      <c r="R370" s="1619"/>
      <c r="S370" s="1619"/>
      <c r="T370" s="1619"/>
      <c r="U370" s="1619"/>
      <c r="V370" s="5344"/>
      <c r="W370" s="4098" t="s">
        <v>927</v>
      </c>
      <c r="X370" s="4098"/>
      <c r="Y370" s="4098"/>
      <c r="Z370" s="1659">
        <f>+'Compra -HOJA1'!I231</f>
        <v>0</v>
      </c>
      <c r="AA370" s="1659">
        <f>+'Compra -HOJA1'!J231</f>
        <v>0</v>
      </c>
      <c r="AB370" s="1659">
        <f>+'Compra -HOJA1'!K231</f>
        <v>0</v>
      </c>
      <c r="AC370" s="1659">
        <f ca="1">+'Compra -HOJA1'!L231</f>
        <v>0</v>
      </c>
      <c r="AD370" s="1659">
        <f ca="1">+'Compra -HOJA1'!M231</f>
        <v>0</v>
      </c>
      <c r="AE370" s="1659">
        <f ca="1">+'Compra -HOJA1'!N231</f>
        <v>0</v>
      </c>
      <c r="AF370" s="1659">
        <f ca="1">+'Compra -HOJA1'!O231</f>
        <v>0</v>
      </c>
      <c r="AG370" s="1659">
        <f ca="1">+'Compra -HOJA1'!P231</f>
        <v>0</v>
      </c>
      <c r="AH370" s="1659">
        <f ca="1">+'Compra -HOJA1'!Q231</f>
        <v>0</v>
      </c>
      <c r="AJ370" s="1490">
        <f t="shared" ca="1" si="209"/>
        <v>0</v>
      </c>
      <c r="AK370" s="1490">
        <f t="shared" ca="1" si="209"/>
        <v>0</v>
      </c>
      <c r="AL370" s="1490">
        <f t="shared" ca="1" si="209"/>
        <v>0</v>
      </c>
    </row>
    <row r="371" spans="1:38" ht="62.1" customHeight="1" x14ac:dyDescent="0.45">
      <c r="A371" s="5344"/>
      <c r="B371" s="3691" t="s">
        <v>58</v>
      </c>
      <c r="C371" s="5342" t="s">
        <v>59</v>
      </c>
      <c r="D371" s="5342"/>
      <c r="E371" s="1679">
        <f>+'Compra -HOJA1'!G233</f>
        <v>0</v>
      </c>
      <c r="F371" s="1679"/>
      <c r="G371" s="1679"/>
      <c r="H371" s="1679"/>
      <c r="I371" s="1680">
        <f t="shared" si="202"/>
        <v>0</v>
      </c>
      <c r="J371" s="1680">
        <f t="shared" si="203"/>
        <v>0</v>
      </c>
      <c r="K371" s="1680">
        <f t="shared" si="204"/>
        <v>0</v>
      </c>
      <c r="L371" s="1680">
        <f t="shared" ca="1" si="205"/>
        <v>0</v>
      </c>
      <c r="M371" s="1680">
        <f t="shared" ca="1" si="206"/>
        <v>0</v>
      </c>
      <c r="N371" s="1680">
        <f t="shared" ca="1" si="207"/>
        <v>0</v>
      </c>
      <c r="O371" s="1619">
        <f t="shared" ca="1" si="208"/>
        <v>0</v>
      </c>
      <c r="P371" s="1619">
        <f t="shared" ca="1" si="208"/>
        <v>0</v>
      </c>
      <c r="Q371" s="1619">
        <f t="shared" ca="1" si="208"/>
        <v>0</v>
      </c>
      <c r="R371" s="1619"/>
      <c r="S371" s="1619"/>
      <c r="T371" s="1619"/>
      <c r="U371" s="1619"/>
      <c r="V371" s="5344"/>
      <c r="W371" s="3691" t="s">
        <v>58</v>
      </c>
      <c r="X371" s="5342" t="s">
        <v>59</v>
      </c>
      <c r="Y371" s="5342"/>
      <c r="Z371" s="1659">
        <f>+'Compra -HOJA1'!I233</f>
        <v>0</v>
      </c>
      <c r="AA371" s="1659">
        <f>+'Compra -HOJA1'!J233</f>
        <v>0</v>
      </c>
      <c r="AB371" s="1659">
        <f>+'Compra -HOJA1'!K233</f>
        <v>0</v>
      </c>
      <c r="AC371" s="1659">
        <f ca="1">+'Compra -HOJA1'!L233</f>
        <v>0</v>
      </c>
      <c r="AD371" s="1659">
        <f ca="1">+'Compra -HOJA1'!M233</f>
        <v>0</v>
      </c>
      <c r="AE371" s="1659">
        <f ca="1">+'Compra -HOJA1'!N233</f>
        <v>0</v>
      </c>
      <c r="AF371" s="1659">
        <f ca="1">+'Compra -HOJA1'!O233</f>
        <v>0</v>
      </c>
      <c r="AG371" s="1659">
        <f ca="1">+'Compra -HOJA1'!P233</f>
        <v>0</v>
      </c>
      <c r="AH371" s="1659">
        <f ca="1">+'Compra -HOJA1'!Q233</f>
        <v>0</v>
      </c>
      <c r="AJ371" s="1490">
        <f t="shared" ca="1" si="209"/>
        <v>0</v>
      </c>
      <c r="AK371" s="1490">
        <f t="shared" ca="1" si="209"/>
        <v>0</v>
      </c>
      <c r="AL371" s="1490">
        <f t="shared" ca="1" si="209"/>
        <v>0</v>
      </c>
    </row>
    <row r="372" spans="1:38" ht="62.1" customHeight="1" x14ac:dyDescent="0.45">
      <c r="A372" s="5344"/>
      <c r="B372" s="3971"/>
      <c r="C372" s="5260" t="s">
        <v>60</v>
      </c>
      <c r="D372" s="5260"/>
      <c r="E372" s="1679">
        <f>+'Compra -HOJA1'!G235</f>
        <v>0</v>
      </c>
      <c r="F372" s="1679"/>
      <c r="G372" s="1679"/>
      <c r="H372" s="1679"/>
      <c r="I372" s="1680">
        <f t="shared" si="202"/>
        <v>0</v>
      </c>
      <c r="J372" s="1680">
        <f t="shared" si="203"/>
        <v>0</v>
      </c>
      <c r="K372" s="1680">
        <f t="shared" si="204"/>
        <v>0</v>
      </c>
      <c r="L372" s="1680">
        <f t="shared" ca="1" si="205"/>
        <v>0</v>
      </c>
      <c r="M372" s="1680">
        <f t="shared" ca="1" si="206"/>
        <v>0</v>
      </c>
      <c r="N372" s="1680">
        <f t="shared" ca="1" si="207"/>
        <v>0</v>
      </c>
      <c r="O372" s="1619">
        <f t="shared" ca="1" si="208"/>
        <v>0</v>
      </c>
      <c r="P372" s="1619">
        <f t="shared" ca="1" si="208"/>
        <v>0</v>
      </c>
      <c r="Q372" s="1619">
        <f t="shared" ca="1" si="208"/>
        <v>0</v>
      </c>
      <c r="R372" s="1619"/>
      <c r="S372" s="1619"/>
      <c r="T372" s="1619"/>
      <c r="U372" s="1619"/>
      <c r="V372" s="5344"/>
      <c r="W372" s="3971"/>
      <c r="X372" s="5260" t="s">
        <v>60</v>
      </c>
      <c r="Y372" s="5260"/>
      <c r="Z372" s="1659">
        <f>+'Compra -HOJA1'!I235</f>
        <v>0</v>
      </c>
      <c r="AA372" s="1659">
        <f>+'Compra -HOJA1'!J235</f>
        <v>0</v>
      </c>
      <c r="AB372" s="1659">
        <f>+'Compra -HOJA1'!K235</f>
        <v>0</v>
      </c>
      <c r="AC372" s="1659">
        <f ca="1">+'Compra -HOJA1'!L235</f>
        <v>0</v>
      </c>
      <c r="AD372" s="1659">
        <f ca="1">+'Compra -HOJA1'!M235</f>
        <v>0</v>
      </c>
      <c r="AE372" s="1659">
        <f ca="1">+'Compra -HOJA1'!N235</f>
        <v>0</v>
      </c>
      <c r="AF372" s="1659">
        <f ca="1">+'Compra -HOJA1'!O235</f>
        <v>0</v>
      </c>
      <c r="AG372" s="1659">
        <f ca="1">+'Compra -HOJA1'!P235</f>
        <v>0</v>
      </c>
      <c r="AH372" s="1659">
        <f ca="1">+'Compra -HOJA1'!Q235</f>
        <v>0</v>
      </c>
      <c r="AJ372" s="1490">
        <f t="shared" ca="1" si="209"/>
        <v>0</v>
      </c>
      <c r="AK372" s="1490">
        <f t="shared" ca="1" si="209"/>
        <v>0</v>
      </c>
      <c r="AL372" s="1490">
        <f t="shared" ca="1" si="209"/>
        <v>0</v>
      </c>
    </row>
    <row r="373" spans="1:38" ht="62.1" customHeight="1" thickBot="1" x14ac:dyDescent="0.55000000000000004">
      <c r="A373" s="5344"/>
      <c r="B373" s="1551" t="s">
        <v>61</v>
      </c>
      <c r="C373" s="5325" t="s">
        <v>51</v>
      </c>
      <c r="D373" s="5325"/>
      <c r="E373" s="1679" t="e">
        <f>+'Compra -HOJA1'!#REF!</f>
        <v>#REF!</v>
      </c>
      <c r="F373" s="1679"/>
      <c r="G373" s="1679"/>
      <c r="H373" s="1679"/>
      <c r="I373" s="1680" t="e">
        <f t="shared" si="202"/>
        <v>#REF!</v>
      </c>
      <c r="J373" s="1680" t="e">
        <f t="shared" si="203"/>
        <v>#REF!</v>
      </c>
      <c r="K373" s="1680" t="e">
        <f t="shared" si="204"/>
        <v>#REF!</v>
      </c>
      <c r="L373" s="1680" t="e">
        <f t="shared" si="205"/>
        <v>#REF!</v>
      </c>
      <c r="M373" s="1680" t="e">
        <f t="shared" si="206"/>
        <v>#REF!</v>
      </c>
      <c r="N373" s="1680" t="e">
        <f t="shared" si="207"/>
        <v>#REF!</v>
      </c>
      <c r="O373" s="1619" t="e">
        <f t="shared" si="208"/>
        <v>#REF!</v>
      </c>
      <c r="P373" s="1619" t="e">
        <f t="shared" si="208"/>
        <v>#REF!</v>
      </c>
      <c r="Q373" s="1619" t="e">
        <f t="shared" si="208"/>
        <v>#REF!</v>
      </c>
      <c r="R373" s="1619"/>
      <c r="S373" s="1619"/>
      <c r="T373" s="1619"/>
      <c r="U373" s="1619"/>
      <c r="V373" s="5344"/>
      <c r="W373" s="1551" t="s">
        <v>61</v>
      </c>
      <c r="X373" s="5325" t="s">
        <v>51</v>
      </c>
      <c r="Y373" s="5325"/>
      <c r="Z373" s="1659" t="e">
        <f>+'Compra -HOJA1'!#REF!</f>
        <v>#REF!</v>
      </c>
      <c r="AA373" s="1659" t="e">
        <f>+'Compra -HOJA1'!#REF!</f>
        <v>#REF!</v>
      </c>
      <c r="AB373" s="1659" t="e">
        <f>+'Compra -HOJA1'!#REF!</f>
        <v>#REF!</v>
      </c>
      <c r="AC373" s="1659" t="e">
        <f>+'Compra -HOJA1'!#REF!</f>
        <v>#REF!</v>
      </c>
      <c r="AD373" s="1659" t="e">
        <f>+'Compra -HOJA1'!#REF!</f>
        <v>#REF!</v>
      </c>
      <c r="AE373" s="1659" t="e">
        <f>+'Compra -HOJA1'!#REF!</f>
        <v>#REF!</v>
      </c>
      <c r="AF373" s="1659" t="e">
        <f>+'Compra -HOJA1'!#REF!</f>
        <v>#REF!</v>
      </c>
      <c r="AG373" s="1659" t="e">
        <f>+'Compra -HOJA1'!#REF!</f>
        <v>#REF!</v>
      </c>
      <c r="AH373" s="1659" t="e">
        <f>+'Compra -HOJA1'!#REF!</f>
        <v>#REF!</v>
      </c>
      <c r="AJ373" s="1490" t="e">
        <f t="shared" si="209"/>
        <v>#REF!</v>
      </c>
      <c r="AK373" s="1490" t="e">
        <f t="shared" si="209"/>
        <v>#REF!</v>
      </c>
      <c r="AL373" s="1490" t="e">
        <f t="shared" si="209"/>
        <v>#REF!</v>
      </c>
    </row>
    <row r="374" spans="1:38" ht="62.1" customHeight="1" x14ac:dyDescent="0.45">
      <c r="A374" s="5255" t="s">
        <v>62</v>
      </c>
      <c r="B374" s="3907" t="s">
        <v>164</v>
      </c>
      <c r="C374" s="3907"/>
      <c r="D374" s="3907"/>
      <c r="E374" s="1679">
        <f>+'Compra -HOJA1'!G243</f>
        <v>0</v>
      </c>
      <c r="F374" s="1679"/>
      <c r="G374" s="1679"/>
      <c r="H374" s="1679"/>
      <c r="I374" s="1680">
        <f t="shared" si="202"/>
        <v>0</v>
      </c>
      <c r="J374" s="1680">
        <f t="shared" si="203"/>
        <v>0</v>
      </c>
      <c r="K374" s="1680">
        <f t="shared" si="204"/>
        <v>0</v>
      </c>
      <c r="L374" s="1680">
        <f t="shared" ca="1" si="205"/>
        <v>0</v>
      </c>
      <c r="M374" s="1680">
        <f t="shared" ca="1" si="206"/>
        <v>0</v>
      </c>
      <c r="N374" s="1680">
        <f t="shared" ca="1" si="207"/>
        <v>0</v>
      </c>
      <c r="O374" s="1619">
        <f t="shared" ca="1" si="208"/>
        <v>0</v>
      </c>
      <c r="P374" s="1619">
        <f t="shared" ca="1" si="208"/>
        <v>0</v>
      </c>
      <c r="Q374" s="1619">
        <f t="shared" ca="1" si="208"/>
        <v>0</v>
      </c>
      <c r="R374" s="1619"/>
      <c r="S374" s="1619"/>
      <c r="T374" s="1619"/>
      <c r="U374" s="1619"/>
      <c r="V374" s="5255" t="s">
        <v>62</v>
      </c>
      <c r="W374" s="3907" t="s">
        <v>164</v>
      </c>
      <c r="X374" s="3907"/>
      <c r="Y374" s="3907"/>
      <c r="Z374" s="1659">
        <f>+'Compra -HOJA1'!I243</f>
        <v>0</v>
      </c>
      <c r="AA374" s="1659">
        <f>+'Compra -HOJA1'!J243</f>
        <v>0</v>
      </c>
      <c r="AB374" s="1659">
        <f>+'Compra -HOJA1'!K243</f>
        <v>0</v>
      </c>
      <c r="AC374" s="1659">
        <f ca="1">+'Compra -HOJA1'!L243</f>
        <v>0</v>
      </c>
      <c r="AD374" s="1659">
        <f ca="1">+'Compra -HOJA1'!M243</f>
        <v>0</v>
      </c>
      <c r="AE374" s="1659">
        <f ca="1">+'Compra -HOJA1'!N243</f>
        <v>0</v>
      </c>
      <c r="AF374" s="1659">
        <f ca="1">+'Compra -HOJA1'!O243</f>
        <v>0</v>
      </c>
      <c r="AG374" s="1659">
        <f ca="1">+'Compra -HOJA1'!P243</f>
        <v>0</v>
      </c>
      <c r="AH374" s="1659">
        <f ca="1">+'Compra -HOJA1'!Q243</f>
        <v>0</v>
      </c>
      <c r="AJ374" s="1490">
        <f t="shared" ca="1" si="209"/>
        <v>0</v>
      </c>
      <c r="AK374" s="1490">
        <f t="shared" ca="1" si="209"/>
        <v>0</v>
      </c>
      <c r="AL374" s="1490">
        <f t="shared" ca="1" si="209"/>
        <v>0</v>
      </c>
    </row>
    <row r="375" spans="1:38" ht="62.1" customHeight="1" x14ac:dyDescent="0.45">
      <c r="A375" s="5256"/>
      <c r="B375" s="4025" t="s">
        <v>179</v>
      </c>
      <c r="C375" s="3913"/>
      <c r="D375" s="4021"/>
      <c r="E375" s="1679">
        <f>+'Compra -HOJA1'!G244</f>
        <v>0</v>
      </c>
      <c r="F375" s="1679"/>
      <c r="G375" s="1679"/>
      <c r="H375" s="1679"/>
      <c r="I375" s="1680">
        <f t="shared" si="202"/>
        <v>0</v>
      </c>
      <c r="J375" s="1680">
        <f t="shared" si="203"/>
        <v>0</v>
      </c>
      <c r="K375" s="1680">
        <f t="shared" si="204"/>
        <v>0</v>
      </c>
      <c r="L375" s="1680">
        <f t="shared" ca="1" si="205"/>
        <v>0</v>
      </c>
      <c r="M375" s="1680">
        <f t="shared" ca="1" si="206"/>
        <v>0</v>
      </c>
      <c r="N375" s="1680">
        <f t="shared" ca="1" si="207"/>
        <v>0</v>
      </c>
      <c r="O375" s="1619">
        <f t="shared" ca="1" si="208"/>
        <v>0</v>
      </c>
      <c r="P375" s="1619">
        <f t="shared" ca="1" si="208"/>
        <v>0</v>
      </c>
      <c r="Q375" s="1619">
        <f t="shared" ca="1" si="208"/>
        <v>0</v>
      </c>
      <c r="R375" s="1619"/>
      <c r="S375" s="1619"/>
      <c r="T375" s="1619"/>
      <c r="U375" s="1619"/>
      <c r="V375" s="5256"/>
      <c r="W375" s="4025" t="s">
        <v>179</v>
      </c>
      <c r="X375" s="3913"/>
      <c r="Y375" s="4021"/>
      <c r="Z375" s="1659">
        <f>+'Compra -HOJA1'!I244</f>
        <v>0</v>
      </c>
      <c r="AA375" s="1659">
        <f>+'Compra -HOJA1'!J244</f>
        <v>0</v>
      </c>
      <c r="AB375" s="1659">
        <f>+'Compra -HOJA1'!K244</f>
        <v>0</v>
      </c>
      <c r="AC375" s="1659">
        <f ca="1">+'Compra -HOJA1'!L244</f>
        <v>0</v>
      </c>
      <c r="AD375" s="1659">
        <f ca="1">+'Compra -HOJA1'!M244</f>
        <v>0</v>
      </c>
      <c r="AE375" s="1659">
        <f ca="1">+'Compra -HOJA1'!N244</f>
        <v>0</v>
      </c>
      <c r="AF375" s="1659">
        <f ca="1">+'Compra -HOJA1'!O244</f>
        <v>0</v>
      </c>
      <c r="AG375" s="1659">
        <f ca="1">+'Compra -HOJA1'!P244</f>
        <v>0</v>
      </c>
      <c r="AH375" s="1659">
        <f ca="1">+'Compra -HOJA1'!Q244</f>
        <v>0</v>
      </c>
      <c r="AJ375" s="1490">
        <f t="shared" ca="1" si="209"/>
        <v>0</v>
      </c>
      <c r="AK375" s="1490">
        <f t="shared" ca="1" si="209"/>
        <v>0</v>
      </c>
      <c r="AL375" s="1490">
        <f t="shared" ca="1" si="209"/>
        <v>0</v>
      </c>
    </row>
    <row r="376" spans="1:38" ht="62.1" customHeight="1" x14ac:dyDescent="0.45">
      <c r="A376" s="5256"/>
      <c r="B376" s="5257" t="s">
        <v>535</v>
      </c>
      <c r="C376" s="5258"/>
      <c r="D376" s="5259"/>
      <c r="E376" s="1679" t="e">
        <f>+'Compra -HOJA1'!#REF!</f>
        <v>#REF!</v>
      </c>
      <c r="F376" s="1679"/>
      <c r="G376" s="1679"/>
      <c r="H376" s="1679"/>
      <c r="I376" s="1680" t="e">
        <f t="shared" si="202"/>
        <v>#REF!</v>
      </c>
      <c r="J376" s="1680" t="e">
        <f t="shared" si="203"/>
        <v>#REF!</v>
      </c>
      <c r="K376" s="1680" t="e">
        <f t="shared" si="204"/>
        <v>#REF!</v>
      </c>
      <c r="L376" s="1680" t="e">
        <f t="shared" si="205"/>
        <v>#REF!</v>
      </c>
      <c r="M376" s="1680" t="e">
        <f t="shared" si="206"/>
        <v>#REF!</v>
      </c>
      <c r="N376" s="1680" t="e">
        <f t="shared" si="207"/>
        <v>#REF!</v>
      </c>
      <c r="O376" s="1619" t="e">
        <f t="shared" si="208"/>
        <v>#REF!</v>
      </c>
      <c r="P376" s="1619" t="e">
        <f t="shared" si="208"/>
        <v>#REF!</v>
      </c>
      <c r="Q376" s="1619" t="e">
        <f t="shared" si="208"/>
        <v>#REF!</v>
      </c>
      <c r="R376" s="1619"/>
      <c r="S376" s="1619"/>
      <c r="T376" s="1619"/>
      <c r="U376" s="1619"/>
      <c r="V376" s="5256"/>
      <c r="W376" s="5257" t="s">
        <v>535</v>
      </c>
      <c r="X376" s="5258"/>
      <c r="Y376" s="5259"/>
      <c r="Z376" s="1659" t="e">
        <f>+'Compra -HOJA1'!#REF!</f>
        <v>#REF!</v>
      </c>
      <c r="AA376" s="1659" t="e">
        <f>+'Compra -HOJA1'!#REF!</f>
        <v>#REF!</v>
      </c>
      <c r="AB376" s="1659" t="e">
        <f>+'Compra -HOJA1'!#REF!</f>
        <v>#REF!</v>
      </c>
      <c r="AC376" s="1659" t="e">
        <f>+'Compra -HOJA1'!#REF!</f>
        <v>#REF!</v>
      </c>
      <c r="AD376" s="1659" t="e">
        <f>+'Compra -HOJA1'!#REF!</f>
        <v>#REF!</v>
      </c>
      <c r="AE376" s="1659" t="e">
        <f>+'Compra -HOJA1'!#REF!</f>
        <v>#REF!</v>
      </c>
      <c r="AF376" s="1659" t="e">
        <f>+'Compra -HOJA1'!#REF!</f>
        <v>#REF!</v>
      </c>
      <c r="AG376" s="1659" t="e">
        <f>+'Compra -HOJA1'!#REF!</f>
        <v>#REF!</v>
      </c>
      <c r="AH376" s="1659" t="e">
        <f>+'Compra -HOJA1'!#REF!</f>
        <v>#REF!</v>
      </c>
      <c r="AJ376" s="1490"/>
      <c r="AK376" s="1490"/>
      <c r="AL376" s="1490"/>
    </row>
    <row r="377" spans="1:38" ht="62.1" customHeight="1" x14ac:dyDescent="0.45">
      <c r="A377" s="5256"/>
      <c r="B377" s="3948" t="s">
        <v>195</v>
      </c>
      <c r="C377" s="3912"/>
      <c r="D377" s="3947"/>
      <c r="E377" s="1679">
        <f>+'Compra -HOJA1'!G248</f>
        <v>0</v>
      </c>
      <c r="F377" s="1679"/>
      <c r="G377" s="1679"/>
      <c r="H377" s="1679"/>
      <c r="I377" s="1680">
        <f t="shared" si="202"/>
        <v>0</v>
      </c>
      <c r="J377" s="1680">
        <f t="shared" si="203"/>
        <v>0</v>
      </c>
      <c r="K377" s="1680">
        <f t="shared" si="204"/>
        <v>0</v>
      </c>
      <c r="L377" s="1680">
        <f t="shared" ca="1" si="205"/>
        <v>0</v>
      </c>
      <c r="M377" s="1680">
        <f t="shared" ca="1" si="206"/>
        <v>0</v>
      </c>
      <c r="N377" s="1680">
        <f t="shared" ca="1" si="207"/>
        <v>0</v>
      </c>
      <c r="O377" s="1619">
        <f t="shared" ca="1" si="208"/>
        <v>0</v>
      </c>
      <c r="P377" s="1619">
        <f t="shared" ca="1" si="208"/>
        <v>0</v>
      </c>
      <c r="Q377" s="1619">
        <f t="shared" ca="1" si="208"/>
        <v>0</v>
      </c>
      <c r="R377" s="1619"/>
      <c r="S377" s="1619"/>
      <c r="T377" s="1619"/>
      <c r="U377" s="1619"/>
      <c r="V377" s="5256"/>
      <c r="W377" s="3948" t="s">
        <v>195</v>
      </c>
      <c r="X377" s="3912"/>
      <c r="Y377" s="3947"/>
      <c r="Z377" s="1659">
        <f>+'Compra -HOJA1'!I248</f>
        <v>0</v>
      </c>
      <c r="AA377" s="1659">
        <f>+'Compra -HOJA1'!J248</f>
        <v>0</v>
      </c>
      <c r="AB377" s="1659">
        <f>+'Compra -HOJA1'!K248</f>
        <v>0</v>
      </c>
      <c r="AC377" s="1659">
        <f ca="1">+'Compra -HOJA1'!L248</f>
        <v>0</v>
      </c>
      <c r="AD377" s="1659">
        <f ca="1">+'Compra -HOJA1'!M248</f>
        <v>0</v>
      </c>
      <c r="AE377" s="1659">
        <f ca="1">+'Compra -HOJA1'!N248</f>
        <v>0</v>
      </c>
      <c r="AF377" s="1659">
        <f ca="1">+'Compra -HOJA1'!O248</f>
        <v>0</v>
      </c>
      <c r="AG377" s="1659">
        <f ca="1">+'Compra -HOJA1'!P248</f>
        <v>0</v>
      </c>
      <c r="AH377" s="1659">
        <f ca="1">+'Compra -HOJA1'!Q248</f>
        <v>0</v>
      </c>
      <c r="AJ377" s="1490">
        <f t="shared" ref="AJ377:AL377" ca="1" si="211">+Z377+AC377</f>
        <v>0</v>
      </c>
      <c r="AK377" s="1490">
        <f t="shared" ca="1" si="211"/>
        <v>0</v>
      </c>
      <c r="AL377" s="1490">
        <f t="shared" ca="1" si="211"/>
        <v>0</v>
      </c>
    </row>
    <row r="378" spans="1:38" ht="62.1" customHeight="1" x14ac:dyDescent="0.45">
      <c r="A378" s="5256"/>
      <c r="B378" s="4098" t="s">
        <v>927</v>
      </c>
      <c r="C378" s="4098"/>
      <c r="D378" s="4098"/>
      <c r="E378" s="1679" t="e">
        <f>+'Compra -HOJA1'!#REF!</f>
        <v>#REF!</v>
      </c>
      <c r="F378" s="1679"/>
      <c r="G378" s="1679"/>
      <c r="H378" s="1679"/>
      <c r="I378" s="1680" t="e">
        <f t="shared" si="202"/>
        <v>#REF!</v>
      </c>
      <c r="J378" s="1680" t="e">
        <f t="shared" si="203"/>
        <v>#REF!</v>
      </c>
      <c r="K378" s="1680" t="e">
        <f t="shared" si="204"/>
        <v>#REF!</v>
      </c>
      <c r="L378" s="1680" t="e">
        <f t="shared" si="205"/>
        <v>#REF!</v>
      </c>
      <c r="M378" s="1680" t="e">
        <f t="shared" si="206"/>
        <v>#REF!</v>
      </c>
      <c r="N378" s="1680" t="e">
        <f t="shared" si="207"/>
        <v>#REF!</v>
      </c>
      <c r="O378" s="1619" t="e">
        <f t="shared" si="208"/>
        <v>#REF!</v>
      </c>
      <c r="P378" s="1619" t="e">
        <f t="shared" si="208"/>
        <v>#REF!</v>
      </c>
      <c r="Q378" s="1619" t="e">
        <f t="shared" si="208"/>
        <v>#REF!</v>
      </c>
      <c r="R378" s="1619"/>
      <c r="S378" s="1619"/>
      <c r="T378" s="1619"/>
      <c r="U378" s="1619"/>
      <c r="V378" s="5256"/>
      <c r="W378" s="4098" t="s">
        <v>927</v>
      </c>
      <c r="X378" s="4098"/>
      <c r="Y378" s="4098"/>
      <c r="Z378" s="1659" t="e">
        <f>+'Compra -HOJA1'!#REF!</f>
        <v>#REF!</v>
      </c>
      <c r="AA378" s="1659" t="e">
        <f>+'Compra -HOJA1'!#REF!</f>
        <v>#REF!</v>
      </c>
      <c r="AB378" s="1659" t="e">
        <f>+'Compra -HOJA1'!#REF!</f>
        <v>#REF!</v>
      </c>
      <c r="AC378" s="1659" t="e">
        <f>+'Compra -HOJA1'!#REF!</f>
        <v>#REF!</v>
      </c>
      <c r="AD378" s="1659" t="e">
        <f>+'Compra -HOJA1'!#REF!</f>
        <v>#REF!</v>
      </c>
      <c r="AE378" s="1659" t="e">
        <f>+'Compra -HOJA1'!#REF!</f>
        <v>#REF!</v>
      </c>
      <c r="AF378" s="1659" t="e">
        <f>+'Compra -HOJA1'!#REF!</f>
        <v>#REF!</v>
      </c>
      <c r="AG378" s="1659" t="e">
        <f>+'Compra -HOJA1'!#REF!</f>
        <v>#REF!</v>
      </c>
      <c r="AH378" s="1659" t="e">
        <f>+'Compra -HOJA1'!#REF!</f>
        <v>#REF!</v>
      </c>
      <c r="AJ378" s="1490" t="e">
        <f t="shared" si="209"/>
        <v>#REF!</v>
      </c>
      <c r="AK378" s="1490" t="e">
        <f t="shared" si="209"/>
        <v>#REF!</v>
      </c>
      <c r="AL378" s="1490" t="e">
        <f t="shared" si="209"/>
        <v>#REF!</v>
      </c>
    </row>
    <row r="379" spans="1:38" ht="62.1" customHeight="1" x14ac:dyDescent="0.45">
      <c r="A379" s="5256"/>
      <c r="B379" s="3690" t="s">
        <v>45</v>
      </c>
      <c r="C379" s="5342" t="s">
        <v>64</v>
      </c>
      <c r="D379" s="5342"/>
      <c r="E379" s="1679">
        <f>+'Compra -HOJA1'!G252</f>
        <v>0</v>
      </c>
      <c r="F379" s="1679"/>
      <c r="G379" s="1679"/>
      <c r="H379" s="1679"/>
      <c r="I379" s="1680">
        <f t="shared" si="202"/>
        <v>0</v>
      </c>
      <c r="J379" s="1680">
        <f t="shared" si="203"/>
        <v>0</v>
      </c>
      <c r="K379" s="1680">
        <f t="shared" si="204"/>
        <v>0</v>
      </c>
      <c r="L379" s="1680">
        <f t="shared" ca="1" si="205"/>
        <v>0</v>
      </c>
      <c r="M379" s="1680">
        <f t="shared" ca="1" si="206"/>
        <v>0</v>
      </c>
      <c r="N379" s="1680">
        <f t="shared" ca="1" si="207"/>
        <v>0</v>
      </c>
      <c r="O379" s="1619">
        <f t="shared" ca="1" si="208"/>
        <v>0</v>
      </c>
      <c r="P379" s="1619">
        <f t="shared" ca="1" si="208"/>
        <v>0</v>
      </c>
      <c r="Q379" s="1619">
        <f t="shared" ca="1" si="208"/>
        <v>0</v>
      </c>
      <c r="R379" s="1619"/>
      <c r="S379" s="1619"/>
      <c r="T379" s="1619"/>
      <c r="U379" s="1619"/>
      <c r="V379" s="5256"/>
      <c r="W379" s="3690" t="s">
        <v>45</v>
      </c>
      <c r="X379" s="5342" t="s">
        <v>64</v>
      </c>
      <c r="Y379" s="5342"/>
      <c r="Z379" s="1659">
        <f>+'Compra -HOJA1'!I252</f>
        <v>0</v>
      </c>
      <c r="AA379" s="1659">
        <f>+'Compra -HOJA1'!J252</f>
        <v>0</v>
      </c>
      <c r="AB379" s="1659">
        <f>+'Compra -HOJA1'!K252</f>
        <v>0</v>
      </c>
      <c r="AC379" s="1659">
        <f ca="1">+'Compra -HOJA1'!L252</f>
        <v>0</v>
      </c>
      <c r="AD379" s="1659">
        <f ca="1">+'Compra -HOJA1'!M252</f>
        <v>0</v>
      </c>
      <c r="AE379" s="1659">
        <f ca="1">+'Compra -HOJA1'!N252</f>
        <v>0</v>
      </c>
      <c r="AF379" s="1659">
        <f ca="1">+'Compra -HOJA1'!O252</f>
        <v>0</v>
      </c>
      <c r="AG379" s="1659">
        <f ca="1">+'Compra -HOJA1'!P252</f>
        <v>0</v>
      </c>
      <c r="AH379" s="1659">
        <f ca="1">+'Compra -HOJA1'!Q252</f>
        <v>0</v>
      </c>
      <c r="AJ379" s="1490">
        <f t="shared" ca="1" si="209"/>
        <v>0</v>
      </c>
      <c r="AK379" s="1490">
        <f t="shared" ca="1" si="209"/>
        <v>0</v>
      </c>
      <c r="AL379" s="1490">
        <f t="shared" ca="1" si="209"/>
        <v>0</v>
      </c>
    </row>
    <row r="380" spans="1:38" ht="62.1" customHeight="1" x14ac:dyDescent="0.45">
      <c r="A380" s="5256"/>
      <c r="B380" s="3690"/>
      <c r="C380" s="5260" t="s">
        <v>65</v>
      </c>
      <c r="D380" s="5260"/>
      <c r="E380" s="1679">
        <f>+'Compra -HOJA1'!G254</f>
        <v>0</v>
      </c>
      <c r="F380" s="1679"/>
      <c r="G380" s="1679"/>
      <c r="H380" s="1679"/>
      <c r="I380" s="1680">
        <f t="shared" si="202"/>
        <v>0</v>
      </c>
      <c r="J380" s="1680">
        <f t="shared" si="203"/>
        <v>0</v>
      </c>
      <c r="K380" s="1680">
        <f t="shared" si="204"/>
        <v>0</v>
      </c>
      <c r="L380" s="1680">
        <f t="shared" ca="1" si="205"/>
        <v>0</v>
      </c>
      <c r="M380" s="1680">
        <f t="shared" ca="1" si="206"/>
        <v>0</v>
      </c>
      <c r="N380" s="1680">
        <f t="shared" ca="1" si="207"/>
        <v>0</v>
      </c>
      <c r="O380" s="1619">
        <f t="shared" ca="1" si="208"/>
        <v>0</v>
      </c>
      <c r="P380" s="1619">
        <f t="shared" ca="1" si="208"/>
        <v>0</v>
      </c>
      <c r="Q380" s="1619">
        <f t="shared" ca="1" si="208"/>
        <v>0</v>
      </c>
      <c r="R380" s="1619"/>
      <c r="S380" s="1619"/>
      <c r="T380" s="1619"/>
      <c r="U380" s="1619"/>
      <c r="V380" s="5256"/>
      <c r="W380" s="3690"/>
      <c r="X380" s="5260" t="s">
        <v>65</v>
      </c>
      <c r="Y380" s="5260"/>
      <c r="Z380" s="1659">
        <f>+'Compra -HOJA1'!I254</f>
        <v>0</v>
      </c>
      <c r="AA380" s="1659">
        <f>+'Compra -HOJA1'!J254</f>
        <v>0</v>
      </c>
      <c r="AB380" s="1659">
        <f>+'Compra -HOJA1'!K254</f>
        <v>0</v>
      </c>
      <c r="AC380" s="1659">
        <f ca="1">+'Compra -HOJA1'!L254</f>
        <v>0</v>
      </c>
      <c r="AD380" s="1659">
        <f ca="1">+'Compra -HOJA1'!M254</f>
        <v>0</v>
      </c>
      <c r="AE380" s="1659">
        <f ca="1">+'Compra -HOJA1'!N254</f>
        <v>0</v>
      </c>
      <c r="AF380" s="1659">
        <f ca="1">+'Compra -HOJA1'!O254</f>
        <v>0</v>
      </c>
      <c r="AG380" s="1659">
        <f ca="1">+'Compra -HOJA1'!P254</f>
        <v>0</v>
      </c>
      <c r="AH380" s="1659">
        <f ca="1">+'Compra -HOJA1'!Q254</f>
        <v>0</v>
      </c>
      <c r="AJ380" s="1490">
        <f t="shared" ca="1" si="209"/>
        <v>0</v>
      </c>
      <c r="AK380" s="1490">
        <f t="shared" ca="1" si="209"/>
        <v>0</v>
      </c>
      <c r="AL380" s="1490">
        <f t="shared" ca="1" si="209"/>
        <v>0</v>
      </c>
    </row>
    <row r="381" spans="1:38" ht="62.1" customHeight="1" x14ac:dyDescent="0.5">
      <c r="A381" s="5256"/>
      <c r="B381" s="1611" t="s">
        <v>66</v>
      </c>
      <c r="C381" s="5325" t="s">
        <v>51</v>
      </c>
      <c r="D381" s="5325"/>
      <c r="E381" s="1679" t="e">
        <f>+'Compra -HOJA1'!#REF!</f>
        <v>#REF!</v>
      </c>
      <c r="F381" s="1679"/>
      <c r="G381" s="1679"/>
      <c r="H381" s="1679"/>
      <c r="I381" s="1680" t="e">
        <f t="shared" si="202"/>
        <v>#REF!</v>
      </c>
      <c r="J381" s="1680" t="e">
        <f t="shared" si="203"/>
        <v>#REF!</v>
      </c>
      <c r="K381" s="1680" t="e">
        <f t="shared" si="204"/>
        <v>#REF!</v>
      </c>
      <c r="L381" s="1680" t="e">
        <f t="shared" si="205"/>
        <v>#REF!</v>
      </c>
      <c r="M381" s="1680" t="e">
        <f t="shared" si="206"/>
        <v>#REF!</v>
      </c>
      <c r="N381" s="1680" t="e">
        <f t="shared" si="207"/>
        <v>#REF!</v>
      </c>
      <c r="O381" s="1619" t="e">
        <f t="shared" si="208"/>
        <v>#REF!</v>
      </c>
      <c r="P381" s="1619" t="e">
        <f t="shared" si="208"/>
        <v>#REF!</v>
      </c>
      <c r="Q381" s="1619" t="e">
        <f t="shared" si="208"/>
        <v>#REF!</v>
      </c>
      <c r="R381" s="1619"/>
      <c r="S381" s="1619"/>
      <c r="T381" s="1619"/>
      <c r="U381" s="1619"/>
      <c r="V381" s="5256"/>
      <c r="W381" s="1611" t="s">
        <v>66</v>
      </c>
      <c r="X381" s="5325" t="s">
        <v>51</v>
      </c>
      <c r="Y381" s="5325"/>
      <c r="Z381" s="1659" t="e">
        <f>+'Compra -HOJA1'!#REF!</f>
        <v>#REF!</v>
      </c>
      <c r="AA381" s="1659" t="e">
        <f>+'Compra -HOJA1'!#REF!</f>
        <v>#REF!</v>
      </c>
      <c r="AB381" s="1659" t="e">
        <f>+'Compra -HOJA1'!#REF!</f>
        <v>#REF!</v>
      </c>
      <c r="AC381" s="1659" t="e">
        <f>+'Compra -HOJA1'!#REF!</f>
        <v>#REF!</v>
      </c>
      <c r="AD381" s="1659" t="e">
        <f>+'Compra -HOJA1'!#REF!</f>
        <v>#REF!</v>
      </c>
      <c r="AE381" s="1659" t="e">
        <f>+'Compra -HOJA1'!#REF!</f>
        <v>#REF!</v>
      </c>
      <c r="AF381" s="1659" t="e">
        <f>+'Compra -HOJA1'!#REF!</f>
        <v>#REF!</v>
      </c>
      <c r="AG381" s="1659" t="e">
        <f>+'Compra -HOJA1'!#REF!</f>
        <v>#REF!</v>
      </c>
      <c r="AH381" s="1659" t="e">
        <f>+'Compra -HOJA1'!#REF!</f>
        <v>#REF!</v>
      </c>
      <c r="AJ381" s="1490" t="e">
        <f t="shared" si="209"/>
        <v>#REF!</v>
      </c>
      <c r="AK381" s="1490" t="e">
        <f t="shared" si="209"/>
        <v>#REF!</v>
      </c>
      <c r="AL381" s="1490" t="e">
        <f t="shared" si="209"/>
        <v>#REF!</v>
      </c>
    </row>
    <row r="382" spans="1:38" ht="62.1" customHeight="1" x14ac:dyDescent="0.45">
      <c r="A382" s="5324" t="s">
        <v>67</v>
      </c>
      <c r="B382" s="3907" t="s">
        <v>164</v>
      </c>
      <c r="C382" s="3907"/>
      <c r="D382" s="3907"/>
      <c r="E382" s="1679">
        <f>+'Compra -HOJA1'!G262</f>
        <v>0</v>
      </c>
      <c r="F382" s="1679"/>
      <c r="G382" s="1679"/>
      <c r="H382" s="1679"/>
      <c r="I382" s="1680">
        <f t="shared" si="202"/>
        <v>0</v>
      </c>
      <c r="J382" s="1680">
        <f t="shared" si="203"/>
        <v>0</v>
      </c>
      <c r="K382" s="1680">
        <f t="shared" si="204"/>
        <v>0</v>
      </c>
      <c r="L382" s="1680">
        <f t="shared" ca="1" si="205"/>
        <v>0</v>
      </c>
      <c r="M382" s="1680">
        <f t="shared" ca="1" si="206"/>
        <v>0</v>
      </c>
      <c r="N382" s="1680">
        <f t="shared" ca="1" si="207"/>
        <v>0</v>
      </c>
      <c r="O382" s="1619">
        <f t="shared" ca="1" si="208"/>
        <v>0</v>
      </c>
      <c r="P382" s="1619">
        <f t="shared" ca="1" si="208"/>
        <v>0</v>
      </c>
      <c r="Q382" s="1619">
        <f t="shared" ca="1" si="208"/>
        <v>0</v>
      </c>
      <c r="R382" s="1619"/>
      <c r="S382" s="1619"/>
      <c r="T382" s="1619"/>
      <c r="U382" s="1619"/>
      <c r="V382" s="5324" t="s">
        <v>67</v>
      </c>
      <c r="W382" s="3907" t="s">
        <v>164</v>
      </c>
      <c r="X382" s="3907"/>
      <c r="Y382" s="3907"/>
      <c r="Z382" s="1659">
        <f>+'Compra -HOJA1'!I262</f>
        <v>0</v>
      </c>
      <c r="AA382" s="1659">
        <f>+'Compra -HOJA1'!J262</f>
        <v>0</v>
      </c>
      <c r="AB382" s="1659">
        <f>+'Compra -HOJA1'!K262</f>
        <v>0</v>
      </c>
      <c r="AC382" s="1659">
        <f ca="1">+'Compra -HOJA1'!L262</f>
        <v>0</v>
      </c>
      <c r="AD382" s="1659">
        <f ca="1">+'Compra -HOJA1'!M262</f>
        <v>0</v>
      </c>
      <c r="AE382" s="1659">
        <f ca="1">+'Compra -HOJA1'!N262</f>
        <v>0</v>
      </c>
      <c r="AF382" s="1659">
        <f ca="1">+'Compra -HOJA1'!O262</f>
        <v>0</v>
      </c>
      <c r="AG382" s="1659">
        <f ca="1">+'Compra -HOJA1'!P262</f>
        <v>0</v>
      </c>
      <c r="AH382" s="1659">
        <f ca="1">+'Compra -HOJA1'!Q262</f>
        <v>0</v>
      </c>
      <c r="AJ382" s="1490">
        <f t="shared" ca="1" si="209"/>
        <v>0</v>
      </c>
      <c r="AK382" s="1490">
        <f t="shared" ca="1" si="209"/>
        <v>0</v>
      </c>
      <c r="AL382" s="1490">
        <f t="shared" ca="1" si="209"/>
        <v>0</v>
      </c>
    </row>
    <row r="383" spans="1:38" ht="62.1" customHeight="1" x14ac:dyDescent="0.45">
      <c r="A383" s="5324"/>
      <c r="B383" s="4025" t="s">
        <v>179</v>
      </c>
      <c r="C383" s="3913"/>
      <c r="D383" s="4021"/>
      <c r="E383" s="1679">
        <f>+'Compra -HOJA1'!G263</f>
        <v>0</v>
      </c>
      <c r="F383" s="1679"/>
      <c r="G383" s="1679"/>
      <c r="H383" s="1679"/>
      <c r="I383" s="1680">
        <f t="shared" si="202"/>
        <v>0</v>
      </c>
      <c r="J383" s="1680">
        <f t="shared" si="203"/>
        <v>0</v>
      </c>
      <c r="K383" s="1680">
        <f t="shared" si="204"/>
        <v>0</v>
      </c>
      <c r="L383" s="1680">
        <f t="shared" ca="1" si="205"/>
        <v>0</v>
      </c>
      <c r="M383" s="1680">
        <f t="shared" ca="1" si="206"/>
        <v>0</v>
      </c>
      <c r="N383" s="1680">
        <f t="shared" ca="1" si="207"/>
        <v>0</v>
      </c>
      <c r="O383" s="1619">
        <f t="shared" ca="1" si="208"/>
        <v>0</v>
      </c>
      <c r="P383" s="1619">
        <f t="shared" ca="1" si="208"/>
        <v>0</v>
      </c>
      <c r="Q383" s="1619">
        <f t="shared" ca="1" si="208"/>
        <v>0</v>
      </c>
      <c r="R383" s="1619"/>
      <c r="S383" s="1619"/>
      <c r="T383" s="1619"/>
      <c r="U383" s="1619"/>
      <c r="V383" s="5324"/>
      <c r="W383" s="4025" t="s">
        <v>179</v>
      </c>
      <c r="X383" s="3913"/>
      <c r="Y383" s="4021"/>
      <c r="Z383" s="1659">
        <f>+'Compra -HOJA1'!I263</f>
        <v>0</v>
      </c>
      <c r="AA383" s="1659">
        <f>+'Compra -HOJA1'!J263</f>
        <v>0</v>
      </c>
      <c r="AB383" s="1659">
        <f>+'Compra -HOJA1'!K263</f>
        <v>0</v>
      </c>
      <c r="AC383" s="1659">
        <f ca="1">+'Compra -HOJA1'!L263</f>
        <v>0</v>
      </c>
      <c r="AD383" s="1659">
        <f ca="1">+'Compra -HOJA1'!M263</f>
        <v>0</v>
      </c>
      <c r="AE383" s="1659">
        <f ca="1">+'Compra -HOJA1'!N263</f>
        <v>0</v>
      </c>
      <c r="AF383" s="1659">
        <f ca="1">+'Compra -HOJA1'!O263</f>
        <v>0</v>
      </c>
      <c r="AG383" s="1659">
        <f ca="1">+'Compra -HOJA1'!P263</f>
        <v>0</v>
      </c>
      <c r="AH383" s="1659">
        <f ca="1">+'Compra -HOJA1'!Q263</f>
        <v>0</v>
      </c>
      <c r="AJ383" s="1490">
        <f t="shared" ca="1" si="209"/>
        <v>0</v>
      </c>
      <c r="AK383" s="1490">
        <f t="shared" ca="1" si="209"/>
        <v>0</v>
      </c>
      <c r="AL383" s="1490">
        <f t="shared" ca="1" si="209"/>
        <v>0</v>
      </c>
    </row>
    <row r="384" spans="1:38" ht="62.1" customHeight="1" x14ac:dyDescent="0.45">
      <c r="A384" s="5324"/>
      <c r="B384" s="5257" t="s">
        <v>535</v>
      </c>
      <c r="C384" s="5258"/>
      <c r="D384" s="5259"/>
      <c r="E384" s="1679" t="e">
        <f>+'Compra -HOJA1'!#REF!</f>
        <v>#REF!</v>
      </c>
      <c r="F384" s="1679"/>
      <c r="G384" s="1679"/>
      <c r="H384" s="1679"/>
      <c r="I384" s="1680" t="e">
        <f t="shared" si="202"/>
        <v>#REF!</v>
      </c>
      <c r="J384" s="1680" t="e">
        <f t="shared" si="203"/>
        <v>#REF!</v>
      </c>
      <c r="K384" s="1680" t="e">
        <f t="shared" si="204"/>
        <v>#REF!</v>
      </c>
      <c r="L384" s="1680" t="e">
        <f t="shared" si="205"/>
        <v>#REF!</v>
      </c>
      <c r="M384" s="1680" t="e">
        <f t="shared" si="206"/>
        <v>#REF!</v>
      </c>
      <c r="N384" s="1680" t="e">
        <f t="shared" si="207"/>
        <v>#REF!</v>
      </c>
      <c r="O384" s="1619" t="e">
        <f t="shared" si="208"/>
        <v>#REF!</v>
      </c>
      <c r="P384" s="1619" t="e">
        <f t="shared" si="208"/>
        <v>#REF!</v>
      </c>
      <c r="Q384" s="1619" t="e">
        <f t="shared" si="208"/>
        <v>#REF!</v>
      </c>
      <c r="R384" s="1619"/>
      <c r="S384" s="1619"/>
      <c r="T384" s="1619"/>
      <c r="U384" s="1619"/>
      <c r="V384" s="5324"/>
      <c r="W384" s="5257" t="s">
        <v>535</v>
      </c>
      <c r="X384" s="5258"/>
      <c r="Y384" s="5259"/>
      <c r="Z384" s="1659" t="e">
        <f>+'Compra -HOJA1'!#REF!</f>
        <v>#REF!</v>
      </c>
      <c r="AA384" s="1659" t="e">
        <f>+'Compra -HOJA1'!#REF!</f>
        <v>#REF!</v>
      </c>
      <c r="AB384" s="1659" t="e">
        <f>+'Compra -HOJA1'!#REF!</f>
        <v>#REF!</v>
      </c>
      <c r="AC384" s="1659" t="e">
        <f>+'Compra -HOJA1'!#REF!</f>
        <v>#REF!</v>
      </c>
      <c r="AD384" s="1659" t="e">
        <f>+'Compra -HOJA1'!#REF!</f>
        <v>#REF!</v>
      </c>
      <c r="AE384" s="1659" t="e">
        <f>+'Compra -HOJA1'!#REF!</f>
        <v>#REF!</v>
      </c>
      <c r="AF384" s="1659" t="e">
        <f>+'Compra -HOJA1'!#REF!</f>
        <v>#REF!</v>
      </c>
      <c r="AG384" s="1659" t="e">
        <f>+'Compra -HOJA1'!#REF!</f>
        <v>#REF!</v>
      </c>
      <c r="AH384" s="1659" t="e">
        <f>+'Compra -HOJA1'!#REF!</f>
        <v>#REF!</v>
      </c>
      <c r="AJ384" s="1490"/>
      <c r="AK384" s="1490"/>
      <c r="AL384" s="1490"/>
    </row>
    <row r="385" spans="1:38" ht="62.1" customHeight="1" x14ac:dyDescent="0.45">
      <c r="A385" s="5324"/>
      <c r="B385" s="3948" t="s">
        <v>195</v>
      </c>
      <c r="C385" s="3912"/>
      <c r="D385" s="3947"/>
      <c r="E385" s="1679">
        <f>+'Compra -HOJA1'!G267</f>
        <v>0</v>
      </c>
      <c r="F385" s="1679"/>
      <c r="G385" s="1679"/>
      <c r="H385" s="1679"/>
      <c r="I385" s="1680">
        <f t="shared" si="202"/>
        <v>0</v>
      </c>
      <c r="J385" s="1680">
        <f t="shared" si="203"/>
        <v>0</v>
      </c>
      <c r="K385" s="1680">
        <f t="shared" si="204"/>
        <v>0</v>
      </c>
      <c r="L385" s="1680">
        <f t="shared" ca="1" si="205"/>
        <v>0</v>
      </c>
      <c r="M385" s="1680">
        <f t="shared" ca="1" si="206"/>
        <v>0</v>
      </c>
      <c r="N385" s="1680">
        <f t="shared" ca="1" si="207"/>
        <v>0</v>
      </c>
      <c r="O385" s="1619">
        <f t="shared" ca="1" si="208"/>
        <v>0</v>
      </c>
      <c r="P385" s="1619">
        <f t="shared" ca="1" si="208"/>
        <v>0</v>
      </c>
      <c r="Q385" s="1619">
        <f t="shared" ca="1" si="208"/>
        <v>0</v>
      </c>
      <c r="R385" s="1619"/>
      <c r="S385" s="1619"/>
      <c r="T385" s="1619"/>
      <c r="U385" s="1619"/>
      <c r="V385" s="5324"/>
      <c r="W385" s="3948" t="s">
        <v>195</v>
      </c>
      <c r="X385" s="3912"/>
      <c r="Y385" s="3947"/>
      <c r="Z385" s="1659">
        <f>+'Compra -HOJA1'!I267</f>
        <v>0</v>
      </c>
      <c r="AA385" s="1659">
        <f>+'Compra -HOJA1'!J267</f>
        <v>0</v>
      </c>
      <c r="AB385" s="1659">
        <f>+'Compra -HOJA1'!K267</f>
        <v>0</v>
      </c>
      <c r="AC385" s="1659">
        <f ca="1">+'Compra -HOJA1'!L267</f>
        <v>0</v>
      </c>
      <c r="AD385" s="1659">
        <f ca="1">+'Compra -HOJA1'!M267</f>
        <v>0</v>
      </c>
      <c r="AE385" s="1659">
        <f ca="1">+'Compra -HOJA1'!N267</f>
        <v>0</v>
      </c>
      <c r="AF385" s="1659">
        <f ca="1">+'Compra -HOJA1'!O267</f>
        <v>0</v>
      </c>
      <c r="AG385" s="1659">
        <f ca="1">+'Compra -HOJA1'!P267</f>
        <v>0</v>
      </c>
      <c r="AH385" s="1659">
        <f ca="1">+'Compra -HOJA1'!Q267</f>
        <v>0</v>
      </c>
      <c r="AJ385" s="1490">
        <f t="shared" ref="AJ385:AL385" ca="1" si="212">+Z385+AC385</f>
        <v>0</v>
      </c>
      <c r="AK385" s="1490">
        <f t="shared" ca="1" si="212"/>
        <v>0</v>
      </c>
      <c r="AL385" s="1490">
        <f t="shared" ca="1" si="212"/>
        <v>0</v>
      </c>
    </row>
    <row r="386" spans="1:38" ht="62.1" customHeight="1" x14ac:dyDescent="0.45">
      <c r="A386" s="5324"/>
      <c r="B386" s="4098" t="s">
        <v>927</v>
      </c>
      <c r="C386" s="4098"/>
      <c r="D386" s="4098"/>
      <c r="E386" s="1679">
        <f>+'Compra -HOJA1'!G269</f>
        <v>0</v>
      </c>
      <c r="F386" s="1679"/>
      <c r="G386" s="1679"/>
      <c r="H386" s="1679"/>
      <c r="I386" s="1680">
        <f t="shared" si="202"/>
        <v>0</v>
      </c>
      <c r="J386" s="1680">
        <f t="shared" si="203"/>
        <v>0</v>
      </c>
      <c r="K386" s="1680">
        <f t="shared" si="204"/>
        <v>0</v>
      </c>
      <c r="L386" s="1680">
        <f t="shared" ca="1" si="205"/>
        <v>0</v>
      </c>
      <c r="M386" s="1680">
        <f t="shared" ca="1" si="206"/>
        <v>0</v>
      </c>
      <c r="N386" s="1680">
        <f t="shared" ca="1" si="207"/>
        <v>0</v>
      </c>
      <c r="O386" s="1619">
        <f t="shared" ca="1" si="208"/>
        <v>0</v>
      </c>
      <c r="P386" s="1619">
        <f t="shared" ca="1" si="208"/>
        <v>0</v>
      </c>
      <c r="Q386" s="1619">
        <f t="shared" ca="1" si="208"/>
        <v>0</v>
      </c>
      <c r="R386" s="1619"/>
      <c r="S386" s="1619"/>
      <c r="T386" s="1619"/>
      <c r="U386" s="1619"/>
      <c r="V386" s="5324"/>
      <c r="W386" s="4098" t="s">
        <v>927</v>
      </c>
      <c r="X386" s="4098"/>
      <c r="Y386" s="4098"/>
      <c r="Z386" s="1659">
        <f>+'Compra -HOJA1'!I269</f>
        <v>0</v>
      </c>
      <c r="AA386" s="1659">
        <f>+'Compra -HOJA1'!J269</f>
        <v>0</v>
      </c>
      <c r="AB386" s="1659">
        <f>+'Compra -HOJA1'!K269</f>
        <v>0</v>
      </c>
      <c r="AC386" s="1659">
        <f ca="1">+'Compra -HOJA1'!L269</f>
        <v>0</v>
      </c>
      <c r="AD386" s="1659">
        <f ca="1">+'Compra -HOJA1'!M269</f>
        <v>0</v>
      </c>
      <c r="AE386" s="1659">
        <f ca="1">+'Compra -HOJA1'!N269</f>
        <v>0</v>
      </c>
      <c r="AF386" s="1659">
        <f ca="1">+'Compra -HOJA1'!O269</f>
        <v>0</v>
      </c>
      <c r="AG386" s="1659">
        <f ca="1">+'Compra -HOJA1'!P269</f>
        <v>0</v>
      </c>
      <c r="AH386" s="1659">
        <f ca="1">+'Compra -HOJA1'!Q269</f>
        <v>0</v>
      </c>
      <c r="AJ386" s="1490">
        <f t="shared" ca="1" si="209"/>
        <v>0</v>
      </c>
      <c r="AK386" s="1490">
        <f t="shared" ca="1" si="209"/>
        <v>0</v>
      </c>
      <c r="AL386" s="1490">
        <f t="shared" ca="1" si="209"/>
        <v>0</v>
      </c>
    </row>
    <row r="387" spans="1:38" ht="62.1" customHeight="1" x14ac:dyDescent="0.45">
      <c r="A387" s="5324"/>
      <c r="B387" s="3690" t="s">
        <v>45</v>
      </c>
      <c r="C387" s="5342" t="s">
        <v>68</v>
      </c>
      <c r="D387" s="5342"/>
      <c r="E387" s="1679">
        <f>+'Compra -HOJA1'!G271</f>
        <v>0</v>
      </c>
      <c r="F387" s="1679"/>
      <c r="G387" s="1679"/>
      <c r="H387" s="1679"/>
      <c r="I387" s="1680">
        <f t="shared" si="202"/>
        <v>0</v>
      </c>
      <c r="J387" s="1680">
        <f t="shared" si="203"/>
        <v>0</v>
      </c>
      <c r="K387" s="1680">
        <f t="shared" si="204"/>
        <v>0</v>
      </c>
      <c r="L387" s="1680">
        <f t="shared" ca="1" si="205"/>
        <v>0</v>
      </c>
      <c r="M387" s="1680">
        <f t="shared" ca="1" si="206"/>
        <v>0</v>
      </c>
      <c r="N387" s="1680">
        <f t="shared" ca="1" si="207"/>
        <v>0</v>
      </c>
      <c r="O387" s="1619">
        <f t="shared" ca="1" si="208"/>
        <v>0</v>
      </c>
      <c r="P387" s="1619">
        <f t="shared" ca="1" si="208"/>
        <v>0</v>
      </c>
      <c r="Q387" s="1619">
        <f t="shared" ca="1" si="208"/>
        <v>0</v>
      </c>
      <c r="R387" s="1619"/>
      <c r="S387" s="1619"/>
      <c r="T387" s="1619"/>
      <c r="U387" s="1619"/>
      <c r="V387" s="5324"/>
      <c r="W387" s="3690" t="s">
        <v>45</v>
      </c>
      <c r="X387" s="5342" t="s">
        <v>68</v>
      </c>
      <c r="Y387" s="5342"/>
      <c r="Z387" s="1659">
        <f>+'Compra -HOJA1'!I271</f>
        <v>0</v>
      </c>
      <c r="AA387" s="1659">
        <f>+'Compra -HOJA1'!J271</f>
        <v>0</v>
      </c>
      <c r="AB387" s="1659">
        <f>+'Compra -HOJA1'!K271</f>
        <v>0</v>
      </c>
      <c r="AC387" s="1659">
        <f ca="1">+'Compra -HOJA1'!L271</f>
        <v>0</v>
      </c>
      <c r="AD387" s="1659">
        <f ca="1">+'Compra -HOJA1'!M271</f>
        <v>0</v>
      </c>
      <c r="AE387" s="1659">
        <f ca="1">+'Compra -HOJA1'!N271</f>
        <v>0</v>
      </c>
      <c r="AF387" s="1659">
        <f ca="1">+'Compra -HOJA1'!O271</f>
        <v>0</v>
      </c>
      <c r="AG387" s="1659">
        <f ca="1">+'Compra -HOJA1'!P271</f>
        <v>0</v>
      </c>
      <c r="AH387" s="1659">
        <f ca="1">+'Compra -HOJA1'!Q271</f>
        <v>0</v>
      </c>
      <c r="AJ387" s="1490">
        <f t="shared" ca="1" si="209"/>
        <v>0</v>
      </c>
      <c r="AK387" s="1490">
        <f t="shared" ca="1" si="209"/>
        <v>0</v>
      </c>
      <c r="AL387" s="1490">
        <f t="shared" ca="1" si="209"/>
        <v>0</v>
      </c>
    </row>
    <row r="388" spans="1:38" ht="62.1" customHeight="1" x14ac:dyDescent="0.45">
      <c r="A388" s="5324"/>
      <c r="B388" s="3690"/>
      <c r="C388" s="5260" t="s">
        <v>69</v>
      </c>
      <c r="D388" s="5260"/>
      <c r="E388" s="1679">
        <f>+'Compra -HOJA1'!G273</f>
        <v>0</v>
      </c>
      <c r="F388" s="1679"/>
      <c r="G388" s="1679"/>
      <c r="H388" s="1679"/>
      <c r="I388" s="1680">
        <f t="shared" si="202"/>
        <v>0</v>
      </c>
      <c r="J388" s="1680">
        <f t="shared" si="203"/>
        <v>0</v>
      </c>
      <c r="K388" s="1680">
        <f t="shared" si="204"/>
        <v>0</v>
      </c>
      <c r="L388" s="1680">
        <f t="shared" ca="1" si="205"/>
        <v>0</v>
      </c>
      <c r="M388" s="1680">
        <f t="shared" ca="1" si="206"/>
        <v>0</v>
      </c>
      <c r="N388" s="1680">
        <f t="shared" ca="1" si="207"/>
        <v>0</v>
      </c>
      <c r="O388" s="1619">
        <f t="shared" ca="1" si="208"/>
        <v>0</v>
      </c>
      <c r="P388" s="1619">
        <f t="shared" ca="1" si="208"/>
        <v>0</v>
      </c>
      <c r="Q388" s="1619">
        <f t="shared" ca="1" si="208"/>
        <v>0</v>
      </c>
      <c r="R388" s="1619"/>
      <c r="S388" s="1619"/>
      <c r="T388" s="1619"/>
      <c r="U388" s="1619"/>
      <c r="V388" s="5324"/>
      <c r="W388" s="3690"/>
      <c r="X388" s="5260" t="s">
        <v>69</v>
      </c>
      <c r="Y388" s="5260"/>
      <c r="Z388" s="1659">
        <f>+'Compra -HOJA1'!I273</f>
        <v>0</v>
      </c>
      <c r="AA388" s="1659">
        <f>+'Compra -HOJA1'!J273</f>
        <v>0</v>
      </c>
      <c r="AB388" s="1659">
        <f>+'Compra -HOJA1'!K273</f>
        <v>0</v>
      </c>
      <c r="AC388" s="1659">
        <f ca="1">+'Compra -HOJA1'!L273</f>
        <v>0</v>
      </c>
      <c r="AD388" s="1659">
        <f ca="1">+'Compra -HOJA1'!M273</f>
        <v>0</v>
      </c>
      <c r="AE388" s="1659">
        <f ca="1">+'Compra -HOJA1'!N273</f>
        <v>0</v>
      </c>
      <c r="AF388" s="1659">
        <f ca="1">+'Compra -HOJA1'!O273</f>
        <v>0</v>
      </c>
      <c r="AG388" s="1659">
        <f ca="1">+'Compra -HOJA1'!P273</f>
        <v>0</v>
      </c>
      <c r="AH388" s="1659">
        <f ca="1">+'Compra -HOJA1'!Q273</f>
        <v>0</v>
      </c>
      <c r="AJ388" s="1490">
        <f t="shared" ca="1" si="209"/>
        <v>0</v>
      </c>
      <c r="AK388" s="1490">
        <f t="shared" ca="1" si="209"/>
        <v>0</v>
      </c>
      <c r="AL388" s="1490">
        <f t="shared" ca="1" si="209"/>
        <v>0</v>
      </c>
    </row>
    <row r="389" spans="1:38" ht="62.1" customHeight="1" thickBot="1" x14ac:dyDescent="0.55000000000000004">
      <c r="A389" s="5324"/>
      <c r="B389" s="1578" t="s">
        <v>66</v>
      </c>
      <c r="C389" s="5325" t="s">
        <v>51</v>
      </c>
      <c r="D389" s="5325"/>
      <c r="E389" s="1679" t="e">
        <f>+'Compra -HOJA1'!#REF!</f>
        <v>#REF!</v>
      </c>
      <c r="F389" s="1679"/>
      <c r="G389" s="1679"/>
      <c r="H389" s="1679"/>
      <c r="I389" s="1680" t="e">
        <f t="shared" si="202"/>
        <v>#REF!</v>
      </c>
      <c r="J389" s="1680" t="e">
        <f t="shared" si="203"/>
        <v>#REF!</v>
      </c>
      <c r="K389" s="1680" t="e">
        <f t="shared" si="204"/>
        <v>#REF!</v>
      </c>
      <c r="L389" s="1680" t="e">
        <f t="shared" si="205"/>
        <v>#REF!</v>
      </c>
      <c r="M389" s="1680" t="e">
        <f t="shared" si="206"/>
        <v>#REF!</v>
      </c>
      <c r="N389" s="1680" t="e">
        <f t="shared" si="207"/>
        <v>#REF!</v>
      </c>
      <c r="O389" s="1619" t="e">
        <f t="shared" si="208"/>
        <v>#REF!</v>
      </c>
      <c r="P389" s="1619" t="e">
        <f t="shared" si="208"/>
        <v>#REF!</v>
      </c>
      <c r="Q389" s="1619" t="e">
        <f t="shared" si="208"/>
        <v>#REF!</v>
      </c>
      <c r="R389" s="1619"/>
      <c r="S389" s="1619"/>
      <c r="T389" s="1619"/>
      <c r="U389" s="1619"/>
      <c r="V389" s="5324"/>
      <c r="W389" s="1578" t="s">
        <v>66</v>
      </c>
      <c r="X389" s="5325" t="s">
        <v>51</v>
      </c>
      <c r="Y389" s="5325"/>
      <c r="Z389" s="1659" t="e">
        <f>+'Compra -HOJA1'!#REF!</f>
        <v>#REF!</v>
      </c>
      <c r="AA389" s="1659" t="e">
        <f>+'Compra -HOJA1'!#REF!</f>
        <v>#REF!</v>
      </c>
      <c r="AB389" s="1659" t="e">
        <f>+'Compra -HOJA1'!#REF!</f>
        <v>#REF!</v>
      </c>
      <c r="AC389" s="1659" t="e">
        <f>+'Compra -HOJA1'!#REF!</f>
        <v>#REF!</v>
      </c>
      <c r="AD389" s="1659" t="e">
        <f>+'Compra -HOJA1'!#REF!</f>
        <v>#REF!</v>
      </c>
      <c r="AE389" s="1659" t="e">
        <f>+'Compra -HOJA1'!#REF!</f>
        <v>#REF!</v>
      </c>
      <c r="AF389" s="1659" t="e">
        <f>+'Compra -HOJA1'!#REF!</f>
        <v>#REF!</v>
      </c>
      <c r="AG389" s="1659" t="e">
        <f>+'Compra -HOJA1'!#REF!</f>
        <v>#REF!</v>
      </c>
      <c r="AH389" s="1659" t="e">
        <f>+'Compra -HOJA1'!#REF!</f>
        <v>#REF!</v>
      </c>
      <c r="AJ389" s="1490" t="e">
        <f t="shared" si="209"/>
        <v>#REF!</v>
      </c>
      <c r="AK389" s="1490" t="e">
        <f t="shared" si="209"/>
        <v>#REF!</v>
      </c>
      <c r="AL389" s="1490" t="e">
        <f t="shared" si="209"/>
        <v>#REF!</v>
      </c>
    </row>
    <row r="390" spans="1:38" ht="62.1" customHeight="1" thickBot="1" x14ac:dyDescent="0.5">
      <c r="A390" s="5326" t="s">
        <v>21</v>
      </c>
      <c r="B390" s="4592" t="s">
        <v>210</v>
      </c>
      <c r="C390" s="4593"/>
      <c r="D390" s="4645"/>
      <c r="E390" s="1679">
        <f>+'Compra -HOJA1'!G281</f>
        <v>0</v>
      </c>
      <c r="F390" s="1679"/>
      <c r="G390" s="1679"/>
      <c r="H390" s="1679"/>
      <c r="I390" s="1680">
        <f t="shared" si="202"/>
        <v>0</v>
      </c>
      <c r="J390" s="1680">
        <f t="shared" si="203"/>
        <v>0</v>
      </c>
      <c r="K390" s="1680">
        <f t="shared" si="204"/>
        <v>0</v>
      </c>
      <c r="L390" s="1680">
        <f t="shared" ca="1" si="205"/>
        <v>0</v>
      </c>
      <c r="M390" s="1680">
        <f t="shared" ca="1" si="206"/>
        <v>0</v>
      </c>
      <c r="N390" s="1680">
        <f t="shared" ca="1" si="207"/>
        <v>0</v>
      </c>
      <c r="O390" s="1619">
        <f t="shared" ca="1" si="208"/>
        <v>0</v>
      </c>
      <c r="P390" s="1619">
        <f t="shared" ca="1" si="208"/>
        <v>0</v>
      </c>
      <c r="Q390" s="1619">
        <f t="shared" ca="1" si="208"/>
        <v>0</v>
      </c>
      <c r="R390" s="1619"/>
      <c r="S390" s="1619"/>
      <c r="T390" s="1619"/>
      <c r="U390" s="1619"/>
      <c r="V390" s="5326" t="s">
        <v>21</v>
      </c>
      <c r="W390" s="4592" t="s">
        <v>210</v>
      </c>
      <c r="X390" s="4593"/>
      <c r="Y390" s="4645"/>
      <c r="Z390" s="1659">
        <f>+'Compra -HOJA1'!I281</f>
        <v>0</v>
      </c>
      <c r="AA390" s="1659">
        <f>+'Compra -HOJA1'!J281</f>
        <v>0</v>
      </c>
      <c r="AB390" s="1659">
        <f>+'Compra -HOJA1'!K281</f>
        <v>0</v>
      </c>
      <c r="AC390" s="1659">
        <f ca="1">+'Compra -HOJA1'!L281</f>
        <v>0</v>
      </c>
      <c r="AD390" s="1659">
        <f ca="1">+'Compra -HOJA1'!M281</f>
        <v>0</v>
      </c>
      <c r="AE390" s="1659">
        <f ca="1">+'Compra -HOJA1'!N281</f>
        <v>0</v>
      </c>
      <c r="AF390" s="1659">
        <f ca="1">+'Compra -HOJA1'!O281</f>
        <v>0</v>
      </c>
      <c r="AG390" s="1659">
        <f ca="1">+'Compra -HOJA1'!P281</f>
        <v>0</v>
      </c>
      <c r="AH390" s="1659">
        <f ca="1">+'Compra -HOJA1'!Q281</f>
        <v>0</v>
      </c>
      <c r="AJ390" s="1490">
        <f t="shared" ca="1" si="209"/>
        <v>0</v>
      </c>
      <c r="AK390" s="1490">
        <f t="shared" ca="1" si="209"/>
        <v>0</v>
      </c>
      <c r="AL390" s="1490">
        <f t="shared" ca="1" si="209"/>
        <v>0</v>
      </c>
    </row>
    <row r="391" spans="1:38" ht="62.1" customHeight="1" thickBot="1" x14ac:dyDescent="0.5">
      <c r="A391" s="5327"/>
      <c r="B391" s="4592" t="s">
        <v>211</v>
      </c>
      <c r="C391" s="4593"/>
      <c r="D391" s="4645"/>
      <c r="E391" s="1679">
        <f>+'Compra -HOJA1'!G282</f>
        <v>0</v>
      </c>
      <c r="F391" s="1679"/>
      <c r="G391" s="1679"/>
      <c r="H391" s="1679"/>
      <c r="I391" s="1680">
        <f t="shared" si="202"/>
        <v>0</v>
      </c>
      <c r="J391" s="1680">
        <f t="shared" si="203"/>
        <v>0</v>
      </c>
      <c r="K391" s="1680">
        <f t="shared" si="204"/>
        <v>0</v>
      </c>
      <c r="L391" s="1680">
        <f t="shared" ca="1" si="205"/>
        <v>0</v>
      </c>
      <c r="M391" s="1680">
        <f t="shared" ca="1" si="206"/>
        <v>0</v>
      </c>
      <c r="N391" s="1680">
        <f t="shared" ca="1" si="207"/>
        <v>0</v>
      </c>
      <c r="O391" s="1619">
        <f t="shared" ca="1" si="208"/>
        <v>0</v>
      </c>
      <c r="P391" s="1619">
        <f t="shared" ca="1" si="208"/>
        <v>0</v>
      </c>
      <c r="Q391" s="1619">
        <f t="shared" ca="1" si="208"/>
        <v>0</v>
      </c>
      <c r="R391" s="1619"/>
      <c r="S391" s="1619"/>
      <c r="T391" s="1619"/>
      <c r="U391" s="1619"/>
      <c r="V391" s="5327"/>
      <c r="W391" s="4592" t="s">
        <v>211</v>
      </c>
      <c r="X391" s="4593"/>
      <c r="Y391" s="4645"/>
      <c r="Z391" s="1659">
        <f>+'Compra -HOJA1'!I282</f>
        <v>0</v>
      </c>
      <c r="AA391" s="1659">
        <f>+'Compra -HOJA1'!J282</f>
        <v>0</v>
      </c>
      <c r="AB391" s="1659">
        <f>+'Compra -HOJA1'!K282</f>
        <v>0</v>
      </c>
      <c r="AC391" s="1659">
        <f ca="1">+'Compra -HOJA1'!L282</f>
        <v>0</v>
      </c>
      <c r="AD391" s="1659">
        <f ca="1">+'Compra -HOJA1'!M282</f>
        <v>0</v>
      </c>
      <c r="AE391" s="1659">
        <f ca="1">+'Compra -HOJA1'!N282</f>
        <v>0</v>
      </c>
      <c r="AF391" s="1659">
        <f ca="1">+'Compra -HOJA1'!O282</f>
        <v>0</v>
      </c>
      <c r="AG391" s="1659">
        <f ca="1">+'Compra -HOJA1'!P282</f>
        <v>0</v>
      </c>
      <c r="AH391" s="1659">
        <f ca="1">+'Compra -HOJA1'!Q282</f>
        <v>0</v>
      </c>
      <c r="AJ391" s="1490"/>
      <c r="AK391" s="1490"/>
      <c r="AL391" s="1490"/>
    </row>
    <row r="392" spans="1:38" ht="62.1" customHeight="1" thickBot="1" x14ac:dyDescent="0.5">
      <c r="A392" s="5345"/>
      <c r="B392" s="5257" t="s">
        <v>535</v>
      </c>
      <c r="C392" s="5258"/>
      <c r="D392" s="5259"/>
      <c r="E392" s="1679" t="e">
        <f>+'Compra -HOJA1'!#REF!</f>
        <v>#REF!</v>
      </c>
      <c r="F392" s="1679"/>
      <c r="G392" s="1679"/>
      <c r="H392" s="1679"/>
      <c r="I392" s="1680" t="e">
        <f t="shared" si="202"/>
        <v>#REF!</v>
      </c>
      <c r="J392" s="1680" t="e">
        <f t="shared" si="203"/>
        <v>#REF!</v>
      </c>
      <c r="K392" s="1680" t="e">
        <f t="shared" si="204"/>
        <v>#REF!</v>
      </c>
      <c r="L392" s="1680" t="e">
        <f t="shared" si="205"/>
        <v>#REF!</v>
      </c>
      <c r="M392" s="1680" t="e">
        <f t="shared" si="206"/>
        <v>#REF!</v>
      </c>
      <c r="N392" s="1680" t="e">
        <f t="shared" si="207"/>
        <v>#REF!</v>
      </c>
      <c r="O392" s="1619" t="e">
        <f t="shared" si="208"/>
        <v>#REF!</v>
      </c>
      <c r="P392" s="1619" t="e">
        <f t="shared" si="208"/>
        <v>#REF!</v>
      </c>
      <c r="Q392" s="1619" t="e">
        <f t="shared" si="208"/>
        <v>#REF!</v>
      </c>
      <c r="R392" s="1619"/>
      <c r="S392" s="1619"/>
      <c r="T392" s="1619"/>
      <c r="U392" s="1619"/>
      <c r="V392" s="5345"/>
      <c r="W392" s="5257" t="s">
        <v>535</v>
      </c>
      <c r="X392" s="5258"/>
      <c r="Y392" s="5259"/>
      <c r="Z392" s="1659" t="e">
        <f>+'Compra -HOJA1'!#REF!</f>
        <v>#REF!</v>
      </c>
      <c r="AA392" s="1659" t="e">
        <f>+'Compra -HOJA1'!#REF!</f>
        <v>#REF!</v>
      </c>
      <c r="AB392" s="1659" t="e">
        <f>+'Compra -HOJA1'!#REF!</f>
        <v>#REF!</v>
      </c>
      <c r="AC392" s="1659" t="e">
        <f>+'Compra -HOJA1'!#REF!</f>
        <v>#REF!</v>
      </c>
      <c r="AD392" s="1659" t="e">
        <f>+'Compra -HOJA1'!#REF!</f>
        <v>#REF!</v>
      </c>
      <c r="AE392" s="1659" t="e">
        <f>+'Compra -HOJA1'!#REF!</f>
        <v>#REF!</v>
      </c>
      <c r="AF392" s="1659" t="e">
        <f>+'Compra -HOJA1'!#REF!</f>
        <v>#REF!</v>
      </c>
      <c r="AG392" s="1659" t="e">
        <f>+'Compra -HOJA1'!#REF!</f>
        <v>#REF!</v>
      </c>
      <c r="AH392" s="1659" t="e">
        <f>+'Compra -HOJA1'!#REF!</f>
        <v>#REF!</v>
      </c>
      <c r="AJ392" s="1490"/>
      <c r="AK392" s="1490"/>
      <c r="AL392" s="1490"/>
    </row>
    <row r="393" spans="1:38" ht="62.1" customHeight="1" thickBot="1" x14ac:dyDescent="0.5">
      <c r="A393" s="5328" t="s">
        <v>71</v>
      </c>
      <c r="B393" s="3794" t="s">
        <v>212</v>
      </c>
      <c r="C393" s="3795"/>
      <c r="D393" s="3796"/>
      <c r="E393" s="1679">
        <f>+'Compra -HOJA1'!G283</f>
        <v>0</v>
      </c>
      <c r="F393" s="1679"/>
      <c r="G393" s="1679"/>
      <c r="H393" s="1679"/>
      <c r="I393" s="1680">
        <f t="shared" si="202"/>
        <v>0</v>
      </c>
      <c r="J393" s="1680">
        <f t="shared" si="203"/>
        <v>0</v>
      </c>
      <c r="K393" s="1680">
        <f t="shared" si="204"/>
        <v>0</v>
      </c>
      <c r="L393" s="1680">
        <f t="shared" ca="1" si="205"/>
        <v>0</v>
      </c>
      <c r="M393" s="1680">
        <f t="shared" ca="1" si="206"/>
        <v>0</v>
      </c>
      <c r="N393" s="1680">
        <f t="shared" ca="1" si="207"/>
        <v>0</v>
      </c>
      <c r="O393" s="1619">
        <f t="shared" ca="1" si="208"/>
        <v>0</v>
      </c>
      <c r="P393" s="1619">
        <f t="shared" ca="1" si="208"/>
        <v>0</v>
      </c>
      <c r="Q393" s="1619">
        <f t="shared" ca="1" si="208"/>
        <v>0</v>
      </c>
      <c r="R393" s="1619"/>
      <c r="S393" s="1619"/>
      <c r="T393" s="1619"/>
      <c r="U393" s="1619"/>
      <c r="V393" s="5346" t="s">
        <v>71</v>
      </c>
      <c r="W393" s="3794" t="s">
        <v>212</v>
      </c>
      <c r="X393" s="3795"/>
      <c r="Y393" s="3796"/>
      <c r="Z393" s="1659">
        <f>+'Compra -HOJA1'!I283</f>
        <v>0</v>
      </c>
      <c r="AA393" s="1659">
        <f>+'Compra -HOJA1'!J283</f>
        <v>0</v>
      </c>
      <c r="AB393" s="1659">
        <f>+'Compra -HOJA1'!K283</f>
        <v>0</v>
      </c>
      <c r="AC393" s="1659">
        <f ca="1">+'Compra -HOJA1'!L283</f>
        <v>0</v>
      </c>
      <c r="AD393" s="1659">
        <f ca="1">+'Compra -HOJA1'!M283</f>
        <v>0</v>
      </c>
      <c r="AE393" s="1659">
        <f ca="1">+'Compra -HOJA1'!N283</f>
        <v>0</v>
      </c>
      <c r="AF393" s="1659">
        <f ca="1">+'Compra -HOJA1'!O283</f>
        <v>0</v>
      </c>
      <c r="AG393" s="1659">
        <f ca="1">+'Compra -HOJA1'!P283</f>
        <v>0</v>
      </c>
      <c r="AH393" s="1659">
        <f ca="1">+'Compra -HOJA1'!Q283</f>
        <v>0</v>
      </c>
      <c r="AJ393" s="1490">
        <f t="shared" ca="1" si="209"/>
        <v>0</v>
      </c>
      <c r="AK393" s="1490">
        <f t="shared" ca="1" si="209"/>
        <v>0</v>
      </c>
      <c r="AL393" s="1490">
        <f t="shared" ca="1" si="209"/>
        <v>0</v>
      </c>
    </row>
    <row r="394" spans="1:38" ht="62.1" customHeight="1" thickBot="1" x14ac:dyDescent="0.5">
      <c r="A394" s="5329"/>
      <c r="B394" s="3794" t="s">
        <v>213</v>
      </c>
      <c r="C394" s="3795"/>
      <c r="D394" s="3796"/>
      <c r="E394" s="1679">
        <f>+'Compra -HOJA1'!G284</f>
        <v>0</v>
      </c>
      <c r="F394" s="1679"/>
      <c r="G394" s="1679"/>
      <c r="H394" s="1679"/>
      <c r="I394" s="1680">
        <f t="shared" si="202"/>
        <v>0</v>
      </c>
      <c r="J394" s="1680">
        <f t="shared" si="203"/>
        <v>0</v>
      </c>
      <c r="K394" s="1680">
        <f t="shared" si="204"/>
        <v>0</v>
      </c>
      <c r="L394" s="1680">
        <f t="shared" ca="1" si="205"/>
        <v>0</v>
      </c>
      <c r="M394" s="1680">
        <f t="shared" ca="1" si="206"/>
        <v>0</v>
      </c>
      <c r="N394" s="1680">
        <f t="shared" ca="1" si="207"/>
        <v>0</v>
      </c>
      <c r="O394" s="1619">
        <f t="shared" ca="1" si="208"/>
        <v>0</v>
      </c>
      <c r="P394" s="1619">
        <f t="shared" ca="1" si="208"/>
        <v>0</v>
      </c>
      <c r="Q394" s="1619">
        <f t="shared" ca="1" si="208"/>
        <v>0</v>
      </c>
      <c r="R394" s="1619"/>
      <c r="S394" s="1619"/>
      <c r="T394" s="1619"/>
      <c r="U394" s="1619"/>
      <c r="V394" s="5347"/>
      <c r="W394" s="3794" t="s">
        <v>213</v>
      </c>
      <c r="X394" s="3795"/>
      <c r="Y394" s="3796"/>
      <c r="Z394" s="1659">
        <f>+'Compra -HOJA1'!I284</f>
        <v>0</v>
      </c>
      <c r="AA394" s="1659">
        <f>+'Compra -HOJA1'!J284</f>
        <v>0</v>
      </c>
      <c r="AB394" s="1659">
        <f>+'Compra -HOJA1'!K284</f>
        <v>0</v>
      </c>
      <c r="AC394" s="1659">
        <f ca="1">+'Compra -HOJA1'!L284</f>
        <v>0</v>
      </c>
      <c r="AD394" s="1659">
        <f ca="1">+'Compra -HOJA1'!M284</f>
        <v>0</v>
      </c>
      <c r="AE394" s="1659">
        <f ca="1">+'Compra -HOJA1'!N284</f>
        <v>0</v>
      </c>
      <c r="AF394" s="1659">
        <f ca="1">+'Compra -HOJA1'!O284</f>
        <v>0</v>
      </c>
      <c r="AG394" s="1659">
        <f ca="1">+'Compra -HOJA1'!P284</f>
        <v>0</v>
      </c>
      <c r="AH394" s="1659">
        <f ca="1">+'Compra -HOJA1'!Q284</f>
        <v>0</v>
      </c>
      <c r="AJ394" s="1490"/>
      <c r="AK394" s="1490"/>
      <c r="AL394" s="1490"/>
    </row>
    <row r="395" spans="1:38" ht="62.1" customHeight="1" x14ac:dyDescent="0.45">
      <c r="A395" s="5329"/>
      <c r="B395" s="5257" t="s">
        <v>535</v>
      </c>
      <c r="C395" s="5258"/>
      <c r="D395" s="5259"/>
      <c r="E395" s="1679" t="e">
        <f>+'Compra -HOJA1'!#REF!</f>
        <v>#REF!</v>
      </c>
      <c r="F395" s="1679"/>
      <c r="G395" s="1679"/>
      <c r="H395" s="1679"/>
      <c r="I395" s="1680" t="e">
        <f t="shared" si="202"/>
        <v>#REF!</v>
      </c>
      <c r="J395" s="1680" t="e">
        <f t="shared" si="203"/>
        <v>#REF!</v>
      </c>
      <c r="K395" s="1680" t="e">
        <f t="shared" si="204"/>
        <v>#REF!</v>
      </c>
      <c r="L395" s="1680" t="e">
        <f t="shared" si="205"/>
        <v>#REF!</v>
      </c>
      <c r="M395" s="1680" t="e">
        <f t="shared" si="206"/>
        <v>#REF!</v>
      </c>
      <c r="N395" s="1680" t="e">
        <f t="shared" si="207"/>
        <v>#REF!</v>
      </c>
      <c r="O395" s="1619" t="e">
        <f t="shared" si="208"/>
        <v>#REF!</v>
      </c>
      <c r="P395" s="1619" t="e">
        <f t="shared" si="208"/>
        <v>#REF!</v>
      </c>
      <c r="Q395" s="1619" t="e">
        <f t="shared" si="208"/>
        <v>#REF!</v>
      </c>
      <c r="R395" s="1619"/>
      <c r="S395" s="1619"/>
      <c r="T395" s="1619"/>
      <c r="U395" s="1619"/>
      <c r="V395" s="5347"/>
      <c r="W395" s="5257" t="s">
        <v>535</v>
      </c>
      <c r="X395" s="5258"/>
      <c r="Y395" s="5259"/>
      <c r="Z395" s="1659" t="e">
        <f>+'Compra -HOJA1'!#REF!</f>
        <v>#REF!</v>
      </c>
      <c r="AA395" s="1659" t="e">
        <f>+'Compra -HOJA1'!#REF!</f>
        <v>#REF!</v>
      </c>
      <c r="AB395" s="1659" t="e">
        <f>+'Compra -HOJA1'!#REF!</f>
        <v>#REF!</v>
      </c>
      <c r="AC395" s="1659" t="e">
        <f>+'Compra -HOJA1'!#REF!</f>
        <v>#REF!</v>
      </c>
      <c r="AD395" s="1659" t="e">
        <f>+'Compra -HOJA1'!#REF!</f>
        <v>#REF!</v>
      </c>
      <c r="AE395" s="1659" t="e">
        <f>+'Compra -HOJA1'!#REF!</f>
        <v>#REF!</v>
      </c>
      <c r="AF395" s="1659" t="e">
        <f>+'Compra -HOJA1'!#REF!</f>
        <v>#REF!</v>
      </c>
      <c r="AG395" s="1659" t="e">
        <f>+'Compra -HOJA1'!#REF!</f>
        <v>#REF!</v>
      </c>
      <c r="AH395" s="1659" t="e">
        <f>+'Compra -HOJA1'!#REF!</f>
        <v>#REF!</v>
      </c>
      <c r="AJ395" s="1490"/>
      <c r="AK395" s="1490"/>
      <c r="AL395" s="1490"/>
    </row>
    <row r="396" spans="1:38" ht="62.1" customHeight="1" x14ac:dyDescent="0.45">
      <c r="A396" s="1579"/>
      <c r="B396" s="1614"/>
      <c r="C396" s="1578"/>
      <c r="D396" s="1552"/>
      <c r="E396" s="1679"/>
      <c r="F396" s="1679"/>
      <c r="G396" s="1679"/>
      <c r="H396" s="1679"/>
      <c r="I396" s="1680">
        <f t="shared" si="202"/>
        <v>0</v>
      </c>
      <c r="J396" s="1680">
        <f t="shared" si="203"/>
        <v>0</v>
      </c>
      <c r="K396" s="1680">
        <f t="shared" si="204"/>
        <v>0</v>
      </c>
      <c r="L396" s="1680">
        <f t="shared" si="205"/>
        <v>0</v>
      </c>
      <c r="M396" s="1680">
        <f t="shared" si="206"/>
        <v>0</v>
      </c>
      <c r="N396" s="1680">
        <f t="shared" si="207"/>
        <v>0</v>
      </c>
      <c r="O396" s="1619">
        <f t="shared" si="208"/>
        <v>0</v>
      </c>
      <c r="P396" s="1619">
        <f t="shared" si="208"/>
        <v>0</v>
      </c>
      <c r="Q396" s="1619">
        <f t="shared" si="208"/>
        <v>0</v>
      </c>
      <c r="R396" s="1619"/>
      <c r="S396" s="1619"/>
      <c r="T396" s="1619"/>
      <c r="U396" s="1619"/>
      <c r="W396" s="1614"/>
      <c r="X396" s="1615"/>
      <c r="Y396" s="1615"/>
      <c r="Z396" s="1659"/>
      <c r="AA396" s="1659"/>
      <c r="AB396" s="1659"/>
      <c r="AC396" s="1659"/>
      <c r="AD396" s="1659"/>
      <c r="AE396" s="1659"/>
      <c r="AF396" s="1659"/>
      <c r="AG396" s="1548"/>
      <c r="AH396" s="1548"/>
    </row>
    <row r="397" spans="1:38" ht="62.1" customHeight="1" x14ac:dyDescent="0.45">
      <c r="A397" s="1579"/>
      <c r="B397" s="1615"/>
      <c r="C397" s="1578"/>
      <c r="D397" s="1552"/>
      <c r="E397" s="1679"/>
      <c r="F397" s="1679"/>
      <c r="G397" s="1679"/>
      <c r="H397" s="1679"/>
      <c r="I397" s="1680">
        <f t="shared" si="202"/>
        <v>0</v>
      </c>
      <c r="J397" s="1680">
        <f t="shared" si="203"/>
        <v>0</v>
      </c>
      <c r="K397" s="1680">
        <f t="shared" si="204"/>
        <v>0</v>
      </c>
      <c r="L397" s="1680">
        <f t="shared" si="205"/>
        <v>0</v>
      </c>
      <c r="M397" s="1680">
        <f t="shared" si="206"/>
        <v>0</v>
      </c>
      <c r="N397" s="1680">
        <f t="shared" si="207"/>
        <v>0</v>
      </c>
      <c r="O397" s="1619">
        <f t="shared" si="208"/>
        <v>0</v>
      </c>
      <c r="P397" s="1619">
        <f t="shared" si="208"/>
        <v>0</v>
      </c>
      <c r="Q397" s="1619">
        <f t="shared" si="208"/>
        <v>0</v>
      </c>
      <c r="R397" s="1619"/>
      <c r="S397" s="1619"/>
      <c r="T397" s="1619"/>
      <c r="U397" s="1619"/>
      <c r="W397" s="1552"/>
      <c r="X397" s="1552"/>
      <c r="Y397" s="1552"/>
      <c r="Z397" s="1659"/>
      <c r="AA397" s="1659"/>
      <c r="AB397" s="1659"/>
      <c r="AC397" s="1659"/>
      <c r="AD397" s="1659"/>
      <c r="AE397" s="1659"/>
      <c r="AF397" s="1659"/>
      <c r="AG397" s="1548"/>
      <c r="AH397" s="1548"/>
    </row>
    <row r="398" spans="1:38" ht="62.1" customHeight="1" x14ac:dyDescent="0.45">
      <c r="A398" s="1579"/>
      <c r="B398" s="1552"/>
      <c r="C398" s="1578"/>
      <c r="D398" s="1552"/>
      <c r="E398" s="1679"/>
      <c r="F398" s="1679"/>
      <c r="G398" s="1679"/>
      <c r="H398" s="1679"/>
      <c r="I398" s="1680">
        <f t="shared" si="202"/>
        <v>0</v>
      </c>
      <c r="J398" s="1680">
        <f t="shared" si="203"/>
        <v>0</v>
      </c>
      <c r="K398" s="1680">
        <f t="shared" si="204"/>
        <v>0</v>
      </c>
      <c r="L398" s="1680">
        <f t="shared" si="205"/>
        <v>0</v>
      </c>
      <c r="M398" s="1680">
        <f t="shared" si="206"/>
        <v>0</v>
      </c>
      <c r="N398" s="1680">
        <f t="shared" si="207"/>
        <v>0</v>
      </c>
      <c r="O398" s="1619">
        <f t="shared" si="208"/>
        <v>0</v>
      </c>
      <c r="P398" s="1619">
        <f t="shared" si="208"/>
        <v>0</v>
      </c>
      <c r="Q398" s="1619">
        <f t="shared" si="208"/>
        <v>0</v>
      </c>
      <c r="R398" s="1619"/>
      <c r="S398" s="1619"/>
      <c r="T398" s="1619"/>
      <c r="U398" s="1619"/>
      <c r="W398" s="1552"/>
      <c r="X398" s="1552"/>
      <c r="Y398" s="1552"/>
      <c r="Z398" s="1659"/>
      <c r="AA398" s="1659"/>
      <c r="AB398" s="1659"/>
      <c r="AC398" s="1659"/>
      <c r="AD398" s="1659"/>
      <c r="AE398" s="1659"/>
      <c r="AF398" s="1659"/>
      <c r="AG398" s="1548"/>
      <c r="AH398" s="1548"/>
    </row>
    <row r="399" spans="1:38" ht="62.1" customHeight="1" x14ac:dyDescent="0.45">
      <c r="A399" s="1579"/>
      <c r="B399" s="1552"/>
      <c r="C399" s="1578"/>
      <c r="D399" s="1552"/>
      <c r="E399" s="1679"/>
      <c r="F399" s="1679"/>
      <c r="G399" s="1679"/>
      <c r="H399" s="1679"/>
      <c r="I399" s="1680">
        <f t="shared" si="202"/>
        <v>0</v>
      </c>
      <c r="J399" s="1680">
        <f t="shared" si="203"/>
        <v>0</v>
      </c>
      <c r="K399" s="1680">
        <f t="shared" si="204"/>
        <v>0</v>
      </c>
      <c r="L399" s="1680">
        <f t="shared" si="205"/>
        <v>0</v>
      </c>
      <c r="M399" s="1680">
        <f t="shared" si="206"/>
        <v>0</v>
      </c>
      <c r="N399" s="1680">
        <f t="shared" si="207"/>
        <v>0</v>
      </c>
      <c r="O399" s="1619">
        <f t="shared" si="208"/>
        <v>0</v>
      </c>
      <c r="P399" s="1619">
        <f t="shared" si="208"/>
        <v>0</v>
      </c>
      <c r="Q399" s="1619">
        <f t="shared" si="208"/>
        <v>0</v>
      </c>
      <c r="R399" s="1619"/>
      <c r="S399" s="1619"/>
      <c r="T399" s="1619"/>
      <c r="U399" s="1619"/>
      <c r="W399" s="1531"/>
      <c r="X399" s="1531"/>
      <c r="Y399" s="1531"/>
      <c r="Z399" s="1659"/>
      <c r="AA399" s="1659"/>
      <c r="AB399" s="1659"/>
      <c r="AC399" s="1659"/>
      <c r="AD399" s="1659"/>
      <c r="AE399" s="1659"/>
      <c r="AF399" s="1659"/>
      <c r="AG399" s="1548"/>
      <c r="AH399" s="1548"/>
    </row>
    <row r="400" spans="1:38" ht="62.1" customHeight="1" x14ac:dyDescent="0.45">
      <c r="A400" s="1579"/>
      <c r="B400" s="1552"/>
      <c r="C400" s="1578"/>
      <c r="D400" s="1531"/>
      <c r="E400" s="1679"/>
      <c r="F400" s="1679"/>
      <c r="G400" s="1679"/>
      <c r="H400" s="1679"/>
      <c r="I400" s="1680">
        <f t="shared" si="202"/>
        <v>0</v>
      </c>
      <c r="J400" s="1680">
        <f t="shared" si="203"/>
        <v>0</v>
      </c>
      <c r="K400" s="1680">
        <f t="shared" si="204"/>
        <v>0</v>
      </c>
      <c r="L400" s="1680">
        <f t="shared" si="205"/>
        <v>0</v>
      </c>
      <c r="M400" s="1680">
        <f t="shared" si="206"/>
        <v>0</v>
      </c>
      <c r="N400" s="1680">
        <f t="shared" si="207"/>
        <v>0</v>
      </c>
      <c r="O400" s="1619">
        <f t="shared" si="208"/>
        <v>0</v>
      </c>
      <c r="P400" s="1619">
        <f t="shared" si="208"/>
        <v>0</v>
      </c>
      <c r="Q400" s="1619">
        <f t="shared" si="208"/>
        <v>0</v>
      </c>
      <c r="R400" s="1619"/>
      <c r="S400" s="1619"/>
      <c r="T400" s="1619"/>
      <c r="U400" s="1619"/>
      <c r="W400" s="1531"/>
      <c r="X400" s="1531"/>
      <c r="Y400" s="1531"/>
      <c r="Z400" s="1659"/>
      <c r="AA400" s="1659"/>
      <c r="AB400" s="1659"/>
      <c r="AC400" s="1659"/>
      <c r="AD400" s="1659"/>
      <c r="AE400" s="1659"/>
      <c r="AF400" s="1659"/>
      <c r="AG400" s="1548"/>
      <c r="AH400" s="1548"/>
    </row>
    <row r="401" spans="1:34" ht="62.1" customHeight="1" x14ac:dyDescent="0.45">
      <c r="A401" s="1579"/>
      <c r="B401" s="1552"/>
      <c r="C401" s="1578"/>
      <c r="D401" s="1531"/>
      <c r="E401" s="1679"/>
      <c r="F401" s="1679"/>
      <c r="G401" s="1679"/>
      <c r="H401" s="1679"/>
      <c r="I401" s="1680">
        <f t="shared" si="202"/>
        <v>0</v>
      </c>
      <c r="J401" s="1680">
        <f t="shared" si="203"/>
        <v>0</v>
      </c>
      <c r="K401" s="1680">
        <f t="shared" si="204"/>
        <v>0</v>
      </c>
      <c r="L401" s="1680">
        <f t="shared" si="205"/>
        <v>0</v>
      </c>
      <c r="M401" s="1680">
        <f t="shared" si="206"/>
        <v>0</v>
      </c>
      <c r="N401" s="1680">
        <f t="shared" si="207"/>
        <v>0</v>
      </c>
      <c r="O401" s="1619">
        <f t="shared" si="208"/>
        <v>0</v>
      </c>
      <c r="P401" s="1619">
        <f t="shared" si="208"/>
        <v>0</v>
      </c>
      <c r="Q401" s="1619">
        <f t="shared" si="208"/>
        <v>0</v>
      </c>
      <c r="R401" s="1619"/>
      <c r="S401" s="1619"/>
      <c r="T401" s="1619"/>
      <c r="U401" s="1619"/>
      <c r="W401" s="1531"/>
      <c r="X401" s="1531"/>
      <c r="Y401" s="1531"/>
      <c r="Z401" s="1659"/>
      <c r="AA401" s="1659"/>
      <c r="AB401" s="1659"/>
      <c r="AC401" s="1659"/>
      <c r="AD401" s="1659"/>
      <c r="AE401" s="1659"/>
      <c r="AF401" s="1659"/>
      <c r="AG401" s="1548"/>
      <c r="AH401" s="1548"/>
    </row>
    <row r="402" spans="1:34" ht="62.1" customHeight="1" x14ac:dyDescent="0.45">
      <c r="A402" s="1579"/>
      <c r="B402" s="1531"/>
      <c r="C402" s="1578"/>
      <c r="D402" s="1531"/>
      <c r="E402" s="1679"/>
      <c r="F402" s="1679"/>
      <c r="G402" s="1679"/>
      <c r="H402" s="1679"/>
      <c r="I402" s="1680">
        <f t="shared" si="202"/>
        <v>0</v>
      </c>
      <c r="J402" s="1680">
        <f t="shared" si="203"/>
        <v>0</v>
      </c>
      <c r="K402" s="1680">
        <f t="shared" si="204"/>
        <v>0</v>
      </c>
      <c r="L402" s="1680">
        <f t="shared" si="205"/>
        <v>0</v>
      </c>
      <c r="M402" s="1680">
        <f t="shared" si="206"/>
        <v>0</v>
      </c>
      <c r="N402" s="1680">
        <f t="shared" si="207"/>
        <v>0</v>
      </c>
      <c r="O402" s="1619">
        <f t="shared" si="208"/>
        <v>0</v>
      </c>
      <c r="P402" s="1619">
        <f t="shared" si="208"/>
        <v>0</v>
      </c>
      <c r="Q402" s="1619">
        <f t="shared" si="208"/>
        <v>0</v>
      </c>
      <c r="R402" s="1619"/>
      <c r="S402" s="1619"/>
      <c r="T402" s="1619"/>
      <c r="U402" s="1619"/>
      <c r="W402" s="1531"/>
      <c r="X402" s="1531"/>
      <c r="Y402" s="1531"/>
      <c r="Z402" s="1659"/>
      <c r="AA402" s="1659"/>
      <c r="AB402" s="1659"/>
      <c r="AC402" s="1659"/>
      <c r="AD402" s="1659"/>
      <c r="AE402" s="1659"/>
      <c r="AF402" s="1659"/>
      <c r="AG402" s="1548"/>
      <c r="AH402" s="1548"/>
    </row>
    <row r="403" spans="1:34" ht="62.1" customHeight="1" x14ac:dyDescent="0.45">
      <c r="A403" s="1579"/>
      <c r="B403" s="1531"/>
      <c r="C403" s="1578"/>
      <c r="D403" s="1531"/>
      <c r="E403" s="1679"/>
      <c r="F403" s="1679"/>
      <c r="G403" s="1679"/>
      <c r="H403" s="1679"/>
      <c r="I403" s="1680">
        <f t="shared" si="202"/>
        <v>0</v>
      </c>
      <c r="J403" s="1680">
        <f t="shared" si="203"/>
        <v>0</v>
      </c>
      <c r="K403" s="1680">
        <f t="shared" si="204"/>
        <v>0</v>
      </c>
      <c r="L403" s="1680">
        <f t="shared" si="205"/>
        <v>0</v>
      </c>
      <c r="M403" s="1680">
        <f t="shared" si="206"/>
        <v>0</v>
      </c>
      <c r="N403" s="1680">
        <f t="shared" si="207"/>
        <v>0</v>
      </c>
      <c r="O403" s="1619">
        <f t="shared" si="208"/>
        <v>0</v>
      </c>
      <c r="P403" s="1619">
        <f t="shared" si="208"/>
        <v>0</v>
      </c>
      <c r="Q403" s="1619">
        <f t="shared" si="208"/>
        <v>0</v>
      </c>
      <c r="R403" s="1619"/>
      <c r="S403" s="1619"/>
      <c r="T403" s="1619"/>
      <c r="U403" s="1619"/>
      <c r="W403" s="1531"/>
      <c r="X403" s="1531"/>
      <c r="Y403" s="1531"/>
      <c r="Z403" s="1659"/>
      <c r="AA403" s="1659"/>
      <c r="AB403" s="1659"/>
      <c r="AC403" s="1659"/>
      <c r="AD403" s="1659"/>
      <c r="AE403" s="1659"/>
      <c r="AF403" s="1659"/>
      <c r="AG403" s="1548"/>
      <c r="AH403" s="1548"/>
    </row>
    <row r="404" spans="1:34" ht="62.1" customHeight="1" x14ac:dyDescent="0.45">
      <c r="A404" s="1579"/>
      <c r="B404" s="1532"/>
      <c r="C404" s="1551"/>
      <c r="D404" s="1591"/>
      <c r="E404" s="1679"/>
      <c r="F404" s="1679"/>
      <c r="G404" s="1679"/>
      <c r="H404" s="1679"/>
      <c r="I404" s="1680">
        <f t="shared" si="202"/>
        <v>0</v>
      </c>
      <c r="J404" s="1680">
        <f t="shared" si="203"/>
        <v>0</v>
      </c>
      <c r="K404" s="1680">
        <f t="shared" si="204"/>
        <v>0</v>
      </c>
      <c r="L404" s="1680">
        <f t="shared" si="205"/>
        <v>0</v>
      </c>
      <c r="M404" s="1680">
        <f t="shared" si="206"/>
        <v>0</v>
      </c>
      <c r="N404" s="1680">
        <f t="shared" si="207"/>
        <v>0</v>
      </c>
      <c r="O404" s="1619">
        <f t="shared" si="208"/>
        <v>0</v>
      </c>
      <c r="P404" s="1619">
        <f t="shared" si="208"/>
        <v>0</v>
      </c>
      <c r="Q404" s="1619">
        <f t="shared" si="208"/>
        <v>0</v>
      </c>
      <c r="R404" s="1619"/>
      <c r="S404" s="1619"/>
      <c r="T404" s="1619"/>
      <c r="U404" s="1619"/>
      <c r="W404" s="1532"/>
      <c r="X404" s="1532"/>
      <c r="Y404" s="1532"/>
      <c r="Z404" s="1659"/>
      <c r="AA404" s="1659"/>
      <c r="AB404" s="1659"/>
      <c r="AC404" s="1659"/>
      <c r="AD404" s="1659"/>
      <c r="AE404" s="1659"/>
      <c r="AF404" s="1659"/>
      <c r="AG404" s="1548"/>
      <c r="AH404" s="1548"/>
    </row>
    <row r="405" spans="1:34" ht="62.1" customHeight="1" x14ac:dyDescent="0.45">
      <c r="A405" s="1616"/>
      <c r="B405" s="1588"/>
      <c r="C405" s="1589"/>
      <c r="D405" s="1590"/>
      <c r="E405" s="1679"/>
      <c r="F405" s="1679"/>
      <c r="G405" s="1679"/>
      <c r="H405" s="1679"/>
      <c r="I405" s="1680">
        <f t="shared" si="202"/>
        <v>0</v>
      </c>
      <c r="J405" s="1680">
        <f t="shared" si="203"/>
        <v>0</v>
      </c>
      <c r="K405" s="1680">
        <f t="shared" si="204"/>
        <v>0</v>
      </c>
      <c r="L405" s="1680">
        <f t="shared" si="205"/>
        <v>0</v>
      </c>
      <c r="M405" s="1680">
        <f t="shared" si="206"/>
        <v>0</v>
      </c>
      <c r="N405" s="1680">
        <f t="shared" si="207"/>
        <v>0</v>
      </c>
      <c r="O405" s="1619">
        <f t="shared" si="208"/>
        <v>0</v>
      </c>
      <c r="P405" s="1619">
        <f t="shared" si="208"/>
        <v>0</v>
      </c>
      <c r="Q405" s="1619">
        <f t="shared" si="208"/>
        <v>0</v>
      </c>
      <c r="R405" s="1619"/>
      <c r="S405" s="1619"/>
      <c r="T405" s="1619"/>
      <c r="U405" s="1619"/>
      <c r="W405" s="1588"/>
      <c r="X405" s="1588"/>
      <c r="Y405" s="1588"/>
      <c r="Z405" s="1659"/>
      <c r="AA405" s="1659"/>
      <c r="AB405" s="1659"/>
      <c r="AC405" s="1659"/>
      <c r="AD405" s="1659"/>
      <c r="AE405" s="1659"/>
      <c r="AF405" s="1659"/>
      <c r="AG405" s="1548"/>
      <c r="AH405" s="1548"/>
    </row>
    <row r="406" spans="1:34" ht="62.1" customHeight="1" x14ac:dyDescent="0.45">
      <c r="A406" s="1616"/>
      <c r="B406" s="1617"/>
      <c r="C406" s="1551"/>
      <c r="D406" s="1618"/>
      <c r="E406" s="1679"/>
      <c r="F406" s="1679"/>
      <c r="G406" s="1679"/>
      <c r="H406" s="1679"/>
      <c r="I406" s="1680">
        <f t="shared" si="202"/>
        <v>0</v>
      </c>
      <c r="J406" s="1680">
        <f t="shared" si="203"/>
        <v>0</v>
      </c>
      <c r="K406" s="1680">
        <f t="shared" si="204"/>
        <v>0</v>
      </c>
      <c r="L406" s="1680">
        <f t="shared" si="205"/>
        <v>0</v>
      </c>
      <c r="M406" s="1680">
        <f t="shared" si="206"/>
        <v>0</v>
      </c>
      <c r="N406" s="1680">
        <f t="shared" si="207"/>
        <v>0</v>
      </c>
      <c r="O406" s="1619">
        <f t="shared" si="208"/>
        <v>0</v>
      </c>
      <c r="P406" s="1619">
        <f t="shared" si="208"/>
        <v>0</v>
      </c>
      <c r="Q406" s="1619">
        <f t="shared" si="208"/>
        <v>0</v>
      </c>
      <c r="R406" s="1619"/>
      <c r="S406" s="1619"/>
      <c r="T406" s="1619"/>
      <c r="U406" s="1619"/>
      <c r="W406" s="1617"/>
      <c r="X406" s="1617"/>
      <c r="Y406" s="1617"/>
      <c r="Z406" s="1659"/>
      <c r="AA406" s="1659"/>
      <c r="AB406" s="1659"/>
      <c r="AC406" s="1659"/>
      <c r="AD406" s="1659"/>
      <c r="AE406" s="1659"/>
      <c r="AF406" s="1659"/>
      <c r="AG406" s="1548"/>
      <c r="AH406" s="1548"/>
    </row>
    <row r="407" spans="1:34" ht="62.1" customHeight="1" x14ac:dyDescent="0.45">
      <c r="A407" s="1616"/>
      <c r="B407" s="1614"/>
      <c r="C407" s="1578"/>
      <c r="D407" s="1552"/>
      <c r="E407" s="1679"/>
      <c r="F407" s="1679"/>
      <c r="G407" s="1679"/>
      <c r="H407" s="1679"/>
      <c r="I407" s="1680">
        <f t="shared" si="202"/>
        <v>0</v>
      </c>
      <c r="J407" s="1680">
        <f t="shared" si="203"/>
        <v>0</v>
      </c>
      <c r="K407" s="1680">
        <f t="shared" si="204"/>
        <v>0</v>
      </c>
      <c r="L407" s="1680">
        <f t="shared" si="205"/>
        <v>0</v>
      </c>
      <c r="M407" s="1680">
        <f t="shared" si="206"/>
        <v>0</v>
      </c>
      <c r="N407" s="1680">
        <f t="shared" si="207"/>
        <v>0</v>
      </c>
      <c r="O407" s="1619">
        <f t="shared" si="208"/>
        <v>0</v>
      </c>
      <c r="P407" s="1619">
        <f t="shared" si="208"/>
        <v>0</v>
      </c>
      <c r="Q407" s="1619">
        <f t="shared" si="208"/>
        <v>0</v>
      </c>
      <c r="R407" s="1619"/>
      <c r="S407" s="1619"/>
      <c r="T407" s="1619"/>
      <c r="U407" s="1619"/>
      <c r="W407" s="1614"/>
      <c r="X407" s="1615"/>
      <c r="Y407" s="1615"/>
      <c r="Z407" s="1659"/>
      <c r="AA407" s="1659"/>
      <c r="AB407" s="1659"/>
      <c r="AC407" s="1659"/>
      <c r="AD407" s="1659"/>
      <c r="AE407" s="1659"/>
      <c r="AF407" s="1659"/>
      <c r="AG407" s="1548"/>
      <c r="AH407" s="1548"/>
    </row>
    <row r="408" spans="1:34" ht="62.1" customHeight="1" x14ac:dyDescent="0.45">
      <c r="A408" s="1616"/>
      <c r="B408" s="1615"/>
      <c r="C408" s="1578"/>
      <c r="D408" s="1552"/>
      <c r="E408" s="1679"/>
      <c r="F408" s="1679"/>
      <c r="G408" s="1679"/>
      <c r="H408" s="1679"/>
      <c r="I408" s="1680">
        <f t="shared" si="202"/>
        <v>0</v>
      </c>
      <c r="J408" s="1680">
        <f t="shared" si="203"/>
        <v>0</v>
      </c>
      <c r="K408" s="1680">
        <f t="shared" si="204"/>
        <v>0</v>
      </c>
      <c r="L408" s="1680">
        <f t="shared" si="205"/>
        <v>0</v>
      </c>
      <c r="M408" s="1680">
        <f t="shared" si="206"/>
        <v>0</v>
      </c>
      <c r="N408" s="1680">
        <f t="shared" si="207"/>
        <v>0</v>
      </c>
      <c r="O408" s="1619">
        <f t="shared" si="208"/>
        <v>0</v>
      </c>
      <c r="P408" s="1619">
        <f t="shared" si="208"/>
        <v>0</v>
      </c>
      <c r="Q408" s="1619">
        <f t="shared" si="208"/>
        <v>0</v>
      </c>
      <c r="R408" s="1619"/>
      <c r="S408" s="1619"/>
      <c r="T408" s="1619"/>
      <c r="U408" s="1619"/>
      <c r="W408" s="1552"/>
      <c r="X408" s="1552"/>
      <c r="Y408" s="1552"/>
      <c r="Z408" s="1659"/>
      <c r="AA408" s="1659"/>
      <c r="AB408" s="1659"/>
      <c r="AC408" s="1659"/>
      <c r="AD408" s="1659"/>
      <c r="AE408" s="1659"/>
      <c r="AF408" s="1659"/>
      <c r="AG408" s="1548"/>
      <c r="AH408" s="1548"/>
    </row>
    <row r="409" spans="1:34" ht="62.1" customHeight="1" x14ac:dyDescent="0.45">
      <c r="A409" s="1616"/>
      <c r="B409" s="1552"/>
      <c r="C409" s="1578"/>
      <c r="D409" s="1552"/>
      <c r="E409" s="1679"/>
      <c r="F409" s="1679"/>
      <c r="G409" s="1679"/>
      <c r="H409" s="1679"/>
      <c r="I409" s="1680">
        <f t="shared" si="202"/>
        <v>0</v>
      </c>
      <c r="J409" s="1680">
        <f t="shared" si="203"/>
        <v>0</v>
      </c>
      <c r="K409" s="1680">
        <f t="shared" si="204"/>
        <v>0</v>
      </c>
      <c r="L409" s="1680">
        <f t="shared" si="205"/>
        <v>0</v>
      </c>
      <c r="M409" s="1680">
        <f t="shared" si="206"/>
        <v>0</v>
      </c>
      <c r="N409" s="1680">
        <f t="shared" si="207"/>
        <v>0</v>
      </c>
      <c r="O409" s="1619">
        <f t="shared" si="208"/>
        <v>0</v>
      </c>
      <c r="P409" s="1619">
        <f t="shared" si="208"/>
        <v>0</v>
      </c>
      <c r="Q409" s="1619">
        <f t="shared" si="208"/>
        <v>0</v>
      </c>
      <c r="R409" s="1619"/>
      <c r="S409" s="1619"/>
      <c r="T409" s="1619"/>
      <c r="U409" s="1619"/>
      <c r="W409" s="1552"/>
      <c r="X409" s="1552"/>
      <c r="Y409" s="1552"/>
      <c r="Z409" s="1659"/>
      <c r="AA409" s="1659"/>
      <c r="AB409" s="1659"/>
      <c r="AC409" s="1659"/>
      <c r="AD409" s="1659"/>
      <c r="AE409" s="1659"/>
      <c r="AF409" s="1659"/>
      <c r="AG409" s="1548"/>
      <c r="AH409" s="1548"/>
    </row>
    <row r="410" spans="1:34" ht="62.1" customHeight="1" x14ac:dyDescent="0.45">
      <c r="A410" s="1616"/>
      <c r="B410" s="1552"/>
      <c r="C410" s="1578"/>
      <c r="D410" s="1552"/>
      <c r="E410" s="1679"/>
      <c r="F410" s="1679"/>
      <c r="G410" s="1679"/>
      <c r="H410" s="1679"/>
      <c r="I410" s="1680">
        <f t="shared" si="202"/>
        <v>0</v>
      </c>
      <c r="J410" s="1680">
        <f t="shared" si="203"/>
        <v>0</v>
      </c>
      <c r="K410" s="1680">
        <f t="shared" si="204"/>
        <v>0</v>
      </c>
      <c r="L410" s="1680">
        <f t="shared" si="205"/>
        <v>0</v>
      </c>
      <c r="M410" s="1680">
        <f t="shared" si="206"/>
        <v>0</v>
      </c>
      <c r="N410" s="1680">
        <f t="shared" si="207"/>
        <v>0</v>
      </c>
      <c r="O410" s="1619">
        <f t="shared" si="208"/>
        <v>0</v>
      </c>
      <c r="P410" s="1619">
        <f t="shared" si="208"/>
        <v>0</v>
      </c>
      <c r="Q410" s="1619">
        <f t="shared" si="208"/>
        <v>0</v>
      </c>
      <c r="R410" s="1619"/>
      <c r="S410" s="1619"/>
      <c r="T410" s="1619"/>
      <c r="U410" s="1619"/>
      <c r="W410" s="1531"/>
      <c r="X410" s="1531"/>
      <c r="Y410" s="1531"/>
      <c r="Z410" s="1659"/>
      <c r="AA410" s="1659"/>
      <c r="AB410" s="1659"/>
      <c r="AC410" s="1659"/>
      <c r="AD410" s="1659"/>
      <c r="AE410" s="1659"/>
      <c r="AF410" s="1659"/>
      <c r="AG410" s="1548"/>
      <c r="AH410" s="1548"/>
    </row>
    <row r="411" spans="1:34" ht="62.1" customHeight="1" x14ac:dyDescent="0.45">
      <c r="A411" s="1616"/>
      <c r="B411" s="1552"/>
      <c r="C411" s="1578"/>
      <c r="D411" s="1531"/>
      <c r="E411" s="1679"/>
      <c r="F411" s="1679"/>
      <c r="G411" s="1679"/>
      <c r="H411" s="1679"/>
      <c r="I411" s="1680">
        <f t="shared" ref="I411:I417" si="213">(Z411)</f>
        <v>0</v>
      </c>
      <c r="J411" s="1680">
        <f t="shared" ref="J411:J417" si="214">(AB411)</f>
        <v>0</v>
      </c>
      <c r="K411" s="1680">
        <f t="shared" ref="K411:K417" si="215">(AA411)</f>
        <v>0</v>
      </c>
      <c r="L411" s="1680">
        <f t="shared" ref="L411:L417" si="216">(AC411)</f>
        <v>0</v>
      </c>
      <c r="M411" s="1680">
        <f t="shared" ref="M411:M417" si="217">(AE411)</f>
        <v>0</v>
      </c>
      <c r="N411" s="1680">
        <f t="shared" ref="N411:N417" si="218">(AD411)</f>
        <v>0</v>
      </c>
      <c r="O411" s="1619">
        <f t="shared" ref="O411:Q418" si="219">+I411+L411</f>
        <v>0</v>
      </c>
      <c r="P411" s="1619">
        <f t="shared" si="219"/>
        <v>0</v>
      </c>
      <c r="Q411" s="1619">
        <f t="shared" si="219"/>
        <v>0</v>
      </c>
      <c r="R411" s="1619"/>
      <c r="S411" s="1619"/>
      <c r="T411" s="1619"/>
      <c r="U411" s="1619"/>
      <c r="W411" s="1531"/>
      <c r="X411" s="1531"/>
      <c r="Y411" s="1531"/>
      <c r="Z411" s="1659"/>
      <c r="AA411" s="1659"/>
      <c r="AB411" s="1659"/>
      <c r="AC411" s="1659"/>
      <c r="AD411" s="1659"/>
      <c r="AE411" s="1659"/>
      <c r="AF411" s="1659"/>
      <c r="AG411" s="1548"/>
      <c r="AH411" s="1548"/>
    </row>
    <row r="412" spans="1:34" ht="62.1" customHeight="1" x14ac:dyDescent="0.45">
      <c r="A412" s="1616"/>
      <c r="B412" s="1552"/>
      <c r="C412" s="1578"/>
      <c r="D412" s="1531"/>
      <c r="E412" s="1679"/>
      <c r="F412" s="1679"/>
      <c r="G412" s="1679"/>
      <c r="H412" s="1679"/>
      <c r="I412" s="1680">
        <f t="shared" si="213"/>
        <v>0</v>
      </c>
      <c r="J412" s="1680">
        <f t="shared" si="214"/>
        <v>0</v>
      </c>
      <c r="K412" s="1680">
        <f t="shared" si="215"/>
        <v>0</v>
      </c>
      <c r="L412" s="1680">
        <f t="shared" si="216"/>
        <v>0</v>
      </c>
      <c r="M412" s="1680">
        <f t="shared" si="217"/>
        <v>0</v>
      </c>
      <c r="N412" s="1680">
        <f t="shared" si="218"/>
        <v>0</v>
      </c>
      <c r="O412" s="1619">
        <f t="shared" si="219"/>
        <v>0</v>
      </c>
      <c r="P412" s="1619">
        <f t="shared" si="219"/>
        <v>0</v>
      </c>
      <c r="Q412" s="1619">
        <f t="shared" si="219"/>
        <v>0</v>
      </c>
      <c r="R412" s="1619"/>
      <c r="S412" s="1619"/>
      <c r="T412" s="1619"/>
      <c r="U412" s="1619"/>
      <c r="W412" s="1531"/>
      <c r="X412" s="1531"/>
      <c r="Y412" s="1531"/>
      <c r="Z412" s="1659"/>
      <c r="AA412" s="1659"/>
      <c r="AB412" s="1659"/>
      <c r="AC412" s="1659"/>
      <c r="AD412" s="1659"/>
      <c r="AE412" s="1659"/>
      <c r="AF412" s="1659"/>
      <c r="AG412" s="1548"/>
      <c r="AH412" s="1548"/>
    </row>
    <row r="413" spans="1:34" ht="62.1" customHeight="1" x14ac:dyDescent="0.45">
      <c r="A413" s="1616"/>
      <c r="B413" s="1531"/>
      <c r="C413" s="1578"/>
      <c r="D413" s="1531"/>
      <c r="E413" s="1679"/>
      <c r="F413" s="1679"/>
      <c r="G413" s="1679"/>
      <c r="H413" s="1679"/>
      <c r="I413" s="1680">
        <f t="shared" si="213"/>
        <v>0</v>
      </c>
      <c r="J413" s="1680">
        <f t="shared" si="214"/>
        <v>0</v>
      </c>
      <c r="K413" s="1680">
        <f t="shared" si="215"/>
        <v>0</v>
      </c>
      <c r="L413" s="1680">
        <f t="shared" si="216"/>
        <v>0</v>
      </c>
      <c r="M413" s="1680">
        <f t="shared" si="217"/>
        <v>0</v>
      </c>
      <c r="N413" s="1680">
        <f t="shared" si="218"/>
        <v>0</v>
      </c>
      <c r="O413" s="1619">
        <f t="shared" si="219"/>
        <v>0</v>
      </c>
      <c r="P413" s="1619">
        <f t="shared" si="219"/>
        <v>0</v>
      </c>
      <c r="Q413" s="1619">
        <f t="shared" si="219"/>
        <v>0</v>
      </c>
      <c r="R413" s="1619"/>
      <c r="S413" s="1619"/>
      <c r="T413" s="1619"/>
      <c r="U413" s="1619"/>
      <c r="W413" s="1531"/>
      <c r="X413" s="1531"/>
      <c r="Y413" s="1531"/>
      <c r="Z413" s="1659"/>
      <c r="AA413" s="1659"/>
      <c r="AB413" s="1659"/>
      <c r="AC413" s="1659"/>
      <c r="AD413" s="1659"/>
      <c r="AE413" s="1659"/>
      <c r="AF413" s="1659"/>
      <c r="AG413" s="1548"/>
      <c r="AH413" s="1548"/>
    </row>
    <row r="414" spans="1:34" ht="62.1" customHeight="1" x14ac:dyDescent="0.45">
      <c r="A414" s="1616"/>
      <c r="B414" s="1531"/>
      <c r="C414" s="1578"/>
      <c r="D414" s="1531"/>
      <c r="E414" s="1679"/>
      <c r="F414" s="1679"/>
      <c r="G414" s="1679"/>
      <c r="H414" s="1679"/>
      <c r="I414" s="1680">
        <f t="shared" si="213"/>
        <v>0</v>
      </c>
      <c r="J414" s="1680">
        <f t="shared" si="214"/>
        <v>0</v>
      </c>
      <c r="K414" s="1680">
        <f t="shared" si="215"/>
        <v>0</v>
      </c>
      <c r="L414" s="1680">
        <f t="shared" si="216"/>
        <v>0</v>
      </c>
      <c r="M414" s="1680">
        <f t="shared" si="217"/>
        <v>0</v>
      </c>
      <c r="N414" s="1680">
        <f t="shared" si="218"/>
        <v>0</v>
      </c>
      <c r="O414" s="1619">
        <f t="shared" si="219"/>
        <v>0</v>
      </c>
      <c r="P414" s="1619">
        <f t="shared" si="219"/>
        <v>0</v>
      </c>
      <c r="Q414" s="1619">
        <f t="shared" si="219"/>
        <v>0</v>
      </c>
      <c r="R414" s="1619"/>
      <c r="S414" s="1619"/>
      <c r="T414" s="1619"/>
      <c r="U414" s="1619"/>
      <c r="W414" s="1531"/>
      <c r="X414" s="1531"/>
      <c r="Y414" s="1531"/>
      <c r="Z414" s="1659"/>
      <c r="AA414" s="1659"/>
      <c r="AB414" s="1659"/>
      <c r="AC414" s="1659"/>
      <c r="AD414" s="1659"/>
      <c r="AE414" s="1659"/>
      <c r="AF414" s="1659"/>
      <c r="AG414" s="1548"/>
      <c r="AH414" s="1548"/>
    </row>
    <row r="415" spans="1:34" ht="62.1" customHeight="1" thickBot="1" x14ac:dyDescent="0.5">
      <c r="A415" s="1616"/>
      <c r="B415" s="1532"/>
      <c r="C415" s="1551"/>
      <c r="D415" s="1591"/>
      <c r="E415" s="1679"/>
      <c r="F415" s="1679"/>
      <c r="G415" s="1679"/>
      <c r="H415" s="1679"/>
      <c r="I415" s="1680">
        <f t="shared" si="213"/>
        <v>0</v>
      </c>
      <c r="J415" s="1680">
        <f t="shared" si="214"/>
        <v>0</v>
      </c>
      <c r="K415" s="1680">
        <f t="shared" si="215"/>
        <v>0</v>
      </c>
      <c r="L415" s="1680">
        <f t="shared" si="216"/>
        <v>0</v>
      </c>
      <c r="M415" s="1680">
        <f t="shared" si="217"/>
        <v>0</v>
      </c>
      <c r="N415" s="1680">
        <f t="shared" si="218"/>
        <v>0</v>
      </c>
      <c r="O415" s="1619">
        <f t="shared" si="219"/>
        <v>0</v>
      </c>
      <c r="P415" s="1619">
        <f t="shared" si="219"/>
        <v>0</v>
      </c>
      <c r="Q415" s="1619">
        <f t="shared" si="219"/>
        <v>0</v>
      </c>
      <c r="R415" s="1619"/>
      <c r="S415" s="1619"/>
      <c r="T415" s="1619"/>
      <c r="U415" s="1619"/>
      <c r="W415" s="1532"/>
      <c r="X415" s="1532"/>
      <c r="Y415" s="1532"/>
      <c r="Z415" s="1659"/>
      <c r="AA415" s="1659"/>
      <c r="AB415" s="1659"/>
      <c r="AC415" s="1659"/>
      <c r="AD415" s="1659"/>
      <c r="AE415" s="1659"/>
      <c r="AF415" s="1659"/>
      <c r="AG415" s="1548"/>
      <c r="AH415" s="1548"/>
    </row>
    <row r="416" spans="1:34" ht="62.1" customHeight="1" thickBot="1" x14ac:dyDescent="0.5">
      <c r="A416" s="1612"/>
      <c r="B416" s="1620"/>
      <c r="C416" s="1621"/>
      <c r="D416" s="1622"/>
      <c r="E416" s="1679"/>
      <c r="F416" s="1679"/>
      <c r="G416" s="1679"/>
      <c r="H416" s="1679"/>
      <c r="I416" s="1680">
        <f t="shared" si="213"/>
        <v>0</v>
      </c>
      <c r="J416" s="1680">
        <f t="shared" si="214"/>
        <v>0</v>
      </c>
      <c r="K416" s="1680">
        <f t="shared" si="215"/>
        <v>0</v>
      </c>
      <c r="L416" s="1680">
        <f t="shared" si="216"/>
        <v>0</v>
      </c>
      <c r="M416" s="1680">
        <f t="shared" si="217"/>
        <v>0</v>
      </c>
      <c r="N416" s="1680">
        <f t="shared" si="218"/>
        <v>0</v>
      </c>
      <c r="O416" s="1619">
        <f t="shared" si="219"/>
        <v>0</v>
      </c>
      <c r="P416" s="1619">
        <f t="shared" si="219"/>
        <v>0</v>
      </c>
      <c r="Q416" s="1619">
        <f t="shared" si="219"/>
        <v>0</v>
      </c>
      <c r="R416" s="1619"/>
      <c r="S416" s="1619"/>
      <c r="T416" s="1619"/>
      <c r="U416" s="1619"/>
      <c r="W416" s="1682"/>
      <c r="X416" s="1683"/>
      <c r="Y416" s="1683"/>
      <c r="Z416" s="1659"/>
      <c r="AA416" s="1659"/>
      <c r="AB416" s="1659"/>
      <c r="AC416" s="1659"/>
      <c r="AD416" s="1659"/>
      <c r="AE416" s="1659"/>
      <c r="AF416" s="1659"/>
      <c r="AG416" s="1548"/>
      <c r="AH416" s="1548"/>
    </row>
    <row r="417" spans="1:34" ht="62.1" customHeight="1" thickBot="1" x14ac:dyDescent="0.5">
      <c r="A417" s="1613"/>
      <c r="B417" s="1624"/>
      <c r="C417" s="1625"/>
      <c r="D417" s="1626"/>
      <c r="E417" s="1679"/>
      <c r="F417" s="1679"/>
      <c r="G417" s="1679"/>
      <c r="H417" s="1679"/>
      <c r="I417" s="1680">
        <f t="shared" si="213"/>
        <v>0</v>
      </c>
      <c r="J417" s="1680">
        <f t="shared" si="214"/>
        <v>0</v>
      </c>
      <c r="K417" s="1680">
        <f t="shared" si="215"/>
        <v>0</v>
      </c>
      <c r="L417" s="1680">
        <f t="shared" si="216"/>
        <v>0</v>
      </c>
      <c r="M417" s="1680">
        <f t="shared" si="217"/>
        <v>0</v>
      </c>
      <c r="N417" s="1680">
        <f t="shared" si="218"/>
        <v>0</v>
      </c>
      <c r="O417" s="1619">
        <f t="shared" si="219"/>
        <v>0</v>
      </c>
      <c r="P417" s="1619">
        <f t="shared" si="219"/>
        <v>0</v>
      </c>
      <c r="Q417" s="1619">
        <f t="shared" si="219"/>
        <v>0</v>
      </c>
      <c r="R417" s="1619"/>
      <c r="S417" s="1619"/>
      <c r="T417" s="1619"/>
      <c r="U417" s="1619"/>
      <c r="W417" s="1684"/>
      <c r="X417" s="1685"/>
      <c r="Y417" s="1685"/>
      <c r="Z417" s="1659"/>
      <c r="AA417" s="1659"/>
      <c r="AB417" s="1659"/>
      <c r="AC417" s="1659"/>
      <c r="AD417" s="1659"/>
      <c r="AE417" s="1659"/>
      <c r="AF417" s="1659"/>
      <c r="AG417" s="1548"/>
      <c r="AH417" s="1548"/>
    </row>
    <row r="418" spans="1:34" ht="62.1" customHeight="1" x14ac:dyDescent="0.45">
      <c r="A418" s="4288" t="s">
        <v>417</v>
      </c>
      <c r="B418" s="4289"/>
      <c r="C418" s="4289"/>
      <c r="D418" s="4290"/>
      <c r="E418" s="1679" t="e">
        <f>+'Compra -HOJA1'!#REF!</f>
        <v>#REF!</v>
      </c>
      <c r="F418" s="1679"/>
      <c r="G418" s="1679"/>
      <c r="H418" s="1679"/>
      <c r="I418" s="1680">
        <f>(Z418)</f>
        <v>0</v>
      </c>
      <c r="J418" s="1680">
        <f>(AB418)</f>
        <v>0</v>
      </c>
      <c r="K418" s="1680">
        <f>(AA418)</f>
        <v>0</v>
      </c>
      <c r="L418" s="1680">
        <f>(AC418)</f>
        <v>0</v>
      </c>
      <c r="M418" s="1680">
        <f>(AE418)</f>
        <v>0</v>
      </c>
      <c r="N418" s="1680">
        <f>(AD418)</f>
        <v>0</v>
      </c>
      <c r="O418" s="1619">
        <f t="shared" si="219"/>
        <v>0</v>
      </c>
      <c r="P418" s="1619">
        <f t="shared" si="219"/>
        <v>0</v>
      </c>
      <c r="Q418" s="1619">
        <f t="shared" si="219"/>
        <v>0</v>
      </c>
      <c r="R418" s="1619"/>
      <c r="S418" s="1619"/>
      <c r="T418" s="1619"/>
      <c r="U418" s="1619"/>
      <c r="W418" s="1531" t="s">
        <v>470</v>
      </c>
      <c r="X418" s="1531"/>
      <c r="Y418" s="1531"/>
      <c r="Z418" s="1659">
        <f>+'Compra -HOJA1'!H67</f>
        <v>0</v>
      </c>
      <c r="AA418" s="1659">
        <f>+'Compra -HOJA1'!I67</f>
        <v>0</v>
      </c>
      <c r="AB418" s="1659">
        <f>+'Compra -HOJA1'!J67</f>
        <v>0</v>
      </c>
      <c r="AC418" s="1659">
        <f>+'Compra -HOJA1'!K67</f>
        <v>0</v>
      </c>
      <c r="AD418" s="1659">
        <f>+'Compra -HOJA1'!L67</f>
        <v>0</v>
      </c>
      <c r="AE418" s="1659">
        <f>+'Compra -HOJA1'!M67</f>
        <v>0</v>
      </c>
      <c r="AF418" s="1659">
        <f>+'Compra -HOJA1'!N67</f>
        <v>0</v>
      </c>
      <c r="AG418" s="1659">
        <f>+'Compra -HOJA1'!O67</f>
        <v>0</v>
      </c>
      <c r="AH418" s="1659">
        <f>+'Compra -HOJA1'!P67</f>
        <v>0</v>
      </c>
    </row>
    <row r="419" spans="1:34" ht="62.1" customHeight="1" x14ac:dyDescent="0.45">
      <c r="W419" s="1531"/>
      <c r="X419" s="1686"/>
      <c r="Y419" s="1686"/>
      <c r="Z419" s="1490"/>
      <c r="AA419" s="1490"/>
      <c r="AB419" s="1490"/>
      <c r="AC419" s="1490"/>
      <c r="AD419" s="1490"/>
      <c r="AE419" s="1490"/>
      <c r="AF419" s="1490"/>
    </row>
    <row r="420" spans="1:34" ht="62.1" customHeight="1" x14ac:dyDescent="0.5">
      <c r="A420" s="5048" t="s">
        <v>471</v>
      </c>
      <c r="B420" s="5048"/>
      <c r="C420" s="5048"/>
      <c r="D420" s="5049"/>
      <c r="E420" s="2233" t="e">
        <f>SUM(E346:E418)</f>
        <v>#REF!</v>
      </c>
      <c r="F420" s="2233"/>
      <c r="G420" s="2233"/>
      <c r="H420" s="2233"/>
      <c r="I420" s="1632" t="e">
        <f t="shared" ref="I420:N420" si="220">SUM(I346:I418)</f>
        <v>#REF!</v>
      </c>
      <c r="J420" s="1632" t="e">
        <f t="shared" si="220"/>
        <v>#REF!</v>
      </c>
      <c r="K420" s="1632" t="e">
        <f t="shared" si="220"/>
        <v>#REF!</v>
      </c>
      <c r="L420" s="1632" t="e">
        <f t="shared" ca="1" si="220"/>
        <v>#REF!</v>
      </c>
      <c r="M420" s="1632" t="e">
        <f t="shared" ca="1" si="220"/>
        <v>#REF!</v>
      </c>
      <c r="N420" s="1632" t="e">
        <f t="shared" ca="1" si="220"/>
        <v>#REF!</v>
      </c>
      <c r="O420" s="1632" t="e">
        <f ca="1">SUM(O346:O418)</f>
        <v>#REF!</v>
      </c>
      <c r="P420" s="1632" t="e">
        <f ca="1">SUM(P346:P418)</f>
        <v>#REF!</v>
      </c>
      <c r="Q420" s="1632" t="e">
        <f ca="1">SUM(Q346:Q418)</f>
        <v>#REF!</v>
      </c>
      <c r="R420" s="2269"/>
      <c r="S420" s="2269"/>
      <c r="T420" s="2269"/>
      <c r="U420" s="2269"/>
      <c r="W420" s="1688" t="e">
        <f>SUM(Z420:AH420)</f>
        <v>#REF!</v>
      </c>
      <c r="X420" s="1689"/>
      <c r="Y420" s="1689"/>
      <c r="Z420" s="1656" t="e">
        <f>SUM(Z346:Z419)</f>
        <v>#REF!</v>
      </c>
      <c r="AA420" s="1656" t="e">
        <f t="shared" ref="AA420:AE420" si="221">SUM(AA346:AA419)</f>
        <v>#REF!</v>
      </c>
      <c r="AB420" s="1656" t="e">
        <f t="shared" si="221"/>
        <v>#REF!</v>
      </c>
      <c r="AC420" s="1656" t="e">
        <f t="shared" ca="1" si="221"/>
        <v>#REF!</v>
      </c>
      <c r="AD420" s="1656" t="e">
        <f t="shared" ca="1" si="221"/>
        <v>#REF!</v>
      </c>
      <c r="AE420" s="1656" t="e">
        <f t="shared" ca="1" si="221"/>
        <v>#REF!</v>
      </c>
      <c r="AF420" s="1656" t="e">
        <f ca="1">SUM(AF346:AF419)</f>
        <v>#REF!</v>
      </c>
      <c r="AG420" s="1656" t="e">
        <f t="shared" ref="AG420:AH420" ca="1" si="222">SUM(AG346:AG419)</f>
        <v>#REF!</v>
      </c>
      <c r="AH420" s="1656" t="e">
        <f t="shared" ca="1" si="222"/>
        <v>#REF!</v>
      </c>
    </row>
    <row r="421" spans="1:34" s="1540" customFormat="1" ht="62.1" customHeight="1" x14ac:dyDescent="0.5">
      <c r="A421" s="1691"/>
      <c r="B421" s="1691"/>
      <c r="C421" s="1691"/>
      <c r="D421" s="1691"/>
      <c r="E421" s="1692"/>
      <c r="F421" s="1692"/>
      <c r="G421" s="1692"/>
      <c r="H421" s="1692"/>
      <c r="I421" s="1693"/>
      <c r="J421" s="1693"/>
      <c r="K421" s="1693"/>
      <c r="L421" s="1693"/>
      <c r="M421" s="1693"/>
      <c r="N421" s="1693"/>
      <c r="O421" s="1693"/>
      <c r="P421" s="1694"/>
      <c r="Q421" s="1695"/>
      <c r="R421" s="2270"/>
      <c r="S421" s="2270"/>
      <c r="T421" s="2270"/>
      <c r="U421" s="2270"/>
      <c r="Y421" s="1540" t="s">
        <v>873</v>
      </c>
      <c r="Z421" s="1541" t="e">
        <f>+SUM(Z346:Z395)+SUM(AA346:AA395)+SUM(AB346:AB395)</f>
        <v>#REF!</v>
      </c>
      <c r="AA421" s="1541" t="e">
        <f>+Z421-SUM('Compra -HOJA1'!F84:F175)</f>
        <v>#REF!</v>
      </c>
    </row>
    <row r="422" spans="1:34" ht="62.1" customHeight="1" x14ac:dyDescent="0.45">
      <c r="I422" s="4237" t="s">
        <v>304</v>
      </c>
      <c r="J422" s="4238"/>
      <c r="K422" s="4240"/>
      <c r="L422" s="4237" t="s">
        <v>439</v>
      </c>
      <c r="M422" s="4238"/>
      <c r="N422" s="4240"/>
      <c r="O422" s="4237" t="s">
        <v>449</v>
      </c>
      <c r="P422" s="4238"/>
      <c r="Q422" s="4240"/>
      <c r="R422" s="1638"/>
      <c r="S422" s="1638"/>
      <c r="T422" s="1638"/>
      <c r="U422" s="1638"/>
      <c r="Y422" s="1489" t="s">
        <v>874</v>
      </c>
      <c r="Z422" s="1490">
        <f>+Z418+AA418+AB418</f>
        <v>0</v>
      </c>
      <c r="AA422" s="1490">
        <f>+Z422-'Compra -HOJA1'!F67</f>
        <v>0</v>
      </c>
    </row>
    <row r="423" spans="1:34" ht="62.1" customHeight="1" x14ac:dyDescent="0.5">
      <c r="A423" s="4197" t="s">
        <v>875</v>
      </c>
      <c r="B423" s="4197"/>
      <c r="C423" s="4197"/>
      <c r="D423" s="4197"/>
      <c r="E423" s="1594"/>
      <c r="F423" s="1594"/>
      <c r="G423" s="1594"/>
      <c r="H423" s="1594"/>
      <c r="I423" s="1515" t="s">
        <v>287</v>
      </c>
      <c r="J423" s="1515" t="s">
        <v>289</v>
      </c>
      <c r="K423" s="1515" t="s">
        <v>288</v>
      </c>
      <c r="L423" s="1515" t="s">
        <v>287</v>
      </c>
      <c r="M423" s="1515" t="s">
        <v>289</v>
      </c>
      <c r="N423" s="1515" t="s">
        <v>288</v>
      </c>
      <c r="O423" s="1515" t="s">
        <v>287</v>
      </c>
      <c r="P423" s="1515" t="s">
        <v>289</v>
      </c>
      <c r="Q423" s="1515" t="s">
        <v>288</v>
      </c>
      <c r="R423" s="1638"/>
      <c r="S423" s="1638"/>
      <c r="T423" s="1638"/>
      <c r="U423" s="1638"/>
      <c r="Z423" s="4253" t="s">
        <v>191</v>
      </c>
      <c r="AA423" s="4253"/>
      <c r="AB423" s="4253"/>
      <c r="AC423" s="4253" t="s">
        <v>464</v>
      </c>
      <c r="AD423" s="4253"/>
      <c r="AE423" s="4253"/>
      <c r="AF423" s="4253" t="s">
        <v>465</v>
      </c>
      <c r="AG423" s="4253"/>
      <c r="AH423" s="4253"/>
    </row>
    <row r="424" spans="1:34" ht="62.1" customHeight="1" x14ac:dyDescent="0.45">
      <c r="A424" s="1639" t="s">
        <v>445</v>
      </c>
      <c r="B424" s="1640"/>
      <c r="C424" s="1640"/>
      <c r="D424" s="1639" t="s">
        <v>446</v>
      </c>
      <c r="E424" s="1639"/>
      <c r="F424" s="1639"/>
      <c r="G424" s="1639"/>
      <c r="H424" s="1639"/>
      <c r="I424" s="1639" t="s">
        <v>447</v>
      </c>
      <c r="J424" s="4264" t="s">
        <v>304</v>
      </c>
      <c r="K424" s="4264"/>
      <c r="L424" s="4264"/>
      <c r="M424" s="4264" t="s">
        <v>448</v>
      </c>
      <c r="N424" s="4264"/>
      <c r="O424" s="4264"/>
      <c r="P424" s="4510" t="s">
        <v>449</v>
      </c>
      <c r="Q424" s="4510"/>
      <c r="R424" s="4510"/>
      <c r="S424" s="4510"/>
      <c r="T424" s="4510"/>
      <c r="U424" s="4510"/>
      <c r="V424" s="4510"/>
      <c r="Z424" s="1515" t="s">
        <v>5</v>
      </c>
      <c r="AA424" s="1515" t="s">
        <v>6</v>
      </c>
      <c r="AB424" s="1515" t="s">
        <v>7</v>
      </c>
      <c r="AC424" s="1515" t="s">
        <v>5</v>
      </c>
      <c r="AD424" s="1515" t="s">
        <v>6</v>
      </c>
      <c r="AE424" s="1515" t="s">
        <v>7</v>
      </c>
      <c r="AF424" s="1515" t="s">
        <v>5</v>
      </c>
      <c r="AG424" s="1515" t="s">
        <v>6</v>
      </c>
      <c r="AH424" s="1515" t="s">
        <v>7</v>
      </c>
    </row>
    <row r="425" spans="1:34" ht="62.1" customHeight="1" x14ac:dyDescent="0.45">
      <c r="A425" s="1639"/>
      <c r="B425" s="1640"/>
      <c r="C425" s="1640"/>
      <c r="D425" s="1639"/>
      <c r="E425" s="1639"/>
      <c r="F425" s="1639"/>
      <c r="G425" s="1639"/>
      <c r="H425" s="1639"/>
      <c r="I425" s="1639"/>
      <c r="J425" s="1641" t="s">
        <v>287</v>
      </c>
      <c r="K425" s="1641" t="s">
        <v>450</v>
      </c>
      <c r="L425" s="1641" t="s">
        <v>288</v>
      </c>
      <c r="M425" s="1641" t="s">
        <v>287</v>
      </c>
      <c r="N425" s="1641" t="s">
        <v>450</v>
      </c>
      <c r="O425" s="1641" t="s">
        <v>288</v>
      </c>
      <c r="P425" s="1515" t="s">
        <v>287</v>
      </c>
      <c r="Q425" s="1515" t="s">
        <v>289</v>
      </c>
      <c r="R425" s="1515"/>
      <c r="S425" s="1515"/>
      <c r="T425" s="1515"/>
      <c r="U425" s="1515"/>
      <c r="V425" s="1515" t="s">
        <v>288</v>
      </c>
    </row>
    <row r="426" spans="1:34" ht="62.1" customHeight="1" thickBot="1" x14ac:dyDescent="0.5">
      <c r="A426" s="1510"/>
      <c r="B426" s="1510"/>
      <c r="C426" s="1510"/>
      <c r="D426" s="1510"/>
      <c r="E426" s="1510"/>
      <c r="F426" s="1510"/>
      <c r="G426" s="1510"/>
      <c r="H426" s="1510"/>
      <c r="I426" s="1510"/>
      <c r="J426" s="1510"/>
      <c r="K426" s="1510"/>
      <c r="L426" s="1510"/>
    </row>
    <row r="427" spans="1:34" ht="62.1" customHeight="1" thickBot="1" x14ac:dyDescent="0.5">
      <c r="A427" s="1643" t="s">
        <v>23</v>
      </c>
      <c r="B427" s="1644" t="s">
        <v>454</v>
      </c>
      <c r="C427" s="1645"/>
      <c r="D427" s="1646">
        <f>'Compra -HOJA1'!K57</f>
        <v>0</v>
      </c>
      <c r="E427" s="1646"/>
      <c r="F427" s="1646"/>
      <c r="G427" s="1646"/>
      <c r="H427" s="1646"/>
      <c r="I427" s="1646">
        <f>IF('Compra -HOJA1'!J57=0,0,'Compra -HOJA1'!J57/D427)</f>
        <v>0</v>
      </c>
      <c r="J427" s="1667">
        <f>+(Z427)</f>
        <v>0</v>
      </c>
      <c r="K427" s="1667">
        <f>+(AB427)</f>
        <v>0</v>
      </c>
      <c r="L427" s="1667">
        <f>+(AA427)</f>
        <v>0</v>
      </c>
      <c r="M427" s="1667">
        <f>+(AC427)</f>
        <v>0</v>
      </c>
      <c r="N427" s="1667">
        <f>+(AE427)</f>
        <v>0</v>
      </c>
      <c r="O427" s="1666">
        <f>+(AD427)</f>
        <v>0</v>
      </c>
      <c r="P427" s="1648">
        <f t="shared" ref="P427:Q429" si="223">+J427+M427</f>
        <v>0</v>
      </c>
      <c r="Q427" s="1648">
        <f t="shared" si="223"/>
        <v>0</v>
      </c>
      <c r="R427" s="1648"/>
      <c r="S427" s="1648"/>
      <c r="T427" s="1648"/>
      <c r="U427" s="1648"/>
      <c r="V427" s="1649">
        <f>+L427+O427</f>
        <v>0</v>
      </c>
      <c r="Z427" s="1548">
        <f>'Compra -HOJA1'!G57</f>
        <v>0</v>
      </c>
      <c r="AA427" s="1548">
        <f>'Compra -HOJA1'!H57</f>
        <v>0</v>
      </c>
      <c r="AB427" s="1548">
        <f>'Compra -HOJA1'!I57</f>
        <v>0</v>
      </c>
      <c r="AC427" s="1548">
        <f>+'Compra -HOJA1'!L57</f>
        <v>0</v>
      </c>
      <c r="AD427" s="1548">
        <f>+'Compra -HOJA1'!M57</f>
        <v>0</v>
      </c>
      <c r="AE427" s="1548">
        <f>+'Compra -HOJA1'!N57</f>
        <v>0</v>
      </c>
      <c r="AF427" s="1548">
        <f>+'Compra -HOJA1'!O57</f>
        <v>0</v>
      </c>
      <c r="AG427" s="1548">
        <f>+'Compra -HOJA1'!P57</f>
        <v>0</v>
      </c>
      <c r="AH427" s="1548">
        <f>+'Compra -HOJA1'!Q57</f>
        <v>0</v>
      </c>
    </row>
    <row r="428" spans="1:34" ht="62.1" customHeight="1" thickBot="1" x14ac:dyDescent="0.5">
      <c r="A428" s="1643" t="s">
        <v>24</v>
      </c>
      <c r="B428" s="1644" t="s">
        <v>454</v>
      </c>
      <c r="C428" s="1645"/>
      <c r="D428" s="1646">
        <f>'Compra -HOJA1'!K58</f>
        <v>0</v>
      </c>
      <c r="E428" s="1646"/>
      <c r="F428" s="1646"/>
      <c r="G428" s="1646"/>
      <c r="H428" s="1646"/>
      <c r="I428" s="1646">
        <f>IF('Compra -HOJA1'!J58=0,0,'Compra -HOJA1'!J58/D428)</f>
        <v>0</v>
      </c>
      <c r="J428" s="1667">
        <f>+(Z428)</f>
        <v>0</v>
      </c>
      <c r="K428" s="1667">
        <f>+(AB428)</f>
        <v>0</v>
      </c>
      <c r="L428" s="1667">
        <f>+(AA428)</f>
        <v>0</v>
      </c>
      <c r="M428" s="1667">
        <f>+(AC428)</f>
        <v>0</v>
      </c>
      <c r="N428" s="1667">
        <f>+(AE428)</f>
        <v>0</v>
      </c>
      <c r="O428" s="1666">
        <f>+(AD428)</f>
        <v>0</v>
      </c>
      <c r="P428" s="1648">
        <f t="shared" si="223"/>
        <v>0</v>
      </c>
      <c r="Q428" s="1648">
        <f t="shared" si="223"/>
        <v>0</v>
      </c>
      <c r="R428" s="1648"/>
      <c r="S428" s="1648"/>
      <c r="T428" s="1648"/>
      <c r="U428" s="1648"/>
      <c r="V428" s="1649">
        <f>+L428+O428</f>
        <v>0</v>
      </c>
      <c r="W428" s="1573"/>
      <c r="X428" s="1573"/>
      <c r="Y428" s="1573"/>
      <c r="Z428" s="1696">
        <f>'Compra -HOJA1'!G58</f>
        <v>0</v>
      </c>
      <c r="AA428" s="1696">
        <f>'Compra -HOJA1'!H58</f>
        <v>0</v>
      </c>
      <c r="AB428" s="1696">
        <f>'Compra -HOJA1'!I58</f>
        <v>0</v>
      </c>
      <c r="AC428" s="1696">
        <f>+'Compra -HOJA1'!L58</f>
        <v>0</v>
      </c>
      <c r="AD428" s="1696">
        <f>+'Compra -HOJA1'!M58</f>
        <v>0</v>
      </c>
      <c r="AE428" s="1696">
        <f>+'Compra -HOJA1'!N58</f>
        <v>0</v>
      </c>
      <c r="AF428" s="1548">
        <f>+'Compra -HOJA1'!O58</f>
        <v>0</v>
      </c>
      <c r="AG428" s="1548">
        <f>+'Compra -HOJA1'!P58</f>
        <v>0</v>
      </c>
      <c r="AH428" s="1548">
        <f>+'Compra -HOJA1'!Q58</f>
        <v>0</v>
      </c>
    </row>
    <row r="429" spans="1:34" ht="62.1" customHeight="1" x14ac:dyDescent="0.45">
      <c r="A429" s="1643" t="s">
        <v>24</v>
      </c>
      <c r="B429" s="1503" t="s">
        <v>876</v>
      </c>
      <c r="C429" s="1503"/>
      <c r="D429" s="1646" t="e">
        <f>'Compra -HOJA1'!#REF!</f>
        <v>#REF!</v>
      </c>
      <c r="E429" s="1646"/>
      <c r="F429" s="1646"/>
      <c r="G429" s="1646"/>
      <c r="H429" s="1646"/>
      <c r="I429" s="1646" t="e">
        <f>IF('Compra -HOJA1'!#REF!=0,0,'Compra -HOJA1'!#REF!/D429)</f>
        <v>#REF!</v>
      </c>
      <c r="J429" s="2171" t="e">
        <f>+(Z429)</f>
        <v>#REF!</v>
      </c>
      <c r="K429" s="2171" t="e">
        <f>+(AB429)</f>
        <v>#REF!</v>
      </c>
      <c r="L429" s="2171" t="e">
        <f>+(AA429)</f>
        <v>#REF!</v>
      </c>
      <c r="M429" s="2171" t="e">
        <f>+(AC429)</f>
        <v>#REF!</v>
      </c>
      <c r="N429" s="2171" t="e">
        <f>+(AE429)</f>
        <v>#REF!</v>
      </c>
      <c r="O429" s="2172" t="e">
        <f>+(AD429)</f>
        <v>#REF!</v>
      </c>
      <c r="P429" s="2173" t="e">
        <f t="shared" si="223"/>
        <v>#REF!</v>
      </c>
      <c r="Q429" s="2173" t="e">
        <f t="shared" si="223"/>
        <v>#REF!</v>
      </c>
      <c r="R429" s="2173"/>
      <c r="S429" s="2173"/>
      <c r="T429" s="2173"/>
      <c r="U429" s="2173"/>
      <c r="V429" s="2169" t="e">
        <f>+L429+O429</f>
        <v>#REF!</v>
      </c>
      <c r="W429" s="1573"/>
      <c r="X429" s="1573"/>
      <c r="Y429" s="1573"/>
      <c r="Z429" s="2169" t="e">
        <f>'Compra -HOJA1'!#REF!</f>
        <v>#REF!</v>
      </c>
      <c r="AA429" s="2169" t="e">
        <f>'Compra -HOJA1'!#REF!</f>
        <v>#REF!</v>
      </c>
      <c r="AB429" s="2169" t="e">
        <f>'Compra -HOJA1'!#REF!</f>
        <v>#REF!</v>
      </c>
      <c r="AC429" s="2169" t="e">
        <f>+'Compra -HOJA1'!#REF!</f>
        <v>#REF!</v>
      </c>
      <c r="AD429" s="2169" t="e">
        <f>+'Compra -HOJA1'!#REF!</f>
        <v>#REF!</v>
      </c>
      <c r="AE429" s="2169" t="e">
        <f>+'Compra -HOJA1'!#REF!</f>
        <v>#REF!</v>
      </c>
      <c r="AF429" s="1548" t="e">
        <f>+'Compra -HOJA1'!#REF!</f>
        <v>#REF!</v>
      </c>
      <c r="AG429" s="1548" t="e">
        <f>+'Compra -HOJA1'!#REF!</f>
        <v>#REF!</v>
      </c>
      <c r="AH429" s="1548" t="e">
        <f>+'Compra -HOJA1'!#REF!</f>
        <v>#REF!</v>
      </c>
    </row>
    <row r="430" spans="1:34" ht="62.1" customHeight="1" x14ac:dyDescent="0.45">
      <c r="A430" s="1697" t="s">
        <v>471</v>
      </c>
      <c r="B430" s="1697"/>
      <c r="C430" s="1697"/>
      <c r="D430" s="1656" t="e">
        <f>SUM(D427:D429)</f>
        <v>#REF!</v>
      </c>
      <c r="E430" s="1656">
        <f t="shared" ref="E430:V430" si="224">SUM(E427:E429)</f>
        <v>0</v>
      </c>
      <c r="F430" s="1656"/>
      <c r="G430" s="1656"/>
      <c r="H430" s="1656"/>
      <c r="I430" s="1656" t="e">
        <f t="shared" si="224"/>
        <v>#REF!</v>
      </c>
      <c r="J430" s="1656" t="e">
        <f t="shared" si="224"/>
        <v>#REF!</v>
      </c>
      <c r="K430" s="1656" t="e">
        <f t="shared" si="224"/>
        <v>#REF!</v>
      </c>
      <c r="L430" s="1656" t="e">
        <f t="shared" si="224"/>
        <v>#REF!</v>
      </c>
      <c r="M430" s="1656" t="e">
        <f t="shared" si="224"/>
        <v>#REF!</v>
      </c>
      <c r="N430" s="1656" t="e">
        <f t="shared" si="224"/>
        <v>#REF!</v>
      </c>
      <c r="O430" s="1656" t="e">
        <f t="shared" si="224"/>
        <v>#REF!</v>
      </c>
      <c r="P430" s="1656" t="e">
        <f t="shared" si="224"/>
        <v>#REF!</v>
      </c>
      <c r="Q430" s="1656" t="e">
        <f t="shared" si="224"/>
        <v>#REF!</v>
      </c>
      <c r="R430" s="1656"/>
      <c r="S430" s="1656"/>
      <c r="T430" s="1656"/>
      <c r="U430" s="1656"/>
      <c r="V430" s="1656" t="e">
        <f t="shared" si="224"/>
        <v>#REF!</v>
      </c>
      <c r="W430" s="1490"/>
      <c r="X430" s="1490"/>
      <c r="Y430" s="1490"/>
      <c r="Z430" s="1656" t="e">
        <f t="shared" ref="Z430:AH430" si="225">SUM(Z427:Z429)</f>
        <v>#REF!</v>
      </c>
      <c r="AA430" s="1656" t="e">
        <f t="shared" si="225"/>
        <v>#REF!</v>
      </c>
      <c r="AB430" s="1656" t="e">
        <f t="shared" si="225"/>
        <v>#REF!</v>
      </c>
      <c r="AC430" s="1656" t="e">
        <f t="shared" si="225"/>
        <v>#REF!</v>
      </c>
      <c r="AD430" s="1656" t="e">
        <f t="shared" si="225"/>
        <v>#REF!</v>
      </c>
      <c r="AE430" s="1656" t="e">
        <f t="shared" si="225"/>
        <v>#REF!</v>
      </c>
      <c r="AF430" s="1656" t="e">
        <f t="shared" si="225"/>
        <v>#REF!</v>
      </c>
      <c r="AG430" s="1656" t="e">
        <f t="shared" si="225"/>
        <v>#REF!</v>
      </c>
      <c r="AH430" s="1656" t="e">
        <f t="shared" si="225"/>
        <v>#REF!</v>
      </c>
    </row>
    <row r="431" spans="1:34" ht="62.1" customHeight="1" x14ac:dyDescent="0.45">
      <c r="J431" s="1573">
        <f>+'Compra -HOJA1'!G46</f>
        <v>0</v>
      </c>
      <c r="K431" s="1573">
        <f>+'Compra -HOJA1'!H46</f>
        <v>0</v>
      </c>
      <c r="L431" s="1573">
        <f>+'Compra -HOJA1'!I46</f>
        <v>0</v>
      </c>
      <c r="M431" s="1573">
        <f>+'Compra -HOJA1'!L46</f>
        <v>0</v>
      </c>
      <c r="N431" s="1573">
        <f>+'Compra -HOJA1'!M46</f>
        <v>0</v>
      </c>
      <c r="O431" s="1653">
        <f>+'Compra -HOJA1'!N46</f>
        <v>0</v>
      </c>
      <c r="Y431" s="1489" t="s">
        <v>877</v>
      </c>
      <c r="Z431" s="1573">
        <f>+Z427+AA427+AB427</f>
        <v>0</v>
      </c>
      <c r="AA431" s="1573">
        <f>+'Compra -HOJA1'!F36</f>
        <v>0</v>
      </c>
    </row>
    <row r="432" spans="1:34" ht="62.1" customHeight="1" x14ac:dyDescent="0.45">
      <c r="Y432" s="1489" t="s">
        <v>878</v>
      </c>
      <c r="Z432" s="1573">
        <f>+Z428+AA428+AB428</f>
        <v>0</v>
      </c>
      <c r="AA432" s="1573">
        <f>+'Compra -HOJA1'!F37+'Compra -HOJA1'!F40+'Compra -HOJA1'!F41+'Compra -HOJA1'!F42+'Compra -HOJA1'!F43+'Compra -HOJA1'!F44</f>
        <v>0</v>
      </c>
      <c r="AE432" s="1699"/>
      <c r="AF432" s="1699"/>
    </row>
    <row r="433" spans="1:34" ht="62.1" customHeight="1" x14ac:dyDescent="0.45">
      <c r="Y433" s="1489" t="s">
        <v>879</v>
      </c>
      <c r="Z433" s="1573" t="e">
        <f>+Z429+AA429+AB429</f>
        <v>#REF!</v>
      </c>
      <c r="AA433" s="1489" t="e">
        <f>+'Compra -HOJA1'!#REF!</f>
        <v>#REF!</v>
      </c>
      <c r="AE433" s="1699"/>
      <c r="AF433" s="1699"/>
    </row>
    <row r="434" spans="1:34" ht="62.1" customHeight="1" x14ac:dyDescent="0.45">
      <c r="A434" s="4197" t="s">
        <v>452</v>
      </c>
      <c r="B434" s="4197"/>
      <c r="C434" s="4197"/>
      <c r="D434" s="4197"/>
      <c r="E434" s="1594"/>
      <c r="F434" s="1594"/>
      <c r="G434" s="1594"/>
      <c r="H434" s="1594"/>
      <c r="I434" s="1594"/>
      <c r="J434" s="1594"/>
      <c r="K434" s="1594"/>
      <c r="L434" s="1594"/>
      <c r="AE434" s="1699"/>
      <c r="AF434" s="1699"/>
    </row>
    <row r="435" spans="1:34" ht="62.1" customHeight="1" x14ac:dyDescent="0.5">
      <c r="A435" s="1639" t="s">
        <v>445</v>
      </c>
      <c r="B435" s="1640"/>
      <c r="C435" s="1640"/>
      <c r="D435" s="1639" t="s">
        <v>446</v>
      </c>
      <c r="E435" s="1639"/>
      <c r="F435" s="1639"/>
      <c r="G435" s="1639"/>
      <c r="H435" s="1639"/>
      <c r="I435" s="1639" t="s">
        <v>447</v>
      </c>
      <c r="J435" s="4274" t="s">
        <v>304</v>
      </c>
      <c r="K435" s="4274"/>
      <c r="L435" s="4274"/>
      <c r="M435" s="4274" t="s">
        <v>453</v>
      </c>
      <c r="N435" s="4274"/>
      <c r="O435" s="4274"/>
      <c r="P435" s="4237" t="s">
        <v>449</v>
      </c>
      <c r="Q435" s="4238"/>
      <c r="R435" s="4238"/>
      <c r="S435" s="4238"/>
      <c r="T435" s="4238"/>
      <c r="U435" s="4238"/>
      <c r="V435" s="4240"/>
      <c r="Z435" s="4253" t="s">
        <v>191</v>
      </c>
      <c r="AA435" s="4253"/>
      <c r="AB435" s="4253"/>
      <c r="AC435" s="4253" t="s">
        <v>464</v>
      </c>
      <c r="AD435" s="4253"/>
      <c r="AE435" s="4253"/>
      <c r="AF435" s="4253" t="s">
        <v>465</v>
      </c>
      <c r="AG435" s="4253"/>
      <c r="AH435" s="4253"/>
    </row>
    <row r="436" spans="1:34" ht="62.1" customHeight="1" x14ac:dyDescent="0.45">
      <c r="A436" s="1639"/>
      <c r="B436" s="1640"/>
      <c r="C436" s="1640"/>
      <c r="D436" s="1639"/>
      <c r="E436" s="1639"/>
      <c r="F436" s="1639"/>
      <c r="G436" s="1639"/>
      <c r="H436" s="1639"/>
      <c r="I436" s="1639"/>
      <c r="J436" s="1640" t="s">
        <v>287</v>
      </c>
      <c r="K436" s="1640" t="s">
        <v>450</v>
      </c>
      <c r="L436" s="1640" t="s">
        <v>288</v>
      </c>
      <c r="M436" s="1640" t="s">
        <v>287</v>
      </c>
      <c r="N436" s="1640" t="s">
        <v>450</v>
      </c>
      <c r="O436" s="1640" t="s">
        <v>288</v>
      </c>
      <c r="P436" s="1515" t="s">
        <v>287</v>
      </c>
      <c r="Q436" s="1515" t="s">
        <v>289</v>
      </c>
      <c r="R436" s="1515"/>
      <c r="S436" s="1515"/>
      <c r="T436" s="1515"/>
      <c r="U436" s="1515"/>
      <c r="V436" s="1515" t="s">
        <v>288</v>
      </c>
      <c r="Z436" s="1515" t="s">
        <v>5</v>
      </c>
      <c r="AA436" s="1515" t="s">
        <v>6</v>
      </c>
      <c r="AB436" s="1515" t="s">
        <v>7</v>
      </c>
      <c r="AC436" s="1515" t="s">
        <v>5</v>
      </c>
      <c r="AD436" s="1515" t="s">
        <v>6</v>
      </c>
      <c r="AE436" s="1515" t="s">
        <v>7</v>
      </c>
      <c r="AF436" s="1515" t="s">
        <v>5</v>
      </c>
      <c r="AG436" s="1515" t="s">
        <v>6</v>
      </c>
      <c r="AH436" s="1515" t="s">
        <v>7</v>
      </c>
    </row>
    <row r="437" spans="1:34" ht="62.1" customHeight="1" x14ac:dyDescent="0.45">
      <c r="A437" s="1510"/>
      <c r="B437" s="1510"/>
      <c r="C437" s="1510"/>
      <c r="D437" s="1510"/>
      <c r="E437" s="1510"/>
      <c r="F437" s="1510"/>
      <c r="G437" s="1510"/>
      <c r="H437" s="1510"/>
      <c r="I437" s="1510"/>
      <c r="J437" s="1510"/>
      <c r="K437" s="1510"/>
      <c r="L437" s="1510"/>
      <c r="AE437" s="1699"/>
      <c r="AF437" s="1699"/>
    </row>
    <row r="438" spans="1:34" ht="62.1" customHeight="1" x14ac:dyDescent="0.45">
      <c r="A438" s="1652" t="s">
        <v>24</v>
      </c>
      <c r="B438" s="1645" t="s">
        <v>454</v>
      </c>
      <c r="C438" s="1645"/>
      <c r="D438" s="1646">
        <f>'Compra -HOJA1'!K59</f>
        <v>0</v>
      </c>
      <c r="E438" s="1646"/>
      <c r="F438" s="1646"/>
      <c r="G438" s="1646"/>
      <c r="H438" s="1646"/>
      <c r="I438" s="1646">
        <f>IF('Compra -HOJA1'!J59=0,0,('Compra -HOJA1'!J59)/D438)</f>
        <v>0</v>
      </c>
      <c r="J438" s="1700">
        <f>+(Z438)</f>
        <v>0</v>
      </c>
      <c r="K438" s="1700">
        <f>+(AB438)</f>
        <v>0</v>
      </c>
      <c r="L438" s="1700">
        <f>+(AA438)</f>
        <v>0</v>
      </c>
      <c r="M438" s="1700">
        <f>+(AC438)</f>
        <v>0</v>
      </c>
      <c r="N438" s="1700">
        <f>+(AE438)</f>
        <v>0</v>
      </c>
      <c r="O438" s="1666">
        <f>+(AD438)</f>
        <v>0</v>
      </c>
      <c r="P438" s="2180">
        <f t="shared" ref="P438:Q439" si="226">+J438+M438</f>
        <v>0</v>
      </c>
      <c r="Q438" s="2180">
        <f t="shared" si="226"/>
        <v>0</v>
      </c>
      <c r="R438" s="2180"/>
      <c r="S438" s="2180"/>
      <c r="T438" s="2180"/>
      <c r="U438" s="2180"/>
      <c r="V438" s="1548">
        <f>+L438+O438</f>
        <v>0</v>
      </c>
      <c r="Z438" s="1701">
        <f>'Compra -HOJA1'!G59</f>
        <v>0</v>
      </c>
      <c r="AA438" s="1701">
        <f>'Compra -HOJA1'!H59</f>
        <v>0</v>
      </c>
      <c r="AB438" s="1701">
        <f>'Compra -HOJA1'!I59</f>
        <v>0</v>
      </c>
      <c r="AC438" s="1696">
        <f>+'Compra -HOJA1'!L59</f>
        <v>0</v>
      </c>
      <c r="AD438" s="1696">
        <f>+'Compra -HOJA1'!M59</f>
        <v>0</v>
      </c>
      <c r="AE438" s="1696">
        <f>+'Compra -HOJA1'!N59</f>
        <v>0</v>
      </c>
      <c r="AF438" s="1548">
        <f>+'Compra -HOJA1'!O59</f>
        <v>0</v>
      </c>
      <c r="AG438" s="1548">
        <f>+'Compra -HOJA1'!P59</f>
        <v>0</v>
      </c>
      <c r="AH438" s="1548">
        <f>+'Compra -HOJA1'!Q59</f>
        <v>0</v>
      </c>
    </row>
    <row r="439" spans="1:34" ht="62.1" customHeight="1" x14ac:dyDescent="0.45">
      <c r="A439" s="1654"/>
      <c r="B439" s="2170" t="s">
        <v>880</v>
      </c>
      <c r="C439" s="1654"/>
      <c r="D439" s="1646" t="e">
        <f>'Compra -HOJA1'!#REF!</f>
        <v>#REF!</v>
      </c>
      <c r="E439" s="1655"/>
      <c r="F439" s="1655"/>
      <c r="G439" s="1655"/>
      <c r="H439" s="1655"/>
      <c r="I439" s="1646" t="e">
        <f>IF('Compra -HOJA1'!#REF!=0,0,('Compra -HOJA1'!#REF!)/D439)</f>
        <v>#REF!</v>
      </c>
      <c r="J439" s="1700" t="e">
        <f>+(Z439)</f>
        <v>#REF!</v>
      </c>
      <c r="K439" s="1700" t="e">
        <f>+(AB439)</f>
        <v>#REF!</v>
      </c>
      <c r="L439" s="1700" t="e">
        <f>+(AA439)</f>
        <v>#REF!</v>
      </c>
      <c r="M439" s="1700" t="e">
        <f>+(AC439)</f>
        <v>#REF!</v>
      </c>
      <c r="N439" s="1700" t="e">
        <f>+(AE439)</f>
        <v>#REF!</v>
      </c>
      <c r="O439" s="1666" t="e">
        <f>+(AD439)</f>
        <v>#REF!</v>
      </c>
      <c r="P439" s="2180" t="e">
        <f t="shared" si="226"/>
        <v>#REF!</v>
      </c>
      <c r="Q439" s="2180" t="e">
        <f t="shared" si="226"/>
        <v>#REF!</v>
      </c>
      <c r="R439" s="2180"/>
      <c r="S439" s="2180"/>
      <c r="T439" s="2180"/>
      <c r="U439" s="2180"/>
      <c r="V439" s="1548" t="e">
        <f>+L439+O439</f>
        <v>#REF!</v>
      </c>
      <c r="Z439" s="2168" t="e">
        <f>'Compra -HOJA1'!#REF!</f>
        <v>#REF!</v>
      </c>
      <c r="AA439" s="2168" t="e">
        <f>'Compra -HOJA1'!#REF!</f>
        <v>#REF!</v>
      </c>
      <c r="AB439" s="2168" t="e">
        <f>'Compra -HOJA1'!#REF!</f>
        <v>#REF!</v>
      </c>
      <c r="AC439" s="2169" t="e">
        <f>+'Compra -HOJA1'!#REF!</f>
        <v>#REF!</v>
      </c>
      <c r="AD439" s="2169" t="e">
        <f>+'Compra -HOJA1'!#REF!</f>
        <v>#REF!</v>
      </c>
      <c r="AE439" s="2169" t="e">
        <f>+'Compra -HOJA1'!#REF!</f>
        <v>#REF!</v>
      </c>
      <c r="AF439" s="2169" t="e">
        <f>+'Compra -HOJA1'!#REF!</f>
        <v>#REF!</v>
      </c>
      <c r="AG439" s="2169" t="e">
        <f>+'Compra -HOJA1'!#REF!</f>
        <v>#REF!</v>
      </c>
      <c r="AH439" s="2169" t="e">
        <f>+'Compra -HOJA1'!#REF!</f>
        <v>#REF!</v>
      </c>
    </row>
    <row r="440" spans="1:34" ht="62.1" customHeight="1" x14ac:dyDescent="0.45">
      <c r="A440" s="1697" t="s">
        <v>471</v>
      </c>
      <c r="B440" s="1697"/>
      <c r="C440" s="1697"/>
      <c r="D440" s="1656" t="e">
        <f>SUM(D438:D439)</f>
        <v>#REF!</v>
      </c>
      <c r="E440" s="1656"/>
      <c r="F440" s="1656"/>
      <c r="G440" s="1656"/>
      <c r="H440" s="1656"/>
      <c r="I440" s="1656" t="e">
        <f>SUM(I438:I439)</f>
        <v>#REF!</v>
      </c>
      <c r="J440" s="1656" t="e">
        <f t="shared" ref="J440:V440" si="227">SUM(J438:J439)</f>
        <v>#REF!</v>
      </c>
      <c r="K440" s="1656" t="e">
        <f t="shared" si="227"/>
        <v>#REF!</v>
      </c>
      <c r="L440" s="1656" t="e">
        <f t="shared" si="227"/>
        <v>#REF!</v>
      </c>
      <c r="M440" s="1656" t="e">
        <f t="shared" si="227"/>
        <v>#REF!</v>
      </c>
      <c r="N440" s="1656" t="e">
        <f t="shared" si="227"/>
        <v>#REF!</v>
      </c>
      <c r="O440" s="1656" t="e">
        <f t="shared" si="227"/>
        <v>#REF!</v>
      </c>
      <c r="P440" s="1656" t="e">
        <f t="shared" si="227"/>
        <v>#REF!</v>
      </c>
      <c r="Q440" s="1656" t="e">
        <f t="shared" si="227"/>
        <v>#REF!</v>
      </c>
      <c r="R440" s="1656"/>
      <c r="S440" s="1656"/>
      <c r="T440" s="1656"/>
      <c r="U440" s="1656"/>
      <c r="V440" s="1656" t="e">
        <f t="shared" si="227"/>
        <v>#REF!</v>
      </c>
      <c r="Z440" s="1656" t="e">
        <f t="shared" ref="Z440:AH440" si="228">SUM(Z438:Z439)</f>
        <v>#REF!</v>
      </c>
      <c r="AA440" s="1656" t="e">
        <f t="shared" si="228"/>
        <v>#REF!</v>
      </c>
      <c r="AB440" s="1656" t="e">
        <f t="shared" si="228"/>
        <v>#REF!</v>
      </c>
      <c r="AC440" s="1656" t="e">
        <f t="shared" si="228"/>
        <v>#REF!</v>
      </c>
      <c r="AD440" s="1656" t="e">
        <f t="shared" si="228"/>
        <v>#REF!</v>
      </c>
      <c r="AE440" s="1656" t="e">
        <f t="shared" si="228"/>
        <v>#REF!</v>
      </c>
      <c r="AF440" s="1656" t="e">
        <f t="shared" si="228"/>
        <v>#REF!</v>
      </c>
      <c r="AG440" s="1656" t="e">
        <f t="shared" si="228"/>
        <v>#REF!</v>
      </c>
      <c r="AH440" s="1656" t="e">
        <f t="shared" si="228"/>
        <v>#REF!</v>
      </c>
    </row>
    <row r="441" spans="1:34" ht="62.1" customHeight="1" x14ac:dyDescent="0.45">
      <c r="J441" s="1573">
        <f>+'Compra -HOJA1'!G53</f>
        <v>0</v>
      </c>
      <c r="K441" s="1573">
        <f>+'Compra -HOJA1'!H53</f>
        <v>0</v>
      </c>
      <c r="L441" s="1573">
        <f>+'Compra -HOJA1'!I53</f>
        <v>0</v>
      </c>
      <c r="M441" s="1573">
        <f>+'Compra -HOJA1'!L53</f>
        <v>0</v>
      </c>
      <c r="N441" s="1573">
        <f>+'Compra -HOJA1'!M53</f>
        <v>0</v>
      </c>
      <c r="O441" s="1653">
        <f>+'Compra -HOJA1'!N53</f>
        <v>0</v>
      </c>
      <c r="Y441" s="1489" t="s">
        <v>878</v>
      </c>
      <c r="Z441" s="1489">
        <f>+Z438+AA438+AB438</f>
        <v>0</v>
      </c>
      <c r="AA441" s="1489">
        <f>+'Compra -HOJA1'!F48+'Compra -HOJA1'!F49+'Compra -HOJA1'!F50+'Compra -HOJA1'!F51+'Compra -HOJA1'!F52</f>
        <v>0</v>
      </c>
    </row>
    <row r="442" spans="1:34" ht="62.1" customHeight="1" x14ac:dyDescent="0.45">
      <c r="Y442" s="1489" t="s">
        <v>881</v>
      </c>
      <c r="Z442" s="1489" t="e">
        <f>+Z439+AA439+AB439</f>
        <v>#REF!</v>
      </c>
      <c r="AA442" s="1489" t="e">
        <f>+'Compra -HOJA1'!#REF!</f>
        <v>#REF!</v>
      </c>
      <c r="AE442" s="1573"/>
    </row>
    <row r="443" spans="1:34" ht="62.1" customHeight="1" x14ac:dyDescent="0.45">
      <c r="X443" s="1489" t="s">
        <v>882</v>
      </c>
      <c r="Z443" s="1490" t="e">
        <f>+Z442+Z441+Z431+Z432+Z433</f>
        <v>#REF!</v>
      </c>
      <c r="AA443" s="1490">
        <f>+'Compra -HOJA1'!F62</f>
        <v>0</v>
      </c>
      <c r="AB443" s="1490"/>
      <c r="AC443" s="1490"/>
      <c r="AD443" s="1490"/>
      <c r="AE443" s="1490"/>
    </row>
    <row r="444" spans="1:34" ht="62.1" customHeight="1" x14ac:dyDescent="0.45">
      <c r="A444" s="4197" t="s">
        <v>456</v>
      </c>
      <c r="B444" s="4197"/>
      <c r="C444" s="4197"/>
      <c r="D444" s="4197"/>
      <c r="E444" s="1594"/>
      <c r="F444" s="1594"/>
      <c r="G444" s="1594"/>
      <c r="H444" s="1594"/>
      <c r="I444" s="1594"/>
      <c r="J444" s="1594"/>
      <c r="K444" s="1594"/>
      <c r="L444" s="1594"/>
      <c r="M444" s="1594"/>
      <c r="N444" s="1594"/>
      <c r="O444" s="1658"/>
      <c r="P444" s="1658"/>
      <c r="Q444" s="1658"/>
      <c r="R444" s="1658"/>
      <c r="S444" s="1658"/>
      <c r="T444" s="1658"/>
      <c r="U444" s="1658"/>
      <c r="V444" s="1594"/>
      <c r="W444" s="1594"/>
      <c r="X444" s="1594"/>
      <c r="Y444" s="1594"/>
      <c r="Z444" s="1594"/>
    </row>
    <row r="445" spans="1:34" ht="62.1" customHeight="1" x14ac:dyDescent="0.5">
      <c r="A445" s="1594"/>
      <c r="B445" s="1594"/>
      <c r="C445" s="1594"/>
      <c r="D445" s="1594"/>
      <c r="E445" s="1594"/>
      <c r="F445" s="1594"/>
      <c r="G445" s="1594"/>
      <c r="H445" s="1594"/>
      <c r="I445" s="1594"/>
      <c r="J445" s="1594"/>
      <c r="K445" s="1594"/>
      <c r="L445" s="1594"/>
      <c r="M445" s="1594"/>
      <c r="N445" s="1594"/>
      <c r="O445" s="1658"/>
      <c r="P445" s="1658"/>
      <c r="Q445" s="1658"/>
      <c r="R445" s="1658"/>
      <c r="S445" s="1658"/>
      <c r="T445" s="1658"/>
      <c r="U445" s="1658"/>
      <c r="V445" s="1594"/>
      <c r="W445" s="1594"/>
      <c r="X445" s="1594"/>
      <c r="Y445" s="1594"/>
      <c r="Z445" s="4253" t="s">
        <v>191</v>
      </c>
      <c r="AA445" s="4253"/>
      <c r="AB445" s="4253"/>
      <c r="AC445" s="4253" t="s">
        <v>464</v>
      </c>
      <c r="AD445" s="4253"/>
      <c r="AE445" s="4253"/>
      <c r="AF445" s="4253" t="s">
        <v>465</v>
      </c>
      <c r="AG445" s="4253"/>
      <c r="AH445" s="4253"/>
    </row>
    <row r="446" spans="1:34" ht="62.1" customHeight="1" x14ac:dyDescent="0.45">
      <c r="Z446" s="1515" t="s">
        <v>5</v>
      </c>
      <c r="AA446" s="1515" t="s">
        <v>6</v>
      </c>
      <c r="AB446" s="1515" t="s">
        <v>7</v>
      </c>
      <c r="AC446" s="1515" t="s">
        <v>5</v>
      </c>
      <c r="AD446" s="1515" t="s">
        <v>6</v>
      </c>
      <c r="AE446" s="1515" t="s">
        <v>7</v>
      </c>
      <c r="AF446" s="1515" t="s">
        <v>5</v>
      </c>
      <c r="AG446" s="1515" t="s">
        <v>6</v>
      </c>
      <c r="AH446" s="1515" t="s">
        <v>7</v>
      </c>
    </row>
    <row r="447" spans="1:34" ht="62.1" customHeight="1" x14ac:dyDescent="0.45">
      <c r="A447" s="1639" t="s">
        <v>457</v>
      </c>
      <c r="B447" s="1640"/>
      <c r="C447" s="1640"/>
      <c r="D447" s="1639" t="s">
        <v>26</v>
      </c>
      <c r="E447" s="1639"/>
      <c r="F447" s="1639"/>
      <c r="G447" s="1639"/>
      <c r="H447" s="1639"/>
      <c r="I447" s="1639" t="s">
        <v>458</v>
      </c>
      <c r="J447" s="4274" t="s">
        <v>304</v>
      </c>
      <c r="K447" s="4274"/>
      <c r="L447" s="4274"/>
      <c r="M447" s="4274" t="s">
        <v>453</v>
      </c>
      <c r="N447" s="4274"/>
      <c r="O447" s="4274"/>
      <c r="P447" s="4237" t="s">
        <v>449</v>
      </c>
      <c r="Q447" s="4238"/>
      <c r="R447" s="4238"/>
      <c r="S447" s="4238"/>
      <c r="T447" s="4238"/>
      <c r="U447" s="4238"/>
      <c r="V447" s="4240"/>
      <c r="Z447" s="1490"/>
      <c r="AA447" s="1490"/>
      <c r="AB447" s="1490"/>
    </row>
    <row r="448" spans="1:34" ht="62.1" customHeight="1" x14ac:dyDescent="0.45">
      <c r="A448" s="1639"/>
      <c r="B448" s="1640"/>
      <c r="C448" s="1640"/>
      <c r="D448" s="1639"/>
      <c r="E448" s="1639"/>
      <c r="F448" s="1639"/>
      <c r="G448" s="1639"/>
      <c r="H448" s="1639"/>
      <c r="I448" s="1639"/>
      <c r="J448" s="1640" t="s">
        <v>287</v>
      </c>
      <c r="K448" s="1640" t="s">
        <v>450</v>
      </c>
      <c r="L448" s="1640" t="s">
        <v>288</v>
      </c>
      <c r="M448" s="1640" t="s">
        <v>287</v>
      </c>
      <c r="N448" s="1640" t="s">
        <v>450</v>
      </c>
      <c r="O448" s="1640" t="s">
        <v>288</v>
      </c>
      <c r="P448" s="1515" t="s">
        <v>287</v>
      </c>
      <c r="Q448" s="1515" t="s">
        <v>289</v>
      </c>
      <c r="R448" s="1515"/>
      <c r="S448" s="1515"/>
      <c r="T448" s="1515"/>
      <c r="U448" s="1515"/>
      <c r="V448" s="1515" t="s">
        <v>288</v>
      </c>
      <c r="X448" s="1489" t="s">
        <v>883</v>
      </c>
      <c r="Y448" s="1489" t="s">
        <v>884</v>
      </c>
      <c r="Z448" s="1489">
        <f ca="1">+Z450+Z451+AA450+AA451+AB450+AB451</f>
        <v>0</v>
      </c>
      <c r="AA448" s="1573">
        <f>+'GUDI  -HOJA2'!P9+'GUDI  -HOJA2'!Q9+'GUDI  -HOJA2'!R9</f>
        <v>0</v>
      </c>
    </row>
    <row r="449" spans="1:34" ht="62.1" customHeight="1" x14ac:dyDescent="0.45"/>
    <row r="450" spans="1:34" ht="62.1" customHeight="1" x14ac:dyDescent="0.45">
      <c r="A450" s="1652" t="s">
        <v>23</v>
      </c>
      <c r="B450" s="1645"/>
      <c r="C450" s="1645"/>
      <c r="D450" s="1549">
        <f>'Compra -HOJA1'!K24</f>
        <v>0</v>
      </c>
      <c r="E450" s="1549"/>
      <c r="F450" s="1549"/>
      <c r="G450" s="1549"/>
      <c r="H450" s="1549"/>
      <c r="I450" s="1549">
        <f ca="1">'Compra -HOJA1'!J24</f>
        <v>0</v>
      </c>
      <c r="J450" s="1666">
        <f ca="1">+(Z450)</f>
        <v>0</v>
      </c>
      <c r="K450" s="1666">
        <f ca="1">+(AB450)</f>
        <v>0</v>
      </c>
      <c r="L450" s="1666">
        <f ca="1">+(AA450)</f>
        <v>0</v>
      </c>
      <c r="M450" s="1666">
        <f ca="1">+(AC450)</f>
        <v>0</v>
      </c>
      <c r="N450" s="1666">
        <f ca="1">+(AE450)</f>
        <v>0</v>
      </c>
      <c r="O450" s="1666">
        <f ca="1">+(AD450)</f>
        <v>0</v>
      </c>
      <c r="P450" s="1661">
        <f t="shared" ref="P450:Q451" ca="1" si="229">+M450+J450</f>
        <v>0</v>
      </c>
      <c r="Q450" s="1661">
        <f t="shared" ca="1" si="229"/>
        <v>0</v>
      </c>
      <c r="R450" s="1661"/>
      <c r="S450" s="1661"/>
      <c r="T450" s="1661"/>
      <c r="U450" s="1661"/>
      <c r="V450" s="1662">
        <f ca="1">+O450+L450</f>
        <v>0</v>
      </c>
      <c r="Z450" s="1489">
        <f ca="1">'Compra -HOJA1'!G24</f>
        <v>0</v>
      </c>
      <c r="AA450" s="1489">
        <f ca="1">'Compra -HOJA1'!H24</f>
        <v>0</v>
      </c>
      <c r="AB450" s="1489">
        <f ca="1">'Compra -HOJA1'!I24</f>
        <v>0</v>
      </c>
      <c r="AC450" s="1489">
        <f ca="1">+'Compra -HOJA1'!L24</f>
        <v>0</v>
      </c>
      <c r="AD450" s="1489">
        <f ca="1">+'Compra -HOJA1'!M24</f>
        <v>0</v>
      </c>
      <c r="AE450" s="1489">
        <f ca="1">+'Compra -HOJA1'!N24</f>
        <v>0</v>
      </c>
      <c r="AF450" s="1489">
        <f ca="1">+'Compra -HOJA1'!O24</f>
        <v>0</v>
      </c>
      <c r="AG450" s="1489">
        <f ca="1">+'Compra -HOJA1'!P24</f>
        <v>0</v>
      </c>
      <c r="AH450" s="1489">
        <f ca="1">+'Compra -HOJA1'!Q24</f>
        <v>0</v>
      </c>
    </row>
    <row r="451" spans="1:34" ht="62.1" customHeight="1" x14ac:dyDescent="0.45">
      <c r="A451" s="1652" t="s">
        <v>24</v>
      </c>
      <c r="B451" s="1645"/>
      <c r="C451" s="1645"/>
      <c r="D451" s="1549">
        <f>'Compra -HOJA1'!K27</f>
        <v>0</v>
      </c>
      <c r="E451" s="1549"/>
      <c r="F451" s="1549"/>
      <c r="G451" s="1549"/>
      <c r="H451" s="1549"/>
      <c r="I451" s="1549">
        <f ca="1">'Compra -HOJA1'!J27</f>
        <v>0</v>
      </c>
      <c r="J451" s="1666">
        <f ca="1">+(Z451)</f>
        <v>0</v>
      </c>
      <c r="K451" s="1666">
        <f ca="1">+(AB451)</f>
        <v>0</v>
      </c>
      <c r="L451" s="1666">
        <f ca="1">+(AA451)</f>
        <v>0</v>
      </c>
      <c r="M451" s="1666">
        <f ca="1">+(AC451)</f>
        <v>0</v>
      </c>
      <c r="N451" s="1666">
        <f ca="1">+(AE451)</f>
        <v>0</v>
      </c>
      <c r="O451" s="1666">
        <f ca="1">+(AD451)</f>
        <v>0</v>
      </c>
      <c r="P451" s="1661">
        <f t="shared" ca="1" si="229"/>
        <v>0</v>
      </c>
      <c r="Q451" s="1661">
        <f t="shared" ca="1" si="229"/>
        <v>0</v>
      </c>
      <c r="R451" s="1661"/>
      <c r="S451" s="1661"/>
      <c r="T451" s="1661"/>
      <c r="U451" s="1661"/>
      <c r="V451" s="1662">
        <f ca="1">+O451+L451</f>
        <v>0</v>
      </c>
      <c r="Z451" s="1489">
        <f ca="1">+'Compra -HOJA1'!G27</f>
        <v>0</v>
      </c>
      <c r="AA451" s="1489">
        <f ca="1">+'Compra -HOJA1'!H27</f>
        <v>0</v>
      </c>
      <c r="AB451" s="1489">
        <f ca="1">+'Compra -HOJA1'!I27</f>
        <v>0</v>
      </c>
      <c r="AC451" s="1489">
        <f ca="1">'Compra -HOJA1'!L27</f>
        <v>0</v>
      </c>
      <c r="AD451" s="1489">
        <f ca="1">'Compra -HOJA1'!M27</f>
        <v>0</v>
      </c>
      <c r="AE451" s="1489">
        <f ca="1">'Compra -HOJA1'!N27</f>
        <v>0</v>
      </c>
      <c r="AF451" s="1489">
        <f ca="1">'Compra -HOJA1'!O27</f>
        <v>0</v>
      </c>
      <c r="AG451" s="1489">
        <f ca="1">'Compra -HOJA1'!P27</f>
        <v>0</v>
      </c>
      <c r="AH451" s="1489">
        <f ca="1">'Compra -HOJA1'!Q27</f>
        <v>0</v>
      </c>
    </row>
    <row r="452" spans="1:34" ht="62.1" customHeight="1" x14ac:dyDescent="0.5">
      <c r="A452" s="1702" t="s">
        <v>471</v>
      </c>
      <c r="B452" s="1702"/>
      <c r="C452" s="1702"/>
      <c r="D452" s="1663">
        <f>SUM(D450:D451)</f>
        <v>0</v>
      </c>
      <c r="E452" s="1663"/>
      <c r="F452" s="1663"/>
      <c r="G452" s="1663"/>
      <c r="H452" s="1663"/>
      <c r="I452" s="1663">
        <f t="shared" ref="I452:O452" ca="1" si="230">SUM(I450:I451)</f>
        <v>0</v>
      </c>
      <c r="J452" s="1663">
        <f t="shared" ca="1" si="230"/>
        <v>0</v>
      </c>
      <c r="K452" s="1663">
        <f t="shared" ca="1" si="230"/>
        <v>0</v>
      </c>
      <c r="L452" s="1663">
        <f t="shared" ca="1" si="230"/>
        <v>0</v>
      </c>
      <c r="M452" s="1663">
        <f t="shared" ca="1" si="230"/>
        <v>0</v>
      </c>
      <c r="N452" s="1663">
        <f t="shared" ca="1" si="230"/>
        <v>0</v>
      </c>
      <c r="O452" s="1664">
        <f t="shared" ca="1" si="230"/>
        <v>0</v>
      </c>
      <c r="P452" s="1664">
        <f ca="1">SUM(P450:P451)</f>
        <v>0</v>
      </c>
      <c r="Q452" s="1664">
        <f ca="1">SUM(Q450:Q451)</f>
        <v>0</v>
      </c>
      <c r="R452" s="1664"/>
      <c r="S452" s="1664"/>
      <c r="T452" s="1664"/>
      <c r="U452" s="1664"/>
      <c r="V452" s="1663">
        <f ca="1">SUM(V450:V451)</f>
        <v>0</v>
      </c>
      <c r="Z452" s="1663">
        <f t="shared" ref="Z452:AH452" ca="1" si="231">SUM(Z450:Z451)</f>
        <v>0</v>
      </c>
      <c r="AA452" s="1663">
        <f t="shared" ca="1" si="231"/>
        <v>0</v>
      </c>
      <c r="AB452" s="1663">
        <f t="shared" ca="1" si="231"/>
        <v>0</v>
      </c>
      <c r="AC452" s="1663">
        <f t="shared" ca="1" si="231"/>
        <v>0</v>
      </c>
      <c r="AD452" s="1663">
        <f t="shared" ca="1" si="231"/>
        <v>0</v>
      </c>
      <c r="AE452" s="1663">
        <f t="shared" ca="1" si="231"/>
        <v>0</v>
      </c>
      <c r="AF452" s="1663">
        <f t="shared" ca="1" si="231"/>
        <v>0</v>
      </c>
      <c r="AG452" s="1663">
        <f t="shared" ca="1" si="231"/>
        <v>0</v>
      </c>
      <c r="AH452" s="1663">
        <f t="shared" ca="1" si="231"/>
        <v>0</v>
      </c>
    </row>
    <row r="453" spans="1:34" s="1540" customFormat="1" ht="62.1" customHeight="1" x14ac:dyDescent="0.5">
      <c r="A453" s="1703"/>
      <c r="B453" s="1703"/>
      <c r="C453" s="1703"/>
      <c r="D453" s="1593"/>
      <c r="E453" s="1593"/>
      <c r="F453" s="1593"/>
      <c r="G453" s="1593"/>
      <c r="H453" s="1593"/>
      <c r="I453" s="1593"/>
      <c r="J453" s="1704">
        <f ca="1">+'Compra -HOJA1'!G29</f>
        <v>0</v>
      </c>
      <c r="K453" s="1704">
        <f ca="1">+'Compra -HOJA1'!H29</f>
        <v>0</v>
      </c>
      <c r="L453" s="1704">
        <f ca="1">+'Compra -HOJA1'!I29</f>
        <v>0</v>
      </c>
      <c r="M453" s="1704">
        <f ca="1">+'Compra -HOJA1'!L29</f>
        <v>0</v>
      </c>
      <c r="N453" s="1704">
        <f ca="1">+'Compra -HOJA1'!M29</f>
        <v>0</v>
      </c>
      <c r="O453" s="1706">
        <f ca="1">+'Compra -HOJA1'!N29</f>
        <v>0</v>
      </c>
      <c r="P453" s="1706"/>
      <c r="Q453" s="1706"/>
      <c r="R453" s="1706"/>
      <c r="S453" s="1706"/>
      <c r="T453" s="1706"/>
      <c r="U453" s="1706"/>
      <c r="V453" s="1704"/>
      <c r="Z453" s="1574"/>
    </row>
    <row r="454" spans="1:34" ht="62.1" customHeight="1" x14ac:dyDescent="0.5">
      <c r="B454" s="1665" t="s">
        <v>429</v>
      </c>
      <c r="C454" s="1665"/>
      <c r="J454" s="1666" t="e">
        <f>+(Z454)</f>
        <v>#REF!</v>
      </c>
      <c r="K454" s="1666" t="e">
        <f>+(AB454)</f>
        <v>#REF!</v>
      </c>
      <c r="L454" s="1666" t="e">
        <f>+(AA454)</f>
        <v>#REF!</v>
      </c>
      <c r="M454" s="1666" t="e">
        <f>+(AC454)</f>
        <v>#REF!</v>
      </c>
      <c r="N454" s="1666" t="e">
        <f>+(AE454)</f>
        <v>#REF!</v>
      </c>
      <c r="O454" s="1666" t="e">
        <f>+(AD454)</f>
        <v>#REF!</v>
      </c>
      <c r="P454" s="1661" t="e">
        <f t="shared" ref="P454:Q455" si="232">+M454+J454</f>
        <v>#REF!</v>
      </c>
      <c r="Q454" s="1661" t="e">
        <f t="shared" si="232"/>
        <v>#REF!</v>
      </c>
      <c r="R454" s="1661"/>
      <c r="S454" s="1661"/>
      <c r="T454" s="1661"/>
      <c r="U454" s="1661"/>
      <c r="V454" s="1662" t="e">
        <f>+O454+L454</f>
        <v>#REF!</v>
      </c>
      <c r="Z454" s="1489" t="e">
        <f>+'Compra -HOJA1'!#REF!</f>
        <v>#REF!</v>
      </c>
      <c r="AA454" s="1489" t="e">
        <f>+'Compra -HOJA1'!#REF!</f>
        <v>#REF!</v>
      </c>
      <c r="AB454" s="1489" t="e">
        <f>+'Compra -HOJA1'!#REF!</f>
        <v>#REF!</v>
      </c>
      <c r="AC454" s="1489" t="e">
        <f>+'Compra -HOJA1'!#REF!</f>
        <v>#REF!</v>
      </c>
      <c r="AD454" s="1489" t="e">
        <f>+'Compra -HOJA1'!#REF!</f>
        <v>#REF!</v>
      </c>
      <c r="AE454" s="1489" t="e">
        <f>+'Compra -HOJA1'!#REF!</f>
        <v>#REF!</v>
      </c>
      <c r="AF454" s="1489" t="e">
        <f>+'Compra -HOJA1'!#REF!</f>
        <v>#REF!</v>
      </c>
      <c r="AG454" s="1489" t="e">
        <f>+'Compra -HOJA1'!#REF!</f>
        <v>#REF!</v>
      </c>
      <c r="AH454" s="1489" t="e">
        <f>+'Compra -HOJA1'!#REF!</f>
        <v>#REF!</v>
      </c>
    </row>
    <row r="455" spans="1:34" ht="62.1" customHeight="1" x14ac:dyDescent="0.5">
      <c r="A455" s="1498"/>
      <c r="B455" s="1665" t="s">
        <v>430</v>
      </c>
      <c r="C455" s="1498"/>
      <c r="D455" s="1498"/>
      <c r="E455" s="1498"/>
      <c r="F455" s="1498"/>
      <c r="G455" s="1498"/>
      <c r="H455" s="1498"/>
      <c r="I455" s="1498"/>
      <c r="J455" s="1666">
        <f>+(Z455)</f>
        <v>0</v>
      </c>
      <c r="K455" s="1666">
        <f>+(AB455)</f>
        <v>0</v>
      </c>
      <c r="L455" s="1666">
        <f>+(AA455)</f>
        <v>0</v>
      </c>
      <c r="M455" s="1666"/>
      <c r="N455" s="1666"/>
      <c r="O455" s="1666"/>
      <c r="P455" s="1661">
        <f t="shared" si="232"/>
        <v>0</v>
      </c>
      <c r="Q455" s="1661">
        <f t="shared" si="232"/>
        <v>0</v>
      </c>
      <c r="R455" s="1661"/>
      <c r="S455" s="1661"/>
      <c r="T455" s="1661"/>
      <c r="U455" s="1661"/>
      <c r="V455" s="1662">
        <f>+O455+L455</f>
        <v>0</v>
      </c>
      <c r="W455" s="1498"/>
      <c r="X455" s="1498"/>
      <c r="Y455" s="1498"/>
      <c r="Z455" s="1498">
        <f>'Compra -HOJA1'!G14</f>
        <v>0</v>
      </c>
      <c r="AA455" s="1498">
        <f>'Compra -HOJA1'!H14</f>
        <v>0</v>
      </c>
      <c r="AB455" s="1498">
        <f>'Compra -HOJA1'!I14</f>
        <v>0</v>
      </c>
    </row>
    <row r="456" spans="1:34" ht="62.1" customHeight="1" x14ac:dyDescent="0.45">
      <c r="A456" s="1668"/>
      <c r="B456" s="5331" t="s">
        <v>460</v>
      </c>
      <c r="C456" s="5331"/>
      <c r="D456" s="5331"/>
      <c r="E456" s="5331"/>
      <c r="F456" s="5331"/>
      <c r="G456" s="5331"/>
      <c r="H456" s="5331"/>
      <c r="I456" s="5331"/>
      <c r="J456" s="1669" t="e">
        <f t="shared" ref="J456:O456" si="233">SUM(J454:J455)</f>
        <v>#REF!</v>
      </c>
      <c r="K456" s="1669" t="e">
        <f t="shared" si="233"/>
        <v>#REF!</v>
      </c>
      <c r="L456" s="1669" t="e">
        <f t="shared" si="233"/>
        <v>#REF!</v>
      </c>
      <c r="M456" s="1669" t="e">
        <f t="shared" si="233"/>
        <v>#REF!</v>
      </c>
      <c r="N456" s="1669" t="e">
        <f t="shared" si="233"/>
        <v>#REF!</v>
      </c>
      <c r="O456" s="1671" t="e">
        <f t="shared" si="233"/>
        <v>#REF!</v>
      </c>
      <c r="P456" s="1671" t="e">
        <f>SUM(P454:P455)</f>
        <v>#REF!</v>
      </c>
      <c r="Q456" s="1671" t="e">
        <f>SUM(Q454:Q455)</f>
        <v>#REF!</v>
      </c>
      <c r="R456" s="1671"/>
      <c r="S456" s="1671"/>
      <c r="T456" s="1671"/>
      <c r="U456" s="1671"/>
      <c r="V456" s="1669" t="e">
        <f>SUM(V454:V455)</f>
        <v>#REF!</v>
      </c>
      <c r="Z456" s="1669" t="e">
        <f t="shared" ref="Z456:AH456" si="234">SUM(Z454:Z455)</f>
        <v>#REF!</v>
      </c>
      <c r="AA456" s="1669" t="e">
        <f t="shared" si="234"/>
        <v>#REF!</v>
      </c>
      <c r="AB456" s="1669" t="e">
        <f t="shared" si="234"/>
        <v>#REF!</v>
      </c>
      <c r="AC456" s="1669" t="e">
        <f t="shared" si="234"/>
        <v>#REF!</v>
      </c>
      <c r="AD456" s="1669" t="e">
        <f t="shared" si="234"/>
        <v>#REF!</v>
      </c>
      <c r="AE456" s="1669" t="e">
        <f t="shared" si="234"/>
        <v>#REF!</v>
      </c>
      <c r="AF456" s="1669" t="e">
        <f t="shared" si="234"/>
        <v>#REF!</v>
      </c>
      <c r="AG456" s="1669" t="e">
        <f t="shared" si="234"/>
        <v>#REF!</v>
      </c>
      <c r="AH456" s="1669" t="e">
        <f t="shared" si="234"/>
        <v>#REF!</v>
      </c>
    </row>
    <row r="457" spans="1:34" ht="62.1" customHeight="1" x14ac:dyDescent="0.5">
      <c r="A457" s="1672"/>
      <c r="B457" s="1672"/>
      <c r="C457" s="1672"/>
      <c r="J457" s="4264" t="s">
        <v>304</v>
      </c>
      <c r="K457" s="4264"/>
      <c r="L457" s="4264"/>
      <c r="M457" s="4264" t="s">
        <v>453</v>
      </c>
      <c r="N457" s="4264"/>
      <c r="O457" s="4264"/>
      <c r="P457" s="4510" t="s">
        <v>449</v>
      </c>
      <c r="Q457" s="4510"/>
      <c r="R457" s="4510"/>
      <c r="S457" s="4510"/>
      <c r="T457" s="4510"/>
      <c r="U457" s="4510"/>
      <c r="V457" s="4510"/>
      <c r="Z457" s="4253" t="s">
        <v>191</v>
      </c>
      <c r="AA457" s="4253"/>
      <c r="AB457" s="4253"/>
      <c r="AC457" s="4253" t="s">
        <v>464</v>
      </c>
      <c r="AD457" s="4253"/>
      <c r="AE457" s="4253"/>
      <c r="AF457" s="4253" t="s">
        <v>465</v>
      </c>
      <c r="AG457" s="4253"/>
      <c r="AH457" s="4253"/>
    </row>
    <row r="458" spans="1:34" ht="62.1" customHeight="1" x14ac:dyDescent="0.45">
      <c r="A458" s="1672"/>
      <c r="B458" s="1672"/>
      <c r="C458" s="1672"/>
      <c r="J458" s="1641" t="s">
        <v>287</v>
      </c>
      <c r="K458" s="1641" t="s">
        <v>450</v>
      </c>
      <c r="L458" s="1641" t="s">
        <v>288</v>
      </c>
      <c r="M458" s="1641" t="s">
        <v>287</v>
      </c>
      <c r="N458" s="1641" t="s">
        <v>450</v>
      </c>
      <c r="O458" s="1641" t="s">
        <v>288</v>
      </c>
      <c r="P458" s="1515" t="s">
        <v>287</v>
      </c>
      <c r="Q458" s="1515" t="s">
        <v>289</v>
      </c>
      <c r="R458" s="1515"/>
      <c r="S458" s="1515"/>
      <c r="T458" s="1515"/>
      <c r="U458" s="1515"/>
      <c r="V458" s="1515" t="s">
        <v>288</v>
      </c>
      <c r="Z458" s="1515" t="s">
        <v>5</v>
      </c>
      <c r="AA458" s="1515" t="s">
        <v>6</v>
      </c>
      <c r="AB458" s="1515" t="s">
        <v>7</v>
      </c>
      <c r="AC458" s="1515" t="s">
        <v>5</v>
      </c>
      <c r="AD458" s="1515" t="s">
        <v>6</v>
      </c>
      <c r="AE458" s="1515" t="s">
        <v>7</v>
      </c>
      <c r="AF458" s="1515" t="s">
        <v>5</v>
      </c>
      <c r="AG458" s="1515" t="s">
        <v>6</v>
      </c>
      <c r="AH458" s="1515" t="s">
        <v>7</v>
      </c>
    </row>
    <row r="459" spans="1:34" ht="62.1" customHeight="1" x14ac:dyDescent="0.45">
      <c r="A459" s="4264" t="s">
        <v>431</v>
      </c>
      <c r="B459" s="4264"/>
      <c r="C459" s="4264"/>
      <c r="D459" s="4264"/>
      <c r="E459" s="4264"/>
      <c r="F459" s="4278"/>
      <c r="G459" s="4278"/>
      <c r="H459" s="4278"/>
      <c r="I459" s="4278"/>
      <c r="J459" s="1673" t="e">
        <f t="shared" ref="J459:O459" ca="1" si="235">+I420+J430+J440+J452+J456</f>
        <v>#REF!</v>
      </c>
      <c r="K459" s="1673" t="e">
        <f t="shared" ca="1" si="235"/>
        <v>#REF!</v>
      </c>
      <c r="L459" s="1673" t="e">
        <f t="shared" ca="1" si="235"/>
        <v>#REF!</v>
      </c>
      <c r="M459" s="1673" t="e">
        <f t="shared" ca="1" si="235"/>
        <v>#REF!</v>
      </c>
      <c r="N459" s="1673" t="e">
        <f t="shared" ca="1" si="235"/>
        <v>#REF!</v>
      </c>
      <c r="O459" s="1673" t="e">
        <f t="shared" ca="1" si="235"/>
        <v>#REF!</v>
      </c>
      <c r="P459" s="1673" t="e">
        <f ca="1">+J459+M459</f>
        <v>#REF!</v>
      </c>
      <c r="Q459" s="1673" t="e">
        <f ca="1">+K459+N459</f>
        <v>#REF!</v>
      </c>
      <c r="R459" s="1673"/>
      <c r="S459" s="1673"/>
      <c r="T459" s="1673"/>
      <c r="U459" s="1673"/>
      <c r="V459" s="1673" t="e">
        <f ca="1">+L459+O459</f>
        <v>#REF!</v>
      </c>
      <c r="Z459" s="1548" t="e">
        <f ca="1">+Z456+Z452+Z440+Z430+Z420</f>
        <v>#REF!</v>
      </c>
      <c r="AA459" s="1548" t="e">
        <f t="shared" ref="AA459:AH459" ca="1" si="236">+AA456+AA452+AA440+AA430+AA420</f>
        <v>#REF!</v>
      </c>
      <c r="AB459" s="1548" t="e">
        <f t="shared" ca="1" si="236"/>
        <v>#REF!</v>
      </c>
      <c r="AC459" s="1548" t="e">
        <f t="shared" ca="1" si="236"/>
        <v>#REF!</v>
      </c>
      <c r="AD459" s="1548" t="e">
        <f t="shared" ca="1" si="236"/>
        <v>#REF!</v>
      </c>
      <c r="AE459" s="1548" t="e">
        <f t="shared" ca="1" si="236"/>
        <v>#REF!</v>
      </c>
      <c r="AF459" s="1548" t="e">
        <f t="shared" ca="1" si="236"/>
        <v>#REF!</v>
      </c>
      <c r="AG459" s="1548" t="e">
        <f t="shared" ca="1" si="236"/>
        <v>#REF!</v>
      </c>
      <c r="AH459" s="1548" t="e">
        <f t="shared" ca="1" si="236"/>
        <v>#REF!</v>
      </c>
    </row>
    <row r="460" spans="1:34" ht="62.1" customHeight="1" x14ac:dyDescent="0.45">
      <c r="A460" s="1641"/>
      <c r="B460" s="1641"/>
      <c r="C460" s="1641"/>
      <c r="D460" s="1641"/>
      <c r="E460" s="1641"/>
      <c r="F460" s="1641"/>
      <c r="G460" s="1641"/>
      <c r="H460" s="1641"/>
      <c r="I460" s="1641"/>
      <c r="J460" s="4395" t="s">
        <v>449</v>
      </c>
      <c r="K460" s="4323"/>
      <c r="L460" s="4396"/>
      <c r="Z460" s="4395" t="s">
        <v>449</v>
      </c>
      <c r="AA460" s="4323"/>
      <c r="AB460" s="4396"/>
    </row>
    <row r="461" spans="1:34" ht="62.1" customHeight="1" x14ac:dyDescent="0.45">
      <c r="A461" s="4264" t="s">
        <v>431</v>
      </c>
      <c r="B461" s="4264"/>
      <c r="C461" s="4264"/>
      <c r="D461" s="4264"/>
      <c r="E461" s="4264"/>
      <c r="F461" s="4264"/>
      <c r="G461" s="4264"/>
      <c r="H461" s="4264"/>
      <c r="I461" s="4264"/>
      <c r="J461" s="1674" t="e">
        <f ca="1">+J459+M459</f>
        <v>#REF!</v>
      </c>
      <c r="K461" s="1674" t="e">
        <f ca="1">+K459+N459</f>
        <v>#REF!</v>
      </c>
      <c r="L461" s="1674" t="e">
        <f ca="1">+L459+O459</f>
        <v>#REF!</v>
      </c>
      <c r="M461" s="1707" t="e">
        <f ca="1">+M459/J459</f>
        <v>#REF!</v>
      </c>
      <c r="N461" s="1707" t="e">
        <f ca="1">+N459/K459</f>
        <v>#REF!</v>
      </c>
      <c r="O461" s="1653">
        <v>574588</v>
      </c>
      <c r="Z461" s="1674" t="e">
        <f ca="1">+Z459+AC459</f>
        <v>#REF!</v>
      </c>
      <c r="AA461" s="1674" t="e">
        <f ca="1">+AA459+AD459</f>
        <v>#REF!</v>
      </c>
      <c r="AB461" s="1674" t="e">
        <f ca="1">+AB459+AE459</f>
        <v>#REF!</v>
      </c>
      <c r="AC461" s="1573" t="e">
        <f ca="1">SUM(Z461:AB461)</f>
        <v>#REF!</v>
      </c>
    </row>
    <row r="462" spans="1:34" ht="62.1" customHeight="1" x14ac:dyDescent="0.45">
      <c r="A462" s="4264" t="s">
        <v>433</v>
      </c>
      <c r="B462" s="4264"/>
      <c r="C462" s="4264"/>
      <c r="D462" s="4264"/>
      <c r="E462" s="4264"/>
      <c r="F462" s="4264"/>
      <c r="G462" s="4264"/>
      <c r="H462" s="4264"/>
      <c r="I462" s="4264"/>
      <c r="J462" s="1675">
        <f>+'Compra -HOJA1'!G10</f>
        <v>0</v>
      </c>
      <c r="K462" s="1675">
        <f>+'Compra -HOJA1'!I10</f>
        <v>0</v>
      </c>
      <c r="L462" s="1675">
        <f>+'Compra -HOJA1'!H10</f>
        <v>0</v>
      </c>
      <c r="M462" s="1573"/>
      <c r="N462" s="1573"/>
      <c r="O462" s="1653" t="e">
        <f ca="1">+L461-O461</f>
        <v>#REF!</v>
      </c>
      <c r="Z462" s="1675">
        <f>+J462</f>
        <v>0</v>
      </c>
      <c r="AA462" s="1675">
        <f>+L462</f>
        <v>0</v>
      </c>
      <c r="AB462" s="1675">
        <f>+K462</f>
        <v>0</v>
      </c>
      <c r="AC462" s="1573">
        <f>SUM(Z462:AB462)</f>
        <v>0</v>
      </c>
      <c r="AD462" s="1573" t="e">
        <f ca="1">+AC462-AC461</f>
        <v>#REF!</v>
      </c>
    </row>
    <row r="463" spans="1:34" ht="62.1" customHeight="1" x14ac:dyDescent="0.45">
      <c r="A463" s="1676"/>
      <c r="B463" s="1676"/>
      <c r="C463" s="1676"/>
      <c r="Y463" s="1489" t="s">
        <v>477</v>
      </c>
      <c r="Z463" s="1592" t="e">
        <f ca="1">+'Compra -HOJA1'!F285+'Compra -HOJA1'!F67+'Compra -HOJA1'!F52+'Compra -HOJA1'!#REF!+'Compra -HOJA1'!F51+'Compra -HOJA1'!F50+'Compra -HOJA1'!F49+'Compra -HOJA1'!F48+'Compra -HOJA1'!F44+'Compra -HOJA1'!#REF!+'Compra -HOJA1'!F43+'Compra -HOJA1'!F42+'Compra -HOJA1'!F41+'Compra -HOJA1'!F40+'Compra -HOJA1'!F37+'Compra -HOJA1'!F36+'Compra -HOJA1'!F28+'Compra -HOJA1'!F25</f>
        <v>#REF!</v>
      </c>
      <c r="AA463" s="1573" t="e">
        <f ca="1">+Z459+AA459+AB459</f>
        <v>#REF!</v>
      </c>
      <c r="AC463" s="1573" t="e">
        <f ca="1">+AC459+AD459+AE459</f>
        <v>#REF!</v>
      </c>
      <c r="AD463" s="1592">
        <f ca="1">+'Compra -HOJA1'!L29+'Compra -HOJA1'!M29+'Compra -HOJA1'!N29+'Compra -HOJA1'!L38+'Compra -HOJA1'!M38+'Compra -HOJA1'!N38+'Compra -HOJA1'!L45+'Compra -HOJA1'!M45+'Compra -HOJA1'!N45+'Compra -HOJA1'!L53+'Compra -HOJA1'!M53+'Compra -HOJA1'!N53+'Compra -HOJA1'!K67+'Compra -HOJA1'!L67+'Compra -HOJA1'!M67+'Compra -HOJA1'!L392+'Compra -HOJA1'!M392+'Compra -HOJA1'!N392</f>
        <v>0</v>
      </c>
      <c r="AE463" s="1573" t="e">
        <f ca="1">+Z463+AC463</f>
        <v>#REF!</v>
      </c>
    </row>
    <row r="464" spans="1:34" ht="62.1" customHeight="1" x14ac:dyDescent="0.45">
      <c r="A464" s="1676"/>
      <c r="B464" s="1676"/>
      <c r="C464" s="1676"/>
      <c r="D464" s="1489" t="s">
        <v>435</v>
      </c>
      <c r="J464" s="1573" t="e">
        <f ca="1">IF((J462-J461)=0,"O.K.","VERIFICAR¨")</f>
        <v>#REF!</v>
      </c>
      <c r="K464" s="1573" t="e">
        <f ca="1">IF((K462-K461)=0,"O.K.","VERIFICAR¨")</f>
        <v>#REF!</v>
      </c>
      <c r="L464" s="1573" t="e">
        <f ca="1">IF((L462-L461)=0,"O.K.","VERIFICAR¨")</f>
        <v>#REF!</v>
      </c>
    </row>
    <row r="465" spans="1:34" ht="62.1" customHeight="1" x14ac:dyDescent="0.45">
      <c r="A465" s="1677"/>
      <c r="B465" s="1677"/>
      <c r="C465" s="1677"/>
      <c r="J465" s="1708" t="e">
        <f ca="1">+J462-J461</f>
        <v>#REF!</v>
      </c>
      <c r="K465" s="1708" t="e">
        <f ca="1">+K462-K461</f>
        <v>#REF!</v>
      </c>
      <c r="L465" s="1708" t="e">
        <f ca="1">+L462-L461</f>
        <v>#REF!</v>
      </c>
      <c r="M465" s="2221" t="e">
        <f ca="1">SUM(J465:L465)</f>
        <v>#REF!</v>
      </c>
      <c r="W465" s="1489" t="s">
        <v>157</v>
      </c>
      <c r="Z465" s="1610">
        <v>156746.49797894555</v>
      </c>
      <c r="AA465" s="1610">
        <v>309925.00195551571</v>
      </c>
      <c r="AB465" s="1610">
        <v>119409.50006553871</v>
      </c>
      <c r="AC465" s="1709">
        <v>10627.412562972509</v>
      </c>
      <c r="AD465" s="1709">
        <v>21012.915132583963</v>
      </c>
      <c r="AE465" s="1709">
        <v>8095.9641044435248</v>
      </c>
      <c r="AF465" s="1610">
        <f>SUM(Z465:AE465)</f>
        <v>625817.29180000001</v>
      </c>
      <c r="AG465" s="1489">
        <v>330937.91708809964</v>
      </c>
      <c r="AH465" s="1489">
        <v>127505.46416998224</v>
      </c>
    </row>
    <row r="466" spans="1:34" ht="62.1" customHeight="1" x14ac:dyDescent="0.45">
      <c r="A466" s="1677"/>
      <c r="B466" s="1677"/>
      <c r="C466" s="1677"/>
      <c r="J466" s="1573"/>
      <c r="K466" s="1573"/>
      <c r="L466" s="1573"/>
      <c r="W466" s="1489" t="s">
        <v>158</v>
      </c>
      <c r="Z466" s="1610">
        <v>132079.20000000001</v>
      </c>
      <c r="AA466" s="1610">
        <v>48028.799999999996</v>
      </c>
      <c r="AB466" s="1610">
        <v>220132.00000000003</v>
      </c>
      <c r="AC466" s="1709">
        <v>8954.96976</v>
      </c>
      <c r="AD466" s="1709">
        <v>3256.3526399999996</v>
      </c>
      <c r="AE466" s="1709">
        <v>14924.949600000002</v>
      </c>
      <c r="AF466" s="1610">
        <f>SUM(Z466:AE466)</f>
        <v>427376.272</v>
      </c>
      <c r="AG466" s="1489">
        <v>51285.152639999993</v>
      </c>
      <c r="AH466" s="1489">
        <v>235056.94960000002</v>
      </c>
    </row>
    <row r="467" spans="1:34" ht="62.1" customHeight="1" x14ac:dyDescent="0.45">
      <c r="A467" s="1677"/>
      <c r="B467" s="1677"/>
      <c r="C467" s="1677"/>
      <c r="J467" s="1573"/>
      <c r="K467" s="1573"/>
      <c r="L467" s="1573"/>
      <c r="W467" s="1489" t="s">
        <v>21</v>
      </c>
      <c r="Z467" s="1710">
        <f>+'Compra -HOJA1'!I379</f>
        <v>0</v>
      </c>
      <c r="AA467" s="1710">
        <f>+'Compra -HOJA1'!J379</f>
        <v>0</v>
      </c>
      <c r="AB467" s="1710">
        <f>+'Compra -HOJA1'!K379</f>
        <v>0</v>
      </c>
      <c r="AC467" s="1711">
        <f ca="1">+'Compra -HOJA1'!L379</f>
        <v>0</v>
      </c>
      <c r="AD467" s="1711">
        <f ca="1">+'Compra -HOJA1'!M379</f>
        <v>0</v>
      </c>
      <c r="AE467" s="1711">
        <f ca="1">+'Compra -HOJA1'!N379</f>
        <v>0</v>
      </c>
      <c r="AF467" s="1610">
        <f ca="1">SUM(Z467:AE467)</f>
        <v>0</v>
      </c>
    </row>
    <row r="468" spans="1:34" ht="62.1" customHeight="1" x14ac:dyDescent="0.45">
      <c r="D468" s="1597" t="s">
        <v>478</v>
      </c>
      <c r="E468" s="1597"/>
      <c r="F468" s="1597"/>
      <c r="G468" s="1597"/>
      <c r="H468" s="1597"/>
      <c r="I468" s="1597"/>
      <c r="J468" s="1597"/>
      <c r="K468" s="1597"/>
      <c r="L468" s="1597"/>
      <c r="W468" s="1489" t="s">
        <v>71</v>
      </c>
      <c r="Z468" s="1710">
        <f>+'Compra -HOJA1'!I381</f>
        <v>0</v>
      </c>
      <c r="AA468" s="1710">
        <f>+'Compra -HOJA1'!J381</f>
        <v>0</v>
      </c>
      <c r="AB468" s="1710">
        <f>+'Compra -HOJA1'!K381</f>
        <v>0</v>
      </c>
      <c r="AC468" s="1711">
        <f ca="1">+'Compra -HOJA1'!L381</f>
        <v>0</v>
      </c>
      <c r="AD468" s="1711">
        <f ca="1">+'Compra -HOJA1'!M381</f>
        <v>0</v>
      </c>
      <c r="AE468" s="1711">
        <f ca="1">+'Compra -HOJA1'!N381</f>
        <v>0</v>
      </c>
      <c r="AF468" s="1610">
        <f ca="1">SUM(Z468:AE468)</f>
        <v>0</v>
      </c>
    </row>
    <row r="469" spans="1:34" ht="62.1" customHeight="1" x14ac:dyDescent="0.45">
      <c r="D469" s="1597"/>
      <c r="E469" s="1597"/>
      <c r="F469" s="1597"/>
      <c r="G469" s="1597"/>
      <c r="H469" s="1597"/>
      <c r="I469" s="1597"/>
      <c r="J469" s="1597"/>
      <c r="K469" s="1597"/>
      <c r="L469" s="1597"/>
      <c r="W469" s="1489">
        <v>5000</v>
      </c>
      <c r="Z469" s="1710">
        <f>+SUM('Compra -HOJA1'!I290:I371)</f>
        <v>0</v>
      </c>
      <c r="AA469" s="1710">
        <f>+SUM('Compra -HOJA1'!J290:J371)</f>
        <v>0</v>
      </c>
      <c r="AB469" s="1710">
        <f>+SUM('Compra -HOJA1'!K290:K371)</f>
        <v>0</v>
      </c>
      <c r="AC469" s="1711">
        <f ca="1">+SUM('Compra -HOJA1'!L290:L371)</f>
        <v>0</v>
      </c>
      <c r="AD469" s="1711">
        <f ca="1">+SUM('Compra -HOJA1'!M290:M371)</f>
        <v>0</v>
      </c>
      <c r="AE469" s="1711">
        <f ca="1">+SUM('Compra -HOJA1'!N290:N371)</f>
        <v>0</v>
      </c>
      <c r="AF469" s="1610">
        <f ca="1">SUM(Z469:AE469)</f>
        <v>0</v>
      </c>
    </row>
    <row r="470" spans="1:34" ht="62.1" customHeight="1" x14ac:dyDescent="0.5">
      <c r="A470" s="1676"/>
      <c r="B470" s="1676"/>
      <c r="C470" s="1676"/>
      <c r="D470" s="1597"/>
      <c r="E470" s="1597"/>
      <c r="F470" s="1597"/>
      <c r="G470" s="1597"/>
      <c r="H470" s="1597"/>
      <c r="I470" s="1597"/>
      <c r="J470" s="1597"/>
      <c r="K470" s="1597"/>
      <c r="L470" s="1597"/>
      <c r="AF470" s="1504">
        <f ca="1">SUM(AF465:AF469)</f>
        <v>1053193.5638000001</v>
      </c>
      <c r="AG470" s="1573">
        <f>+'Compra -HOJA1'!F10</f>
        <v>0</v>
      </c>
      <c r="AH470" s="1573">
        <f ca="1">+AF470-AG470</f>
        <v>1053193.5638000001</v>
      </c>
    </row>
    <row r="471" spans="1:34" ht="62.1" customHeight="1" x14ac:dyDescent="0.45"/>
    <row r="472" spans="1:34" ht="62.1" customHeight="1" x14ac:dyDescent="0.45">
      <c r="A472" s="1640" t="s">
        <v>479</v>
      </c>
      <c r="B472" s="1640"/>
      <c r="C472" s="1640"/>
    </row>
    <row r="473" spans="1:34" ht="62.1" customHeight="1" x14ac:dyDescent="0.45">
      <c r="W473" s="1489" t="s">
        <v>157</v>
      </c>
      <c r="Z473" s="1573">
        <f t="shared" ref="Z473:AE473" si="237">+Z428+Z438</f>
        <v>0</v>
      </c>
      <c r="AA473" s="1573">
        <f t="shared" si="237"/>
        <v>0</v>
      </c>
      <c r="AB473" s="1573">
        <f t="shared" si="237"/>
        <v>0</v>
      </c>
      <c r="AC473" s="1711">
        <f t="shared" si="237"/>
        <v>0</v>
      </c>
      <c r="AD473" s="1711">
        <f t="shared" si="237"/>
        <v>0</v>
      </c>
      <c r="AE473" s="1711">
        <f t="shared" si="237"/>
        <v>0</v>
      </c>
      <c r="AF473" s="1712">
        <f>SUM(Z473:AE473)</f>
        <v>0</v>
      </c>
    </row>
    <row r="474" spans="1:34" ht="62.1" customHeight="1" x14ac:dyDescent="0.45">
      <c r="W474" s="1489" t="s">
        <v>158</v>
      </c>
      <c r="Z474" s="1490">
        <f t="shared" ref="Z474:AE474" si="238">+Z418</f>
        <v>0</v>
      </c>
      <c r="AA474" s="1490">
        <f t="shared" si="238"/>
        <v>0</v>
      </c>
      <c r="AB474" s="1490">
        <f t="shared" si="238"/>
        <v>0</v>
      </c>
      <c r="AC474" s="1713">
        <f t="shared" si="238"/>
        <v>0</v>
      </c>
      <c r="AD474" s="1713">
        <f t="shared" si="238"/>
        <v>0</v>
      </c>
      <c r="AE474" s="1713">
        <f t="shared" si="238"/>
        <v>0</v>
      </c>
      <c r="AF474" s="1712">
        <f>SUM(Z474:AE474)</f>
        <v>0</v>
      </c>
    </row>
    <row r="475" spans="1:34" ht="62.1" customHeight="1" x14ac:dyDescent="0.45">
      <c r="W475" s="1489" t="s">
        <v>21</v>
      </c>
      <c r="Z475" s="1714">
        <f t="shared" ref="Z475:AE476" si="239">+Z416</f>
        <v>0</v>
      </c>
      <c r="AA475" s="1714">
        <f t="shared" si="239"/>
        <v>0</v>
      </c>
      <c r="AB475" s="1714">
        <f t="shared" si="239"/>
        <v>0</v>
      </c>
      <c r="AC475" s="1715">
        <f t="shared" si="239"/>
        <v>0</v>
      </c>
      <c r="AD475" s="1715">
        <f t="shared" si="239"/>
        <v>0</v>
      </c>
      <c r="AE475" s="1715">
        <f t="shared" si="239"/>
        <v>0</v>
      </c>
      <c r="AF475" s="1712">
        <f>SUM(Z475:AE475)</f>
        <v>0</v>
      </c>
    </row>
    <row r="476" spans="1:34" ht="62.1" customHeight="1" x14ac:dyDescent="0.45">
      <c r="W476" s="1489" t="s">
        <v>71</v>
      </c>
      <c r="Z476" s="1714">
        <f t="shared" si="239"/>
        <v>0</v>
      </c>
      <c r="AA476" s="1714">
        <f t="shared" si="239"/>
        <v>0</v>
      </c>
      <c r="AB476" s="1714">
        <f t="shared" si="239"/>
        <v>0</v>
      </c>
      <c r="AC476" s="1715">
        <f t="shared" si="239"/>
        <v>0</v>
      </c>
      <c r="AD476" s="1715">
        <f t="shared" si="239"/>
        <v>0</v>
      </c>
      <c r="AE476" s="1715">
        <f t="shared" si="239"/>
        <v>0</v>
      </c>
      <c r="AF476" s="1712">
        <f>SUM(Z476:AE476)</f>
        <v>0</v>
      </c>
    </row>
    <row r="477" spans="1:34" ht="62.1" customHeight="1" x14ac:dyDescent="0.45">
      <c r="W477" s="1489">
        <v>5000</v>
      </c>
      <c r="Z477" s="1714" t="e">
        <f t="shared" ref="Z477:AE477" si="240">+SUM(Z346:Z415)</f>
        <v>#REF!</v>
      </c>
      <c r="AA477" s="1714" t="e">
        <f t="shared" si="240"/>
        <v>#REF!</v>
      </c>
      <c r="AB477" s="1714" t="e">
        <f t="shared" si="240"/>
        <v>#REF!</v>
      </c>
      <c r="AC477" s="1714" t="e">
        <f t="shared" ca="1" si="240"/>
        <v>#REF!</v>
      </c>
      <c r="AD477" s="1714" t="e">
        <f t="shared" ca="1" si="240"/>
        <v>#REF!</v>
      </c>
      <c r="AE477" s="1714" t="e">
        <f t="shared" ca="1" si="240"/>
        <v>#REF!</v>
      </c>
      <c r="AF477" s="1712" t="e">
        <f>SUM(Z477:AE477)</f>
        <v>#REF!</v>
      </c>
    </row>
    <row r="478" spans="1:34" ht="62.1" customHeight="1" x14ac:dyDescent="0.5">
      <c r="Z478" s="1716" t="e">
        <f t="shared" ref="Z478:AE478" si="241">SUM(Z475:Z477)</f>
        <v>#REF!</v>
      </c>
      <c r="AA478" s="1716" t="e">
        <f t="shared" si="241"/>
        <v>#REF!</v>
      </c>
      <c r="AB478" s="1716" t="e">
        <f t="shared" si="241"/>
        <v>#REF!</v>
      </c>
      <c r="AC478" s="1716" t="e">
        <f t="shared" ca="1" si="241"/>
        <v>#REF!</v>
      </c>
      <c r="AD478" s="1716" t="e">
        <f t="shared" ca="1" si="241"/>
        <v>#REF!</v>
      </c>
      <c r="AE478" s="1716" t="e">
        <f t="shared" ca="1" si="241"/>
        <v>#REF!</v>
      </c>
      <c r="AF478" s="1712" t="e">
        <f>SUM(AF473:AF477)</f>
        <v>#REF!</v>
      </c>
      <c r="AG478" s="1573">
        <f>+AG470</f>
        <v>0</v>
      </c>
      <c r="AH478" s="1573" t="e">
        <f>+AF478-AG478</f>
        <v>#REF!</v>
      </c>
    </row>
    <row r="479" spans="1:34" ht="62.1" customHeight="1" x14ac:dyDescent="0.45"/>
    <row r="480" spans="1:34" ht="62.1" customHeight="1" x14ac:dyDescent="0.45">
      <c r="W480" s="5047" t="s">
        <v>480</v>
      </c>
      <c r="X480" s="5047"/>
      <c r="Y480" s="5047"/>
      <c r="Z480" s="5047"/>
      <c r="AA480" s="5047"/>
      <c r="AB480" s="5047"/>
      <c r="AC480" s="5047"/>
      <c r="AD480" s="5047"/>
      <c r="AE480" s="5047"/>
      <c r="AF480" s="5047"/>
    </row>
    <row r="481" spans="15:32" ht="62.1" customHeight="1" x14ac:dyDescent="0.5">
      <c r="W481" s="1519" t="s">
        <v>157</v>
      </c>
      <c r="X481" s="1717"/>
      <c r="Y481" s="1717"/>
      <c r="Z481" s="1573">
        <f>+'Compra -HOJA1'!H75</f>
        <v>0</v>
      </c>
      <c r="AA481" s="1573">
        <f>+'Compra -HOJA1'!I75</f>
        <v>0</v>
      </c>
      <c r="AB481" s="1573">
        <f>+'Compra -HOJA1'!J75</f>
        <v>0</v>
      </c>
      <c r="AC481" s="1573">
        <f>+'Compra -HOJA1'!K75</f>
        <v>0</v>
      </c>
      <c r="AD481" s="1573">
        <f>+'Compra -HOJA1'!L75</f>
        <v>0</v>
      </c>
      <c r="AE481" s="1573">
        <f>+'Compra -HOJA1'!M75</f>
        <v>0</v>
      </c>
    </row>
    <row r="482" spans="15:32" ht="62.1" customHeight="1" x14ac:dyDescent="0.5">
      <c r="O482" s="1489"/>
      <c r="P482" s="1489"/>
      <c r="Q482" s="1489"/>
      <c r="R482" s="1489"/>
      <c r="S482" s="1489"/>
      <c r="T482" s="1489"/>
      <c r="U482" s="1489"/>
      <c r="W482" s="1519" t="s">
        <v>158</v>
      </c>
      <c r="X482" s="1717"/>
      <c r="Y482" s="1717"/>
      <c r="Z482" s="1573">
        <f>+'Compra -HOJA1'!H76</f>
        <v>0</v>
      </c>
      <c r="AA482" s="1573">
        <f>+'Compra -HOJA1'!I76</f>
        <v>0</v>
      </c>
      <c r="AB482" s="1573">
        <f>+'Compra -HOJA1'!J76</f>
        <v>0</v>
      </c>
      <c r="AC482" s="1573">
        <f>+'Compra -HOJA1'!K76</f>
        <v>0</v>
      </c>
      <c r="AD482" s="1573">
        <f>+'Compra -HOJA1'!L76</f>
        <v>0</v>
      </c>
      <c r="AE482" s="1573">
        <f>+'Compra -HOJA1'!M76</f>
        <v>0</v>
      </c>
    </row>
    <row r="483" spans="15:32" ht="62.1" customHeight="1" x14ac:dyDescent="0.5">
      <c r="O483" s="1489"/>
      <c r="P483" s="1489"/>
      <c r="Q483" s="1489"/>
      <c r="R483" s="1489"/>
      <c r="S483" s="1489"/>
      <c r="T483" s="1489"/>
      <c r="U483" s="1489"/>
      <c r="W483" s="1519" t="s">
        <v>481</v>
      </c>
      <c r="X483" s="1717"/>
      <c r="Y483" s="1717"/>
      <c r="Z483" s="1573">
        <f ca="1">+'Compra -HOJA1'!I392</f>
        <v>0</v>
      </c>
      <c r="AA483" s="1573">
        <f ca="1">+'Compra -HOJA1'!J392</f>
        <v>0</v>
      </c>
      <c r="AB483" s="1573">
        <f ca="1">+'Compra -HOJA1'!K392</f>
        <v>0</v>
      </c>
      <c r="AC483" s="1573">
        <f ca="1">+'Compra -HOJA1'!L392</f>
        <v>0</v>
      </c>
      <c r="AD483" s="1573">
        <f ca="1">+'Compra -HOJA1'!M392</f>
        <v>0</v>
      </c>
      <c r="AE483" s="1573">
        <f ca="1">+'Compra -HOJA1'!N392</f>
        <v>0</v>
      </c>
    </row>
    <row r="484" spans="15:32" ht="62.1" customHeight="1" x14ac:dyDescent="0.45">
      <c r="O484" s="1489"/>
      <c r="P484" s="1489"/>
      <c r="Q484" s="1489"/>
      <c r="R484" s="1489"/>
      <c r="S484" s="1489"/>
      <c r="T484" s="1489"/>
      <c r="U484" s="1489"/>
      <c r="Z484" s="1573">
        <f t="shared" ref="Z484:AE484" ca="1" si="242">SUM(Z481:Z483)</f>
        <v>0</v>
      </c>
      <c r="AA484" s="1573">
        <f t="shared" ca="1" si="242"/>
        <v>0</v>
      </c>
      <c r="AB484" s="1573">
        <f t="shared" ca="1" si="242"/>
        <v>0</v>
      </c>
      <c r="AC484" s="1573">
        <f t="shared" ca="1" si="242"/>
        <v>0</v>
      </c>
      <c r="AD484" s="1573">
        <f t="shared" ca="1" si="242"/>
        <v>0</v>
      </c>
      <c r="AE484" s="1573">
        <f t="shared" ca="1" si="242"/>
        <v>0</v>
      </c>
    </row>
    <row r="485" spans="15:32" ht="62.1" customHeight="1" x14ac:dyDescent="0.45"/>
    <row r="486" spans="15:32" ht="62.1" customHeight="1" x14ac:dyDescent="0.45">
      <c r="O486" s="1489"/>
      <c r="P486" s="1489"/>
      <c r="Q486" s="1489"/>
      <c r="R486" s="1489"/>
      <c r="S486" s="1489"/>
      <c r="T486" s="1489"/>
      <c r="U486" s="1489"/>
      <c r="Z486" s="1718">
        <f ca="1">+Z484+AC484</f>
        <v>0</v>
      </c>
      <c r="AA486" s="1718">
        <f ca="1">+AA484+AD484</f>
        <v>0</v>
      </c>
      <c r="AB486" s="1718">
        <f ca="1">+AB484+AE484</f>
        <v>0</v>
      </c>
      <c r="AC486" s="1711" t="e">
        <f ca="1">+AC478-AC483</f>
        <v>#REF!</v>
      </c>
      <c r="AD486" s="1711" t="e">
        <f ca="1">+AD478-AD483</f>
        <v>#REF!</v>
      </c>
      <c r="AE486" s="1711" t="e">
        <f ca="1">+AE478-AE483</f>
        <v>#REF!</v>
      </c>
      <c r="AF486" s="1573" t="e">
        <f ca="1">SUM(AC486:AE486)</f>
        <v>#REF!</v>
      </c>
    </row>
    <row r="487" spans="15:32" x14ac:dyDescent="0.45">
      <c r="O487" s="1489"/>
      <c r="P487" s="1489"/>
      <c r="Q487" s="1489"/>
      <c r="R487" s="1489"/>
      <c r="S487" s="1489"/>
      <c r="T487" s="1489"/>
      <c r="U487" s="1489"/>
      <c r="Z487" s="1573">
        <f>+'Compra -HOJA1'!G10</f>
        <v>0</v>
      </c>
      <c r="AA487" s="1573">
        <f>+'Compra -HOJA1'!H10</f>
        <v>0</v>
      </c>
      <c r="AB487" s="1573">
        <f>+'Compra -HOJA1'!I10</f>
        <v>0</v>
      </c>
    </row>
    <row r="497" s="1489" customFormat="1" x14ac:dyDescent="0.45"/>
    <row r="498" s="1489" customFormat="1" x14ac:dyDescent="0.45"/>
    <row r="499" s="1489" customFormat="1" x14ac:dyDescent="0.45"/>
    <row r="500" s="1489" customFormat="1" x14ac:dyDescent="0.45"/>
    <row r="501" s="1489" customFormat="1" x14ac:dyDescent="0.45"/>
    <row r="502" s="1489" customFormat="1" x14ac:dyDescent="0.45"/>
    <row r="503" s="1489" customFormat="1" x14ac:dyDescent="0.45"/>
    <row r="504" s="1489" customFormat="1" x14ac:dyDescent="0.45"/>
    <row r="505" s="1489" customFormat="1" x14ac:dyDescent="0.45"/>
    <row r="506" s="1489" customFormat="1" x14ac:dyDescent="0.45"/>
    <row r="507" s="1489" customFormat="1" x14ac:dyDescent="0.45"/>
    <row r="508" s="1489" customFormat="1" x14ac:dyDescent="0.45"/>
    <row r="509" s="1489" customFormat="1" x14ac:dyDescent="0.45"/>
    <row r="510" s="1489" customFormat="1" x14ac:dyDescent="0.45"/>
    <row r="511" s="1489" customFormat="1" x14ac:dyDescent="0.45"/>
    <row r="512" s="1489" customFormat="1" x14ac:dyDescent="0.45"/>
    <row r="513" s="1489" customFormat="1" x14ac:dyDescent="0.45"/>
    <row r="514" s="1489" customFormat="1" x14ac:dyDescent="0.45"/>
    <row r="515" s="1489" customFormat="1" x14ac:dyDescent="0.45"/>
    <row r="516" s="1489" customFormat="1" x14ac:dyDescent="0.45"/>
    <row r="517" s="1489" customFormat="1" x14ac:dyDescent="0.45"/>
    <row r="518" s="1489" customFormat="1" x14ac:dyDescent="0.45"/>
    <row r="519" s="1489" customFormat="1" x14ac:dyDescent="0.45"/>
    <row r="520" s="1489" customFormat="1" x14ac:dyDescent="0.45"/>
    <row r="521" s="1489" customFormat="1" x14ac:dyDescent="0.45"/>
    <row r="522" s="1489" customFormat="1" x14ac:dyDescent="0.45"/>
    <row r="523" s="1489" customFormat="1" x14ac:dyDescent="0.45"/>
    <row r="524" s="1489" customFormat="1" x14ac:dyDescent="0.45"/>
    <row r="525" s="1489" customFormat="1" x14ac:dyDescent="0.45"/>
    <row r="526" s="1489" customFormat="1" x14ac:dyDescent="0.45"/>
    <row r="527" s="1489" customFormat="1" x14ac:dyDescent="0.45"/>
    <row r="528" s="1489" customFormat="1" x14ac:dyDescent="0.45"/>
    <row r="529" s="1489" customFormat="1" x14ac:dyDescent="0.45"/>
    <row r="530" s="1489" customFormat="1" x14ac:dyDescent="0.45"/>
    <row r="531" s="1489" customFormat="1" x14ac:dyDescent="0.45"/>
    <row r="532" s="1489" customFormat="1" x14ac:dyDescent="0.45"/>
    <row r="533" s="1489" customFormat="1" x14ac:dyDescent="0.45"/>
    <row r="534" s="1489" customFormat="1" x14ac:dyDescent="0.45"/>
    <row r="535" s="1489" customFormat="1" x14ac:dyDescent="0.45"/>
    <row r="536" s="1489" customFormat="1" x14ac:dyDescent="0.45"/>
    <row r="537" s="1489" customFormat="1" x14ac:dyDescent="0.45"/>
    <row r="538" s="1489" customFormat="1" x14ac:dyDescent="0.45"/>
    <row r="539" s="1489" customFormat="1" x14ac:dyDescent="0.45"/>
    <row r="540" s="1489" customFormat="1" x14ac:dyDescent="0.45"/>
    <row r="541" s="1489" customFormat="1" x14ac:dyDescent="0.45"/>
    <row r="542" s="1489" customFormat="1" x14ac:dyDescent="0.45"/>
    <row r="543" s="1489" customFormat="1" x14ac:dyDescent="0.45"/>
    <row r="544" s="1489" customFormat="1" x14ac:dyDescent="0.45"/>
    <row r="545" s="1489" customFormat="1" x14ac:dyDescent="0.45"/>
    <row r="546" s="1489" customFormat="1" x14ac:dyDescent="0.45"/>
    <row r="547" s="1489" customFormat="1" x14ac:dyDescent="0.45"/>
    <row r="548" s="1489" customFormat="1" x14ac:dyDescent="0.45"/>
    <row r="549" s="1489" customFormat="1" x14ac:dyDescent="0.45"/>
    <row r="550" s="1489" customFormat="1" x14ac:dyDescent="0.45"/>
    <row r="551" s="1489" customFormat="1" x14ac:dyDescent="0.45"/>
    <row r="552" s="1489" customFormat="1" x14ac:dyDescent="0.45"/>
    <row r="553" s="1489" customFormat="1" x14ac:dyDescent="0.45"/>
    <row r="554" s="1489" customFormat="1" x14ac:dyDescent="0.45"/>
    <row r="555" s="1489" customFormat="1" x14ac:dyDescent="0.45"/>
    <row r="556" s="1489" customFormat="1" x14ac:dyDescent="0.45"/>
    <row r="557" s="1489" customFormat="1" x14ac:dyDescent="0.45"/>
    <row r="558" s="1489" customFormat="1" x14ac:dyDescent="0.45"/>
    <row r="559" s="1489" customFormat="1" x14ac:dyDescent="0.45"/>
    <row r="560" s="1489" customFormat="1" x14ac:dyDescent="0.45"/>
    <row r="561" s="1489" customFormat="1" x14ac:dyDescent="0.45"/>
    <row r="562" s="1489" customFormat="1" x14ac:dyDescent="0.45"/>
    <row r="563" s="1489" customFormat="1" x14ac:dyDescent="0.45"/>
    <row r="564" s="1489" customFormat="1" x14ac:dyDescent="0.45"/>
    <row r="565" s="1489" customFormat="1" x14ac:dyDescent="0.45"/>
    <row r="566" s="1489" customFormat="1" x14ac:dyDescent="0.45"/>
    <row r="567" s="1489" customFormat="1" x14ac:dyDescent="0.45"/>
    <row r="568" s="1489" customFormat="1" x14ac:dyDescent="0.45"/>
    <row r="569" s="1489" customFormat="1" x14ac:dyDescent="0.45"/>
    <row r="570" s="1489" customFormat="1" x14ac:dyDescent="0.45"/>
    <row r="571" s="1489" customFormat="1" x14ac:dyDescent="0.45"/>
    <row r="572" s="1489" customFormat="1" x14ac:dyDescent="0.45"/>
    <row r="573" s="1489" customFormat="1" x14ac:dyDescent="0.45"/>
    <row r="574" s="1489" customFormat="1" x14ac:dyDescent="0.45"/>
    <row r="575" s="1489" customFormat="1" x14ac:dyDescent="0.45"/>
    <row r="576" s="1489" customFormat="1" x14ac:dyDescent="0.45"/>
    <row r="577" s="1489" customFormat="1" x14ac:dyDescent="0.45"/>
    <row r="578" s="1489" customFormat="1" x14ac:dyDescent="0.45"/>
    <row r="579" s="1489" customFormat="1" x14ac:dyDescent="0.45"/>
    <row r="580" s="1489" customFormat="1" x14ac:dyDescent="0.45"/>
    <row r="581" s="1489" customFormat="1" x14ac:dyDescent="0.45"/>
    <row r="582" s="1489" customFormat="1" x14ac:dyDescent="0.45"/>
    <row r="583" s="1489" customFormat="1" x14ac:dyDescent="0.45"/>
    <row r="584" s="1489" customFormat="1" x14ac:dyDescent="0.45"/>
    <row r="585" s="1489" customFormat="1" x14ac:dyDescent="0.45"/>
    <row r="586" s="1489" customFormat="1" x14ac:dyDescent="0.45"/>
    <row r="587" s="1489" customFormat="1" x14ac:dyDescent="0.45"/>
    <row r="588" s="1489" customFormat="1" x14ac:dyDescent="0.45"/>
    <row r="589" s="1489" customFormat="1" x14ac:dyDescent="0.45"/>
    <row r="590" s="1489" customFormat="1" x14ac:dyDescent="0.45"/>
  </sheetData>
  <mergeCells count="558">
    <mergeCell ref="A162:A165"/>
    <mergeCell ref="A166:E168"/>
    <mergeCell ref="F166:H166"/>
    <mergeCell ref="F196:H196"/>
    <mergeCell ref="F199:H199"/>
    <mergeCell ref="F185:H185"/>
    <mergeCell ref="A199:E201"/>
    <mergeCell ref="A202:D202"/>
    <mergeCell ref="A461:I461"/>
    <mergeCell ref="A418:D418"/>
    <mergeCell ref="A420:D420"/>
    <mergeCell ref="I422:K422"/>
    <mergeCell ref="A382:A389"/>
    <mergeCell ref="B382:D382"/>
    <mergeCell ref="C364:D364"/>
    <mergeCell ref="C354:D354"/>
    <mergeCell ref="A335:I335"/>
    <mergeCell ref="I344:K344"/>
    <mergeCell ref="A304:C304"/>
    <mergeCell ref="J309:L309"/>
    <mergeCell ref="A285:D285"/>
    <mergeCell ref="A286:D286"/>
    <mergeCell ref="A287:D287"/>
    <mergeCell ref="A288:D288"/>
    <mergeCell ref="A462:I462"/>
    <mergeCell ref="W480:AF480"/>
    <mergeCell ref="F15:H15"/>
    <mergeCell ref="F28:H28"/>
    <mergeCell ref="F42:H42"/>
    <mergeCell ref="F54:H54"/>
    <mergeCell ref="F66:H66"/>
    <mergeCell ref="F78:H78"/>
    <mergeCell ref="F104:H104"/>
    <mergeCell ref="F113:H113"/>
    <mergeCell ref="F122:H122"/>
    <mergeCell ref="F129:H129"/>
    <mergeCell ref="F136:H136"/>
    <mergeCell ref="F143:H143"/>
    <mergeCell ref="F155:H155"/>
    <mergeCell ref="F162:H162"/>
    <mergeCell ref="F171:H171"/>
    <mergeCell ref="S104:U104"/>
    <mergeCell ref="S122:U122"/>
    <mergeCell ref="J457:L457"/>
    <mergeCell ref="M457:O457"/>
    <mergeCell ref="P457:V457"/>
    <mergeCell ref="Z457:AB457"/>
    <mergeCell ref="AC457:AE457"/>
    <mergeCell ref="AF457:AH457"/>
    <mergeCell ref="A459:I459"/>
    <mergeCell ref="J460:L460"/>
    <mergeCell ref="Z460:AB460"/>
    <mergeCell ref="AF435:AH435"/>
    <mergeCell ref="A444:D444"/>
    <mergeCell ref="Z445:AB445"/>
    <mergeCell ref="AC445:AE445"/>
    <mergeCell ref="AF445:AH445"/>
    <mergeCell ref="J447:L447"/>
    <mergeCell ref="M447:O447"/>
    <mergeCell ref="P447:V447"/>
    <mergeCell ref="B456:I456"/>
    <mergeCell ref="J424:L424"/>
    <mergeCell ref="M424:O424"/>
    <mergeCell ref="P424:V424"/>
    <mergeCell ref="A434:D434"/>
    <mergeCell ref="J435:L435"/>
    <mergeCell ref="M435:O435"/>
    <mergeCell ref="P435:V435"/>
    <mergeCell ref="Z435:AB435"/>
    <mergeCell ref="AC435:AE435"/>
    <mergeCell ref="L422:N422"/>
    <mergeCell ref="O422:Q422"/>
    <mergeCell ref="A423:D423"/>
    <mergeCell ref="Z423:AB423"/>
    <mergeCell ref="AC423:AE423"/>
    <mergeCell ref="AF423:AH423"/>
    <mergeCell ref="A390:A392"/>
    <mergeCell ref="B390:D390"/>
    <mergeCell ref="V390:V392"/>
    <mergeCell ref="W390:Y390"/>
    <mergeCell ref="B391:D391"/>
    <mergeCell ref="W391:Y391"/>
    <mergeCell ref="B392:D392"/>
    <mergeCell ref="W392:Y392"/>
    <mergeCell ref="A393:A395"/>
    <mergeCell ref="B393:D393"/>
    <mergeCell ref="V393:V395"/>
    <mergeCell ref="W393:Y393"/>
    <mergeCell ref="B394:D394"/>
    <mergeCell ref="W394:Y394"/>
    <mergeCell ref="B395:D395"/>
    <mergeCell ref="W395:Y395"/>
    <mergeCell ref="V382:V389"/>
    <mergeCell ref="W382:Y382"/>
    <mergeCell ref="B383:D383"/>
    <mergeCell ref="W383:Y383"/>
    <mergeCell ref="B384:D384"/>
    <mergeCell ref="W384:Y384"/>
    <mergeCell ref="B385:D385"/>
    <mergeCell ref="W385:Y385"/>
    <mergeCell ref="B386:D386"/>
    <mergeCell ref="W386:Y386"/>
    <mergeCell ref="B387:B388"/>
    <mergeCell ref="C387:D387"/>
    <mergeCell ref="W387:W388"/>
    <mergeCell ref="X387:Y387"/>
    <mergeCell ref="C388:D388"/>
    <mergeCell ref="X388:Y388"/>
    <mergeCell ref="C389:D389"/>
    <mergeCell ref="X389:Y389"/>
    <mergeCell ref="W378:Y378"/>
    <mergeCell ref="B379:B380"/>
    <mergeCell ref="C379:D379"/>
    <mergeCell ref="W379:W380"/>
    <mergeCell ref="X379:Y379"/>
    <mergeCell ref="C380:D380"/>
    <mergeCell ref="X380:Y380"/>
    <mergeCell ref="C381:D381"/>
    <mergeCell ref="X381:Y381"/>
    <mergeCell ref="A366:A373"/>
    <mergeCell ref="B366:D366"/>
    <mergeCell ref="V366:V373"/>
    <mergeCell ref="W366:Y366"/>
    <mergeCell ref="B367:D367"/>
    <mergeCell ref="W367:Y367"/>
    <mergeCell ref="B368:D368"/>
    <mergeCell ref="W368:Y368"/>
    <mergeCell ref="B369:D369"/>
    <mergeCell ref="W369:Y369"/>
    <mergeCell ref="B370:D370"/>
    <mergeCell ref="W370:Y370"/>
    <mergeCell ref="B371:B372"/>
    <mergeCell ref="C371:D371"/>
    <mergeCell ref="W371:W372"/>
    <mergeCell ref="X371:Y371"/>
    <mergeCell ref="C372:D372"/>
    <mergeCell ref="X372:Y372"/>
    <mergeCell ref="C373:D373"/>
    <mergeCell ref="X373:Y373"/>
    <mergeCell ref="X355:Y355"/>
    <mergeCell ref="A356:A365"/>
    <mergeCell ref="B356:D356"/>
    <mergeCell ref="V356:V365"/>
    <mergeCell ref="W356:Y356"/>
    <mergeCell ref="B357:D357"/>
    <mergeCell ref="W357:Y357"/>
    <mergeCell ref="B358:D358"/>
    <mergeCell ref="W358:Y358"/>
    <mergeCell ref="B359:D359"/>
    <mergeCell ref="W359:Y359"/>
    <mergeCell ref="B360:D360"/>
    <mergeCell ref="W360:Y360"/>
    <mergeCell ref="B361:B364"/>
    <mergeCell ref="C361:D361"/>
    <mergeCell ref="W361:W364"/>
    <mergeCell ref="X361:Y361"/>
    <mergeCell ref="C362:D362"/>
    <mergeCell ref="X362:Y362"/>
    <mergeCell ref="C363:D363"/>
    <mergeCell ref="X363:Y363"/>
    <mergeCell ref="X364:Y364"/>
    <mergeCell ref="C365:D365"/>
    <mergeCell ref="X365:Y365"/>
    <mergeCell ref="L344:N344"/>
    <mergeCell ref="O344:Q344"/>
    <mergeCell ref="Z344:AB344"/>
    <mergeCell ref="AC344:AE344"/>
    <mergeCell ref="AF344:AH344"/>
    <mergeCell ref="A346:A355"/>
    <mergeCell ref="V346:V355"/>
    <mergeCell ref="W346:Y346"/>
    <mergeCell ref="B347:D347"/>
    <mergeCell ref="W347:Y347"/>
    <mergeCell ref="B348:D348"/>
    <mergeCell ref="W348:Y348"/>
    <mergeCell ref="B349:D349"/>
    <mergeCell ref="W349:Y349"/>
    <mergeCell ref="W350:Y350"/>
    <mergeCell ref="B351:B354"/>
    <mergeCell ref="C351:D351"/>
    <mergeCell ref="W351:W354"/>
    <mergeCell ref="X351:Y351"/>
    <mergeCell ref="C352:D352"/>
    <mergeCell ref="X352:Y352"/>
    <mergeCell ref="C353:D353"/>
    <mergeCell ref="X354:Y354"/>
    <mergeCell ref="C355:D355"/>
    <mergeCell ref="M309:O309"/>
    <mergeCell ref="P309:V309"/>
    <mergeCell ref="A314:C314"/>
    <mergeCell ref="J321:L321"/>
    <mergeCell ref="M321:O321"/>
    <mergeCell ref="P321:V321"/>
    <mergeCell ref="B329:I329"/>
    <mergeCell ref="A290:D290"/>
    <mergeCell ref="A291:D291"/>
    <mergeCell ref="A292:D292"/>
    <mergeCell ref="A293:D293"/>
    <mergeCell ref="I294:K294"/>
    <mergeCell ref="L294:N294"/>
    <mergeCell ref="O295:Q295"/>
    <mergeCell ref="D299:D300"/>
    <mergeCell ref="I299:I300"/>
    <mergeCell ref="J299:L299"/>
    <mergeCell ref="M299:O299"/>
    <mergeCell ref="P299:V299"/>
    <mergeCell ref="E288:E289"/>
    <mergeCell ref="I288:K288"/>
    <mergeCell ref="L288:N288"/>
    <mergeCell ref="O288:Q288"/>
    <mergeCell ref="A289:D289"/>
    <mergeCell ref="O278:Q278"/>
    <mergeCell ref="A280:Q280"/>
    <mergeCell ref="E281:E282"/>
    <mergeCell ref="I281:K281"/>
    <mergeCell ref="L281:N281"/>
    <mergeCell ref="O281:Q281"/>
    <mergeCell ref="A282:D282"/>
    <mergeCell ref="A283:D283"/>
    <mergeCell ref="A284:D284"/>
    <mergeCell ref="A249:A250"/>
    <mergeCell ref="B249:D249"/>
    <mergeCell ref="B250:D250"/>
    <mergeCell ref="A251:A252"/>
    <mergeCell ref="B251:D251"/>
    <mergeCell ref="B252:D252"/>
    <mergeCell ref="A275:D275"/>
    <mergeCell ref="A277:D277"/>
    <mergeCell ref="Z277:AB277"/>
    <mergeCell ref="A242:A248"/>
    <mergeCell ref="B242:D242"/>
    <mergeCell ref="B243:D243"/>
    <mergeCell ref="B244:D244"/>
    <mergeCell ref="B245:D245"/>
    <mergeCell ref="B246:B247"/>
    <mergeCell ref="C246:D246"/>
    <mergeCell ref="C247:D247"/>
    <mergeCell ref="C248:D248"/>
    <mergeCell ref="B214:B217"/>
    <mergeCell ref="C217:D217"/>
    <mergeCell ref="C218:D218"/>
    <mergeCell ref="B237:D237"/>
    <mergeCell ref="B238:D238"/>
    <mergeCell ref="B239:B240"/>
    <mergeCell ref="C239:D239"/>
    <mergeCell ref="C240:D240"/>
    <mergeCell ref="C241:D241"/>
    <mergeCell ref="O143:Q143"/>
    <mergeCell ref="DP143:DT143"/>
    <mergeCell ref="A144:D144"/>
    <mergeCell ref="A145:D145"/>
    <mergeCell ref="A146:D146"/>
    <mergeCell ref="A147:D147"/>
    <mergeCell ref="A148:D148"/>
    <mergeCell ref="E149:E150"/>
    <mergeCell ref="I149:K149"/>
    <mergeCell ref="O149:Q149"/>
    <mergeCell ref="F149:H149"/>
    <mergeCell ref="A149:D151"/>
    <mergeCell ref="DP104:DS104"/>
    <mergeCell ref="A111:Q112"/>
    <mergeCell ref="DP113:DS113"/>
    <mergeCell ref="A120:Q121"/>
    <mergeCell ref="A135:Q135"/>
    <mergeCell ref="E136:E137"/>
    <mergeCell ref="I136:K136"/>
    <mergeCell ref="L136:N136"/>
    <mergeCell ref="O136:Q136"/>
    <mergeCell ref="DP136:DT136"/>
    <mergeCell ref="A137:D137"/>
    <mergeCell ref="S129:U129"/>
    <mergeCell ref="F108:H108"/>
    <mergeCell ref="F117:H117"/>
    <mergeCell ref="F125:H125"/>
    <mergeCell ref="F132:H132"/>
    <mergeCell ref="C117:E119"/>
    <mergeCell ref="I117:K117"/>
    <mergeCell ref="A113:B119"/>
    <mergeCell ref="C113:D114"/>
    <mergeCell ref="E113:E114"/>
    <mergeCell ref="L113:N113"/>
    <mergeCell ref="S113:U113"/>
    <mergeCell ref="C115:D115"/>
    <mergeCell ref="AN42:AP42"/>
    <mergeCell ref="AQ42:AS42"/>
    <mergeCell ref="AT42:AV42"/>
    <mergeCell ref="DP42:DT42"/>
    <mergeCell ref="A52:Q53"/>
    <mergeCell ref="W54:AA54"/>
    <mergeCell ref="AB54:AD54"/>
    <mergeCell ref="AE54:AG54"/>
    <mergeCell ref="AH54:AJ54"/>
    <mergeCell ref="AK54:AM54"/>
    <mergeCell ref="AN54:AP54"/>
    <mergeCell ref="AQ54:AS54"/>
    <mergeCell ref="AT54:AV54"/>
    <mergeCell ref="DP54:DT54"/>
    <mergeCell ref="I42:K42"/>
    <mergeCell ref="I54:K54"/>
    <mergeCell ref="S42:U42"/>
    <mergeCell ref="O42:Q42"/>
    <mergeCell ref="R42:R43"/>
    <mergeCell ref="W42:AA42"/>
    <mergeCell ref="AB42:AD42"/>
    <mergeCell ref="AE42:AG42"/>
    <mergeCell ref="AH42:AJ42"/>
    <mergeCell ref="AK42:AM42"/>
    <mergeCell ref="DP15:DT15"/>
    <mergeCell ref="A26:Q27"/>
    <mergeCell ref="W28:AA28"/>
    <mergeCell ref="AB28:AD28"/>
    <mergeCell ref="AE28:AG28"/>
    <mergeCell ref="AH28:AJ28"/>
    <mergeCell ref="AK28:AM28"/>
    <mergeCell ref="AN28:AP28"/>
    <mergeCell ref="AQ28:AS28"/>
    <mergeCell ref="AT28:AV28"/>
    <mergeCell ref="DP28:DT28"/>
    <mergeCell ref="I15:K15"/>
    <mergeCell ref="I28:K28"/>
    <mergeCell ref="O28:Q28"/>
    <mergeCell ref="S28:U28"/>
    <mergeCell ref="R28:R29"/>
    <mergeCell ref="S15:U15"/>
    <mergeCell ref="R15:R16"/>
    <mergeCell ref="I78:K78"/>
    <mergeCell ref="I104:K104"/>
    <mergeCell ref="I108:K108"/>
    <mergeCell ref="I113:K113"/>
    <mergeCell ref="B25:D25"/>
    <mergeCell ref="A28:D29"/>
    <mergeCell ref="E28:E29"/>
    <mergeCell ref="L28:N28"/>
    <mergeCell ref="B39:D39"/>
    <mergeCell ref="A42:D43"/>
    <mergeCell ref="E42:E43"/>
    <mergeCell ref="L42:N42"/>
    <mergeCell ref="B51:D51"/>
    <mergeCell ref="A44:A50"/>
    <mergeCell ref="C44:D44"/>
    <mergeCell ref="C45:D45"/>
    <mergeCell ref="C46:D46"/>
    <mergeCell ref="C47:D47"/>
    <mergeCell ref="C48:C49"/>
    <mergeCell ref="C50:D50"/>
    <mergeCell ref="A30:A38"/>
    <mergeCell ref="C30:D30"/>
    <mergeCell ref="C31:D31"/>
    <mergeCell ref="A103:Q103"/>
    <mergeCell ref="B8:D8"/>
    <mergeCell ref="B9:D9"/>
    <mergeCell ref="A10:C10"/>
    <mergeCell ref="A11:C11"/>
    <mergeCell ref="B4:D4"/>
    <mergeCell ref="B5:D5"/>
    <mergeCell ref="B6:D6"/>
    <mergeCell ref="B7:D7"/>
    <mergeCell ref="A1:Q1"/>
    <mergeCell ref="A2:K2"/>
    <mergeCell ref="D10:N10"/>
    <mergeCell ref="D12:Q12"/>
    <mergeCell ref="A13:N14"/>
    <mergeCell ref="A17:A24"/>
    <mergeCell ref="C17:D17"/>
    <mergeCell ref="C18:D18"/>
    <mergeCell ref="C19:D19"/>
    <mergeCell ref="C20:C23"/>
    <mergeCell ref="C24:D24"/>
    <mergeCell ref="A15:D16"/>
    <mergeCell ref="E15:E16"/>
    <mergeCell ref="L15:N15"/>
    <mergeCell ref="O15:Q15"/>
    <mergeCell ref="C32:D32"/>
    <mergeCell ref="C33:D33"/>
    <mergeCell ref="C34:C37"/>
    <mergeCell ref="C38:D38"/>
    <mergeCell ref="R54:R55"/>
    <mergeCell ref="A56:A62"/>
    <mergeCell ref="C56:D56"/>
    <mergeCell ref="C57:D57"/>
    <mergeCell ref="C58:D58"/>
    <mergeCell ref="C59:D59"/>
    <mergeCell ref="C60:C61"/>
    <mergeCell ref="C62:D62"/>
    <mergeCell ref="A54:D55"/>
    <mergeCell ref="E54:E55"/>
    <mergeCell ref="L54:N54"/>
    <mergeCell ref="O54:Q54"/>
    <mergeCell ref="A68:A74"/>
    <mergeCell ref="C68:D68"/>
    <mergeCell ref="C69:D69"/>
    <mergeCell ref="C70:D70"/>
    <mergeCell ref="C71:D71"/>
    <mergeCell ref="C72:C73"/>
    <mergeCell ref="C74:D74"/>
    <mergeCell ref="S54:U54"/>
    <mergeCell ref="B63:D63"/>
    <mergeCell ref="A66:D67"/>
    <mergeCell ref="E66:E67"/>
    <mergeCell ref="L66:N66"/>
    <mergeCell ref="O66:Q66"/>
    <mergeCell ref="S66:U66"/>
    <mergeCell ref="R66:R67"/>
    <mergeCell ref="A64:Q65"/>
    <mergeCell ref="I66:K66"/>
    <mergeCell ref="DP66:DT66"/>
    <mergeCell ref="B75:D75"/>
    <mergeCell ref="A78:D79"/>
    <mergeCell ref="E78:E79"/>
    <mergeCell ref="L78:N78"/>
    <mergeCell ref="O78:Q78"/>
    <mergeCell ref="S78:U78"/>
    <mergeCell ref="A76:Q77"/>
    <mergeCell ref="W78:AA78"/>
    <mergeCell ref="AB78:AD78"/>
    <mergeCell ref="AE78:AG78"/>
    <mergeCell ref="AH78:AJ78"/>
    <mergeCell ref="AK78:AM78"/>
    <mergeCell ref="AN78:AP78"/>
    <mergeCell ref="AQ78:AS78"/>
    <mergeCell ref="AT78:AV78"/>
    <mergeCell ref="W66:AA66"/>
    <mergeCell ref="AB66:AD66"/>
    <mergeCell ref="AE66:AG66"/>
    <mergeCell ref="AH66:AJ66"/>
    <mergeCell ref="AK66:AM66"/>
    <mergeCell ref="AN66:AP66"/>
    <mergeCell ref="AQ66:AS66"/>
    <mergeCell ref="AT66:AV66"/>
    <mergeCell ref="A99:D99"/>
    <mergeCell ref="A100:E102"/>
    <mergeCell ref="E104:E105"/>
    <mergeCell ref="L104:N104"/>
    <mergeCell ref="A80:A98"/>
    <mergeCell ref="C80:D80"/>
    <mergeCell ref="C81:D81"/>
    <mergeCell ref="C82:D82"/>
    <mergeCell ref="C83:D83"/>
    <mergeCell ref="C84:C97"/>
    <mergeCell ref="A104:B110"/>
    <mergeCell ref="I100:K100"/>
    <mergeCell ref="C106:D106"/>
    <mergeCell ref="C107:D107"/>
    <mergeCell ref="E108:E110"/>
    <mergeCell ref="C116:D116"/>
    <mergeCell ref="I122:K122"/>
    <mergeCell ref="I125:K125"/>
    <mergeCell ref="I129:K129"/>
    <mergeCell ref="I132:K132"/>
    <mergeCell ref="A122:D127"/>
    <mergeCell ref="E122:E123"/>
    <mergeCell ref="L149:N149"/>
    <mergeCell ref="L122:N122"/>
    <mergeCell ref="E125:E127"/>
    <mergeCell ref="A129:D133"/>
    <mergeCell ref="L129:N129"/>
    <mergeCell ref="E132:E133"/>
    <mergeCell ref="A138:D138"/>
    <mergeCell ref="A139:D139"/>
    <mergeCell ref="A140:D140"/>
    <mergeCell ref="A141:D141"/>
    <mergeCell ref="A142:D142"/>
    <mergeCell ref="A143:D143"/>
    <mergeCell ref="E143:E144"/>
    <mergeCell ref="I143:K143"/>
    <mergeCell ref="L143:N143"/>
    <mergeCell ref="A154:N154"/>
    <mergeCell ref="A155:A159"/>
    <mergeCell ref="I155:K155"/>
    <mergeCell ref="L155:N155"/>
    <mergeCell ref="O155:Q155"/>
    <mergeCell ref="B158:E159"/>
    <mergeCell ref="I158:K158"/>
    <mergeCell ref="A189:E194"/>
    <mergeCell ref="B231:D231"/>
    <mergeCell ref="B210:D210"/>
    <mergeCell ref="B211:D211"/>
    <mergeCell ref="C214:D214"/>
    <mergeCell ref="B212:D212"/>
    <mergeCell ref="B213:D213"/>
    <mergeCell ref="L171:N171"/>
    <mergeCell ref="O171:Q171"/>
    <mergeCell ref="A161:N161"/>
    <mergeCell ref="I162:K162"/>
    <mergeCell ref="L162:N162"/>
    <mergeCell ref="O162:Q162"/>
    <mergeCell ref="I167:K167"/>
    <mergeCell ref="A170:N170"/>
    <mergeCell ref="A171:A177"/>
    <mergeCell ref="I171:K171"/>
    <mergeCell ref="AC277:AE277"/>
    <mergeCell ref="AF277:AH277"/>
    <mergeCell ref="I278:K278"/>
    <mergeCell ref="L278:N278"/>
    <mergeCell ref="A374:A381"/>
    <mergeCell ref="B374:D374"/>
    <mergeCell ref="V374:V381"/>
    <mergeCell ref="W374:Y374"/>
    <mergeCell ref="B375:D375"/>
    <mergeCell ref="W375:Y375"/>
    <mergeCell ref="B376:D376"/>
    <mergeCell ref="W376:Y376"/>
    <mergeCell ref="B377:D377"/>
    <mergeCell ref="W377:Y377"/>
    <mergeCell ref="B378:D378"/>
    <mergeCell ref="J330:L330"/>
    <mergeCell ref="M330:O330"/>
    <mergeCell ref="P330:V330"/>
    <mergeCell ref="A332:I332"/>
    <mergeCell ref="J333:L333"/>
    <mergeCell ref="A334:I334"/>
    <mergeCell ref="B346:D346"/>
    <mergeCell ref="X353:Y353"/>
    <mergeCell ref="B350:D350"/>
    <mergeCell ref="B175:E177"/>
    <mergeCell ref="I176:K176"/>
    <mergeCell ref="A179:E183"/>
    <mergeCell ref="I179:K179"/>
    <mergeCell ref="L179:N179"/>
    <mergeCell ref="O179:Q179"/>
    <mergeCell ref="I182:K182"/>
    <mergeCell ref="A185:E187"/>
    <mergeCell ref="I185:K185"/>
    <mergeCell ref="I189:K189"/>
    <mergeCell ref="L189:N189"/>
    <mergeCell ref="O189:Q189"/>
    <mergeCell ref="C215:D215"/>
    <mergeCell ref="C216:D216"/>
    <mergeCell ref="B219:D219"/>
    <mergeCell ref="B220:D220"/>
    <mergeCell ref="C223:D223"/>
    <mergeCell ref="A219:A227"/>
    <mergeCell ref="B221:D221"/>
    <mergeCell ref="B222:D222"/>
    <mergeCell ref="B223:B226"/>
    <mergeCell ref="C224:D224"/>
    <mergeCell ref="C225:D225"/>
    <mergeCell ref="C226:D226"/>
    <mergeCell ref="C227:D227"/>
    <mergeCell ref="I192:K192"/>
    <mergeCell ref="A196:E198"/>
    <mergeCell ref="I196:K196"/>
    <mergeCell ref="O196:Q196"/>
    <mergeCell ref="I208:K208"/>
    <mergeCell ref="L208:N208"/>
    <mergeCell ref="O208:Q208"/>
    <mergeCell ref="A210:A218"/>
    <mergeCell ref="A228:A234"/>
    <mergeCell ref="B228:D228"/>
    <mergeCell ref="B229:D229"/>
    <mergeCell ref="B230:D230"/>
    <mergeCell ref="B232:B233"/>
    <mergeCell ref="C232:D232"/>
    <mergeCell ref="C233:D233"/>
    <mergeCell ref="C234:D234"/>
    <mergeCell ref="A235:A241"/>
    <mergeCell ref="B235:D235"/>
    <mergeCell ref="B236:D236"/>
  </mergeCells>
  <pageMargins left="0.23622047244094491" right="0.23622047244094491" top="0.74803149606299213" bottom="0.74803149606299213" header="0.31496062992125984" footer="0.31496062992125984"/>
  <pageSetup paperSize="9" scale="20" orientation="portrait" horizontalDpi="4294967294" r:id="rId1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">
    <pageSetUpPr fitToPage="1"/>
  </sheetPr>
  <dimension ref="A1:BP555"/>
  <sheetViews>
    <sheetView topLeftCell="A205" zoomScale="62" zoomScaleNormal="62" workbookViewId="0">
      <selection activeCell="U308" sqref="U308"/>
    </sheetView>
  </sheetViews>
  <sheetFormatPr baseColWidth="10" defaultColWidth="24.42578125" defaultRowHeight="25.5" x14ac:dyDescent="0.35"/>
  <cols>
    <col min="1" max="1" width="24.42578125" style="9" customWidth="1"/>
    <col min="2" max="2" width="24.42578125" style="800" customWidth="1"/>
    <col min="3" max="3" width="27.5703125" style="896" customWidth="1"/>
    <col min="4" max="4" width="87.5703125" style="542" customWidth="1"/>
    <col min="5" max="5" width="24.42578125" style="946" customWidth="1"/>
    <col min="6" max="6" width="24.42578125" style="9" customWidth="1"/>
    <col min="7" max="7" width="30.42578125" style="9" customWidth="1"/>
    <col min="8" max="8" width="27" style="9" customWidth="1"/>
    <col min="9" max="9" width="29.5703125" style="9" customWidth="1"/>
    <col min="10" max="14" width="24.42578125" style="9" customWidth="1"/>
    <col min="15" max="15" width="24.42578125" style="457" customWidth="1"/>
    <col min="16" max="18" width="24.42578125" style="804" customWidth="1"/>
    <col min="19" max="19" width="24.42578125" style="9" customWidth="1"/>
    <col min="20" max="20" width="44.5703125" style="9" customWidth="1"/>
    <col min="21" max="21" width="31.5703125" style="9" customWidth="1"/>
    <col min="22" max="22" width="28.42578125" style="9" customWidth="1"/>
    <col min="23" max="68" width="24.42578125" style="9" customWidth="1"/>
    <col min="69" max="16384" width="24.42578125" style="9"/>
  </cols>
  <sheetData>
    <row r="1" spans="1:18" ht="149.25" customHeight="1" thickBot="1" x14ac:dyDescent="0.4">
      <c r="A1" s="5442" t="s">
        <v>928</v>
      </c>
      <c r="B1" s="5443"/>
      <c r="C1" s="5443"/>
      <c r="D1" s="5443"/>
      <c r="E1" s="5443"/>
      <c r="F1" s="5443"/>
      <c r="G1" s="5443"/>
      <c r="H1" s="5443"/>
      <c r="I1" s="5443"/>
      <c r="J1" s="5443"/>
      <c r="K1" s="5444"/>
      <c r="L1" s="455"/>
      <c r="M1" s="455"/>
      <c r="N1" s="455"/>
      <c r="O1" s="456"/>
      <c r="P1" s="947"/>
      <c r="Q1" s="947"/>
      <c r="R1" s="948"/>
    </row>
    <row r="2" spans="1:18" ht="27.75" customHeight="1" x14ac:dyDescent="0.35">
      <c r="A2" s="5421" t="s">
        <v>929</v>
      </c>
      <c r="B2" s="5422"/>
      <c r="C2" s="5422"/>
      <c r="D2" s="5422"/>
      <c r="E2" s="5422"/>
      <c r="F2" s="5422"/>
      <c r="G2" s="5422"/>
      <c r="H2" s="5422"/>
      <c r="R2" s="949"/>
    </row>
    <row r="3" spans="1:18" x14ac:dyDescent="0.35">
      <c r="A3" s="950"/>
      <c r="B3" s="951"/>
      <c r="C3" s="952"/>
      <c r="R3" s="949"/>
    </row>
    <row r="4" spans="1:18" x14ac:dyDescent="0.35">
      <c r="A4" s="953"/>
      <c r="B4" s="804"/>
      <c r="C4" s="954"/>
      <c r="R4" s="949"/>
    </row>
    <row r="5" spans="1:18" ht="17.25" customHeight="1" x14ac:dyDescent="0.35">
      <c r="A5" s="955" t="s">
        <v>930</v>
      </c>
      <c r="B5" s="956"/>
      <c r="C5" s="957"/>
      <c r="D5" s="958"/>
      <c r="E5" s="959"/>
      <c r="F5" s="960"/>
      <c r="G5" s="960"/>
      <c r="H5" s="960"/>
      <c r="R5" s="949"/>
    </row>
    <row r="6" spans="1:18" x14ac:dyDescent="0.35">
      <c r="A6" s="961"/>
      <c r="B6" s="962"/>
      <c r="C6" s="963"/>
      <c r="D6" s="964"/>
      <c r="E6" s="965"/>
      <c r="F6" s="966"/>
      <c r="G6" s="966"/>
      <c r="H6" s="966"/>
      <c r="R6" s="949"/>
    </row>
    <row r="7" spans="1:18" x14ac:dyDescent="0.35">
      <c r="A7" s="126"/>
      <c r="R7" s="949"/>
    </row>
    <row r="8" spans="1:18" ht="26.25" customHeight="1" x14ac:dyDescent="0.35">
      <c r="A8" s="5427" t="s">
        <v>931</v>
      </c>
      <c r="B8" s="5428"/>
      <c r="C8" s="5428"/>
      <c r="D8" s="5435">
        <f>'Compra -HOJA1'!D2</f>
        <v>0</v>
      </c>
      <c r="E8" s="5435"/>
      <c r="F8" s="5435"/>
      <c r="G8" s="5435"/>
      <c r="H8" s="5435"/>
      <c r="I8" s="5435"/>
      <c r="J8" s="5435"/>
      <c r="K8" s="5435"/>
      <c r="L8" s="967"/>
      <c r="M8" s="967"/>
      <c r="N8" s="967"/>
      <c r="O8" s="968"/>
      <c r="R8" s="949"/>
    </row>
    <row r="9" spans="1:18" ht="27" customHeight="1" x14ac:dyDescent="0.35">
      <c r="A9" s="5433" t="s">
        <v>932</v>
      </c>
      <c r="B9" s="5434"/>
      <c r="C9" s="5434"/>
      <c r="D9" s="969">
        <f>'Compra -HOJA1'!F4</f>
        <v>45536</v>
      </c>
      <c r="E9" s="970"/>
      <c r="F9" s="971"/>
      <c r="G9" s="971"/>
      <c r="H9" s="971"/>
      <c r="L9" s="972"/>
      <c r="R9" s="949"/>
    </row>
    <row r="10" spans="1:18" ht="30.75" customHeight="1" x14ac:dyDescent="0.2">
      <c r="A10" s="973"/>
      <c r="B10" s="974"/>
      <c r="C10" s="233"/>
      <c r="D10" s="975"/>
      <c r="E10" s="976"/>
      <c r="F10" s="233"/>
      <c r="G10" s="233"/>
      <c r="H10" s="233"/>
      <c r="I10" s="233"/>
      <c r="J10" s="233"/>
      <c r="K10" s="233"/>
      <c r="L10" s="401"/>
      <c r="M10" s="233"/>
      <c r="N10" s="233"/>
      <c r="O10" s="394"/>
      <c r="P10" s="977"/>
      <c r="Q10" s="977"/>
      <c r="R10" s="978"/>
    </row>
    <row r="11" spans="1:18" ht="18" customHeight="1" x14ac:dyDescent="0.35">
      <c r="A11" s="5440" t="s">
        <v>366</v>
      </c>
      <c r="B11" s="5441"/>
      <c r="C11" s="5441"/>
      <c r="D11" s="5441"/>
      <c r="E11" s="5441"/>
      <c r="F11" s="5441"/>
      <c r="G11" s="5441"/>
      <c r="H11" s="5441"/>
      <c r="I11" s="5441"/>
      <c r="J11" s="5441"/>
      <c r="K11" s="5441"/>
      <c r="L11" s="458"/>
      <c r="M11" s="458"/>
      <c r="N11" s="458"/>
      <c r="O11" s="459"/>
      <c r="P11" s="977"/>
      <c r="Q11" s="977"/>
      <c r="R11" s="978"/>
    </row>
    <row r="12" spans="1:18" ht="18" customHeight="1" thickBot="1" x14ac:dyDescent="0.4">
      <c r="A12" s="5440"/>
      <c r="B12" s="5441"/>
      <c r="C12" s="5441"/>
      <c r="D12" s="5441"/>
      <c r="E12" s="5441"/>
      <c r="F12" s="5441"/>
      <c r="G12" s="5441"/>
      <c r="H12" s="5441"/>
      <c r="I12" s="5441"/>
      <c r="J12" s="5441"/>
      <c r="K12" s="5441"/>
      <c r="L12" s="458"/>
      <c r="M12" s="458"/>
      <c r="N12" s="458"/>
      <c r="O12" s="459"/>
      <c r="R12" s="949"/>
    </row>
    <row r="13" spans="1:18" ht="49.5" customHeight="1" x14ac:dyDescent="0.2">
      <c r="A13" s="5436" t="s">
        <v>367</v>
      </c>
      <c r="B13" s="5437"/>
      <c r="C13" s="5437"/>
      <c r="D13" s="5437"/>
      <c r="E13" s="5457" t="s">
        <v>101</v>
      </c>
      <c r="F13" s="5423" t="s">
        <v>304</v>
      </c>
      <c r="G13" s="5424"/>
      <c r="H13" s="5425"/>
      <c r="I13" s="5423" t="s">
        <v>368</v>
      </c>
      <c r="J13" s="5424"/>
      <c r="K13" s="5425"/>
      <c r="L13" s="5423" t="s">
        <v>851</v>
      </c>
      <c r="M13" s="5424"/>
      <c r="N13" s="5426"/>
      <c r="O13" s="395"/>
      <c r="P13" s="5313" t="s">
        <v>369</v>
      </c>
      <c r="Q13" s="5313"/>
      <c r="R13" s="5383"/>
    </row>
    <row r="14" spans="1:18" ht="49.5" customHeight="1" thickBot="1" x14ac:dyDescent="0.25">
      <c r="A14" s="5438"/>
      <c r="B14" s="5439"/>
      <c r="C14" s="5439"/>
      <c r="D14" s="5439"/>
      <c r="E14" s="5458"/>
      <c r="F14" s="261" t="s">
        <v>287</v>
      </c>
      <c r="G14" s="261" t="s">
        <v>289</v>
      </c>
      <c r="H14" s="262" t="s">
        <v>288</v>
      </c>
      <c r="I14" s="261" t="s">
        <v>287</v>
      </c>
      <c r="J14" s="261" t="s">
        <v>289</v>
      </c>
      <c r="K14" s="262" t="s">
        <v>288</v>
      </c>
      <c r="L14" s="261" t="s">
        <v>287</v>
      </c>
      <c r="M14" s="261" t="s">
        <v>289</v>
      </c>
      <c r="N14" s="265" t="s">
        <v>288</v>
      </c>
      <c r="O14" s="396" t="s">
        <v>905</v>
      </c>
      <c r="P14" s="979" t="s">
        <v>287</v>
      </c>
      <c r="Q14" s="979" t="s">
        <v>289</v>
      </c>
      <c r="R14" s="980" t="s">
        <v>288</v>
      </c>
    </row>
    <row r="15" spans="1:18" ht="49.5" customHeight="1" x14ac:dyDescent="0.2">
      <c r="A15" s="5459" t="s">
        <v>41</v>
      </c>
      <c r="B15" s="857">
        <v>5000</v>
      </c>
      <c r="C15" s="5448" t="s">
        <v>42</v>
      </c>
      <c r="D15" s="5449"/>
      <c r="E15" s="981">
        <f>+E193</f>
        <v>0</v>
      </c>
      <c r="F15" s="981" t="e">
        <f ca="1">+F193+G292</f>
        <v>#REF!</v>
      </c>
      <c r="G15" s="981" t="e">
        <f ca="1">+G193+H292</f>
        <v>#REF!</v>
      </c>
      <c r="H15" s="981" t="e">
        <f ca="1">+H193+I292</f>
        <v>#REF!</v>
      </c>
      <c r="I15" s="981">
        <f ca="1">+I193</f>
        <v>0</v>
      </c>
      <c r="J15" s="981">
        <f ca="1">+J193</f>
        <v>0</v>
      </c>
      <c r="K15" s="981">
        <f ca="1">+K193</f>
        <v>0</v>
      </c>
      <c r="L15" s="263"/>
      <c r="M15" s="263"/>
      <c r="N15" s="266"/>
      <c r="O15" s="397"/>
      <c r="P15" s="982" t="e">
        <f ca="1">+F15+I15</f>
        <v>#REF!</v>
      </c>
      <c r="Q15" s="982" t="e">
        <f ca="1">+G15+J15</f>
        <v>#REF!</v>
      </c>
      <c r="R15" s="982" t="e">
        <f ca="1">+H15+K15</f>
        <v>#REF!</v>
      </c>
    </row>
    <row r="16" spans="1:18" ht="49.5" hidden="1" customHeight="1" x14ac:dyDescent="0.2">
      <c r="A16" s="5460"/>
      <c r="B16" s="864">
        <v>5020</v>
      </c>
      <c r="C16" s="865" t="s">
        <v>43</v>
      </c>
      <c r="D16" s="984" t="s">
        <v>44</v>
      </c>
      <c r="E16" s="981">
        <f t="shared" ref="E16:K16" si="0">+E194</f>
        <v>0</v>
      </c>
      <c r="F16" s="981">
        <f t="shared" si="0"/>
        <v>0</v>
      </c>
      <c r="G16" s="981">
        <f t="shared" si="0"/>
        <v>0</v>
      </c>
      <c r="H16" s="981">
        <f t="shared" si="0"/>
        <v>0</v>
      </c>
      <c r="I16" s="981">
        <f t="shared" ca="1" si="0"/>
        <v>0</v>
      </c>
      <c r="J16" s="981">
        <f t="shared" ca="1" si="0"/>
        <v>0</v>
      </c>
      <c r="K16" s="981">
        <f t="shared" ca="1" si="0"/>
        <v>0</v>
      </c>
      <c r="L16" s="485"/>
      <c r="M16" s="485"/>
      <c r="N16" s="485"/>
      <c r="O16" s="485"/>
      <c r="P16" s="982">
        <f t="shared" ref="P16:P21" ca="1" si="1">+F16+I16</f>
        <v>0</v>
      </c>
      <c r="Q16" s="982">
        <f t="shared" ref="Q16:Q21" ca="1" si="2">+G16+J16</f>
        <v>0</v>
      </c>
      <c r="R16" s="982">
        <f t="shared" ref="R16:R21" ca="1" si="3">+H16+K16</f>
        <v>0</v>
      </c>
    </row>
    <row r="17" spans="1:43" ht="49.5" customHeight="1" x14ac:dyDescent="0.2">
      <c r="A17" s="5460"/>
      <c r="B17" s="5471" t="s">
        <v>220</v>
      </c>
      <c r="C17" s="3652"/>
      <c r="D17" s="985" t="s">
        <v>46</v>
      </c>
      <c r="E17" s="981">
        <f t="shared" ref="E17:K17" si="4">+E195</f>
        <v>0</v>
      </c>
      <c r="F17" s="981">
        <f t="shared" si="4"/>
        <v>0</v>
      </c>
      <c r="G17" s="981">
        <f t="shared" si="4"/>
        <v>0</v>
      </c>
      <c r="H17" s="981">
        <f t="shared" si="4"/>
        <v>0</v>
      </c>
      <c r="I17" s="981">
        <f t="shared" ca="1" si="4"/>
        <v>0</v>
      </c>
      <c r="J17" s="981">
        <f t="shared" ca="1" si="4"/>
        <v>0</v>
      </c>
      <c r="K17" s="981">
        <f t="shared" ca="1" si="4"/>
        <v>0</v>
      </c>
      <c r="L17" s="986">
        <f>+F17</f>
        <v>0</v>
      </c>
      <c r="M17" s="986">
        <f>+G17</f>
        <v>0</v>
      </c>
      <c r="N17" s="986">
        <f>+H17</f>
        <v>0</v>
      </c>
      <c r="O17" s="393" t="e">
        <f>+(L17+M17+N17)/E17</f>
        <v>#DIV/0!</v>
      </c>
      <c r="P17" s="982">
        <f t="shared" ca="1" si="1"/>
        <v>0</v>
      </c>
      <c r="Q17" s="982">
        <f t="shared" ca="1" si="2"/>
        <v>0</v>
      </c>
      <c r="R17" s="982">
        <f t="shared" ca="1" si="3"/>
        <v>0</v>
      </c>
    </row>
    <row r="18" spans="1:43" ht="49.5" customHeight="1" x14ac:dyDescent="0.2">
      <c r="A18" s="5460"/>
      <c r="B18" s="5472"/>
      <c r="C18" s="3909"/>
      <c r="D18" s="985" t="s">
        <v>47</v>
      </c>
      <c r="E18" s="981">
        <f t="shared" ref="E18:K18" si="5">+E196</f>
        <v>0</v>
      </c>
      <c r="F18" s="981">
        <f t="shared" si="5"/>
        <v>0</v>
      </c>
      <c r="G18" s="981">
        <f t="shared" si="5"/>
        <v>0</v>
      </c>
      <c r="H18" s="981">
        <f t="shared" si="5"/>
        <v>0</v>
      </c>
      <c r="I18" s="981">
        <f t="shared" ca="1" si="5"/>
        <v>0</v>
      </c>
      <c r="J18" s="981">
        <f t="shared" ca="1" si="5"/>
        <v>0</v>
      </c>
      <c r="K18" s="981">
        <f t="shared" ca="1" si="5"/>
        <v>0</v>
      </c>
      <c r="L18" s="986"/>
      <c r="M18" s="986"/>
      <c r="N18" s="986"/>
      <c r="O18" s="393"/>
      <c r="P18" s="982">
        <f t="shared" ca="1" si="1"/>
        <v>0</v>
      </c>
      <c r="Q18" s="982">
        <f t="shared" ca="1" si="2"/>
        <v>0</v>
      </c>
      <c r="R18" s="982">
        <f t="shared" ca="1" si="3"/>
        <v>0</v>
      </c>
    </row>
    <row r="19" spans="1:43" ht="49.5" customHeight="1" x14ac:dyDescent="0.2">
      <c r="A19" s="5460"/>
      <c r="B19" s="5472"/>
      <c r="C19" s="3909"/>
      <c r="D19" s="987" t="s">
        <v>169</v>
      </c>
      <c r="E19" s="981" t="e">
        <f t="shared" ref="E19:K19" si="6">+E197</f>
        <v>#REF!</v>
      </c>
      <c r="F19" s="981" t="e">
        <f t="shared" si="6"/>
        <v>#REF!</v>
      </c>
      <c r="G19" s="981" t="e">
        <f t="shared" si="6"/>
        <v>#REF!</v>
      </c>
      <c r="H19" s="981" t="e">
        <f t="shared" si="6"/>
        <v>#REF!</v>
      </c>
      <c r="I19" s="981" t="e">
        <f t="shared" si="6"/>
        <v>#REF!</v>
      </c>
      <c r="J19" s="981" t="e">
        <f t="shared" si="6"/>
        <v>#REF!</v>
      </c>
      <c r="K19" s="981" t="e">
        <f t="shared" si="6"/>
        <v>#REF!</v>
      </c>
      <c r="L19" s="986"/>
      <c r="M19" s="986"/>
      <c r="N19" s="986"/>
      <c r="O19" s="393"/>
      <c r="P19" s="982" t="e">
        <f t="shared" si="1"/>
        <v>#REF!</v>
      </c>
      <c r="Q19" s="982" t="e">
        <f t="shared" si="2"/>
        <v>#REF!</v>
      </c>
      <c r="R19" s="982" t="e">
        <f t="shared" si="3"/>
        <v>#REF!</v>
      </c>
    </row>
    <row r="20" spans="1:43" ht="49.5" customHeight="1" x14ac:dyDescent="0.2">
      <c r="A20" s="5460"/>
      <c r="B20" s="5473"/>
      <c r="C20" s="3653"/>
      <c r="D20" s="987" t="s">
        <v>49</v>
      </c>
      <c r="E20" s="981" t="e">
        <f t="shared" ref="E20:K20" si="7">+E198</f>
        <v>#REF!</v>
      </c>
      <c r="F20" s="981" t="e">
        <f t="shared" si="7"/>
        <v>#REF!</v>
      </c>
      <c r="G20" s="981" t="e">
        <f t="shared" si="7"/>
        <v>#REF!</v>
      </c>
      <c r="H20" s="981" t="e">
        <f t="shared" si="7"/>
        <v>#REF!</v>
      </c>
      <c r="I20" s="981" t="e">
        <f t="shared" si="7"/>
        <v>#REF!</v>
      </c>
      <c r="J20" s="981" t="e">
        <f t="shared" si="7"/>
        <v>#REF!</v>
      </c>
      <c r="K20" s="981" t="e">
        <f t="shared" si="7"/>
        <v>#REF!</v>
      </c>
      <c r="L20" s="986"/>
      <c r="M20" s="986"/>
      <c r="N20" s="986"/>
      <c r="O20" s="393"/>
      <c r="P20" s="982" t="e">
        <f t="shared" si="1"/>
        <v>#REF!</v>
      </c>
      <c r="Q20" s="982" t="e">
        <f t="shared" si="2"/>
        <v>#REF!</v>
      </c>
      <c r="R20" s="982" t="e">
        <f t="shared" si="3"/>
        <v>#REF!</v>
      </c>
    </row>
    <row r="21" spans="1:43" ht="49.5" customHeight="1" x14ac:dyDescent="0.2">
      <c r="A21" s="5460"/>
      <c r="B21" s="873">
        <v>6000</v>
      </c>
      <c r="C21" s="845" t="s">
        <v>933</v>
      </c>
      <c r="D21" s="877" t="s">
        <v>934</v>
      </c>
      <c r="E21" s="981">
        <f t="shared" ref="E21:K21" si="8">+E199</f>
        <v>0</v>
      </c>
      <c r="F21" s="981">
        <f t="shared" si="8"/>
        <v>0</v>
      </c>
      <c r="G21" s="981">
        <f t="shared" si="8"/>
        <v>0</v>
      </c>
      <c r="H21" s="981">
        <f t="shared" si="8"/>
        <v>0</v>
      </c>
      <c r="I21" s="981">
        <f t="shared" ca="1" si="8"/>
        <v>0</v>
      </c>
      <c r="J21" s="981">
        <f t="shared" ca="1" si="8"/>
        <v>0</v>
      </c>
      <c r="K21" s="981">
        <f t="shared" ca="1" si="8"/>
        <v>0</v>
      </c>
      <c r="L21" s="485"/>
      <c r="M21" s="485"/>
      <c r="N21" s="485"/>
      <c r="O21" s="485"/>
      <c r="P21" s="982">
        <f t="shared" ca="1" si="1"/>
        <v>0</v>
      </c>
      <c r="Q21" s="982">
        <f t="shared" ca="1" si="2"/>
        <v>0</v>
      </c>
      <c r="R21" s="982">
        <f t="shared" ca="1" si="3"/>
        <v>0</v>
      </c>
    </row>
    <row r="22" spans="1:43" ht="49.5" customHeight="1" thickBot="1" x14ac:dyDescent="0.25">
      <c r="A22" s="988"/>
      <c r="B22" s="5475" t="s">
        <v>375</v>
      </c>
      <c r="C22" s="5476"/>
      <c r="D22" s="5477"/>
      <c r="E22" s="989" t="e">
        <f t="shared" ref="E22:R22" si="9">SUM(E15:E21)</f>
        <v>#REF!</v>
      </c>
      <c r="F22" s="989" t="e">
        <f t="shared" ca="1" si="9"/>
        <v>#REF!</v>
      </c>
      <c r="G22" s="989" t="e">
        <f t="shared" ca="1" si="9"/>
        <v>#REF!</v>
      </c>
      <c r="H22" s="989" t="e">
        <f t="shared" ca="1" si="9"/>
        <v>#REF!</v>
      </c>
      <c r="I22" s="989" t="e">
        <f t="shared" ca="1" si="9"/>
        <v>#REF!</v>
      </c>
      <c r="J22" s="989" t="e">
        <f t="shared" ca="1" si="9"/>
        <v>#REF!</v>
      </c>
      <c r="K22" s="989" t="e">
        <f t="shared" ca="1" si="9"/>
        <v>#REF!</v>
      </c>
      <c r="L22" s="267">
        <f t="shared" si="9"/>
        <v>0</v>
      </c>
      <c r="M22" s="267">
        <f t="shared" si="9"/>
        <v>0</v>
      </c>
      <c r="N22" s="268">
        <f t="shared" si="9"/>
        <v>0</v>
      </c>
      <c r="O22" s="398" t="e">
        <f t="shared" si="9"/>
        <v>#DIV/0!</v>
      </c>
      <c r="P22" s="990" t="e">
        <f t="shared" ca="1" si="9"/>
        <v>#REF!</v>
      </c>
      <c r="Q22" s="990" t="e">
        <f t="shared" ca="1" si="9"/>
        <v>#REF!</v>
      </c>
      <c r="R22" s="991" t="e">
        <f t="shared" ca="1" si="9"/>
        <v>#REF!</v>
      </c>
      <c r="S22" s="992" t="e">
        <f ca="1">SUM(P22:R22)</f>
        <v>#REF!</v>
      </c>
    </row>
    <row r="23" spans="1:43" s="606" customFormat="1" ht="49.5" customHeight="1" x14ac:dyDescent="0.2">
      <c r="A23" s="5461"/>
      <c r="B23" s="5462"/>
      <c r="C23" s="5462"/>
      <c r="D23" s="5462"/>
      <c r="E23" s="5462"/>
      <c r="F23" s="5462"/>
      <c r="G23" s="5462"/>
      <c r="H23" s="5462"/>
      <c r="I23" s="5462"/>
      <c r="J23" s="5462"/>
      <c r="K23" s="5462"/>
      <c r="L23" s="5462"/>
      <c r="M23" s="5462"/>
      <c r="N23" s="5462"/>
      <c r="O23" s="5462"/>
      <c r="P23" s="5462"/>
      <c r="Q23" s="5462"/>
      <c r="R23" s="5463"/>
    </row>
    <row r="24" spans="1:43" s="606" customFormat="1" ht="49.5" customHeight="1" thickBot="1" x14ac:dyDescent="0.25">
      <c r="A24" s="5464"/>
      <c r="B24" s="5465"/>
      <c r="C24" s="5465"/>
      <c r="D24" s="5465"/>
      <c r="E24" s="5465"/>
      <c r="F24" s="5465"/>
      <c r="G24" s="5465"/>
      <c r="H24" s="5465"/>
      <c r="I24" s="5465"/>
      <c r="J24" s="5465"/>
      <c r="K24" s="5465"/>
      <c r="L24" s="5465"/>
      <c r="M24" s="5465"/>
      <c r="N24" s="5465"/>
      <c r="O24" s="5465"/>
      <c r="P24" s="5465"/>
      <c r="Q24" s="5465"/>
      <c r="R24" s="5466"/>
    </row>
    <row r="25" spans="1:43" ht="49.5" customHeight="1" x14ac:dyDescent="0.2">
      <c r="A25" s="5436" t="s">
        <v>376</v>
      </c>
      <c r="B25" s="5437"/>
      <c r="C25" s="5437"/>
      <c r="D25" s="5450"/>
      <c r="E25" s="5419" t="s">
        <v>101</v>
      </c>
      <c r="F25" s="5373" t="s">
        <v>304</v>
      </c>
      <c r="G25" s="5374"/>
      <c r="H25" s="5375"/>
      <c r="I25" s="5373" t="s">
        <v>368</v>
      </c>
      <c r="J25" s="5374"/>
      <c r="K25" s="5375"/>
      <c r="L25" s="5366" t="s">
        <v>851</v>
      </c>
      <c r="M25" s="5367"/>
      <c r="N25" s="5368"/>
      <c r="O25" s="395"/>
      <c r="P25" s="5429" t="s">
        <v>377</v>
      </c>
      <c r="Q25" s="5429"/>
      <c r="R25" s="5430"/>
      <c r="T25" s="5373" t="s">
        <v>304</v>
      </c>
      <c r="U25" s="5374"/>
      <c r="V25" s="5375"/>
      <c r="W25" s="5373" t="s">
        <v>368</v>
      </c>
      <c r="X25" s="5374"/>
      <c r="Y25" s="5375"/>
      <c r="Z25" s="5376" t="s">
        <v>850</v>
      </c>
      <c r="AA25" s="5376"/>
      <c r="AB25" s="5376"/>
      <c r="AC25" s="5366" t="s">
        <v>851</v>
      </c>
      <c r="AD25" s="5367"/>
      <c r="AE25" s="5368"/>
      <c r="AF25" s="5366" t="s">
        <v>852</v>
      </c>
      <c r="AG25" s="5367"/>
      <c r="AH25" s="5368"/>
      <c r="AI25" s="5366" t="s">
        <v>853</v>
      </c>
      <c r="AJ25" s="5367"/>
      <c r="AK25" s="5368"/>
      <c r="AL25" s="5366" t="s">
        <v>377</v>
      </c>
      <c r="AM25" s="5367"/>
      <c r="AN25" s="5368"/>
      <c r="AO25" s="5366" t="s">
        <v>241</v>
      </c>
      <c r="AP25" s="5367"/>
      <c r="AQ25" s="5368"/>
    </row>
    <row r="26" spans="1:43" ht="49.5" customHeight="1" thickBot="1" x14ac:dyDescent="0.25">
      <c r="A26" s="5451"/>
      <c r="B26" s="5452"/>
      <c r="C26" s="5452"/>
      <c r="D26" s="5453"/>
      <c r="E26" s="5420"/>
      <c r="F26" s="261" t="s">
        <v>287</v>
      </c>
      <c r="G26" s="261" t="s">
        <v>289</v>
      </c>
      <c r="H26" s="262" t="s">
        <v>288</v>
      </c>
      <c r="I26" s="261" t="s">
        <v>287</v>
      </c>
      <c r="J26" s="261" t="s">
        <v>289</v>
      </c>
      <c r="K26" s="262" t="s">
        <v>288</v>
      </c>
      <c r="L26" s="261" t="s">
        <v>287</v>
      </c>
      <c r="M26" s="261" t="s">
        <v>289</v>
      </c>
      <c r="N26" s="262" t="s">
        <v>288</v>
      </c>
      <c r="O26" s="399" t="s">
        <v>905</v>
      </c>
      <c r="P26" s="979" t="s">
        <v>287</v>
      </c>
      <c r="Q26" s="979" t="s">
        <v>289</v>
      </c>
      <c r="R26" s="980" t="s">
        <v>288</v>
      </c>
      <c r="T26" s="261" t="s">
        <v>287</v>
      </c>
      <c r="U26" s="261" t="s">
        <v>289</v>
      </c>
      <c r="V26" s="262" t="s">
        <v>288</v>
      </c>
      <c r="W26" s="261" t="s">
        <v>287</v>
      </c>
      <c r="X26" s="261" t="s">
        <v>289</v>
      </c>
      <c r="Y26" s="262" t="s">
        <v>288</v>
      </c>
      <c r="Z26" s="261" t="s">
        <v>287</v>
      </c>
      <c r="AA26" s="261" t="s">
        <v>289</v>
      </c>
      <c r="AB26" s="262" t="s">
        <v>288</v>
      </c>
      <c r="AC26" s="261" t="s">
        <v>287</v>
      </c>
      <c r="AD26" s="261" t="s">
        <v>289</v>
      </c>
      <c r="AE26" s="261" t="s">
        <v>288</v>
      </c>
      <c r="AF26" s="261" t="s">
        <v>287</v>
      </c>
      <c r="AG26" s="261" t="s">
        <v>289</v>
      </c>
      <c r="AH26" s="261" t="s">
        <v>288</v>
      </c>
      <c r="AI26" s="261" t="s">
        <v>287</v>
      </c>
      <c r="AJ26" s="261" t="s">
        <v>289</v>
      </c>
      <c r="AK26" s="261" t="s">
        <v>288</v>
      </c>
      <c r="AL26" s="261" t="s">
        <v>287</v>
      </c>
      <c r="AM26" s="261" t="s">
        <v>289</v>
      </c>
      <c r="AN26" s="261" t="s">
        <v>288</v>
      </c>
      <c r="AO26" s="261" t="s">
        <v>287</v>
      </c>
      <c r="AP26" s="261" t="s">
        <v>289</v>
      </c>
      <c r="AQ26" s="261" t="s">
        <v>288</v>
      </c>
    </row>
    <row r="27" spans="1:43" ht="49.5" customHeight="1" x14ac:dyDescent="0.2">
      <c r="A27" s="5584" t="s">
        <v>52</v>
      </c>
      <c r="B27" s="857">
        <v>5000</v>
      </c>
      <c r="C27" s="5448" t="s">
        <v>42</v>
      </c>
      <c r="D27" s="5449"/>
      <c r="E27" s="993">
        <f>+E200</f>
        <v>0</v>
      </c>
      <c r="F27" s="993">
        <f t="shared" ref="F27:K27" si="10">+F200</f>
        <v>0</v>
      </c>
      <c r="G27" s="993">
        <f t="shared" si="10"/>
        <v>0</v>
      </c>
      <c r="H27" s="993">
        <f t="shared" si="10"/>
        <v>0</v>
      </c>
      <c r="I27" s="993">
        <f t="shared" ca="1" si="10"/>
        <v>0</v>
      </c>
      <c r="J27" s="993">
        <f t="shared" ca="1" si="10"/>
        <v>0</v>
      </c>
      <c r="K27" s="993">
        <f t="shared" ca="1" si="10"/>
        <v>0</v>
      </c>
      <c r="L27" s="994"/>
      <c r="M27" s="994"/>
      <c r="N27" s="994"/>
      <c r="O27" s="995"/>
      <c r="P27" s="982">
        <f ca="1">+F27+I27</f>
        <v>0</v>
      </c>
      <c r="Q27" s="982">
        <f ca="1">+G27+J27</f>
        <v>0</v>
      </c>
      <c r="R27" s="983">
        <f ca="1">+H27+K27</f>
        <v>0</v>
      </c>
      <c r="S27" s="996"/>
      <c r="T27" s="994"/>
      <c r="U27" s="994"/>
      <c r="V27" s="994"/>
      <c r="W27" s="994"/>
      <c r="X27" s="994"/>
      <c r="Y27" s="994"/>
      <c r="AC27" s="997"/>
      <c r="AD27" s="997"/>
      <c r="AE27" s="997"/>
      <c r="AF27" s="263"/>
      <c r="AG27" s="263"/>
      <c r="AH27" s="263"/>
      <c r="AI27" s="998"/>
      <c r="AJ27" s="998"/>
      <c r="AK27" s="998"/>
      <c r="AL27" s="998"/>
      <c r="AM27" s="998"/>
      <c r="AN27" s="998"/>
      <c r="AO27" s="43"/>
      <c r="AP27" s="33"/>
      <c r="AQ27" s="33"/>
    </row>
    <row r="28" spans="1:43" ht="49.5" hidden="1" customHeight="1" thickBot="1" x14ac:dyDescent="0.25">
      <c r="A28" s="5585"/>
      <c r="B28" s="864">
        <v>5020</v>
      </c>
      <c r="C28" s="865" t="s">
        <v>43</v>
      </c>
      <c r="D28" s="984" t="s">
        <v>44</v>
      </c>
      <c r="E28" s="993" t="e">
        <f t="shared" ref="E28:K28" si="11">+E201</f>
        <v>#REF!</v>
      </c>
      <c r="F28" s="993" t="e">
        <f t="shared" si="11"/>
        <v>#REF!</v>
      </c>
      <c r="G28" s="993" t="e">
        <f t="shared" si="11"/>
        <v>#REF!</v>
      </c>
      <c r="H28" s="993" t="e">
        <f t="shared" si="11"/>
        <v>#REF!</v>
      </c>
      <c r="I28" s="993" t="e">
        <f t="shared" si="11"/>
        <v>#REF!</v>
      </c>
      <c r="J28" s="993" t="e">
        <f t="shared" si="11"/>
        <v>#REF!</v>
      </c>
      <c r="K28" s="993" t="e">
        <f t="shared" si="11"/>
        <v>#REF!</v>
      </c>
      <c r="L28" s="994"/>
      <c r="M28" s="994"/>
      <c r="N28" s="994"/>
      <c r="O28" s="995"/>
      <c r="P28" s="982" t="e">
        <f t="shared" ref="P28:P37" si="12">+F28+I28</f>
        <v>#REF!</v>
      </c>
      <c r="Q28" s="982" t="e">
        <f t="shared" ref="Q28:Q37" si="13">+G28+J28</f>
        <v>#REF!</v>
      </c>
      <c r="R28" s="983" t="e">
        <f t="shared" ref="R28:R37" si="14">+H28+K28</f>
        <v>#REF!</v>
      </c>
      <c r="S28" s="996"/>
      <c r="T28" s="994"/>
      <c r="U28" s="994"/>
      <c r="V28" s="994"/>
      <c r="W28" s="994"/>
      <c r="X28" s="994"/>
      <c r="Y28" s="994"/>
      <c r="AC28" s="997"/>
      <c r="AD28" s="997"/>
      <c r="AE28" s="997"/>
      <c r="AF28" s="263"/>
      <c r="AG28" s="263"/>
      <c r="AH28" s="263"/>
      <c r="AI28" s="998"/>
      <c r="AJ28" s="998"/>
      <c r="AK28" s="998"/>
      <c r="AL28" s="998"/>
      <c r="AM28" s="998"/>
      <c r="AN28" s="998"/>
      <c r="AO28" s="43"/>
      <c r="AP28" s="33"/>
      <c r="AQ28" s="33"/>
    </row>
    <row r="29" spans="1:43" ht="49.5" customHeight="1" x14ac:dyDescent="0.2">
      <c r="A29" s="5585"/>
      <c r="B29" s="5397" t="s">
        <v>220</v>
      </c>
      <c r="C29" s="5474"/>
      <c r="D29" s="985" t="s">
        <v>46</v>
      </c>
      <c r="E29" s="993">
        <f t="shared" ref="E29:K29" si="15">+E202</f>
        <v>0</v>
      </c>
      <c r="F29" s="993">
        <f t="shared" si="15"/>
        <v>0</v>
      </c>
      <c r="G29" s="993">
        <f t="shared" si="15"/>
        <v>0</v>
      </c>
      <c r="H29" s="993">
        <f t="shared" si="15"/>
        <v>0</v>
      </c>
      <c r="I29" s="993">
        <f t="shared" ca="1" si="15"/>
        <v>0</v>
      </c>
      <c r="J29" s="993">
        <f t="shared" ca="1" si="15"/>
        <v>0</v>
      </c>
      <c r="K29" s="993">
        <f t="shared" ca="1" si="15"/>
        <v>0</v>
      </c>
      <c r="L29" s="986">
        <f t="shared" ref="L29:N30" si="16">+F29</f>
        <v>0</v>
      </c>
      <c r="M29" s="986">
        <f t="shared" si="16"/>
        <v>0</v>
      </c>
      <c r="N29" s="986">
        <f t="shared" si="16"/>
        <v>0</v>
      </c>
      <c r="O29" s="393" t="e">
        <f>+(L29+M29+N29)/E29</f>
        <v>#DIV/0!</v>
      </c>
      <c r="P29" s="982">
        <f t="shared" ca="1" si="12"/>
        <v>0</v>
      </c>
      <c r="Q29" s="982">
        <f t="shared" ca="1" si="13"/>
        <v>0</v>
      </c>
      <c r="R29" s="983">
        <f t="shared" ca="1" si="14"/>
        <v>0</v>
      </c>
      <c r="S29" s="996"/>
      <c r="T29" s="994"/>
      <c r="U29" s="994"/>
      <c r="V29" s="994"/>
      <c r="W29" s="994"/>
      <c r="X29" s="994"/>
      <c r="Y29" s="994"/>
      <c r="AC29" s="997"/>
      <c r="AD29" s="997"/>
      <c r="AE29" s="997"/>
      <c r="AF29" s="263"/>
      <c r="AG29" s="263"/>
      <c r="AH29" s="263"/>
      <c r="AI29" s="998"/>
      <c r="AJ29" s="998"/>
      <c r="AK29" s="998"/>
      <c r="AL29" s="998"/>
      <c r="AM29" s="998"/>
      <c r="AN29" s="998"/>
      <c r="AO29" s="43"/>
      <c r="AP29" s="33"/>
      <c r="AQ29" s="33"/>
    </row>
    <row r="30" spans="1:43" ht="49.5" customHeight="1" x14ac:dyDescent="0.2">
      <c r="A30" s="5585"/>
      <c r="B30" s="5397"/>
      <c r="C30" s="5474"/>
      <c r="D30" s="985" t="s">
        <v>47</v>
      </c>
      <c r="E30" s="993">
        <f t="shared" ref="E30:K30" si="17">+E203</f>
        <v>0</v>
      </c>
      <c r="F30" s="993">
        <f t="shared" si="17"/>
        <v>0</v>
      </c>
      <c r="G30" s="993">
        <f t="shared" si="17"/>
        <v>0</v>
      </c>
      <c r="H30" s="993">
        <f t="shared" si="17"/>
        <v>0</v>
      </c>
      <c r="I30" s="993">
        <f t="shared" ca="1" si="17"/>
        <v>0</v>
      </c>
      <c r="J30" s="993">
        <f t="shared" ca="1" si="17"/>
        <v>0</v>
      </c>
      <c r="K30" s="993">
        <f t="shared" ca="1" si="17"/>
        <v>0</v>
      </c>
      <c r="L30" s="986">
        <f t="shared" si="16"/>
        <v>0</v>
      </c>
      <c r="M30" s="986">
        <f t="shared" si="16"/>
        <v>0</v>
      </c>
      <c r="N30" s="986">
        <f t="shared" si="16"/>
        <v>0</v>
      </c>
      <c r="O30" s="393" t="e">
        <f>+(L30+M30+N30)/E30</f>
        <v>#DIV/0!</v>
      </c>
      <c r="P30" s="982">
        <f t="shared" ca="1" si="12"/>
        <v>0</v>
      </c>
      <c r="Q30" s="982">
        <f t="shared" ca="1" si="13"/>
        <v>0</v>
      </c>
      <c r="R30" s="983">
        <f t="shared" ca="1" si="14"/>
        <v>0</v>
      </c>
      <c r="S30" s="996"/>
      <c r="T30" s="994"/>
      <c r="U30" s="994"/>
      <c r="V30" s="994"/>
      <c r="W30" s="994"/>
      <c r="X30" s="994"/>
      <c r="Y30" s="994"/>
      <c r="AC30" s="997"/>
      <c r="AD30" s="997"/>
      <c r="AE30" s="997"/>
      <c r="AF30" s="263"/>
      <c r="AG30" s="263"/>
      <c r="AH30" s="263"/>
      <c r="AI30" s="998"/>
      <c r="AJ30" s="998"/>
      <c r="AK30" s="998"/>
      <c r="AL30" s="998"/>
      <c r="AM30" s="998"/>
      <c r="AN30" s="998"/>
      <c r="AO30" s="43"/>
      <c r="AP30" s="33"/>
      <c r="AQ30" s="33"/>
    </row>
    <row r="31" spans="1:43" ht="49.5" customHeight="1" x14ac:dyDescent="0.2">
      <c r="A31" s="5585"/>
      <c r="B31" s="5397"/>
      <c r="C31" s="5474"/>
      <c r="D31" s="985" t="s">
        <v>935</v>
      </c>
      <c r="E31" s="993">
        <f t="shared" ref="E31:K31" si="18">+E204</f>
        <v>0</v>
      </c>
      <c r="F31" s="993">
        <f t="shared" si="18"/>
        <v>0</v>
      </c>
      <c r="G31" s="993">
        <f t="shared" si="18"/>
        <v>0</v>
      </c>
      <c r="H31" s="993">
        <f t="shared" si="18"/>
        <v>0</v>
      </c>
      <c r="I31" s="993">
        <f t="shared" ca="1" si="18"/>
        <v>0</v>
      </c>
      <c r="J31" s="993">
        <f t="shared" ca="1" si="18"/>
        <v>0</v>
      </c>
      <c r="K31" s="993">
        <f t="shared" ca="1" si="18"/>
        <v>0</v>
      </c>
      <c r="L31" s="485"/>
      <c r="M31" s="485"/>
      <c r="N31" s="485"/>
      <c r="O31" s="485"/>
      <c r="P31" s="982">
        <f t="shared" ca="1" si="12"/>
        <v>0</v>
      </c>
      <c r="Q31" s="982">
        <f t="shared" ca="1" si="13"/>
        <v>0</v>
      </c>
      <c r="R31" s="983">
        <f t="shared" ca="1" si="14"/>
        <v>0</v>
      </c>
      <c r="S31" s="996"/>
      <c r="T31" s="994"/>
      <c r="U31" s="994"/>
      <c r="V31" s="994"/>
      <c r="W31" s="994"/>
      <c r="X31" s="994"/>
      <c r="Y31" s="994"/>
      <c r="AC31" s="997"/>
      <c r="AD31" s="997"/>
      <c r="AE31" s="997"/>
      <c r="AF31" s="263"/>
      <c r="AG31" s="263"/>
      <c r="AH31" s="263"/>
      <c r="AI31" s="998"/>
      <c r="AJ31" s="998"/>
      <c r="AK31" s="998"/>
      <c r="AL31" s="998"/>
      <c r="AM31" s="998"/>
      <c r="AN31" s="998"/>
      <c r="AO31" s="43"/>
      <c r="AP31" s="33"/>
      <c r="AQ31" s="33"/>
    </row>
    <row r="32" spans="1:43" ht="49.5" customHeight="1" x14ac:dyDescent="0.4">
      <c r="A32" s="5585"/>
      <c r="B32" s="5397"/>
      <c r="C32" s="5474"/>
      <c r="D32" s="985" t="s">
        <v>936</v>
      </c>
      <c r="E32" s="993" t="e">
        <f t="shared" ref="E32:K32" si="19">+E205</f>
        <v>#REF!</v>
      </c>
      <c r="F32" s="993" t="e">
        <f t="shared" si="19"/>
        <v>#REF!</v>
      </c>
      <c r="G32" s="993" t="e">
        <f t="shared" si="19"/>
        <v>#REF!</v>
      </c>
      <c r="H32" s="993" t="e">
        <f t="shared" si="19"/>
        <v>#REF!</v>
      </c>
      <c r="I32" s="993" t="e">
        <f t="shared" si="19"/>
        <v>#REF!</v>
      </c>
      <c r="J32" s="993" t="e">
        <f t="shared" si="19"/>
        <v>#REF!</v>
      </c>
      <c r="K32" s="993" t="e">
        <f t="shared" si="19"/>
        <v>#REF!</v>
      </c>
      <c r="L32" s="986" t="e">
        <f>+F32</f>
        <v>#REF!</v>
      </c>
      <c r="M32" s="986" t="e">
        <f>+G32</f>
        <v>#REF!</v>
      </c>
      <c r="N32" s="986" t="e">
        <f>+H32</f>
        <v>#REF!</v>
      </c>
      <c r="O32" s="393" t="e">
        <f>+(L32+M32+N32)/E32</f>
        <v>#REF!</v>
      </c>
      <c r="P32" s="982" t="e">
        <f t="shared" si="12"/>
        <v>#REF!</v>
      </c>
      <c r="Q32" s="982" t="e">
        <f t="shared" si="13"/>
        <v>#REF!</v>
      </c>
      <c r="R32" s="983" t="e">
        <f t="shared" si="14"/>
        <v>#REF!</v>
      </c>
      <c r="S32" s="996"/>
      <c r="T32" s="993" t="e">
        <f t="shared" ref="T32:V33" si="20">+F32-L32</f>
        <v>#REF!</v>
      </c>
      <c r="U32" s="993" t="e">
        <f t="shared" si="20"/>
        <v>#REF!</v>
      </c>
      <c r="V32" s="993" t="e">
        <f t="shared" si="20"/>
        <v>#REF!</v>
      </c>
      <c r="W32" s="993" t="e">
        <f>+IF( I32=0,0,(T32/F32)*I32)</f>
        <v>#REF!</v>
      </c>
      <c r="X32" s="993" t="e">
        <f t="shared" ref="X32:Y37" si="21">+IF(J32=0,0,(U32/G32)*J32)</f>
        <v>#REF!</v>
      </c>
      <c r="Y32" s="993" t="e">
        <f t="shared" si="21"/>
        <v>#REF!</v>
      </c>
      <c r="Z32" s="993" t="e">
        <f t="shared" ref="Z32:AB33" si="22">+T32+W32</f>
        <v>#REF!</v>
      </c>
      <c r="AA32" s="993" t="e">
        <f t="shared" si="22"/>
        <v>#REF!</v>
      </c>
      <c r="AB32" s="993" t="e">
        <f t="shared" si="22"/>
        <v>#REF!</v>
      </c>
      <c r="AC32" s="264" t="e">
        <f t="shared" ref="AC32:AE33" si="23">+L32</f>
        <v>#REF!</v>
      </c>
      <c r="AD32" s="264" t="e">
        <f t="shared" si="23"/>
        <v>#REF!</v>
      </c>
      <c r="AE32" s="264" t="e">
        <f t="shared" si="23"/>
        <v>#REF!</v>
      </c>
      <c r="AF32" s="264" t="e">
        <f t="shared" ref="AF32:AH33" si="24">+I32-W32</f>
        <v>#REF!</v>
      </c>
      <c r="AG32" s="264" t="e">
        <f t="shared" si="24"/>
        <v>#REF!</v>
      </c>
      <c r="AH32" s="264" t="e">
        <f t="shared" si="24"/>
        <v>#REF!</v>
      </c>
      <c r="AI32" s="999" t="e">
        <f t="shared" ref="AI32:AK33" si="25">+AC32+AF32</f>
        <v>#REF!</v>
      </c>
      <c r="AJ32" s="999" t="e">
        <f t="shared" si="25"/>
        <v>#REF!</v>
      </c>
      <c r="AK32" s="999" t="e">
        <f t="shared" si="25"/>
        <v>#REF!</v>
      </c>
      <c r="AL32" s="1000" t="e">
        <f t="shared" ref="AL32:AN33" si="26">+T32+W32+AC32+AF32</f>
        <v>#REF!</v>
      </c>
      <c r="AM32" s="1000" t="e">
        <f t="shared" si="26"/>
        <v>#REF!</v>
      </c>
      <c r="AN32" s="1000" t="e">
        <f t="shared" si="26"/>
        <v>#REF!</v>
      </c>
      <c r="AO32" s="1001" t="e">
        <f t="shared" ref="AO32:AQ33" si="27">+P32-AL32</f>
        <v>#REF!</v>
      </c>
      <c r="AP32" s="1001" t="e">
        <f t="shared" si="27"/>
        <v>#REF!</v>
      </c>
      <c r="AQ32" s="1001" t="e">
        <f t="shared" si="27"/>
        <v>#REF!</v>
      </c>
    </row>
    <row r="33" spans="1:43" ht="49.5" customHeight="1" x14ac:dyDescent="0.4">
      <c r="A33" s="5585"/>
      <c r="B33" s="5397"/>
      <c r="C33" s="5474"/>
      <c r="D33" s="987" t="s">
        <v>169</v>
      </c>
      <c r="E33" s="993">
        <f t="shared" ref="E33:K33" si="28">+E206</f>
        <v>0</v>
      </c>
      <c r="F33" s="993">
        <f t="shared" si="28"/>
        <v>0</v>
      </c>
      <c r="G33" s="993">
        <f t="shared" si="28"/>
        <v>0</v>
      </c>
      <c r="H33" s="993">
        <f t="shared" si="28"/>
        <v>0</v>
      </c>
      <c r="I33" s="993">
        <f t="shared" ca="1" si="28"/>
        <v>0</v>
      </c>
      <c r="J33" s="993">
        <f t="shared" ca="1" si="28"/>
        <v>0</v>
      </c>
      <c r="K33" s="993">
        <f t="shared" ca="1" si="28"/>
        <v>0</v>
      </c>
      <c r="L33" s="485"/>
      <c r="M33" s="485"/>
      <c r="N33" s="485"/>
      <c r="O33" s="485"/>
      <c r="P33" s="982">
        <f t="shared" ca="1" si="12"/>
        <v>0</v>
      </c>
      <c r="Q33" s="982">
        <f t="shared" ca="1" si="13"/>
        <v>0</v>
      </c>
      <c r="R33" s="983">
        <f t="shared" ca="1" si="14"/>
        <v>0</v>
      </c>
      <c r="S33" s="996"/>
      <c r="T33" s="993">
        <f t="shared" si="20"/>
        <v>0</v>
      </c>
      <c r="U33" s="993">
        <f t="shared" si="20"/>
        <v>0</v>
      </c>
      <c r="V33" s="993">
        <f t="shared" si="20"/>
        <v>0</v>
      </c>
      <c r="W33" s="993">
        <f ca="1">+IF( I33=0,0,(T33/F33)*I33)</f>
        <v>0</v>
      </c>
      <c r="X33" s="993">
        <f t="shared" ca="1" si="21"/>
        <v>0</v>
      </c>
      <c r="Y33" s="993">
        <f t="shared" ca="1" si="21"/>
        <v>0</v>
      </c>
      <c r="Z33" s="993">
        <f t="shared" ca="1" si="22"/>
        <v>0</v>
      </c>
      <c r="AA33" s="993">
        <f t="shared" ca="1" si="22"/>
        <v>0</v>
      </c>
      <c r="AB33" s="993">
        <f t="shared" ca="1" si="22"/>
        <v>0</v>
      </c>
      <c r="AC33" s="264">
        <f t="shared" si="23"/>
        <v>0</v>
      </c>
      <c r="AD33" s="264">
        <f t="shared" si="23"/>
        <v>0</v>
      </c>
      <c r="AE33" s="264">
        <f t="shared" si="23"/>
        <v>0</v>
      </c>
      <c r="AF33" s="264">
        <f t="shared" ca="1" si="24"/>
        <v>0</v>
      </c>
      <c r="AG33" s="264">
        <f t="shared" ca="1" si="24"/>
        <v>0</v>
      </c>
      <c r="AH33" s="264">
        <f t="shared" ca="1" si="24"/>
        <v>0</v>
      </c>
      <c r="AI33" s="999">
        <f t="shared" ca="1" si="25"/>
        <v>0</v>
      </c>
      <c r="AJ33" s="999">
        <f t="shared" ca="1" si="25"/>
        <v>0</v>
      </c>
      <c r="AK33" s="999">
        <f t="shared" ca="1" si="25"/>
        <v>0</v>
      </c>
      <c r="AL33" s="1000">
        <f t="shared" ca="1" si="26"/>
        <v>0</v>
      </c>
      <c r="AM33" s="1000">
        <f t="shared" ca="1" si="26"/>
        <v>0</v>
      </c>
      <c r="AN33" s="1000">
        <f t="shared" ca="1" si="26"/>
        <v>0</v>
      </c>
      <c r="AO33" s="1001">
        <f t="shared" ca="1" si="27"/>
        <v>0</v>
      </c>
      <c r="AP33" s="1001">
        <f t="shared" ca="1" si="27"/>
        <v>0</v>
      </c>
      <c r="AQ33" s="1001">
        <f t="shared" ca="1" si="27"/>
        <v>0</v>
      </c>
    </row>
    <row r="34" spans="1:43" ht="49.5" customHeight="1" x14ac:dyDescent="0.4">
      <c r="A34" s="5585"/>
      <c r="B34" s="5397"/>
      <c r="C34" s="5474"/>
      <c r="D34" s="987" t="s">
        <v>49</v>
      </c>
      <c r="E34" s="993">
        <f t="shared" ref="E34:K34" si="29">+E207</f>
        <v>0</v>
      </c>
      <c r="F34" s="993">
        <f t="shared" si="29"/>
        <v>0</v>
      </c>
      <c r="G34" s="993">
        <f t="shared" si="29"/>
        <v>0</v>
      </c>
      <c r="H34" s="993">
        <f t="shared" si="29"/>
        <v>0</v>
      </c>
      <c r="I34" s="993">
        <f t="shared" ca="1" si="29"/>
        <v>0</v>
      </c>
      <c r="J34" s="993">
        <f t="shared" ca="1" si="29"/>
        <v>0</v>
      </c>
      <c r="K34" s="993">
        <f t="shared" ca="1" si="29"/>
        <v>0</v>
      </c>
      <c r="L34" s="485"/>
      <c r="M34" s="485"/>
      <c r="N34" s="485"/>
      <c r="O34" s="485"/>
      <c r="P34" s="982">
        <f t="shared" ca="1" si="12"/>
        <v>0</v>
      </c>
      <c r="Q34" s="982">
        <f t="shared" ca="1" si="13"/>
        <v>0</v>
      </c>
      <c r="R34" s="983">
        <f t="shared" ca="1" si="14"/>
        <v>0</v>
      </c>
      <c r="S34" s="996"/>
      <c r="T34" s="993"/>
      <c r="U34" s="993"/>
      <c r="V34" s="993"/>
      <c r="W34" s="993"/>
      <c r="X34" s="993"/>
      <c r="Y34" s="993"/>
      <c r="Z34" s="993"/>
      <c r="AA34" s="993"/>
      <c r="AB34" s="993"/>
      <c r="AC34" s="264"/>
      <c r="AD34" s="264"/>
      <c r="AE34" s="264"/>
      <c r="AF34" s="264"/>
      <c r="AG34" s="264"/>
      <c r="AH34" s="264"/>
      <c r="AI34" s="999"/>
      <c r="AJ34" s="999"/>
      <c r="AK34" s="999"/>
      <c r="AL34" s="1000"/>
      <c r="AM34" s="1000"/>
      <c r="AN34" s="1000"/>
      <c r="AO34" s="1001"/>
      <c r="AP34" s="1001"/>
      <c r="AQ34" s="1001"/>
    </row>
    <row r="35" spans="1:43" ht="49.5" customHeight="1" x14ac:dyDescent="0.4">
      <c r="A35" s="5585"/>
      <c r="B35" s="5397"/>
      <c r="C35" s="5474"/>
      <c r="D35" s="987" t="s">
        <v>937</v>
      </c>
      <c r="E35" s="993" t="e">
        <f t="shared" ref="E35:K35" si="30">+E208</f>
        <v>#REF!</v>
      </c>
      <c r="F35" s="993" t="e">
        <f t="shared" si="30"/>
        <v>#REF!</v>
      </c>
      <c r="G35" s="993" t="e">
        <f t="shared" si="30"/>
        <v>#REF!</v>
      </c>
      <c r="H35" s="993" t="e">
        <f t="shared" si="30"/>
        <v>#REF!</v>
      </c>
      <c r="I35" s="993" t="e">
        <f t="shared" si="30"/>
        <v>#REF!</v>
      </c>
      <c r="J35" s="993" t="e">
        <f t="shared" si="30"/>
        <v>#REF!</v>
      </c>
      <c r="K35" s="993" t="e">
        <f t="shared" si="30"/>
        <v>#REF!</v>
      </c>
      <c r="L35" s="485"/>
      <c r="M35" s="485"/>
      <c r="N35" s="485"/>
      <c r="O35" s="485"/>
      <c r="P35" s="982" t="e">
        <f t="shared" si="12"/>
        <v>#REF!</v>
      </c>
      <c r="Q35" s="982" t="e">
        <f t="shared" si="13"/>
        <v>#REF!</v>
      </c>
      <c r="R35" s="983" t="e">
        <f t="shared" si="14"/>
        <v>#REF!</v>
      </c>
      <c r="S35" s="996"/>
      <c r="T35" s="993"/>
      <c r="U35" s="993"/>
      <c r="V35" s="993"/>
      <c r="W35" s="993"/>
      <c r="X35" s="993"/>
      <c r="Y35" s="993"/>
      <c r="Z35" s="993"/>
      <c r="AA35" s="993"/>
      <c r="AB35" s="993"/>
      <c r="AC35" s="264"/>
      <c r="AD35" s="264"/>
      <c r="AE35" s="264"/>
      <c r="AF35" s="264"/>
      <c r="AG35" s="264"/>
      <c r="AH35" s="264"/>
      <c r="AI35" s="999"/>
      <c r="AJ35" s="999"/>
      <c r="AK35" s="999"/>
      <c r="AL35" s="1000"/>
      <c r="AM35" s="1000"/>
      <c r="AN35" s="1000"/>
      <c r="AO35" s="1001"/>
      <c r="AP35" s="1001"/>
      <c r="AQ35" s="1001"/>
    </row>
    <row r="36" spans="1:43" ht="49.5" customHeight="1" x14ac:dyDescent="0.4">
      <c r="A36" s="5585"/>
      <c r="B36" s="5397"/>
      <c r="C36" s="5474"/>
      <c r="D36" s="987" t="s">
        <v>938</v>
      </c>
      <c r="E36" s="993" t="e">
        <f t="shared" ref="E36:K36" si="31">+E209</f>
        <v>#REF!</v>
      </c>
      <c r="F36" s="993" t="e">
        <f t="shared" si="31"/>
        <v>#REF!</v>
      </c>
      <c r="G36" s="993" t="e">
        <f t="shared" si="31"/>
        <v>#REF!</v>
      </c>
      <c r="H36" s="993" t="e">
        <f t="shared" si="31"/>
        <v>#REF!</v>
      </c>
      <c r="I36" s="993" t="e">
        <f t="shared" si="31"/>
        <v>#REF!</v>
      </c>
      <c r="J36" s="993" t="e">
        <f t="shared" si="31"/>
        <v>#REF!</v>
      </c>
      <c r="K36" s="993" t="e">
        <f t="shared" si="31"/>
        <v>#REF!</v>
      </c>
      <c r="L36" s="485"/>
      <c r="M36" s="485"/>
      <c r="N36" s="485"/>
      <c r="O36" s="485"/>
      <c r="P36" s="982" t="e">
        <f t="shared" si="12"/>
        <v>#REF!</v>
      </c>
      <c r="Q36" s="982" t="e">
        <f t="shared" si="13"/>
        <v>#REF!</v>
      </c>
      <c r="R36" s="983" t="e">
        <f t="shared" si="14"/>
        <v>#REF!</v>
      </c>
      <c r="S36" s="996"/>
      <c r="T36" s="993"/>
      <c r="U36" s="993"/>
      <c r="V36" s="993"/>
      <c r="W36" s="993"/>
      <c r="X36" s="993"/>
      <c r="Y36" s="993"/>
      <c r="Z36" s="993"/>
      <c r="AA36" s="993"/>
      <c r="AB36" s="993"/>
      <c r="AC36" s="264"/>
      <c r="AD36" s="264"/>
      <c r="AE36" s="264"/>
      <c r="AF36" s="264"/>
      <c r="AG36" s="264"/>
      <c r="AH36" s="264"/>
      <c r="AI36" s="999"/>
      <c r="AJ36" s="999"/>
      <c r="AK36" s="999"/>
      <c r="AL36" s="1000"/>
      <c r="AM36" s="1000"/>
      <c r="AN36" s="1000"/>
      <c r="AO36" s="1001"/>
      <c r="AP36" s="1001"/>
      <c r="AQ36" s="1001"/>
    </row>
    <row r="37" spans="1:43" ht="49.5" customHeight="1" thickBot="1" x14ac:dyDescent="0.45">
      <c r="A37" s="5586"/>
      <c r="B37" s="873">
        <v>6000</v>
      </c>
      <c r="C37" s="876" t="s">
        <v>50</v>
      </c>
      <c r="D37" s="877" t="s">
        <v>934</v>
      </c>
      <c r="E37" s="993">
        <f t="shared" ref="E37:K37" si="32">+E210</f>
        <v>0</v>
      </c>
      <c r="F37" s="993">
        <f t="shared" si="32"/>
        <v>0</v>
      </c>
      <c r="G37" s="993">
        <f t="shared" si="32"/>
        <v>0</v>
      </c>
      <c r="H37" s="993">
        <f t="shared" si="32"/>
        <v>0</v>
      </c>
      <c r="I37" s="993">
        <f t="shared" ca="1" si="32"/>
        <v>0</v>
      </c>
      <c r="J37" s="993">
        <f t="shared" ca="1" si="32"/>
        <v>0</v>
      </c>
      <c r="K37" s="993">
        <f t="shared" ca="1" si="32"/>
        <v>0</v>
      </c>
      <c r="L37" s="485"/>
      <c r="M37" s="485"/>
      <c r="N37" s="485"/>
      <c r="O37" s="485"/>
      <c r="P37" s="982">
        <f t="shared" ca="1" si="12"/>
        <v>0</v>
      </c>
      <c r="Q37" s="982">
        <f t="shared" ca="1" si="13"/>
        <v>0</v>
      </c>
      <c r="R37" s="983">
        <f t="shared" ca="1" si="14"/>
        <v>0</v>
      </c>
      <c r="S37" s="996"/>
      <c r="T37" s="993">
        <f>+F37-L37</f>
        <v>0</v>
      </c>
      <c r="U37" s="993">
        <f>+G37-M37</f>
        <v>0</v>
      </c>
      <c r="V37" s="993">
        <f>+H37-N37</f>
        <v>0</v>
      </c>
      <c r="W37" s="993">
        <f ca="1">+IF( I37=0,0,(T37/F37)*I37)</f>
        <v>0</v>
      </c>
      <c r="X37" s="993">
        <f t="shared" ca="1" si="21"/>
        <v>0</v>
      </c>
      <c r="Y37" s="993">
        <f t="shared" ca="1" si="21"/>
        <v>0</v>
      </c>
      <c r="Z37" s="993">
        <f ca="1">+T37+W37</f>
        <v>0</v>
      </c>
      <c r="AA37" s="993">
        <f ca="1">+U37+X37</f>
        <v>0</v>
      </c>
      <c r="AB37" s="993">
        <f ca="1">+V37+Y37</f>
        <v>0</v>
      </c>
      <c r="AC37" s="264">
        <f>+L37</f>
        <v>0</v>
      </c>
      <c r="AD37" s="264">
        <f>+M37</f>
        <v>0</v>
      </c>
      <c r="AE37" s="264">
        <f>+N37</f>
        <v>0</v>
      </c>
      <c r="AF37" s="264">
        <f ca="1">+I37-W37</f>
        <v>0</v>
      </c>
      <c r="AG37" s="264">
        <f ca="1">+J37-X37</f>
        <v>0</v>
      </c>
      <c r="AH37" s="264">
        <f ca="1">+K37-Y37</f>
        <v>0</v>
      </c>
      <c r="AI37" s="999">
        <f ca="1">+AC37+AF37</f>
        <v>0</v>
      </c>
      <c r="AJ37" s="999">
        <f ca="1">+AD37+AG37</f>
        <v>0</v>
      </c>
      <c r="AK37" s="999">
        <f ca="1">+AE37+AH37</f>
        <v>0</v>
      </c>
      <c r="AL37" s="1000">
        <f ca="1">+T37+W37+AC37+AF37</f>
        <v>0</v>
      </c>
      <c r="AM37" s="1000">
        <f ca="1">+U37+X37+AD37+AG37</f>
        <v>0</v>
      </c>
      <c r="AN37" s="1000">
        <f ca="1">+V37+Y37+AE37+AH37</f>
        <v>0</v>
      </c>
      <c r="AO37" s="1001">
        <f ca="1">+P37-AL37</f>
        <v>0</v>
      </c>
      <c r="AP37" s="1001">
        <f ca="1">+Q37-AM37</f>
        <v>0</v>
      </c>
      <c r="AQ37" s="1001">
        <f ca="1">+R37-AN37</f>
        <v>0</v>
      </c>
    </row>
    <row r="38" spans="1:43" ht="49.5" customHeight="1" x14ac:dyDescent="0.2">
      <c r="A38" s="1002"/>
      <c r="B38" s="5587" t="s">
        <v>392</v>
      </c>
      <c r="C38" s="5588"/>
      <c r="D38" s="5589"/>
      <c r="E38" s="1003" t="e">
        <f t="shared" ref="E38:N38" si="33">SUM(E27:E37)</f>
        <v>#REF!</v>
      </c>
      <c r="F38" s="1003" t="e">
        <f t="shared" si="33"/>
        <v>#REF!</v>
      </c>
      <c r="G38" s="1003" t="e">
        <f t="shared" si="33"/>
        <v>#REF!</v>
      </c>
      <c r="H38" s="1003" t="e">
        <f t="shared" si="33"/>
        <v>#REF!</v>
      </c>
      <c r="I38" s="1003" t="e">
        <f t="shared" ca="1" si="33"/>
        <v>#REF!</v>
      </c>
      <c r="J38" s="1003" t="e">
        <f t="shared" ca="1" si="33"/>
        <v>#REF!</v>
      </c>
      <c r="K38" s="1003" t="e">
        <f t="shared" ca="1" si="33"/>
        <v>#REF!</v>
      </c>
      <c r="L38" s="1003" t="e">
        <f t="shared" si="33"/>
        <v>#REF!</v>
      </c>
      <c r="M38" s="1003" t="e">
        <f t="shared" si="33"/>
        <v>#REF!</v>
      </c>
      <c r="N38" s="1003" t="e">
        <f t="shared" si="33"/>
        <v>#REF!</v>
      </c>
      <c r="O38" s="1004"/>
      <c r="P38" s="1005" t="e">
        <f ca="1">SUM(P27:P37)</f>
        <v>#REF!</v>
      </c>
      <c r="Q38" s="1005" t="e">
        <f ca="1">SUM(Q27:Q37)</f>
        <v>#REF!</v>
      </c>
      <c r="R38" s="1006" t="e">
        <f ca="1">SUM(R27:R37)</f>
        <v>#REF!</v>
      </c>
      <c r="S38" s="1007" t="e">
        <f ca="1">SUM(P38:R38)</f>
        <v>#REF!</v>
      </c>
      <c r="T38" s="1003" t="e">
        <f t="shared" ref="T38:AN38" si="34">SUM(T27:T37)</f>
        <v>#REF!</v>
      </c>
      <c r="U38" s="1003" t="e">
        <f t="shared" si="34"/>
        <v>#REF!</v>
      </c>
      <c r="V38" s="1003" t="e">
        <f t="shared" si="34"/>
        <v>#REF!</v>
      </c>
      <c r="W38" s="1003" t="e">
        <f t="shared" si="34"/>
        <v>#REF!</v>
      </c>
      <c r="X38" s="1003" t="e">
        <f t="shared" si="34"/>
        <v>#REF!</v>
      </c>
      <c r="Y38" s="1003" t="e">
        <f t="shared" si="34"/>
        <v>#REF!</v>
      </c>
      <c r="Z38" s="1003" t="e">
        <f t="shared" si="34"/>
        <v>#REF!</v>
      </c>
      <c r="AA38" s="1003" t="e">
        <f t="shared" si="34"/>
        <v>#REF!</v>
      </c>
      <c r="AB38" s="1003" t="e">
        <f t="shared" si="34"/>
        <v>#REF!</v>
      </c>
      <c r="AC38" s="1003" t="e">
        <f t="shared" si="34"/>
        <v>#REF!</v>
      </c>
      <c r="AD38" s="1003" t="e">
        <f t="shared" si="34"/>
        <v>#REF!</v>
      </c>
      <c r="AE38" s="1003" t="e">
        <f t="shared" si="34"/>
        <v>#REF!</v>
      </c>
      <c r="AF38" s="1003" t="e">
        <f t="shared" si="34"/>
        <v>#REF!</v>
      </c>
      <c r="AG38" s="1003" t="e">
        <f t="shared" si="34"/>
        <v>#REF!</v>
      </c>
      <c r="AH38" s="1003" t="e">
        <f t="shared" si="34"/>
        <v>#REF!</v>
      </c>
      <c r="AI38" s="1003" t="e">
        <f t="shared" si="34"/>
        <v>#REF!</v>
      </c>
      <c r="AJ38" s="1003" t="e">
        <f t="shared" si="34"/>
        <v>#REF!</v>
      </c>
      <c r="AK38" s="1003" t="e">
        <f t="shared" si="34"/>
        <v>#REF!</v>
      </c>
      <c r="AL38" s="1003" t="e">
        <f t="shared" si="34"/>
        <v>#REF!</v>
      </c>
      <c r="AM38" s="1003" t="e">
        <f t="shared" si="34"/>
        <v>#REF!</v>
      </c>
      <c r="AN38" s="1003" t="e">
        <f t="shared" si="34"/>
        <v>#REF!</v>
      </c>
      <c r="AO38" s="33"/>
      <c r="AP38" s="33"/>
      <c r="AQ38" s="33"/>
    </row>
    <row r="39" spans="1:43" s="606" customFormat="1" ht="49.5" customHeight="1" x14ac:dyDescent="0.2">
      <c r="A39" s="1008"/>
      <c r="B39" s="1009"/>
      <c r="C39" s="1009"/>
      <c r="D39" s="1010"/>
      <c r="E39" s="1009"/>
      <c r="F39" s="1009"/>
      <c r="G39" s="1009"/>
      <c r="H39" s="1009"/>
      <c r="I39" s="1009"/>
      <c r="J39" s="1009"/>
      <c r="K39" s="1009"/>
      <c r="L39" s="1009"/>
      <c r="M39" s="1009"/>
      <c r="N39" s="1009"/>
      <c r="O39" s="1009"/>
      <c r="P39" s="1009"/>
      <c r="Q39" s="1009"/>
      <c r="R39" s="1011"/>
      <c r="W39" s="1012"/>
      <c r="X39" s="1012"/>
      <c r="Y39" s="1012"/>
    </row>
    <row r="40" spans="1:43" s="606" customFormat="1" ht="49.5" customHeight="1" thickBot="1" x14ac:dyDescent="0.25">
      <c r="A40" s="1013"/>
      <c r="B40" s="1014"/>
      <c r="C40" s="1014"/>
      <c r="D40" s="1015"/>
      <c r="E40" s="1014"/>
      <c r="F40" s="1014"/>
      <c r="G40" s="1014"/>
      <c r="H40" s="1014"/>
      <c r="I40" s="1014"/>
      <c r="J40" s="1014"/>
      <c r="K40" s="1014"/>
      <c r="L40" s="1014"/>
      <c r="M40" s="1014"/>
      <c r="N40" s="1014"/>
      <c r="O40" s="1014"/>
      <c r="P40" s="1014"/>
      <c r="Q40" s="1014"/>
      <c r="R40" s="1016"/>
    </row>
    <row r="41" spans="1:43" ht="49.5" customHeight="1" x14ac:dyDescent="0.2">
      <c r="A41" s="5454" t="s">
        <v>393</v>
      </c>
      <c r="B41" s="5455"/>
      <c r="C41" s="5455"/>
      <c r="D41" s="5456"/>
      <c r="E41" s="5431" t="s">
        <v>101</v>
      </c>
      <c r="F41" s="5366" t="s">
        <v>304</v>
      </c>
      <c r="G41" s="5367"/>
      <c r="H41" s="5368"/>
      <c r="I41" s="5366" t="s">
        <v>368</v>
      </c>
      <c r="J41" s="5367"/>
      <c r="K41" s="5368"/>
      <c r="L41" s="5366" t="s">
        <v>851</v>
      </c>
      <c r="M41" s="5367"/>
      <c r="N41" s="5368"/>
      <c r="O41" s="395"/>
      <c r="P41" s="5313" t="s">
        <v>377</v>
      </c>
      <c r="Q41" s="5313"/>
      <c r="R41" s="5383"/>
      <c r="T41" s="5373" t="s">
        <v>304</v>
      </c>
      <c r="U41" s="5374"/>
      <c r="V41" s="5375"/>
      <c r="W41" s="5373" t="s">
        <v>368</v>
      </c>
      <c r="X41" s="5374"/>
      <c r="Y41" s="5375"/>
      <c r="Z41" s="5376" t="s">
        <v>850</v>
      </c>
      <c r="AA41" s="5376"/>
      <c r="AB41" s="5376"/>
      <c r="AC41" s="5366" t="s">
        <v>851</v>
      </c>
      <c r="AD41" s="5367"/>
      <c r="AE41" s="5368"/>
      <c r="AF41" s="5366" t="s">
        <v>852</v>
      </c>
      <c r="AG41" s="5367"/>
      <c r="AH41" s="5368"/>
      <c r="AI41" s="5366" t="s">
        <v>853</v>
      </c>
      <c r="AJ41" s="5367"/>
      <c r="AK41" s="5368"/>
      <c r="AL41" s="5366" t="s">
        <v>377</v>
      </c>
      <c r="AM41" s="5367"/>
      <c r="AN41" s="5368"/>
      <c r="AO41" s="5366" t="s">
        <v>241</v>
      </c>
      <c r="AP41" s="5367"/>
      <c r="AQ41" s="5368"/>
    </row>
    <row r="42" spans="1:43" ht="49.5" customHeight="1" thickBot="1" x14ac:dyDescent="0.25">
      <c r="A42" s="5451"/>
      <c r="B42" s="5452"/>
      <c r="C42" s="5452"/>
      <c r="D42" s="5453"/>
      <c r="E42" s="5432"/>
      <c r="F42" s="261" t="s">
        <v>287</v>
      </c>
      <c r="G42" s="261" t="s">
        <v>289</v>
      </c>
      <c r="H42" s="262" t="s">
        <v>288</v>
      </c>
      <c r="I42" s="261" t="s">
        <v>287</v>
      </c>
      <c r="J42" s="261" t="s">
        <v>289</v>
      </c>
      <c r="K42" s="262" t="s">
        <v>288</v>
      </c>
      <c r="L42" s="261" t="s">
        <v>287</v>
      </c>
      <c r="M42" s="261" t="s">
        <v>289</v>
      </c>
      <c r="N42" s="262" t="s">
        <v>288</v>
      </c>
      <c r="O42" s="399" t="s">
        <v>905</v>
      </c>
      <c r="P42" s="979" t="s">
        <v>287</v>
      </c>
      <c r="Q42" s="979" t="s">
        <v>289</v>
      </c>
      <c r="R42" s="980" t="s">
        <v>288</v>
      </c>
      <c r="T42" s="261" t="s">
        <v>287</v>
      </c>
      <c r="U42" s="261" t="s">
        <v>289</v>
      </c>
      <c r="V42" s="262" t="s">
        <v>288</v>
      </c>
      <c r="W42" s="261" t="s">
        <v>287</v>
      </c>
      <c r="X42" s="261" t="s">
        <v>289</v>
      </c>
      <c r="Y42" s="262" t="s">
        <v>288</v>
      </c>
      <c r="Z42" s="261" t="s">
        <v>287</v>
      </c>
      <c r="AA42" s="261" t="s">
        <v>289</v>
      </c>
      <c r="AB42" s="262" t="s">
        <v>288</v>
      </c>
      <c r="AC42" s="261" t="s">
        <v>287</v>
      </c>
      <c r="AD42" s="261" t="s">
        <v>289</v>
      </c>
      <c r="AE42" s="261" t="s">
        <v>288</v>
      </c>
      <c r="AF42" s="261" t="s">
        <v>287</v>
      </c>
      <c r="AG42" s="261" t="s">
        <v>289</v>
      </c>
      <c r="AH42" s="261" t="s">
        <v>288</v>
      </c>
      <c r="AI42" s="261" t="s">
        <v>287</v>
      </c>
      <c r="AJ42" s="261" t="s">
        <v>289</v>
      </c>
      <c r="AK42" s="261" t="s">
        <v>288</v>
      </c>
      <c r="AL42" s="261" t="s">
        <v>287</v>
      </c>
      <c r="AM42" s="261" t="s">
        <v>289</v>
      </c>
      <c r="AN42" s="261" t="s">
        <v>288</v>
      </c>
      <c r="AO42" s="261" t="s">
        <v>287</v>
      </c>
      <c r="AP42" s="261" t="s">
        <v>289</v>
      </c>
      <c r="AQ42" s="261" t="s">
        <v>288</v>
      </c>
    </row>
    <row r="43" spans="1:43" ht="49.5" customHeight="1" x14ac:dyDescent="0.2">
      <c r="A43" s="5590" t="s">
        <v>57</v>
      </c>
      <c r="B43" s="857">
        <v>5000</v>
      </c>
      <c r="C43" s="5448" t="s">
        <v>42</v>
      </c>
      <c r="D43" s="5449"/>
      <c r="E43" s="993">
        <f>+E211</f>
        <v>0</v>
      </c>
      <c r="F43" s="993">
        <f t="shared" ref="F43:K43" si="35">+F211</f>
        <v>0</v>
      </c>
      <c r="G43" s="993">
        <f t="shared" si="35"/>
        <v>0</v>
      </c>
      <c r="H43" s="993">
        <f t="shared" si="35"/>
        <v>0</v>
      </c>
      <c r="I43" s="993">
        <f t="shared" ca="1" si="35"/>
        <v>0</v>
      </c>
      <c r="J43" s="993">
        <f t="shared" ca="1" si="35"/>
        <v>0</v>
      </c>
      <c r="K43" s="993">
        <f t="shared" ca="1" si="35"/>
        <v>0</v>
      </c>
      <c r="L43" s="994"/>
      <c r="M43" s="994"/>
      <c r="N43" s="994"/>
      <c r="O43" s="995"/>
      <c r="P43" s="982">
        <f ca="1">+F43+I43</f>
        <v>0</v>
      </c>
      <c r="Q43" s="982">
        <f ca="1">+G43+J43</f>
        <v>0</v>
      </c>
      <c r="R43" s="983">
        <f ca="1">+H43+K43</f>
        <v>0</v>
      </c>
      <c r="S43" s="1017" t="s">
        <v>394</v>
      </c>
      <c r="T43" s="994"/>
      <c r="U43" s="994"/>
      <c r="V43" s="994"/>
      <c r="W43" s="994"/>
      <c r="X43" s="994"/>
      <c r="Y43" s="994"/>
      <c r="AC43" s="997"/>
      <c r="AD43" s="997"/>
      <c r="AE43" s="997"/>
      <c r="AF43" s="263"/>
      <c r="AG43" s="263"/>
      <c r="AH43" s="263"/>
      <c r="AI43" s="998"/>
      <c r="AJ43" s="998"/>
      <c r="AK43" s="998"/>
      <c r="AL43" s="998"/>
      <c r="AM43" s="998"/>
      <c r="AN43" s="998"/>
      <c r="AO43" s="43"/>
      <c r="AP43" s="33"/>
      <c r="AQ43" s="33"/>
    </row>
    <row r="44" spans="1:43" ht="49.5" hidden="1" customHeight="1" thickBot="1" x14ac:dyDescent="0.25">
      <c r="A44" s="5591"/>
      <c r="B44" s="864">
        <v>5020</v>
      </c>
      <c r="C44" s="865" t="s">
        <v>43</v>
      </c>
      <c r="D44" s="984" t="s">
        <v>44</v>
      </c>
      <c r="E44" s="993" t="e">
        <f t="shared" ref="E44:K44" si="36">+E212</f>
        <v>#REF!</v>
      </c>
      <c r="F44" s="993" t="e">
        <f t="shared" si="36"/>
        <v>#REF!</v>
      </c>
      <c r="G44" s="993" t="e">
        <f t="shared" si="36"/>
        <v>#REF!</v>
      </c>
      <c r="H44" s="993" t="e">
        <f t="shared" si="36"/>
        <v>#REF!</v>
      </c>
      <c r="I44" s="993" t="e">
        <f t="shared" si="36"/>
        <v>#REF!</v>
      </c>
      <c r="J44" s="993" t="e">
        <f t="shared" si="36"/>
        <v>#REF!</v>
      </c>
      <c r="K44" s="993" t="e">
        <f t="shared" si="36"/>
        <v>#REF!</v>
      </c>
      <c r="L44" s="994"/>
      <c r="M44" s="994"/>
      <c r="N44" s="994"/>
      <c r="O44" s="995"/>
      <c r="P44" s="982" t="e">
        <f t="shared" ref="P44:P53" si="37">+F44+I44</f>
        <v>#REF!</v>
      </c>
      <c r="Q44" s="982" t="e">
        <f t="shared" ref="Q44:Q53" si="38">+G44+J44</f>
        <v>#REF!</v>
      </c>
      <c r="R44" s="983" t="e">
        <f t="shared" ref="R44:R53" si="39">+H44+K44</f>
        <v>#REF!</v>
      </c>
      <c r="S44" s="1018"/>
      <c r="T44" s="994"/>
      <c r="U44" s="994"/>
      <c r="V44" s="994"/>
      <c r="W44" s="994"/>
      <c r="X44" s="994"/>
      <c r="Y44" s="994"/>
      <c r="AC44" s="997"/>
      <c r="AD44" s="997"/>
      <c r="AE44" s="997"/>
      <c r="AF44" s="263"/>
      <c r="AG44" s="263"/>
      <c r="AH44" s="263"/>
      <c r="AI44" s="998"/>
      <c r="AJ44" s="998"/>
      <c r="AK44" s="998"/>
      <c r="AL44" s="998"/>
      <c r="AM44" s="998"/>
      <c r="AN44" s="998"/>
      <c r="AO44" s="43"/>
      <c r="AP44" s="33"/>
      <c r="AQ44" s="33"/>
    </row>
    <row r="45" spans="1:43" ht="49.5" customHeight="1" x14ac:dyDescent="0.2">
      <c r="A45" s="5591"/>
      <c r="B45" s="5397" t="s">
        <v>220</v>
      </c>
      <c r="C45" s="5474"/>
      <c r="D45" s="985" t="s">
        <v>46</v>
      </c>
      <c r="E45" s="993">
        <f t="shared" ref="E45:K45" si="40">+E213</f>
        <v>0</v>
      </c>
      <c r="F45" s="993">
        <f t="shared" si="40"/>
        <v>0</v>
      </c>
      <c r="G45" s="993">
        <f t="shared" si="40"/>
        <v>0</v>
      </c>
      <c r="H45" s="993">
        <f t="shared" si="40"/>
        <v>0</v>
      </c>
      <c r="I45" s="993">
        <f t="shared" ca="1" si="40"/>
        <v>0</v>
      </c>
      <c r="J45" s="993">
        <f t="shared" ca="1" si="40"/>
        <v>0</v>
      </c>
      <c r="K45" s="993">
        <f t="shared" ca="1" si="40"/>
        <v>0</v>
      </c>
      <c r="L45" s="986">
        <f t="shared" ref="L45:N46" si="41">+F45</f>
        <v>0</v>
      </c>
      <c r="M45" s="986">
        <f t="shared" si="41"/>
        <v>0</v>
      </c>
      <c r="N45" s="986">
        <f t="shared" si="41"/>
        <v>0</v>
      </c>
      <c r="O45" s="393" t="e">
        <f>+(L45+M45+N45)/E45</f>
        <v>#DIV/0!</v>
      </c>
      <c r="P45" s="982">
        <f t="shared" ca="1" si="37"/>
        <v>0</v>
      </c>
      <c r="Q45" s="982">
        <f t="shared" ca="1" si="38"/>
        <v>0</v>
      </c>
      <c r="R45" s="983">
        <f t="shared" ca="1" si="39"/>
        <v>0</v>
      </c>
      <c r="S45" s="1018"/>
      <c r="T45" s="994"/>
      <c r="U45" s="994"/>
      <c r="V45" s="994"/>
      <c r="W45" s="994"/>
      <c r="X45" s="994"/>
      <c r="Y45" s="994"/>
      <c r="AC45" s="997"/>
      <c r="AD45" s="997"/>
      <c r="AE45" s="997"/>
      <c r="AF45" s="263"/>
      <c r="AG45" s="263"/>
      <c r="AH45" s="263"/>
      <c r="AI45" s="998"/>
      <c r="AJ45" s="998"/>
      <c r="AK45" s="998"/>
      <c r="AL45" s="998"/>
      <c r="AM45" s="998"/>
      <c r="AN45" s="998"/>
      <c r="AO45" s="43"/>
      <c r="AP45" s="33"/>
      <c r="AQ45" s="33"/>
    </row>
    <row r="46" spans="1:43" ht="49.5" customHeight="1" x14ac:dyDescent="0.2">
      <c r="A46" s="5591"/>
      <c r="B46" s="5397"/>
      <c r="C46" s="5474"/>
      <c r="D46" s="985" t="s">
        <v>47</v>
      </c>
      <c r="E46" s="993">
        <f t="shared" ref="E46:K46" si="42">+E214</f>
        <v>0</v>
      </c>
      <c r="F46" s="993">
        <f t="shared" si="42"/>
        <v>0</v>
      </c>
      <c r="G46" s="993">
        <f t="shared" si="42"/>
        <v>0</v>
      </c>
      <c r="H46" s="993">
        <f t="shared" si="42"/>
        <v>0</v>
      </c>
      <c r="I46" s="993">
        <f t="shared" ca="1" si="42"/>
        <v>0</v>
      </c>
      <c r="J46" s="993">
        <f t="shared" ca="1" si="42"/>
        <v>0</v>
      </c>
      <c r="K46" s="993">
        <f t="shared" ca="1" si="42"/>
        <v>0</v>
      </c>
      <c r="L46" s="986">
        <f t="shared" si="41"/>
        <v>0</v>
      </c>
      <c r="M46" s="986">
        <f t="shared" si="41"/>
        <v>0</v>
      </c>
      <c r="N46" s="986">
        <f t="shared" si="41"/>
        <v>0</v>
      </c>
      <c r="O46" s="393" t="e">
        <f>+(L46+M46+N46)/E46</f>
        <v>#DIV/0!</v>
      </c>
      <c r="P46" s="982">
        <f t="shared" ca="1" si="37"/>
        <v>0</v>
      </c>
      <c r="Q46" s="982">
        <f t="shared" ca="1" si="38"/>
        <v>0</v>
      </c>
      <c r="R46" s="983">
        <f t="shared" ca="1" si="39"/>
        <v>0</v>
      </c>
      <c r="S46" s="1018"/>
      <c r="T46" s="994"/>
      <c r="U46" s="994"/>
      <c r="V46" s="994"/>
      <c r="W46" s="994"/>
      <c r="X46" s="994"/>
      <c r="Y46" s="994"/>
      <c r="AC46" s="997"/>
      <c r="AD46" s="997"/>
      <c r="AE46" s="997"/>
      <c r="AF46" s="263"/>
      <c r="AG46" s="263"/>
      <c r="AH46" s="263"/>
      <c r="AI46" s="998"/>
      <c r="AJ46" s="998"/>
      <c r="AK46" s="998"/>
      <c r="AL46" s="998"/>
      <c r="AM46" s="998"/>
      <c r="AN46" s="998"/>
      <c r="AO46" s="43"/>
      <c r="AP46" s="33"/>
      <c r="AQ46" s="33"/>
    </row>
    <row r="47" spans="1:43" ht="49.5" customHeight="1" x14ac:dyDescent="0.2">
      <c r="A47" s="5591"/>
      <c r="B47" s="5397"/>
      <c r="C47" s="5474"/>
      <c r="D47" s="1019" t="s">
        <v>935</v>
      </c>
      <c r="E47" s="993" t="e">
        <f t="shared" ref="E47:K47" si="43">+E215</f>
        <v>#REF!</v>
      </c>
      <c r="F47" s="993" t="e">
        <f t="shared" si="43"/>
        <v>#REF!</v>
      </c>
      <c r="G47" s="993" t="e">
        <f t="shared" si="43"/>
        <v>#REF!</v>
      </c>
      <c r="H47" s="993" t="e">
        <f t="shared" si="43"/>
        <v>#REF!</v>
      </c>
      <c r="I47" s="993" t="e">
        <f t="shared" si="43"/>
        <v>#REF!</v>
      </c>
      <c r="J47" s="993" t="e">
        <f t="shared" si="43"/>
        <v>#REF!</v>
      </c>
      <c r="K47" s="993" t="e">
        <f t="shared" si="43"/>
        <v>#REF!</v>
      </c>
      <c r="L47" s="485"/>
      <c r="M47" s="485"/>
      <c r="N47" s="485"/>
      <c r="O47" s="485"/>
      <c r="P47" s="982" t="e">
        <f t="shared" si="37"/>
        <v>#REF!</v>
      </c>
      <c r="Q47" s="982" t="e">
        <f t="shared" si="38"/>
        <v>#REF!</v>
      </c>
      <c r="R47" s="983" t="e">
        <f t="shared" si="39"/>
        <v>#REF!</v>
      </c>
      <c r="S47" s="1018"/>
      <c r="T47" s="993" t="e">
        <f t="shared" ref="T47:V53" si="44">+F47-L47</f>
        <v>#REF!</v>
      </c>
      <c r="U47" s="993" t="e">
        <f t="shared" si="44"/>
        <v>#REF!</v>
      </c>
      <c r="V47" s="993" t="e">
        <f t="shared" si="44"/>
        <v>#REF!</v>
      </c>
      <c r="W47" s="993" t="e">
        <f>+IF( I47=0,0,(T47/F47)*I47)</f>
        <v>#REF!</v>
      </c>
      <c r="X47" s="993" t="e">
        <f t="shared" ref="X47:Y53" si="45">+IF(J47=0,0,(U47/G47)*J47)</f>
        <v>#REF!</v>
      </c>
      <c r="Y47" s="993" t="e">
        <f t="shared" si="45"/>
        <v>#REF!</v>
      </c>
      <c r="Z47" s="993" t="e">
        <f t="shared" ref="Z47:AB53" si="46">+T47+W47</f>
        <v>#REF!</v>
      </c>
      <c r="AA47" s="993" t="e">
        <f t="shared" si="46"/>
        <v>#REF!</v>
      </c>
      <c r="AB47" s="993" t="e">
        <f t="shared" si="46"/>
        <v>#REF!</v>
      </c>
      <c r="AC47" s="264">
        <f t="shared" ref="AC47:AE53" si="47">+L47</f>
        <v>0</v>
      </c>
      <c r="AD47" s="264">
        <f t="shared" si="47"/>
        <v>0</v>
      </c>
      <c r="AE47" s="264">
        <f t="shared" si="47"/>
        <v>0</v>
      </c>
      <c r="AF47" s="264" t="e">
        <f t="shared" ref="AF47:AH53" si="48">+I47-W47</f>
        <v>#REF!</v>
      </c>
      <c r="AG47" s="264" t="e">
        <f t="shared" si="48"/>
        <v>#REF!</v>
      </c>
      <c r="AH47" s="264" t="e">
        <f t="shared" si="48"/>
        <v>#REF!</v>
      </c>
      <c r="AI47" s="999" t="e">
        <f t="shared" ref="AI47:AK53" si="49">+AC47+AF47</f>
        <v>#REF!</v>
      </c>
      <c r="AJ47" s="999" t="e">
        <f t="shared" si="49"/>
        <v>#REF!</v>
      </c>
      <c r="AK47" s="999" t="e">
        <f t="shared" si="49"/>
        <v>#REF!</v>
      </c>
      <c r="AL47" s="1000" t="e">
        <f t="shared" ref="AL47:AQ53" si="50">+T47+W47+AC47+AF47</f>
        <v>#REF!</v>
      </c>
      <c r="AM47" s="1000" t="e">
        <f t="shared" si="50"/>
        <v>#REF!</v>
      </c>
      <c r="AN47" s="1000" t="e">
        <f t="shared" si="50"/>
        <v>#REF!</v>
      </c>
      <c r="AO47" s="1000" t="e">
        <f t="shared" si="50"/>
        <v>#REF!</v>
      </c>
      <c r="AP47" s="1000" t="e">
        <f t="shared" si="50"/>
        <v>#REF!</v>
      </c>
      <c r="AQ47" s="1000" t="e">
        <f t="shared" si="50"/>
        <v>#REF!</v>
      </c>
    </row>
    <row r="48" spans="1:43" ht="49.5" customHeight="1" x14ac:dyDescent="0.2">
      <c r="A48" s="5591"/>
      <c r="B48" s="5397"/>
      <c r="C48" s="5474"/>
      <c r="D48" s="1019" t="s">
        <v>936</v>
      </c>
      <c r="E48" s="993">
        <f t="shared" ref="E48:K48" si="51">+E216</f>
        <v>0</v>
      </c>
      <c r="F48" s="993">
        <f t="shared" si="51"/>
        <v>0</v>
      </c>
      <c r="G48" s="993">
        <f t="shared" si="51"/>
        <v>0</v>
      </c>
      <c r="H48" s="993">
        <f t="shared" si="51"/>
        <v>0</v>
      </c>
      <c r="I48" s="993">
        <f t="shared" ca="1" si="51"/>
        <v>0</v>
      </c>
      <c r="J48" s="993">
        <f t="shared" ca="1" si="51"/>
        <v>0</v>
      </c>
      <c r="K48" s="993">
        <f t="shared" ca="1" si="51"/>
        <v>0</v>
      </c>
      <c r="L48" s="986">
        <f>+F48</f>
        <v>0</v>
      </c>
      <c r="M48" s="986">
        <f>+G48</f>
        <v>0</v>
      </c>
      <c r="N48" s="986">
        <f>+H48</f>
        <v>0</v>
      </c>
      <c r="O48" s="393" t="e">
        <f>+(L48+M48+N48)/E48</f>
        <v>#DIV/0!</v>
      </c>
      <c r="P48" s="982">
        <f t="shared" ca="1" si="37"/>
        <v>0</v>
      </c>
      <c r="Q48" s="982">
        <f t="shared" ca="1" si="38"/>
        <v>0</v>
      </c>
      <c r="R48" s="983">
        <f t="shared" ca="1" si="39"/>
        <v>0</v>
      </c>
      <c r="S48" s="1018"/>
      <c r="T48" s="993">
        <f t="shared" si="44"/>
        <v>0</v>
      </c>
      <c r="U48" s="993">
        <f t="shared" si="44"/>
        <v>0</v>
      </c>
      <c r="V48" s="993">
        <f t="shared" si="44"/>
        <v>0</v>
      </c>
      <c r="W48" s="993">
        <f ca="1">+IF( I48=0,0,(T48/F48)*I48)</f>
        <v>0</v>
      </c>
      <c r="X48" s="993">
        <f t="shared" ca="1" si="45"/>
        <v>0</v>
      </c>
      <c r="Y48" s="993">
        <f t="shared" ca="1" si="45"/>
        <v>0</v>
      </c>
      <c r="Z48" s="993">
        <f t="shared" ca="1" si="46"/>
        <v>0</v>
      </c>
      <c r="AA48" s="993">
        <f t="shared" ca="1" si="46"/>
        <v>0</v>
      </c>
      <c r="AB48" s="993">
        <f t="shared" ca="1" si="46"/>
        <v>0</v>
      </c>
      <c r="AC48" s="264">
        <f t="shared" si="47"/>
        <v>0</v>
      </c>
      <c r="AD48" s="264">
        <f t="shared" si="47"/>
        <v>0</v>
      </c>
      <c r="AE48" s="264">
        <f t="shared" si="47"/>
        <v>0</v>
      </c>
      <c r="AF48" s="264">
        <f t="shared" ca="1" si="48"/>
        <v>0</v>
      </c>
      <c r="AG48" s="264">
        <f t="shared" ca="1" si="48"/>
        <v>0</v>
      </c>
      <c r="AH48" s="264">
        <f t="shared" ca="1" si="48"/>
        <v>0</v>
      </c>
      <c r="AI48" s="999">
        <f t="shared" ca="1" si="49"/>
        <v>0</v>
      </c>
      <c r="AJ48" s="999">
        <f t="shared" ca="1" si="49"/>
        <v>0</v>
      </c>
      <c r="AK48" s="999">
        <f t="shared" ca="1" si="49"/>
        <v>0</v>
      </c>
      <c r="AL48" s="1000">
        <f t="shared" ca="1" si="50"/>
        <v>0</v>
      </c>
      <c r="AM48" s="1000">
        <f t="shared" ca="1" si="50"/>
        <v>0</v>
      </c>
      <c r="AN48" s="1000">
        <f t="shared" ca="1" si="50"/>
        <v>0</v>
      </c>
      <c r="AO48" s="1000">
        <f t="shared" ca="1" si="50"/>
        <v>0</v>
      </c>
      <c r="AP48" s="1000">
        <f t="shared" ca="1" si="50"/>
        <v>0</v>
      </c>
      <c r="AQ48" s="1000">
        <f t="shared" ca="1" si="50"/>
        <v>0</v>
      </c>
    </row>
    <row r="49" spans="1:43" ht="49.5" customHeight="1" x14ac:dyDescent="0.2">
      <c r="A49" s="5591"/>
      <c r="B49" s="5397"/>
      <c r="C49" s="5474"/>
      <c r="D49" s="987" t="s">
        <v>169</v>
      </c>
      <c r="E49" s="993" t="e">
        <f t="shared" ref="E49:K49" si="52">+E217</f>
        <v>#REF!</v>
      </c>
      <c r="F49" s="993" t="e">
        <f t="shared" si="52"/>
        <v>#REF!</v>
      </c>
      <c r="G49" s="993" t="e">
        <f t="shared" si="52"/>
        <v>#REF!</v>
      </c>
      <c r="H49" s="993" t="e">
        <f t="shared" si="52"/>
        <v>#REF!</v>
      </c>
      <c r="I49" s="993" t="e">
        <f t="shared" si="52"/>
        <v>#REF!</v>
      </c>
      <c r="J49" s="993" t="e">
        <f t="shared" si="52"/>
        <v>#REF!</v>
      </c>
      <c r="K49" s="993" t="e">
        <f t="shared" si="52"/>
        <v>#REF!</v>
      </c>
      <c r="L49" s="485"/>
      <c r="M49" s="485"/>
      <c r="N49" s="485"/>
      <c r="O49" s="485"/>
      <c r="P49" s="982" t="e">
        <f t="shared" si="37"/>
        <v>#REF!</v>
      </c>
      <c r="Q49" s="982" t="e">
        <f t="shared" si="38"/>
        <v>#REF!</v>
      </c>
      <c r="R49" s="983" t="e">
        <f t="shared" si="39"/>
        <v>#REF!</v>
      </c>
      <c r="S49" s="1018"/>
      <c r="T49" s="993" t="e">
        <f t="shared" si="44"/>
        <v>#REF!</v>
      </c>
      <c r="U49" s="993" t="e">
        <f t="shared" si="44"/>
        <v>#REF!</v>
      </c>
      <c r="V49" s="993" t="e">
        <f t="shared" si="44"/>
        <v>#REF!</v>
      </c>
      <c r="W49" s="993" t="e">
        <f>+IF( I49=0,0,(T49/F49)*I49)</f>
        <v>#REF!</v>
      </c>
      <c r="X49" s="993" t="e">
        <f t="shared" si="45"/>
        <v>#REF!</v>
      </c>
      <c r="Y49" s="993" t="e">
        <f t="shared" si="45"/>
        <v>#REF!</v>
      </c>
      <c r="Z49" s="993" t="e">
        <f t="shared" si="46"/>
        <v>#REF!</v>
      </c>
      <c r="AA49" s="993" t="e">
        <f t="shared" si="46"/>
        <v>#REF!</v>
      </c>
      <c r="AB49" s="993" t="e">
        <f t="shared" si="46"/>
        <v>#REF!</v>
      </c>
      <c r="AC49" s="264">
        <f t="shared" si="47"/>
        <v>0</v>
      </c>
      <c r="AD49" s="264">
        <f t="shared" si="47"/>
        <v>0</v>
      </c>
      <c r="AE49" s="264">
        <f t="shared" si="47"/>
        <v>0</v>
      </c>
      <c r="AF49" s="264" t="e">
        <f t="shared" si="48"/>
        <v>#REF!</v>
      </c>
      <c r="AG49" s="264" t="e">
        <f t="shared" si="48"/>
        <v>#REF!</v>
      </c>
      <c r="AH49" s="264" t="e">
        <f t="shared" si="48"/>
        <v>#REF!</v>
      </c>
      <c r="AI49" s="999" t="e">
        <f t="shared" si="49"/>
        <v>#REF!</v>
      </c>
      <c r="AJ49" s="999" t="e">
        <f t="shared" si="49"/>
        <v>#REF!</v>
      </c>
      <c r="AK49" s="999" t="e">
        <f t="shared" si="49"/>
        <v>#REF!</v>
      </c>
      <c r="AL49" s="1000" t="e">
        <f t="shared" si="50"/>
        <v>#REF!</v>
      </c>
      <c r="AM49" s="1000" t="e">
        <f t="shared" si="50"/>
        <v>#REF!</v>
      </c>
      <c r="AN49" s="1000" t="e">
        <f t="shared" si="50"/>
        <v>#REF!</v>
      </c>
      <c r="AO49" s="1000" t="e">
        <f t="shared" si="50"/>
        <v>#REF!</v>
      </c>
      <c r="AP49" s="1000" t="e">
        <f t="shared" si="50"/>
        <v>#REF!</v>
      </c>
      <c r="AQ49" s="1000" t="e">
        <f t="shared" si="50"/>
        <v>#REF!</v>
      </c>
    </row>
    <row r="50" spans="1:43" ht="49.5" customHeight="1" x14ac:dyDescent="0.2">
      <c r="A50" s="5591"/>
      <c r="B50" s="5397"/>
      <c r="C50" s="5474"/>
      <c r="D50" s="987" t="s">
        <v>49</v>
      </c>
      <c r="E50" s="993" t="e">
        <f t="shared" ref="E50:K50" si="53">+E218</f>
        <v>#REF!</v>
      </c>
      <c r="F50" s="993" t="e">
        <f t="shared" si="53"/>
        <v>#REF!</v>
      </c>
      <c r="G50" s="993" t="e">
        <f t="shared" si="53"/>
        <v>#REF!</v>
      </c>
      <c r="H50" s="993" t="e">
        <f t="shared" si="53"/>
        <v>#REF!</v>
      </c>
      <c r="I50" s="993" t="e">
        <f t="shared" si="53"/>
        <v>#REF!</v>
      </c>
      <c r="J50" s="993" t="e">
        <f t="shared" si="53"/>
        <v>#REF!</v>
      </c>
      <c r="K50" s="993" t="e">
        <f t="shared" si="53"/>
        <v>#REF!</v>
      </c>
      <c r="L50" s="485"/>
      <c r="M50" s="485"/>
      <c r="N50" s="485"/>
      <c r="O50" s="485"/>
      <c r="P50" s="982" t="e">
        <f t="shared" si="37"/>
        <v>#REF!</v>
      </c>
      <c r="Q50" s="982" t="e">
        <f t="shared" si="38"/>
        <v>#REF!</v>
      </c>
      <c r="R50" s="983" t="e">
        <f t="shared" si="39"/>
        <v>#REF!</v>
      </c>
      <c r="S50" s="1018"/>
      <c r="T50" s="993"/>
      <c r="U50" s="993"/>
      <c r="V50" s="993"/>
      <c r="W50" s="993"/>
      <c r="X50" s="993"/>
      <c r="Y50" s="993"/>
      <c r="Z50" s="993"/>
      <c r="AA50" s="993"/>
      <c r="AB50" s="993"/>
      <c r="AC50" s="264"/>
      <c r="AD50" s="264"/>
      <c r="AE50" s="264"/>
      <c r="AF50" s="264"/>
      <c r="AG50" s="264"/>
      <c r="AH50" s="264"/>
      <c r="AI50" s="999"/>
      <c r="AJ50" s="999"/>
      <c r="AK50" s="999"/>
      <c r="AL50" s="1000"/>
      <c r="AM50" s="1000"/>
      <c r="AN50" s="1000"/>
      <c r="AO50" s="1000"/>
      <c r="AP50" s="1000"/>
      <c r="AQ50" s="1000"/>
    </row>
    <row r="51" spans="1:43" ht="49.5" customHeight="1" x14ac:dyDescent="0.2">
      <c r="A51" s="5591"/>
      <c r="B51" s="5397"/>
      <c r="C51" s="5474"/>
      <c r="D51" s="1020" t="s">
        <v>937</v>
      </c>
      <c r="E51" s="993">
        <f t="shared" ref="E51:K51" si="54">+E219</f>
        <v>0</v>
      </c>
      <c r="F51" s="993">
        <f t="shared" si="54"/>
        <v>0</v>
      </c>
      <c r="G51" s="993">
        <f t="shared" si="54"/>
        <v>0</v>
      </c>
      <c r="H51" s="993">
        <f t="shared" si="54"/>
        <v>0</v>
      </c>
      <c r="I51" s="993">
        <f t="shared" ca="1" si="54"/>
        <v>0</v>
      </c>
      <c r="J51" s="993">
        <f t="shared" ca="1" si="54"/>
        <v>0</v>
      </c>
      <c r="K51" s="993">
        <f t="shared" ca="1" si="54"/>
        <v>0</v>
      </c>
      <c r="L51" s="485"/>
      <c r="M51" s="485"/>
      <c r="N51" s="485"/>
      <c r="O51" s="485"/>
      <c r="P51" s="982">
        <f t="shared" ca="1" si="37"/>
        <v>0</v>
      </c>
      <c r="Q51" s="982">
        <f t="shared" ca="1" si="38"/>
        <v>0</v>
      </c>
      <c r="R51" s="983">
        <f t="shared" ca="1" si="39"/>
        <v>0</v>
      </c>
      <c r="S51" s="1018"/>
      <c r="T51" s="993"/>
      <c r="U51" s="993"/>
      <c r="V51" s="993"/>
      <c r="W51" s="993"/>
      <c r="X51" s="993"/>
      <c r="Y51" s="993"/>
      <c r="Z51" s="993"/>
      <c r="AA51" s="993"/>
      <c r="AB51" s="993"/>
      <c r="AC51" s="264"/>
      <c r="AD51" s="264"/>
      <c r="AE51" s="264"/>
      <c r="AF51" s="264"/>
      <c r="AG51" s="264"/>
      <c r="AH51" s="264"/>
      <c r="AI51" s="999"/>
      <c r="AJ51" s="999"/>
      <c r="AK51" s="999"/>
      <c r="AL51" s="1000"/>
      <c r="AM51" s="1000"/>
      <c r="AN51" s="1000"/>
      <c r="AO51" s="1000"/>
      <c r="AP51" s="1000"/>
      <c r="AQ51" s="1000"/>
    </row>
    <row r="52" spans="1:43" ht="49.5" customHeight="1" thickBot="1" x14ac:dyDescent="0.25">
      <c r="A52" s="5591"/>
      <c r="B52" s="5397"/>
      <c r="C52" s="5474"/>
      <c r="D52" s="1020" t="s">
        <v>938</v>
      </c>
      <c r="E52" s="993">
        <f t="shared" ref="E52:K52" si="55">+E220</f>
        <v>0</v>
      </c>
      <c r="F52" s="993">
        <f t="shared" si="55"/>
        <v>0</v>
      </c>
      <c r="G52" s="993">
        <f t="shared" si="55"/>
        <v>0</v>
      </c>
      <c r="H52" s="993">
        <f t="shared" si="55"/>
        <v>0</v>
      </c>
      <c r="I52" s="993">
        <f t="shared" ca="1" si="55"/>
        <v>0</v>
      </c>
      <c r="J52" s="993">
        <f t="shared" ca="1" si="55"/>
        <v>0</v>
      </c>
      <c r="K52" s="993">
        <f t="shared" ca="1" si="55"/>
        <v>0</v>
      </c>
      <c r="L52" s="485"/>
      <c r="M52" s="485"/>
      <c r="N52" s="485"/>
      <c r="O52" s="485"/>
      <c r="P52" s="982">
        <f t="shared" ca="1" si="37"/>
        <v>0</v>
      </c>
      <c r="Q52" s="982">
        <f t="shared" ca="1" si="38"/>
        <v>0</v>
      </c>
      <c r="R52" s="983">
        <f t="shared" ca="1" si="39"/>
        <v>0</v>
      </c>
      <c r="S52" s="1018"/>
      <c r="T52" s="993"/>
      <c r="U52" s="993"/>
      <c r="V52" s="993"/>
      <c r="W52" s="993"/>
      <c r="X52" s="993"/>
      <c r="Y52" s="993"/>
      <c r="Z52" s="993"/>
      <c r="AA52" s="993"/>
      <c r="AB52" s="993"/>
      <c r="AC52" s="264"/>
      <c r="AD52" s="264"/>
      <c r="AE52" s="264"/>
      <c r="AF52" s="264"/>
      <c r="AG52" s="264"/>
      <c r="AH52" s="264"/>
      <c r="AI52" s="999"/>
      <c r="AJ52" s="999"/>
      <c r="AK52" s="999"/>
      <c r="AL52" s="1000"/>
      <c r="AM52" s="1000"/>
      <c r="AN52" s="1000"/>
      <c r="AO52" s="1000"/>
      <c r="AP52" s="1000"/>
      <c r="AQ52" s="1000"/>
    </row>
    <row r="53" spans="1:43" ht="49.5" customHeight="1" thickBot="1" x14ac:dyDescent="0.25">
      <c r="A53" s="5591"/>
      <c r="B53" s="873">
        <v>6000</v>
      </c>
      <c r="C53" s="882" t="s">
        <v>61</v>
      </c>
      <c r="D53" s="1021" t="s">
        <v>934</v>
      </c>
      <c r="E53" s="993" t="e">
        <f t="shared" ref="E53:K53" si="56">+E221</f>
        <v>#REF!</v>
      </c>
      <c r="F53" s="993" t="e">
        <f t="shared" si="56"/>
        <v>#REF!</v>
      </c>
      <c r="G53" s="993" t="e">
        <f t="shared" si="56"/>
        <v>#REF!</v>
      </c>
      <c r="H53" s="993" t="e">
        <f t="shared" si="56"/>
        <v>#REF!</v>
      </c>
      <c r="I53" s="993" t="e">
        <f t="shared" si="56"/>
        <v>#REF!</v>
      </c>
      <c r="J53" s="993" t="e">
        <f t="shared" si="56"/>
        <v>#REF!</v>
      </c>
      <c r="K53" s="993" t="e">
        <f t="shared" si="56"/>
        <v>#REF!</v>
      </c>
      <c r="L53" s="485"/>
      <c r="M53" s="485"/>
      <c r="N53" s="485"/>
      <c r="O53" s="485"/>
      <c r="P53" s="982" t="e">
        <f t="shared" si="37"/>
        <v>#REF!</v>
      </c>
      <c r="Q53" s="982" t="e">
        <f t="shared" si="38"/>
        <v>#REF!</v>
      </c>
      <c r="R53" s="983" t="e">
        <f t="shared" si="39"/>
        <v>#REF!</v>
      </c>
      <c r="S53" s="1018"/>
      <c r="T53" s="993" t="e">
        <f t="shared" si="44"/>
        <v>#REF!</v>
      </c>
      <c r="U53" s="993" t="e">
        <f t="shared" si="44"/>
        <v>#REF!</v>
      </c>
      <c r="V53" s="993" t="e">
        <f t="shared" si="44"/>
        <v>#REF!</v>
      </c>
      <c r="W53" s="993" t="e">
        <f>+IF( I53=0,0,(T53/F53)*I53)</f>
        <v>#REF!</v>
      </c>
      <c r="X53" s="993" t="e">
        <f t="shared" si="45"/>
        <v>#REF!</v>
      </c>
      <c r="Y53" s="993" t="e">
        <f t="shared" si="45"/>
        <v>#REF!</v>
      </c>
      <c r="Z53" s="993" t="e">
        <f t="shared" si="46"/>
        <v>#REF!</v>
      </c>
      <c r="AA53" s="993" t="e">
        <f t="shared" si="46"/>
        <v>#REF!</v>
      </c>
      <c r="AB53" s="993" t="e">
        <f t="shared" si="46"/>
        <v>#REF!</v>
      </c>
      <c r="AC53" s="264">
        <f t="shared" si="47"/>
        <v>0</v>
      </c>
      <c r="AD53" s="264">
        <f t="shared" si="47"/>
        <v>0</v>
      </c>
      <c r="AE53" s="264">
        <f t="shared" si="47"/>
        <v>0</v>
      </c>
      <c r="AF53" s="264" t="e">
        <f t="shared" si="48"/>
        <v>#REF!</v>
      </c>
      <c r="AG53" s="264" t="e">
        <f t="shared" si="48"/>
        <v>#REF!</v>
      </c>
      <c r="AH53" s="264" t="e">
        <f t="shared" si="48"/>
        <v>#REF!</v>
      </c>
      <c r="AI53" s="999" t="e">
        <f t="shared" si="49"/>
        <v>#REF!</v>
      </c>
      <c r="AJ53" s="999" t="e">
        <f t="shared" si="49"/>
        <v>#REF!</v>
      </c>
      <c r="AK53" s="999" t="e">
        <f t="shared" si="49"/>
        <v>#REF!</v>
      </c>
      <c r="AL53" s="1000" t="e">
        <f t="shared" si="50"/>
        <v>#REF!</v>
      </c>
      <c r="AM53" s="1000" t="e">
        <f t="shared" si="50"/>
        <v>#REF!</v>
      </c>
      <c r="AN53" s="1000" t="e">
        <f t="shared" si="50"/>
        <v>#REF!</v>
      </c>
      <c r="AO53" s="1000" t="e">
        <f t="shared" si="50"/>
        <v>#REF!</v>
      </c>
      <c r="AP53" s="1000" t="e">
        <f t="shared" si="50"/>
        <v>#REF!</v>
      </c>
      <c r="AQ53" s="1000" t="e">
        <f t="shared" si="50"/>
        <v>#REF!</v>
      </c>
    </row>
    <row r="54" spans="1:43" ht="49.5" customHeight="1" x14ac:dyDescent="0.2">
      <c r="A54" s="1022"/>
      <c r="B54" s="1023" t="s">
        <v>395</v>
      </c>
      <c r="C54" s="1024"/>
      <c r="D54" s="1025"/>
      <c r="E54" s="1003" t="e">
        <f t="shared" ref="E54:N54" si="57">SUM(E43:E53)</f>
        <v>#REF!</v>
      </c>
      <c r="F54" s="1003" t="e">
        <f t="shared" si="57"/>
        <v>#REF!</v>
      </c>
      <c r="G54" s="1003" t="e">
        <f t="shared" si="57"/>
        <v>#REF!</v>
      </c>
      <c r="H54" s="1003" t="e">
        <f t="shared" si="57"/>
        <v>#REF!</v>
      </c>
      <c r="I54" s="1003" t="e">
        <f t="shared" ca="1" si="57"/>
        <v>#REF!</v>
      </c>
      <c r="J54" s="1003" t="e">
        <f t="shared" ca="1" si="57"/>
        <v>#REF!</v>
      </c>
      <c r="K54" s="1003" t="e">
        <f t="shared" ca="1" si="57"/>
        <v>#REF!</v>
      </c>
      <c r="L54" s="1003">
        <f t="shared" si="57"/>
        <v>0</v>
      </c>
      <c r="M54" s="1003">
        <f t="shared" si="57"/>
        <v>0</v>
      </c>
      <c r="N54" s="1003">
        <f t="shared" si="57"/>
        <v>0</v>
      </c>
      <c r="O54" s="1026"/>
      <c r="P54" s="1005" t="e">
        <f ca="1">SUM(P43:P53)</f>
        <v>#REF!</v>
      </c>
      <c r="Q54" s="1005" t="e">
        <f ca="1">SUM(Q43:Q53)</f>
        <v>#REF!</v>
      </c>
      <c r="R54" s="1006" t="e">
        <f ca="1">SUM(R43:R53)</f>
        <v>#REF!</v>
      </c>
      <c r="S54" s="1007" t="e">
        <f ca="1">SUM(P54:R54)</f>
        <v>#REF!</v>
      </c>
      <c r="T54" s="1003" t="e">
        <f t="shared" ref="T54:AQ54" si="58">SUM(T43:T53)</f>
        <v>#REF!</v>
      </c>
      <c r="U54" s="1003" t="e">
        <f t="shared" si="58"/>
        <v>#REF!</v>
      </c>
      <c r="V54" s="1003" t="e">
        <f t="shared" si="58"/>
        <v>#REF!</v>
      </c>
      <c r="W54" s="1003" t="e">
        <f t="shared" si="58"/>
        <v>#REF!</v>
      </c>
      <c r="X54" s="1003" t="e">
        <f t="shared" si="58"/>
        <v>#REF!</v>
      </c>
      <c r="Y54" s="1003" t="e">
        <f t="shared" si="58"/>
        <v>#REF!</v>
      </c>
      <c r="Z54" s="1003" t="e">
        <f t="shared" si="58"/>
        <v>#REF!</v>
      </c>
      <c r="AA54" s="1003" t="e">
        <f t="shared" si="58"/>
        <v>#REF!</v>
      </c>
      <c r="AB54" s="1003" t="e">
        <f t="shared" si="58"/>
        <v>#REF!</v>
      </c>
      <c r="AC54" s="1003">
        <f t="shared" si="58"/>
        <v>0</v>
      </c>
      <c r="AD54" s="1003">
        <f t="shared" si="58"/>
        <v>0</v>
      </c>
      <c r="AE54" s="1003">
        <f t="shared" si="58"/>
        <v>0</v>
      </c>
      <c r="AF54" s="1003" t="e">
        <f t="shared" si="58"/>
        <v>#REF!</v>
      </c>
      <c r="AG54" s="1003" t="e">
        <f t="shared" si="58"/>
        <v>#REF!</v>
      </c>
      <c r="AH54" s="1003" t="e">
        <f t="shared" si="58"/>
        <v>#REF!</v>
      </c>
      <c r="AI54" s="1003" t="e">
        <f t="shared" si="58"/>
        <v>#REF!</v>
      </c>
      <c r="AJ54" s="1003" t="e">
        <f t="shared" si="58"/>
        <v>#REF!</v>
      </c>
      <c r="AK54" s="1003" t="e">
        <f t="shared" si="58"/>
        <v>#REF!</v>
      </c>
      <c r="AL54" s="1003" t="e">
        <f t="shared" si="58"/>
        <v>#REF!</v>
      </c>
      <c r="AM54" s="1003" t="e">
        <f t="shared" si="58"/>
        <v>#REF!</v>
      </c>
      <c r="AN54" s="1003" t="e">
        <f t="shared" si="58"/>
        <v>#REF!</v>
      </c>
      <c r="AO54" s="1003" t="e">
        <f t="shared" si="58"/>
        <v>#REF!</v>
      </c>
      <c r="AP54" s="1003" t="e">
        <f t="shared" si="58"/>
        <v>#REF!</v>
      </c>
      <c r="AQ54" s="1003" t="e">
        <f t="shared" si="58"/>
        <v>#REF!</v>
      </c>
    </row>
    <row r="55" spans="1:43" ht="49.5" customHeight="1" x14ac:dyDescent="0.2">
      <c r="A55" s="5467"/>
      <c r="B55" s="5468"/>
      <c r="C55" s="5468"/>
      <c r="D55" s="5468"/>
      <c r="E55" s="5468"/>
      <c r="F55" s="5468"/>
      <c r="G55" s="5468"/>
      <c r="H55" s="5468"/>
      <c r="I55" s="5468"/>
      <c r="J55" s="5468"/>
      <c r="K55" s="5468"/>
      <c r="L55" s="5468"/>
      <c r="M55" s="5468"/>
      <c r="N55" s="5468"/>
      <c r="O55" s="5468"/>
      <c r="P55" s="5468"/>
      <c r="Q55" s="5468"/>
      <c r="R55" s="5469"/>
      <c r="S55" s="25"/>
      <c r="T55" s="25"/>
    </row>
    <row r="56" spans="1:43" ht="49.5" customHeight="1" thickBot="1" x14ac:dyDescent="0.25">
      <c r="A56" s="5412"/>
      <c r="B56" s="5413"/>
      <c r="C56" s="5413"/>
      <c r="D56" s="5413"/>
      <c r="E56" s="5413"/>
      <c r="F56" s="5413"/>
      <c r="G56" s="5413"/>
      <c r="H56" s="5413"/>
      <c r="I56" s="5413"/>
      <c r="J56" s="5413"/>
      <c r="K56" s="5413"/>
      <c r="L56" s="5413"/>
      <c r="M56" s="5413"/>
      <c r="N56" s="5413"/>
      <c r="O56" s="5413"/>
      <c r="P56" s="5413"/>
      <c r="Q56" s="5413"/>
      <c r="R56" s="5470"/>
      <c r="S56" s="25"/>
      <c r="T56" s="25"/>
    </row>
    <row r="57" spans="1:43" s="606" customFormat="1" ht="49.5" customHeight="1" x14ac:dyDescent="0.2">
      <c r="A57" s="5454" t="s">
        <v>396</v>
      </c>
      <c r="B57" s="5455"/>
      <c r="C57" s="5455"/>
      <c r="D57" s="5456"/>
      <c r="E57" s="5409" t="s">
        <v>101</v>
      </c>
      <c r="F57" s="5445" t="s">
        <v>304</v>
      </c>
      <c r="G57" s="5446"/>
      <c r="H57" s="5447"/>
      <c r="I57" s="5445" t="s">
        <v>368</v>
      </c>
      <c r="J57" s="5446"/>
      <c r="K57" s="5447"/>
      <c r="L57" s="5366" t="s">
        <v>851</v>
      </c>
      <c r="M57" s="5367"/>
      <c r="N57" s="5368"/>
      <c r="O57" s="395"/>
      <c r="P57" s="5313" t="s">
        <v>377</v>
      </c>
      <c r="Q57" s="5313"/>
      <c r="R57" s="5383"/>
      <c r="S57" s="1027"/>
      <c r="T57" s="5373" t="s">
        <v>304</v>
      </c>
      <c r="U57" s="5374"/>
      <c r="V57" s="5375"/>
      <c r="W57" s="5373" t="s">
        <v>368</v>
      </c>
      <c r="X57" s="5374"/>
      <c r="Y57" s="5375"/>
      <c r="Z57" s="5376" t="s">
        <v>850</v>
      </c>
      <c r="AA57" s="5376"/>
      <c r="AB57" s="5376"/>
      <c r="AC57" s="5366" t="s">
        <v>851</v>
      </c>
      <c r="AD57" s="5367"/>
      <c r="AE57" s="5368"/>
      <c r="AF57" s="5366" t="s">
        <v>852</v>
      </c>
      <c r="AG57" s="5367"/>
      <c r="AH57" s="5368"/>
      <c r="AI57" s="5366" t="s">
        <v>853</v>
      </c>
      <c r="AJ57" s="5367"/>
      <c r="AK57" s="5368"/>
      <c r="AL57" s="5366" t="s">
        <v>377</v>
      </c>
      <c r="AM57" s="5367"/>
      <c r="AN57" s="5368"/>
      <c r="AO57" s="5366" t="s">
        <v>241</v>
      </c>
      <c r="AP57" s="5367"/>
      <c r="AQ57" s="5368"/>
    </row>
    <row r="58" spans="1:43" s="606" customFormat="1" ht="49.5" customHeight="1" thickBot="1" x14ac:dyDescent="0.25">
      <c r="A58" s="5451"/>
      <c r="B58" s="5452"/>
      <c r="C58" s="5452"/>
      <c r="D58" s="5453"/>
      <c r="E58" s="5410"/>
      <c r="F58" s="1028" t="s">
        <v>287</v>
      </c>
      <c r="G58" s="1028" t="s">
        <v>289</v>
      </c>
      <c r="H58" s="1029" t="s">
        <v>288</v>
      </c>
      <c r="I58" s="1028" t="s">
        <v>287</v>
      </c>
      <c r="J58" s="1028" t="s">
        <v>289</v>
      </c>
      <c r="K58" s="1029" t="s">
        <v>288</v>
      </c>
      <c r="L58" s="261" t="s">
        <v>287</v>
      </c>
      <c r="M58" s="261" t="s">
        <v>289</v>
      </c>
      <c r="N58" s="262" t="s">
        <v>288</v>
      </c>
      <c r="O58" s="399" t="s">
        <v>4</v>
      </c>
      <c r="P58" s="979" t="s">
        <v>287</v>
      </c>
      <c r="Q58" s="979" t="s">
        <v>289</v>
      </c>
      <c r="R58" s="980" t="s">
        <v>288</v>
      </c>
      <c r="S58" s="1027"/>
      <c r="T58" s="261" t="s">
        <v>287</v>
      </c>
      <c r="U58" s="261" t="s">
        <v>289</v>
      </c>
      <c r="V58" s="262" t="s">
        <v>288</v>
      </c>
      <c r="W58" s="261" t="s">
        <v>287</v>
      </c>
      <c r="X58" s="261" t="s">
        <v>289</v>
      </c>
      <c r="Y58" s="262" t="s">
        <v>288</v>
      </c>
      <c r="Z58" s="261" t="s">
        <v>287</v>
      </c>
      <c r="AA58" s="261" t="s">
        <v>289</v>
      </c>
      <c r="AB58" s="262" t="s">
        <v>288</v>
      </c>
      <c r="AC58" s="261" t="s">
        <v>287</v>
      </c>
      <c r="AD58" s="261" t="s">
        <v>289</v>
      </c>
      <c r="AE58" s="261" t="s">
        <v>288</v>
      </c>
      <c r="AF58" s="261" t="s">
        <v>287</v>
      </c>
      <c r="AG58" s="261" t="s">
        <v>289</v>
      </c>
      <c r="AH58" s="261" t="s">
        <v>288</v>
      </c>
      <c r="AI58" s="261" t="s">
        <v>287</v>
      </c>
      <c r="AJ58" s="261" t="s">
        <v>289</v>
      </c>
      <c r="AK58" s="261" t="s">
        <v>288</v>
      </c>
      <c r="AL58" s="261" t="s">
        <v>287</v>
      </c>
      <c r="AM58" s="261" t="s">
        <v>289</v>
      </c>
      <c r="AN58" s="261" t="s">
        <v>288</v>
      </c>
      <c r="AO58" s="261" t="s">
        <v>287</v>
      </c>
      <c r="AP58" s="261" t="s">
        <v>289</v>
      </c>
      <c r="AQ58" s="261" t="s">
        <v>288</v>
      </c>
    </row>
    <row r="59" spans="1:43" ht="49.5" customHeight="1" x14ac:dyDescent="0.2">
      <c r="A59" s="5576" t="s">
        <v>62</v>
      </c>
      <c r="B59" s="883">
        <v>5000</v>
      </c>
      <c r="C59" s="5448" t="s">
        <v>42</v>
      </c>
      <c r="D59" s="5583"/>
      <c r="E59" s="993">
        <f>+E222</f>
        <v>0</v>
      </c>
      <c r="F59" s="993">
        <f t="shared" ref="F59:K59" si="59">+F222</f>
        <v>0</v>
      </c>
      <c r="G59" s="993">
        <f t="shared" si="59"/>
        <v>0</v>
      </c>
      <c r="H59" s="993">
        <f t="shared" si="59"/>
        <v>0</v>
      </c>
      <c r="I59" s="993">
        <f t="shared" ca="1" si="59"/>
        <v>0</v>
      </c>
      <c r="J59" s="993">
        <f t="shared" ca="1" si="59"/>
        <v>0</v>
      </c>
      <c r="K59" s="993">
        <f t="shared" ca="1" si="59"/>
        <v>0</v>
      </c>
      <c r="L59" s="994"/>
      <c r="M59" s="994"/>
      <c r="N59" s="994"/>
      <c r="O59" s="995"/>
      <c r="P59" s="982">
        <f ca="1">+F59+I59</f>
        <v>0</v>
      </c>
      <c r="Q59" s="982">
        <f ca="1">+G59+J59</f>
        <v>0</v>
      </c>
      <c r="R59" s="983">
        <f ca="1">+H59+K59</f>
        <v>0</v>
      </c>
      <c r="S59" s="1030" t="s">
        <v>396</v>
      </c>
      <c r="T59" s="994"/>
      <c r="U59" s="994"/>
      <c r="V59" s="994"/>
      <c r="W59" s="994"/>
      <c r="X59" s="994"/>
      <c r="Y59" s="994"/>
      <c r="AC59" s="997"/>
      <c r="AD59" s="997"/>
      <c r="AE59" s="997"/>
      <c r="AF59" s="263"/>
      <c r="AG59" s="263"/>
      <c r="AH59" s="263"/>
      <c r="AI59" s="998"/>
      <c r="AJ59" s="998"/>
      <c r="AK59" s="998"/>
      <c r="AL59" s="998"/>
      <c r="AM59" s="998"/>
      <c r="AN59" s="998"/>
      <c r="AO59" s="43"/>
      <c r="AP59" s="33"/>
      <c r="AQ59" s="33"/>
    </row>
    <row r="60" spans="1:43" ht="49.5" hidden="1" customHeight="1" x14ac:dyDescent="0.2">
      <c r="A60" s="5577"/>
      <c r="B60" s="884">
        <v>5020</v>
      </c>
      <c r="C60" s="845" t="s">
        <v>43</v>
      </c>
      <c r="D60" s="1031" t="s">
        <v>44</v>
      </c>
      <c r="E60" s="993">
        <f t="shared" ref="E60:K65" si="60">+E223</f>
        <v>0</v>
      </c>
      <c r="F60" s="993">
        <f t="shared" si="60"/>
        <v>0</v>
      </c>
      <c r="G60" s="993">
        <f t="shared" si="60"/>
        <v>0</v>
      </c>
      <c r="H60" s="993">
        <f t="shared" si="60"/>
        <v>0</v>
      </c>
      <c r="I60" s="993">
        <f t="shared" ca="1" si="60"/>
        <v>0</v>
      </c>
      <c r="J60" s="993">
        <f t="shared" ca="1" si="60"/>
        <v>0</v>
      </c>
      <c r="K60" s="993">
        <f t="shared" ca="1" si="60"/>
        <v>0</v>
      </c>
      <c r="L60" s="994"/>
      <c r="M60" s="994"/>
      <c r="N60" s="994"/>
      <c r="O60" s="995"/>
      <c r="P60" s="982">
        <f t="shared" ref="P60:P69" ca="1" si="61">+F60+I60</f>
        <v>0</v>
      </c>
      <c r="Q60" s="982">
        <f t="shared" ref="Q60:Q69" ca="1" si="62">+G60+J60</f>
        <v>0</v>
      </c>
      <c r="R60" s="983">
        <f t="shared" ref="R60:R69" ca="1" si="63">+H60+K60</f>
        <v>0</v>
      </c>
      <c r="S60" s="1032"/>
      <c r="T60" s="994"/>
      <c r="U60" s="994"/>
      <c r="V60" s="994"/>
      <c r="W60" s="994"/>
      <c r="X60" s="994"/>
      <c r="Y60" s="994"/>
      <c r="AC60" s="997"/>
      <c r="AD60" s="997"/>
      <c r="AE60" s="997"/>
      <c r="AF60" s="263"/>
      <c r="AG60" s="263"/>
      <c r="AH60" s="263"/>
      <c r="AI60" s="998"/>
      <c r="AJ60" s="998"/>
      <c r="AK60" s="998"/>
      <c r="AL60" s="998"/>
      <c r="AM60" s="998"/>
      <c r="AN60" s="998"/>
      <c r="AO60" s="43"/>
      <c r="AP60" s="33"/>
      <c r="AQ60" s="33"/>
    </row>
    <row r="61" spans="1:43" ht="49.5" customHeight="1" x14ac:dyDescent="0.2">
      <c r="A61" s="5577"/>
      <c r="B61" s="5395" t="s">
        <v>220</v>
      </c>
      <c r="C61" s="5396"/>
      <c r="D61" s="985" t="s">
        <v>46</v>
      </c>
      <c r="E61" s="993" t="e">
        <f t="shared" si="60"/>
        <v>#REF!</v>
      </c>
      <c r="F61" s="993" t="e">
        <f t="shared" si="60"/>
        <v>#REF!</v>
      </c>
      <c r="G61" s="993" t="e">
        <f t="shared" si="60"/>
        <v>#REF!</v>
      </c>
      <c r="H61" s="993" t="e">
        <f t="shared" si="60"/>
        <v>#REF!</v>
      </c>
      <c r="I61" s="993" t="e">
        <f t="shared" si="60"/>
        <v>#REF!</v>
      </c>
      <c r="J61" s="993" t="e">
        <f t="shared" si="60"/>
        <v>#REF!</v>
      </c>
      <c r="K61" s="993" t="e">
        <f t="shared" si="60"/>
        <v>#REF!</v>
      </c>
      <c r="L61" s="986" t="e">
        <f t="shared" ref="L61:N62" si="64">+F61</f>
        <v>#REF!</v>
      </c>
      <c r="M61" s="986" t="e">
        <f t="shared" si="64"/>
        <v>#REF!</v>
      </c>
      <c r="N61" s="986" t="e">
        <f t="shared" si="64"/>
        <v>#REF!</v>
      </c>
      <c r="O61" s="393" t="e">
        <f>+(L61+M61+N61)/E61</f>
        <v>#REF!</v>
      </c>
      <c r="P61" s="982" t="e">
        <f t="shared" si="61"/>
        <v>#REF!</v>
      </c>
      <c r="Q61" s="982" t="e">
        <f t="shared" si="62"/>
        <v>#REF!</v>
      </c>
      <c r="R61" s="983" t="e">
        <f t="shared" si="63"/>
        <v>#REF!</v>
      </c>
      <c r="S61" s="1032"/>
      <c r="T61" s="994"/>
      <c r="U61" s="994"/>
      <c r="V61" s="994"/>
      <c r="W61" s="994"/>
      <c r="X61" s="994"/>
      <c r="Y61" s="994"/>
      <c r="AC61" s="997"/>
      <c r="AD61" s="997"/>
      <c r="AE61" s="997"/>
      <c r="AF61" s="263"/>
      <c r="AG61" s="263"/>
      <c r="AH61" s="263"/>
      <c r="AI61" s="998"/>
      <c r="AJ61" s="998"/>
      <c r="AK61" s="998"/>
      <c r="AL61" s="998"/>
      <c r="AM61" s="998"/>
      <c r="AN61" s="998"/>
      <c r="AO61" s="43"/>
      <c r="AP61" s="33"/>
      <c r="AQ61" s="33"/>
    </row>
    <row r="62" spans="1:43" ht="49.5" customHeight="1" x14ac:dyDescent="0.2">
      <c r="A62" s="5577"/>
      <c r="B62" s="5397"/>
      <c r="C62" s="5398"/>
      <c r="D62" s="985" t="s">
        <v>47</v>
      </c>
      <c r="E62" s="993">
        <f t="shared" si="60"/>
        <v>0</v>
      </c>
      <c r="F62" s="993">
        <f t="shared" si="60"/>
        <v>0</v>
      </c>
      <c r="G62" s="993">
        <f t="shared" si="60"/>
        <v>0</v>
      </c>
      <c r="H62" s="993">
        <f t="shared" si="60"/>
        <v>0</v>
      </c>
      <c r="I62" s="993">
        <f t="shared" ca="1" si="60"/>
        <v>0</v>
      </c>
      <c r="J62" s="993">
        <f t="shared" ca="1" si="60"/>
        <v>0</v>
      </c>
      <c r="K62" s="993">
        <f t="shared" ca="1" si="60"/>
        <v>0</v>
      </c>
      <c r="L62" s="986">
        <f t="shared" si="64"/>
        <v>0</v>
      </c>
      <c r="M62" s="986">
        <f t="shared" si="64"/>
        <v>0</v>
      </c>
      <c r="N62" s="986">
        <f t="shared" si="64"/>
        <v>0</v>
      </c>
      <c r="O62" s="393" t="e">
        <f>+(L62+M62+N62)/E62</f>
        <v>#DIV/0!</v>
      </c>
      <c r="P62" s="982">
        <f t="shared" ca="1" si="61"/>
        <v>0</v>
      </c>
      <c r="Q62" s="982">
        <f t="shared" ca="1" si="62"/>
        <v>0</v>
      </c>
      <c r="R62" s="983">
        <f t="shared" ca="1" si="63"/>
        <v>0</v>
      </c>
      <c r="S62" s="1032"/>
      <c r="T62" s="994"/>
      <c r="U62" s="994"/>
      <c r="V62" s="994"/>
      <c r="W62" s="994"/>
      <c r="X62" s="994"/>
      <c r="Y62" s="994"/>
      <c r="AC62" s="997"/>
      <c r="AD62" s="997"/>
      <c r="AE62" s="997"/>
      <c r="AF62" s="263"/>
      <c r="AG62" s="263"/>
      <c r="AH62" s="263"/>
      <c r="AI62" s="998"/>
      <c r="AJ62" s="998"/>
      <c r="AK62" s="998"/>
      <c r="AL62" s="998"/>
      <c r="AM62" s="998"/>
      <c r="AN62" s="998"/>
      <c r="AO62" s="43"/>
      <c r="AP62" s="33"/>
      <c r="AQ62" s="33"/>
    </row>
    <row r="63" spans="1:43" ht="49.5" customHeight="1" x14ac:dyDescent="0.4">
      <c r="A63" s="5577"/>
      <c r="B63" s="5397"/>
      <c r="C63" s="5398"/>
      <c r="D63" s="985" t="s">
        <v>935</v>
      </c>
      <c r="E63" s="993" t="e">
        <f t="shared" si="60"/>
        <v>#REF!</v>
      </c>
      <c r="F63" s="993" t="e">
        <f t="shared" si="60"/>
        <v>#REF!</v>
      </c>
      <c r="G63" s="993" t="e">
        <f t="shared" si="60"/>
        <v>#REF!</v>
      </c>
      <c r="H63" s="993" t="e">
        <f t="shared" si="60"/>
        <v>#REF!</v>
      </c>
      <c r="I63" s="993" t="e">
        <f t="shared" si="60"/>
        <v>#REF!</v>
      </c>
      <c r="J63" s="993" t="e">
        <f t="shared" si="60"/>
        <v>#REF!</v>
      </c>
      <c r="K63" s="993" t="e">
        <f t="shared" si="60"/>
        <v>#REF!</v>
      </c>
      <c r="L63" s="485"/>
      <c r="M63" s="485"/>
      <c r="N63" s="485"/>
      <c r="O63" s="485"/>
      <c r="P63" s="982" t="e">
        <f t="shared" si="61"/>
        <v>#REF!</v>
      </c>
      <c r="Q63" s="982" t="e">
        <f t="shared" si="62"/>
        <v>#REF!</v>
      </c>
      <c r="R63" s="983" t="e">
        <f t="shared" si="63"/>
        <v>#REF!</v>
      </c>
      <c r="S63" s="1032"/>
      <c r="T63" s="993" t="e">
        <f t="shared" ref="T63:V65" si="65">+F63-L63</f>
        <v>#REF!</v>
      </c>
      <c r="U63" s="993" t="e">
        <f t="shared" si="65"/>
        <v>#REF!</v>
      </c>
      <c r="V63" s="993" t="e">
        <f t="shared" si="65"/>
        <v>#REF!</v>
      </c>
      <c r="W63" s="993" t="e">
        <f>+IF( I63=0,0,(T63/F63)*I63)</f>
        <v>#REF!</v>
      </c>
      <c r="X63" s="993" t="e">
        <f t="shared" ref="X63:Y65" si="66">+IF(J63=0,0,(U63/G63)*J63)</f>
        <v>#REF!</v>
      </c>
      <c r="Y63" s="993" t="e">
        <f t="shared" si="66"/>
        <v>#REF!</v>
      </c>
      <c r="Z63" s="993" t="e">
        <f t="shared" ref="Z63:AB65" si="67">+T63+W63</f>
        <v>#REF!</v>
      </c>
      <c r="AA63" s="993" t="e">
        <f t="shared" si="67"/>
        <v>#REF!</v>
      </c>
      <c r="AB63" s="993" t="e">
        <f t="shared" si="67"/>
        <v>#REF!</v>
      </c>
      <c r="AC63" s="264">
        <f t="shared" ref="AC63:AE65" si="68">+L63</f>
        <v>0</v>
      </c>
      <c r="AD63" s="264">
        <f t="shared" si="68"/>
        <v>0</v>
      </c>
      <c r="AE63" s="264">
        <f t="shared" si="68"/>
        <v>0</v>
      </c>
      <c r="AF63" s="264" t="e">
        <f t="shared" ref="AF63:AH65" si="69">+I63-W63</f>
        <v>#REF!</v>
      </c>
      <c r="AG63" s="264" t="e">
        <f t="shared" si="69"/>
        <v>#REF!</v>
      </c>
      <c r="AH63" s="264" t="e">
        <f t="shared" si="69"/>
        <v>#REF!</v>
      </c>
      <c r="AI63" s="999" t="e">
        <f t="shared" ref="AI63:AK65" si="70">+AC63+AF63</f>
        <v>#REF!</v>
      </c>
      <c r="AJ63" s="999" t="e">
        <f t="shared" si="70"/>
        <v>#REF!</v>
      </c>
      <c r="AK63" s="999" t="e">
        <f t="shared" si="70"/>
        <v>#REF!</v>
      </c>
      <c r="AL63" s="1000" t="e">
        <f t="shared" ref="AL63:AN65" si="71">+T63+W63+AC63+AF63</f>
        <v>#REF!</v>
      </c>
      <c r="AM63" s="1000" t="e">
        <f t="shared" si="71"/>
        <v>#REF!</v>
      </c>
      <c r="AN63" s="1000" t="e">
        <f t="shared" si="71"/>
        <v>#REF!</v>
      </c>
      <c r="AO63" s="1001" t="e">
        <f t="shared" ref="AO63:AQ65" si="72">+P63-AL63</f>
        <v>#REF!</v>
      </c>
      <c r="AP63" s="1001" t="e">
        <f t="shared" si="72"/>
        <v>#REF!</v>
      </c>
      <c r="AQ63" s="1001" t="e">
        <f t="shared" si="72"/>
        <v>#REF!</v>
      </c>
    </row>
    <row r="64" spans="1:43" ht="49.5" customHeight="1" x14ac:dyDescent="0.4">
      <c r="A64" s="5577"/>
      <c r="B64" s="5397"/>
      <c r="C64" s="5398"/>
      <c r="D64" s="985" t="s">
        <v>936</v>
      </c>
      <c r="E64" s="993" t="e">
        <f t="shared" si="60"/>
        <v>#REF!</v>
      </c>
      <c r="F64" s="993" t="e">
        <f t="shared" si="60"/>
        <v>#REF!</v>
      </c>
      <c r="G64" s="993" t="e">
        <f t="shared" si="60"/>
        <v>#REF!</v>
      </c>
      <c r="H64" s="993" t="e">
        <f t="shared" si="60"/>
        <v>#REF!</v>
      </c>
      <c r="I64" s="993" t="e">
        <f t="shared" si="60"/>
        <v>#REF!</v>
      </c>
      <c r="J64" s="993" t="e">
        <f t="shared" si="60"/>
        <v>#REF!</v>
      </c>
      <c r="K64" s="993" t="e">
        <f t="shared" si="60"/>
        <v>#REF!</v>
      </c>
      <c r="L64" s="986" t="e">
        <f>+F64</f>
        <v>#REF!</v>
      </c>
      <c r="M64" s="986" t="e">
        <f>+G64</f>
        <v>#REF!</v>
      </c>
      <c r="N64" s="986" t="e">
        <f>+H64</f>
        <v>#REF!</v>
      </c>
      <c r="O64" s="393" t="e">
        <f>+(L64+M64+N64)/E64</f>
        <v>#REF!</v>
      </c>
      <c r="P64" s="982" t="e">
        <f t="shared" si="61"/>
        <v>#REF!</v>
      </c>
      <c r="Q64" s="982" t="e">
        <f t="shared" si="62"/>
        <v>#REF!</v>
      </c>
      <c r="R64" s="983" t="e">
        <f t="shared" si="63"/>
        <v>#REF!</v>
      </c>
      <c r="S64" s="1032"/>
      <c r="T64" s="993" t="e">
        <f t="shared" si="65"/>
        <v>#REF!</v>
      </c>
      <c r="U64" s="993" t="e">
        <f t="shared" si="65"/>
        <v>#REF!</v>
      </c>
      <c r="V64" s="993" t="e">
        <f t="shared" si="65"/>
        <v>#REF!</v>
      </c>
      <c r="W64" s="993" t="e">
        <f>+IF( I64=0,0,(T64/F64)*I64)</f>
        <v>#REF!</v>
      </c>
      <c r="X64" s="993" t="e">
        <f t="shared" si="66"/>
        <v>#REF!</v>
      </c>
      <c r="Y64" s="993" t="e">
        <f t="shared" si="66"/>
        <v>#REF!</v>
      </c>
      <c r="Z64" s="993" t="e">
        <f t="shared" si="67"/>
        <v>#REF!</v>
      </c>
      <c r="AA64" s="993" t="e">
        <f t="shared" si="67"/>
        <v>#REF!</v>
      </c>
      <c r="AB64" s="993" t="e">
        <f t="shared" si="67"/>
        <v>#REF!</v>
      </c>
      <c r="AC64" s="264" t="e">
        <f t="shared" si="68"/>
        <v>#REF!</v>
      </c>
      <c r="AD64" s="264" t="e">
        <f t="shared" si="68"/>
        <v>#REF!</v>
      </c>
      <c r="AE64" s="264" t="e">
        <f t="shared" si="68"/>
        <v>#REF!</v>
      </c>
      <c r="AF64" s="264" t="e">
        <f t="shared" si="69"/>
        <v>#REF!</v>
      </c>
      <c r="AG64" s="264" t="e">
        <f t="shared" si="69"/>
        <v>#REF!</v>
      </c>
      <c r="AH64" s="264" t="e">
        <f t="shared" si="69"/>
        <v>#REF!</v>
      </c>
      <c r="AI64" s="999" t="e">
        <f t="shared" si="70"/>
        <v>#REF!</v>
      </c>
      <c r="AJ64" s="999" t="e">
        <f t="shared" si="70"/>
        <v>#REF!</v>
      </c>
      <c r="AK64" s="999" t="e">
        <f t="shared" si="70"/>
        <v>#REF!</v>
      </c>
      <c r="AL64" s="1000" t="e">
        <f t="shared" si="71"/>
        <v>#REF!</v>
      </c>
      <c r="AM64" s="1000" t="e">
        <f t="shared" si="71"/>
        <v>#REF!</v>
      </c>
      <c r="AN64" s="1000" t="e">
        <f t="shared" si="71"/>
        <v>#REF!</v>
      </c>
      <c r="AO64" s="1001" t="e">
        <f t="shared" si="72"/>
        <v>#REF!</v>
      </c>
      <c r="AP64" s="1001" t="e">
        <f t="shared" si="72"/>
        <v>#REF!</v>
      </c>
      <c r="AQ64" s="1001" t="e">
        <f t="shared" si="72"/>
        <v>#REF!</v>
      </c>
    </row>
    <row r="65" spans="1:43" ht="49.5" customHeight="1" x14ac:dyDescent="0.4">
      <c r="A65" s="5577"/>
      <c r="B65" s="5397"/>
      <c r="C65" s="5398"/>
      <c r="D65" s="987" t="s">
        <v>169</v>
      </c>
      <c r="E65" s="993">
        <f t="shared" si="60"/>
        <v>0</v>
      </c>
      <c r="F65" s="993">
        <f t="shared" si="60"/>
        <v>0</v>
      </c>
      <c r="G65" s="993">
        <f t="shared" si="60"/>
        <v>0</v>
      </c>
      <c r="H65" s="993">
        <f t="shared" si="60"/>
        <v>0</v>
      </c>
      <c r="I65" s="993">
        <f t="shared" ca="1" si="60"/>
        <v>0</v>
      </c>
      <c r="J65" s="993">
        <f t="shared" ca="1" si="60"/>
        <v>0</v>
      </c>
      <c r="K65" s="993">
        <f t="shared" ca="1" si="60"/>
        <v>0</v>
      </c>
      <c r="L65" s="485"/>
      <c r="M65" s="485"/>
      <c r="N65" s="485"/>
      <c r="O65" s="485"/>
      <c r="P65" s="982">
        <f t="shared" ca="1" si="61"/>
        <v>0</v>
      </c>
      <c r="Q65" s="982">
        <f t="shared" ca="1" si="62"/>
        <v>0</v>
      </c>
      <c r="R65" s="983">
        <f t="shared" ca="1" si="63"/>
        <v>0</v>
      </c>
      <c r="S65" s="1032"/>
      <c r="T65" s="993">
        <f t="shared" si="65"/>
        <v>0</v>
      </c>
      <c r="U65" s="993">
        <f t="shared" si="65"/>
        <v>0</v>
      </c>
      <c r="V65" s="993">
        <f t="shared" si="65"/>
        <v>0</v>
      </c>
      <c r="W65" s="993">
        <f ca="1">+IF( I65=0,0,(T65/F65)*I65)</f>
        <v>0</v>
      </c>
      <c r="X65" s="993">
        <f t="shared" ca="1" si="66"/>
        <v>0</v>
      </c>
      <c r="Y65" s="993">
        <f t="shared" ca="1" si="66"/>
        <v>0</v>
      </c>
      <c r="Z65" s="993">
        <f t="shared" ca="1" si="67"/>
        <v>0</v>
      </c>
      <c r="AA65" s="993">
        <f t="shared" ca="1" si="67"/>
        <v>0</v>
      </c>
      <c r="AB65" s="993">
        <f t="shared" ca="1" si="67"/>
        <v>0</v>
      </c>
      <c r="AC65" s="264">
        <f t="shared" si="68"/>
        <v>0</v>
      </c>
      <c r="AD65" s="264">
        <f t="shared" si="68"/>
        <v>0</v>
      </c>
      <c r="AE65" s="264">
        <f t="shared" si="68"/>
        <v>0</v>
      </c>
      <c r="AF65" s="264">
        <f t="shared" ca="1" si="69"/>
        <v>0</v>
      </c>
      <c r="AG65" s="264">
        <f t="shared" ca="1" si="69"/>
        <v>0</v>
      </c>
      <c r="AH65" s="264">
        <f t="shared" ca="1" si="69"/>
        <v>0</v>
      </c>
      <c r="AI65" s="999">
        <f t="shared" ca="1" si="70"/>
        <v>0</v>
      </c>
      <c r="AJ65" s="999">
        <f t="shared" ca="1" si="70"/>
        <v>0</v>
      </c>
      <c r="AK65" s="999">
        <f t="shared" ca="1" si="70"/>
        <v>0</v>
      </c>
      <c r="AL65" s="1000">
        <f t="shared" ca="1" si="71"/>
        <v>0</v>
      </c>
      <c r="AM65" s="1000">
        <f t="shared" ca="1" si="71"/>
        <v>0</v>
      </c>
      <c r="AN65" s="1000">
        <f t="shared" ca="1" si="71"/>
        <v>0</v>
      </c>
      <c r="AO65" s="1001">
        <f t="shared" ca="1" si="72"/>
        <v>0</v>
      </c>
      <c r="AP65" s="1001">
        <f t="shared" ca="1" si="72"/>
        <v>0</v>
      </c>
      <c r="AQ65" s="1001">
        <f t="shared" ca="1" si="72"/>
        <v>0</v>
      </c>
    </row>
    <row r="66" spans="1:43" ht="49.5" customHeight="1" x14ac:dyDescent="0.4">
      <c r="A66" s="5577"/>
      <c r="B66" s="5397"/>
      <c r="C66" s="5398"/>
      <c r="D66" s="987" t="s">
        <v>49</v>
      </c>
      <c r="E66" s="993">
        <f t="shared" ref="E66:K66" si="73">+E229</f>
        <v>0</v>
      </c>
      <c r="F66" s="993">
        <f t="shared" si="73"/>
        <v>0</v>
      </c>
      <c r="G66" s="993">
        <f t="shared" si="73"/>
        <v>0</v>
      </c>
      <c r="H66" s="993">
        <f t="shared" si="73"/>
        <v>0</v>
      </c>
      <c r="I66" s="993">
        <f t="shared" ca="1" si="73"/>
        <v>0</v>
      </c>
      <c r="J66" s="993">
        <f t="shared" ca="1" si="73"/>
        <v>0</v>
      </c>
      <c r="K66" s="993">
        <f t="shared" ca="1" si="73"/>
        <v>0</v>
      </c>
      <c r="L66" s="485"/>
      <c r="M66" s="485"/>
      <c r="N66" s="485"/>
      <c r="O66" s="485"/>
      <c r="P66" s="982">
        <f t="shared" ca="1" si="61"/>
        <v>0</v>
      </c>
      <c r="Q66" s="982">
        <f t="shared" ca="1" si="62"/>
        <v>0</v>
      </c>
      <c r="R66" s="983">
        <f t="shared" ca="1" si="63"/>
        <v>0</v>
      </c>
      <c r="S66" s="1032"/>
      <c r="T66" s="993"/>
      <c r="U66" s="993"/>
      <c r="V66" s="993"/>
      <c r="W66" s="993"/>
      <c r="X66" s="993"/>
      <c r="Y66" s="993"/>
      <c r="Z66" s="993"/>
      <c r="AA66" s="993"/>
      <c r="AB66" s="993"/>
      <c r="AC66" s="264"/>
      <c r="AD66" s="264"/>
      <c r="AE66" s="264"/>
      <c r="AF66" s="264"/>
      <c r="AG66" s="264"/>
      <c r="AH66" s="264"/>
      <c r="AI66" s="999"/>
      <c r="AJ66" s="999"/>
      <c r="AK66" s="999"/>
      <c r="AL66" s="1000"/>
      <c r="AM66" s="1000"/>
      <c r="AN66" s="1000"/>
      <c r="AO66" s="1001"/>
      <c r="AP66" s="1001"/>
      <c r="AQ66" s="1001"/>
    </row>
    <row r="67" spans="1:43" ht="49.5" customHeight="1" x14ac:dyDescent="0.4">
      <c r="A67" s="5577"/>
      <c r="B67" s="5397"/>
      <c r="C67" s="5398"/>
      <c r="D67" s="987" t="s">
        <v>937</v>
      </c>
      <c r="E67" s="993" t="e">
        <f t="shared" ref="E67:K67" si="74">+E230</f>
        <v>#REF!</v>
      </c>
      <c r="F67" s="993" t="e">
        <f t="shared" si="74"/>
        <v>#REF!</v>
      </c>
      <c r="G67" s="993" t="e">
        <f t="shared" si="74"/>
        <v>#REF!</v>
      </c>
      <c r="H67" s="993" t="e">
        <f t="shared" si="74"/>
        <v>#REF!</v>
      </c>
      <c r="I67" s="993" t="e">
        <f t="shared" si="74"/>
        <v>#REF!</v>
      </c>
      <c r="J67" s="993" t="e">
        <f t="shared" si="74"/>
        <v>#REF!</v>
      </c>
      <c r="K67" s="993" t="e">
        <f t="shared" si="74"/>
        <v>#REF!</v>
      </c>
      <c r="L67" s="485"/>
      <c r="M67" s="485"/>
      <c r="N67" s="485"/>
      <c r="O67" s="485"/>
      <c r="P67" s="982" t="e">
        <f t="shared" si="61"/>
        <v>#REF!</v>
      </c>
      <c r="Q67" s="982" t="e">
        <f t="shared" si="62"/>
        <v>#REF!</v>
      </c>
      <c r="R67" s="983" t="e">
        <f t="shared" si="63"/>
        <v>#REF!</v>
      </c>
      <c r="S67" s="1032"/>
      <c r="T67" s="993"/>
      <c r="U67" s="993"/>
      <c r="V67" s="993"/>
      <c r="W67" s="993"/>
      <c r="X67" s="993"/>
      <c r="Y67" s="993"/>
      <c r="Z67" s="993"/>
      <c r="AA67" s="993"/>
      <c r="AB67" s="993"/>
      <c r="AC67" s="264"/>
      <c r="AD67" s="264"/>
      <c r="AE67" s="264"/>
      <c r="AF67" s="264"/>
      <c r="AG67" s="264"/>
      <c r="AH67" s="264"/>
      <c r="AI67" s="999"/>
      <c r="AJ67" s="999"/>
      <c r="AK67" s="999"/>
      <c r="AL67" s="1000"/>
      <c r="AM67" s="1000"/>
      <c r="AN67" s="1000"/>
      <c r="AO67" s="1001"/>
      <c r="AP67" s="1001"/>
      <c r="AQ67" s="1001"/>
    </row>
    <row r="68" spans="1:43" ht="49.5" customHeight="1" x14ac:dyDescent="0.4">
      <c r="A68" s="5577"/>
      <c r="B68" s="5399"/>
      <c r="C68" s="5400"/>
      <c r="D68" s="987" t="s">
        <v>938</v>
      </c>
      <c r="E68" s="993">
        <f t="shared" ref="E68:K68" si="75">+E231</f>
        <v>0</v>
      </c>
      <c r="F68" s="993">
        <f t="shared" si="75"/>
        <v>0</v>
      </c>
      <c r="G68" s="993">
        <f t="shared" si="75"/>
        <v>0</v>
      </c>
      <c r="H68" s="993">
        <f t="shared" si="75"/>
        <v>0</v>
      </c>
      <c r="I68" s="993">
        <f t="shared" ca="1" si="75"/>
        <v>0</v>
      </c>
      <c r="J68" s="993">
        <f t="shared" ca="1" si="75"/>
        <v>0</v>
      </c>
      <c r="K68" s="993">
        <f t="shared" ca="1" si="75"/>
        <v>0</v>
      </c>
      <c r="L68" s="485"/>
      <c r="M68" s="485"/>
      <c r="N68" s="485"/>
      <c r="O68" s="485"/>
      <c r="P68" s="982">
        <f t="shared" ca="1" si="61"/>
        <v>0</v>
      </c>
      <c r="Q68" s="982">
        <f t="shared" ca="1" si="62"/>
        <v>0</v>
      </c>
      <c r="R68" s="983">
        <f t="shared" ca="1" si="63"/>
        <v>0</v>
      </c>
      <c r="S68" s="1032"/>
      <c r="T68" s="993"/>
      <c r="U68" s="993"/>
      <c r="V68" s="993"/>
      <c r="W68" s="993"/>
      <c r="X68" s="993"/>
      <c r="Y68" s="993"/>
      <c r="Z68" s="993"/>
      <c r="AA68" s="993"/>
      <c r="AB68" s="993"/>
      <c r="AC68" s="264"/>
      <c r="AD68" s="264"/>
      <c r="AE68" s="264"/>
      <c r="AF68" s="264"/>
      <c r="AG68" s="264"/>
      <c r="AH68" s="264"/>
      <c r="AI68" s="999"/>
      <c r="AJ68" s="999"/>
      <c r="AK68" s="999"/>
      <c r="AL68" s="1000"/>
      <c r="AM68" s="1000"/>
      <c r="AN68" s="1000"/>
      <c r="AO68" s="1001"/>
      <c r="AP68" s="1001"/>
      <c r="AQ68" s="1001"/>
    </row>
    <row r="69" spans="1:43" ht="49.5" customHeight="1" x14ac:dyDescent="0.4">
      <c r="A69" s="5577"/>
      <c r="B69" s="873">
        <v>6000</v>
      </c>
      <c r="C69" s="845" t="s">
        <v>66</v>
      </c>
      <c r="D69" s="1021" t="s">
        <v>934</v>
      </c>
      <c r="E69" s="993">
        <f t="shared" ref="E69:K69" si="76">+E232</f>
        <v>0</v>
      </c>
      <c r="F69" s="993">
        <f t="shared" si="76"/>
        <v>0</v>
      </c>
      <c r="G69" s="993">
        <f t="shared" si="76"/>
        <v>0</v>
      </c>
      <c r="H69" s="993">
        <f t="shared" si="76"/>
        <v>0</v>
      </c>
      <c r="I69" s="993">
        <f t="shared" ca="1" si="76"/>
        <v>0</v>
      </c>
      <c r="J69" s="993">
        <f t="shared" ca="1" si="76"/>
        <v>0</v>
      </c>
      <c r="K69" s="993">
        <f t="shared" ca="1" si="76"/>
        <v>0</v>
      </c>
      <c r="L69" s="485"/>
      <c r="M69" s="485"/>
      <c r="N69" s="485"/>
      <c r="O69" s="485"/>
      <c r="P69" s="982">
        <f t="shared" ca="1" si="61"/>
        <v>0</v>
      </c>
      <c r="Q69" s="982">
        <f t="shared" ca="1" si="62"/>
        <v>0</v>
      </c>
      <c r="R69" s="983">
        <f t="shared" ca="1" si="63"/>
        <v>0</v>
      </c>
      <c r="S69" s="1032"/>
      <c r="T69" s="993"/>
      <c r="U69" s="993"/>
      <c r="V69" s="993"/>
      <c r="W69" s="993"/>
      <c r="X69" s="993"/>
      <c r="Y69" s="993"/>
      <c r="Z69" s="993"/>
      <c r="AA69" s="993"/>
      <c r="AB69" s="993"/>
      <c r="AC69" s="264"/>
      <c r="AD69" s="264"/>
      <c r="AE69" s="264"/>
      <c r="AF69" s="264"/>
      <c r="AG69" s="264"/>
      <c r="AH69" s="264"/>
      <c r="AI69" s="999"/>
      <c r="AJ69" s="999"/>
      <c r="AK69" s="999"/>
      <c r="AL69" s="1000"/>
      <c r="AM69" s="1000"/>
      <c r="AN69" s="1000"/>
      <c r="AO69" s="1001"/>
      <c r="AP69" s="1001"/>
      <c r="AQ69" s="1001"/>
    </row>
    <row r="70" spans="1:43" ht="49.5" customHeight="1" x14ac:dyDescent="0.2">
      <c r="A70" s="1033"/>
      <c r="B70" s="5578" t="s">
        <v>400</v>
      </c>
      <c r="C70" s="5579"/>
      <c r="D70" s="5580"/>
      <c r="E70" s="1003" t="e">
        <f t="shared" ref="E70:N70" si="77">SUM(E59:E69)</f>
        <v>#REF!</v>
      </c>
      <c r="F70" s="1003" t="e">
        <f t="shared" si="77"/>
        <v>#REF!</v>
      </c>
      <c r="G70" s="1003" t="e">
        <f t="shared" si="77"/>
        <v>#REF!</v>
      </c>
      <c r="H70" s="1003" t="e">
        <f t="shared" si="77"/>
        <v>#REF!</v>
      </c>
      <c r="I70" s="1003" t="e">
        <f t="shared" ca="1" si="77"/>
        <v>#REF!</v>
      </c>
      <c r="J70" s="1003" t="e">
        <f t="shared" ca="1" si="77"/>
        <v>#REF!</v>
      </c>
      <c r="K70" s="1003" t="e">
        <f t="shared" ca="1" si="77"/>
        <v>#REF!</v>
      </c>
      <c r="L70" s="1003" t="e">
        <f t="shared" si="77"/>
        <v>#REF!</v>
      </c>
      <c r="M70" s="1003" t="e">
        <f t="shared" si="77"/>
        <v>#REF!</v>
      </c>
      <c r="N70" s="1003" t="e">
        <f t="shared" si="77"/>
        <v>#REF!</v>
      </c>
      <c r="O70" s="263"/>
      <c r="P70" s="1005" t="e">
        <f ca="1">SUM(P59:P69)</f>
        <v>#REF!</v>
      </c>
      <c r="Q70" s="1005" t="e">
        <f ca="1">SUM(Q59:Q69)</f>
        <v>#REF!</v>
      </c>
      <c r="R70" s="1006" t="e">
        <f ca="1">SUM(R59:R69)</f>
        <v>#REF!</v>
      </c>
      <c r="S70" s="1007" t="e">
        <f ca="1">SUM(P70:R70)</f>
        <v>#REF!</v>
      </c>
      <c r="T70" s="1003" t="e">
        <f t="shared" ref="T70:AQ70" si="78">SUM(T59:T69)</f>
        <v>#REF!</v>
      </c>
      <c r="U70" s="1003" t="e">
        <f t="shared" si="78"/>
        <v>#REF!</v>
      </c>
      <c r="V70" s="1003" t="e">
        <f t="shared" si="78"/>
        <v>#REF!</v>
      </c>
      <c r="W70" s="1003" t="e">
        <f t="shared" si="78"/>
        <v>#REF!</v>
      </c>
      <c r="X70" s="1003" t="e">
        <f t="shared" si="78"/>
        <v>#REF!</v>
      </c>
      <c r="Y70" s="1003" t="e">
        <f t="shared" si="78"/>
        <v>#REF!</v>
      </c>
      <c r="Z70" s="1003" t="e">
        <f t="shared" si="78"/>
        <v>#REF!</v>
      </c>
      <c r="AA70" s="1003" t="e">
        <f t="shared" si="78"/>
        <v>#REF!</v>
      </c>
      <c r="AB70" s="1003" t="e">
        <f t="shared" si="78"/>
        <v>#REF!</v>
      </c>
      <c r="AC70" s="1003" t="e">
        <f t="shared" si="78"/>
        <v>#REF!</v>
      </c>
      <c r="AD70" s="1003" t="e">
        <f t="shared" si="78"/>
        <v>#REF!</v>
      </c>
      <c r="AE70" s="1003" t="e">
        <f t="shared" si="78"/>
        <v>#REF!</v>
      </c>
      <c r="AF70" s="1003" t="e">
        <f t="shared" si="78"/>
        <v>#REF!</v>
      </c>
      <c r="AG70" s="1003" t="e">
        <f t="shared" si="78"/>
        <v>#REF!</v>
      </c>
      <c r="AH70" s="1003" t="e">
        <f t="shared" si="78"/>
        <v>#REF!</v>
      </c>
      <c r="AI70" s="1003" t="e">
        <f t="shared" si="78"/>
        <v>#REF!</v>
      </c>
      <c r="AJ70" s="1003" t="e">
        <f t="shared" si="78"/>
        <v>#REF!</v>
      </c>
      <c r="AK70" s="1003" t="e">
        <f t="shared" si="78"/>
        <v>#REF!</v>
      </c>
      <c r="AL70" s="1003" t="e">
        <f t="shared" si="78"/>
        <v>#REF!</v>
      </c>
      <c r="AM70" s="1003" t="e">
        <f t="shared" si="78"/>
        <v>#REF!</v>
      </c>
      <c r="AN70" s="1003" t="e">
        <f t="shared" si="78"/>
        <v>#REF!</v>
      </c>
      <c r="AO70" s="1003" t="e">
        <f t="shared" si="78"/>
        <v>#REF!</v>
      </c>
      <c r="AP70" s="1003" t="e">
        <f t="shared" si="78"/>
        <v>#REF!</v>
      </c>
      <c r="AQ70" s="1003" t="e">
        <f t="shared" si="78"/>
        <v>#REF!</v>
      </c>
    </row>
    <row r="71" spans="1:43" ht="49.5" customHeight="1" x14ac:dyDescent="0.2">
      <c r="A71" s="5467"/>
      <c r="B71" s="5468"/>
      <c r="C71" s="5468"/>
      <c r="D71" s="5468"/>
      <c r="E71" s="5468"/>
      <c r="F71" s="5468"/>
      <c r="G71" s="5468"/>
      <c r="H71" s="5468"/>
      <c r="I71" s="5468"/>
      <c r="J71" s="5468"/>
      <c r="K71" s="5468"/>
      <c r="L71" s="5468"/>
      <c r="M71" s="5468"/>
      <c r="N71" s="5468"/>
      <c r="O71" s="5468"/>
      <c r="P71" s="5468"/>
      <c r="Q71" s="5468"/>
      <c r="R71" s="5469"/>
      <c r="U71" s="971"/>
      <c r="V71" s="971"/>
    </row>
    <row r="72" spans="1:43" ht="49.5" customHeight="1" thickBot="1" x14ac:dyDescent="0.25">
      <c r="A72" s="5412"/>
      <c r="B72" s="5413"/>
      <c r="C72" s="5413"/>
      <c r="D72" s="5413"/>
      <c r="E72" s="5413"/>
      <c r="F72" s="5413"/>
      <c r="G72" s="5413"/>
      <c r="H72" s="5413"/>
      <c r="I72" s="5413"/>
      <c r="J72" s="5413"/>
      <c r="K72" s="5413"/>
      <c r="L72" s="5413"/>
      <c r="M72" s="5413"/>
      <c r="N72" s="5413"/>
      <c r="O72" s="5413"/>
      <c r="P72" s="5413"/>
      <c r="Q72" s="5413"/>
      <c r="R72" s="5470"/>
      <c r="U72" s="971"/>
      <c r="V72" s="971"/>
    </row>
    <row r="73" spans="1:43" s="606" customFormat="1" ht="49.5" customHeight="1" x14ac:dyDescent="0.2">
      <c r="A73" s="5454" t="s">
        <v>401</v>
      </c>
      <c r="B73" s="5455"/>
      <c r="C73" s="5455"/>
      <c r="D73" s="5456"/>
      <c r="E73" s="5409" t="s">
        <v>101</v>
      </c>
      <c r="F73" s="5382" t="s">
        <v>304</v>
      </c>
      <c r="G73" s="5382"/>
      <c r="H73" s="5382"/>
      <c r="I73" s="5382" t="s">
        <v>368</v>
      </c>
      <c r="J73" s="5382"/>
      <c r="K73" s="5382"/>
      <c r="L73" s="5366" t="s">
        <v>851</v>
      </c>
      <c r="M73" s="5367"/>
      <c r="N73" s="5368"/>
      <c r="O73" s="395"/>
      <c r="P73" s="5313" t="s">
        <v>377</v>
      </c>
      <c r="Q73" s="5313"/>
      <c r="R73" s="5383"/>
      <c r="T73" s="5373" t="s">
        <v>304</v>
      </c>
      <c r="U73" s="5374"/>
      <c r="V73" s="5375"/>
      <c r="W73" s="5373" t="s">
        <v>368</v>
      </c>
      <c r="X73" s="5374"/>
      <c r="Y73" s="5375"/>
      <c r="Z73" s="5376" t="s">
        <v>850</v>
      </c>
      <c r="AA73" s="5376"/>
      <c r="AB73" s="5376"/>
      <c r="AC73" s="5366" t="s">
        <v>851</v>
      </c>
      <c r="AD73" s="5367"/>
      <c r="AE73" s="5368"/>
      <c r="AF73" s="5366" t="s">
        <v>852</v>
      </c>
      <c r="AG73" s="5367"/>
      <c r="AH73" s="5368"/>
      <c r="AI73" s="5366" t="s">
        <v>853</v>
      </c>
      <c r="AJ73" s="5367"/>
      <c r="AK73" s="5368"/>
      <c r="AL73" s="5366" t="s">
        <v>377</v>
      </c>
      <c r="AM73" s="5367"/>
      <c r="AN73" s="5368"/>
      <c r="AO73" s="5366" t="s">
        <v>241</v>
      </c>
      <c r="AP73" s="5367"/>
      <c r="AQ73" s="5368"/>
    </row>
    <row r="74" spans="1:43" s="606" customFormat="1" ht="49.5" customHeight="1" thickBot="1" x14ac:dyDescent="0.25">
      <c r="A74" s="5451"/>
      <c r="B74" s="5452"/>
      <c r="C74" s="5452"/>
      <c r="D74" s="5453"/>
      <c r="E74" s="5410"/>
      <c r="F74" s="1028" t="s">
        <v>287</v>
      </c>
      <c r="G74" s="1028" t="s">
        <v>289</v>
      </c>
      <c r="H74" s="1028" t="s">
        <v>288</v>
      </c>
      <c r="I74" s="1028" t="s">
        <v>287</v>
      </c>
      <c r="J74" s="1028" t="s">
        <v>289</v>
      </c>
      <c r="K74" s="1028" t="s">
        <v>288</v>
      </c>
      <c r="L74" s="261" t="s">
        <v>287</v>
      </c>
      <c r="M74" s="261" t="s">
        <v>289</v>
      </c>
      <c r="N74" s="261" t="s">
        <v>288</v>
      </c>
      <c r="O74" s="400" t="s">
        <v>905</v>
      </c>
      <c r="P74" s="1034" t="s">
        <v>287</v>
      </c>
      <c r="Q74" s="979" t="s">
        <v>289</v>
      </c>
      <c r="R74" s="980" t="s">
        <v>288</v>
      </c>
      <c r="T74" s="261" t="s">
        <v>287</v>
      </c>
      <c r="U74" s="261" t="s">
        <v>289</v>
      </c>
      <c r="V74" s="262" t="s">
        <v>288</v>
      </c>
      <c r="W74" s="261" t="s">
        <v>287</v>
      </c>
      <c r="X74" s="261" t="s">
        <v>289</v>
      </c>
      <c r="Y74" s="262" t="s">
        <v>288</v>
      </c>
      <c r="Z74" s="261" t="s">
        <v>287</v>
      </c>
      <c r="AA74" s="261" t="s">
        <v>289</v>
      </c>
      <c r="AB74" s="262" t="s">
        <v>288</v>
      </c>
      <c r="AC74" s="261" t="s">
        <v>287</v>
      </c>
      <c r="AD74" s="261" t="s">
        <v>289</v>
      </c>
      <c r="AE74" s="261" t="s">
        <v>288</v>
      </c>
      <c r="AF74" s="261" t="s">
        <v>287</v>
      </c>
      <c r="AG74" s="261" t="s">
        <v>289</v>
      </c>
      <c r="AH74" s="261" t="s">
        <v>288</v>
      </c>
      <c r="AI74" s="261" t="s">
        <v>287</v>
      </c>
      <c r="AJ74" s="261" t="s">
        <v>289</v>
      </c>
      <c r="AK74" s="261" t="s">
        <v>288</v>
      </c>
      <c r="AL74" s="261" t="s">
        <v>287</v>
      </c>
      <c r="AM74" s="261" t="s">
        <v>289</v>
      </c>
      <c r="AN74" s="261" t="s">
        <v>288</v>
      </c>
      <c r="AO74" s="261" t="s">
        <v>287</v>
      </c>
      <c r="AP74" s="261" t="s">
        <v>289</v>
      </c>
      <c r="AQ74" s="261" t="s">
        <v>288</v>
      </c>
    </row>
    <row r="75" spans="1:43" ht="49.5" customHeight="1" x14ac:dyDescent="0.2">
      <c r="A75" s="4867" t="s">
        <v>67</v>
      </c>
      <c r="B75" s="886">
        <v>5000</v>
      </c>
      <c r="C75" s="4861" t="s">
        <v>42</v>
      </c>
      <c r="D75" s="4872"/>
      <c r="E75" s="993" t="e">
        <f>+E233</f>
        <v>#REF!</v>
      </c>
      <c r="F75" s="993" t="e">
        <f t="shared" ref="F75:K75" si="79">+F233</f>
        <v>#REF!</v>
      </c>
      <c r="G75" s="993" t="e">
        <f t="shared" si="79"/>
        <v>#REF!</v>
      </c>
      <c r="H75" s="993" t="e">
        <f t="shared" si="79"/>
        <v>#REF!</v>
      </c>
      <c r="I75" s="993" t="e">
        <f t="shared" si="79"/>
        <v>#REF!</v>
      </c>
      <c r="J75" s="993" t="e">
        <f t="shared" si="79"/>
        <v>#REF!</v>
      </c>
      <c r="K75" s="993" t="e">
        <f t="shared" si="79"/>
        <v>#REF!</v>
      </c>
      <c r="L75" s="997"/>
      <c r="M75" s="997"/>
      <c r="N75" s="997"/>
      <c r="O75" s="1035"/>
      <c r="P75" s="1036" t="e">
        <f>+F75+I75</f>
        <v>#REF!</v>
      </c>
      <c r="Q75" s="982" t="e">
        <f>+G75+J75</f>
        <v>#REF!</v>
      </c>
      <c r="R75" s="983" t="e">
        <f>+H75+K75</f>
        <v>#REF!</v>
      </c>
      <c r="S75" s="1037" t="s">
        <v>402</v>
      </c>
      <c r="T75" s="994"/>
      <c r="U75" s="994"/>
      <c r="V75" s="994"/>
      <c r="W75" s="994"/>
      <c r="X75" s="994"/>
      <c r="Y75" s="994"/>
      <c r="AC75" s="997"/>
      <c r="AD75" s="997"/>
      <c r="AE75" s="997"/>
      <c r="AF75" s="263"/>
      <c r="AG75" s="263"/>
      <c r="AH75" s="263"/>
      <c r="AI75" s="998"/>
      <c r="AJ75" s="998"/>
      <c r="AK75" s="998"/>
      <c r="AL75" s="998"/>
      <c r="AM75" s="998"/>
      <c r="AN75" s="998"/>
      <c r="AO75" s="43"/>
      <c r="AP75" s="33"/>
      <c r="AQ75" s="33"/>
    </row>
    <row r="76" spans="1:43" ht="49.5" hidden="1" customHeight="1" x14ac:dyDescent="0.2">
      <c r="A76" s="4867"/>
      <c r="B76" s="889">
        <v>5020</v>
      </c>
      <c r="C76" s="845" t="s">
        <v>43</v>
      </c>
      <c r="D76" s="1038" t="s">
        <v>44</v>
      </c>
      <c r="E76" s="993">
        <f t="shared" ref="E76:K81" si="80">+E234</f>
        <v>0</v>
      </c>
      <c r="F76" s="993">
        <f t="shared" si="80"/>
        <v>0</v>
      </c>
      <c r="G76" s="993">
        <f t="shared" si="80"/>
        <v>0</v>
      </c>
      <c r="H76" s="993">
        <f t="shared" si="80"/>
        <v>0</v>
      </c>
      <c r="I76" s="993">
        <f t="shared" ca="1" si="80"/>
        <v>0</v>
      </c>
      <c r="J76" s="993">
        <f t="shared" ca="1" si="80"/>
        <v>0</v>
      </c>
      <c r="K76" s="993">
        <f t="shared" ca="1" si="80"/>
        <v>0</v>
      </c>
      <c r="L76" s="997"/>
      <c r="M76" s="997"/>
      <c r="N76" s="997"/>
      <c r="O76" s="1035"/>
      <c r="P76" s="1036">
        <f t="shared" ref="P76:P85" ca="1" si="81">+F76+I76</f>
        <v>0</v>
      </c>
      <c r="Q76" s="982">
        <f t="shared" ref="Q76:Q85" ca="1" si="82">+G76+J76</f>
        <v>0</v>
      </c>
      <c r="R76" s="983">
        <f t="shared" ref="R76:R85" ca="1" si="83">+H76+K76</f>
        <v>0</v>
      </c>
      <c r="S76" s="1039"/>
      <c r="T76" s="994"/>
      <c r="U76" s="994"/>
      <c r="V76" s="994"/>
      <c r="W76" s="994"/>
      <c r="X76" s="994"/>
      <c r="Y76" s="994"/>
      <c r="AC76" s="997"/>
      <c r="AD76" s="997"/>
      <c r="AE76" s="997"/>
      <c r="AF76" s="263"/>
      <c r="AG76" s="263"/>
      <c r="AH76" s="263"/>
      <c r="AI76" s="998"/>
      <c r="AJ76" s="998"/>
      <c r="AK76" s="998"/>
      <c r="AL76" s="998"/>
      <c r="AM76" s="998"/>
      <c r="AN76" s="998"/>
      <c r="AO76" s="43"/>
      <c r="AP76" s="33"/>
      <c r="AQ76" s="33"/>
    </row>
    <row r="77" spans="1:43" ht="49.5" customHeight="1" x14ac:dyDescent="0.2">
      <c r="A77" s="4867"/>
      <c r="B77" s="5395" t="s">
        <v>220</v>
      </c>
      <c r="C77" s="5396"/>
      <c r="D77" s="985" t="s">
        <v>46</v>
      </c>
      <c r="E77" s="993" t="e">
        <f t="shared" si="80"/>
        <v>#REF!</v>
      </c>
      <c r="F77" s="993" t="e">
        <f t="shared" si="80"/>
        <v>#REF!</v>
      </c>
      <c r="G77" s="993" t="e">
        <f t="shared" si="80"/>
        <v>#REF!</v>
      </c>
      <c r="H77" s="993" t="e">
        <f t="shared" si="80"/>
        <v>#REF!</v>
      </c>
      <c r="I77" s="993" t="e">
        <f t="shared" si="80"/>
        <v>#REF!</v>
      </c>
      <c r="J77" s="993" t="e">
        <f t="shared" si="80"/>
        <v>#REF!</v>
      </c>
      <c r="K77" s="993" t="e">
        <f t="shared" si="80"/>
        <v>#REF!</v>
      </c>
      <c r="L77" s="986" t="e">
        <f t="shared" ref="L77:N78" si="84">+F77</f>
        <v>#REF!</v>
      </c>
      <c r="M77" s="986" t="e">
        <f t="shared" si="84"/>
        <v>#REF!</v>
      </c>
      <c r="N77" s="986" t="e">
        <f t="shared" si="84"/>
        <v>#REF!</v>
      </c>
      <c r="O77" s="393" t="e">
        <f>+(L77+M77+N77)/E77</f>
        <v>#REF!</v>
      </c>
      <c r="P77" s="1036" t="e">
        <f t="shared" si="81"/>
        <v>#REF!</v>
      </c>
      <c r="Q77" s="982" t="e">
        <f t="shared" si="82"/>
        <v>#REF!</v>
      </c>
      <c r="R77" s="983" t="e">
        <f t="shared" si="83"/>
        <v>#REF!</v>
      </c>
      <c r="S77" s="1039"/>
      <c r="T77" s="994"/>
      <c r="U77" s="994"/>
      <c r="V77" s="994"/>
      <c r="W77" s="994"/>
      <c r="X77" s="994"/>
      <c r="Y77" s="994"/>
      <c r="AC77" s="997"/>
      <c r="AD77" s="997"/>
      <c r="AE77" s="997"/>
      <c r="AF77" s="263"/>
      <c r="AG77" s="263"/>
      <c r="AH77" s="263"/>
      <c r="AI77" s="998"/>
      <c r="AJ77" s="998"/>
      <c r="AK77" s="998"/>
      <c r="AL77" s="998"/>
      <c r="AM77" s="998"/>
      <c r="AN77" s="998"/>
      <c r="AO77" s="43"/>
      <c r="AP77" s="33"/>
      <c r="AQ77" s="33"/>
    </row>
    <row r="78" spans="1:43" ht="49.5" customHeight="1" x14ac:dyDescent="0.2">
      <c r="A78" s="4867"/>
      <c r="B78" s="5397"/>
      <c r="C78" s="5398"/>
      <c r="D78" s="985" t="s">
        <v>47</v>
      </c>
      <c r="E78" s="993" t="e">
        <f t="shared" si="80"/>
        <v>#REF!</v>
      </c>
      <c r="F78" s="993" t="e">
        <f t="shared" si="80"/>
        <v>#REF!</v>
      </c>
      <c r="G78" s="993" t="e">
        <f t="shared" si="80"/>
        <v>#REF!</v>
      </c>
      <c r="H78" s="993" t="e">
        <f t="shared" si="80"/>
        <v>#REF!</v>
      </c>
      <c r="I78" s="993" t="e">
        <f t="shared" si="80"/>
        <v>#REF!</v>
      </c>
      <c r="J78" s="993" t="e">
        <f t="shared" si="80"/>
        <v>#REF!</v>
      </c>
      <c r="K78" s="993" t="e">
        <f t="shared" si="80"/>
        <v>#REF!</v>
      </c>
      <c r="L78" s="986" t="e">
        <f t="shared" si="84"/>
        <v>#REF!</v>
      </c>
      <c r="M78" s="986" t="e">
        <f t="shared" si="84"/>
        <v>#REF!</v>
      </c>
      <c r="N78" s="986" t="e">
        <f t="shared" si="84"/>
        <v>#REF!</v>
      </c>
      <c r="O78" s="393" t="e">
        <f>+(L78+M78+N78)/E78</f>
        <v>#REF!</v>
      </c>
      <c r="P78" s="1036" t="e">
        <f t="shared" si="81"/>
        <v>#REF!</v>
      </c>
      <c r="Q78" s="982" t="e">
        <f t="shared" si="82"/>
        <v>#REF!</v>
      </c>
      <c r="R78" s="983" t="e">
        <f t="shared" si="83"/>
        <v>#REF!</v>
      </c>
      <c r="S78" s="1039"/>
      <c r="T78" s="994"/>
      <c r="U78" s="994"/>
      <c r="V78" s="994"/>
      <c r="W78" s="994"/>
      <c r="X78" s="994"/>
      <c r="Y78" s="994"/>
      <c r="AC78" s="997"/>
      <c r="AD78" s="997"/>
      <c r="AE78" s="997"/>
      <c r="AF78" s="263"/>
      <c r="AG78" s="263"/>
      <c r="AH78" s="263"/>
      <c r="AI78" s="998"/>
      <c r="AJ78" s="998"/>
      <c r="AK78" s="998"/>
      <c r="AL78" s="998"/>
      <c r="AM78" s="998"/>
      <c r="AN78" s="998"/>
      <c r="AO78" s="43"/>
      <c r="AP78" s="33"/>
      <c r="AQ78" s="33"/>
    </row>
    <row r="79" spans="1:43" ht="49.5" customHeight="1" x14ac:dyDescent="0.4">
      <c r="A79" s="4867"/>
      <c r="B79" s="5397"/>
      <c r="C79" s="5398"/>
      <c r="D79" s="985" t="s">
        <v>935</v>
      </c>
      <c r="E79" s="993" t="e">
        <f t="shared" si="80"/>
        <v>#REF!</v>
      </c>
      <c r="F79" s="993" t="e">
        <f t="shared" si="80"/>
        <v>#REF!</v>
      </c>
      <c r="G79" s="993" t="e">
        <f t="shared" si="80"/>
        <v>#REF!</v>
      </c>
      <c r="H79" s="993" t="e">
        <f t="shared" si="80"/>
        <v>#REF!</v>
      </c>
      <c r="I79" s="993" t="e">
        <f t="shared" si="80"/>
        <v>#REF!</v>
      </c>
      <c r="J79" s="993" t="e">
        <f t="shared" si="80"/>
        <v>#REF!</v>
      </c>
      <c r="K79" s="993" t="e">
        <f t="shared" si="80"/>
        <v>#REF!</v>
      </c>
      <c r="L79" s="485"/>
      <c r="M79" s="485"/>
      <c r="N79" s="485"/>
      <c r="O79" s="485"/>
      <c r="P79" s="1036" t="e">
        <f t="shared" si="81"/>
        <v>#REF!</v>
      </c>
      <c r="Q79" s="982" t="e">
        <f t="shared" si="82"/>
        <v>#REF!</v>
      </c>
      <c r="R79" s="983" t="e">
        <f t="shared" si="83"/>
        <v>#REF!</v>
      </c>
      <c r="S79" s="1039"/>
      <c r="T79" s="993" t="e">
        <f>+F79-L79</f>
        <v>#REF!</v>
      </c>
      <c r="U79" s="993" t="e">
        <f>+G79-M79</f>
        <v>#REF!</v>
      </c>
      <c r="V79" s="993" t="e">
        <f>+H79-N79</f>
        <v>#REF!</v>
      </c>
      <c r="W79" s="993" t="e">
        <f>+IF( I79=0,0,(T79/F79)*I79)</f>
        <v>#REF!</v>
      </c>
      <c r="X79" s="993" t="e">
        <f>+IF(J79=0,0,(U79/G79)*J79)</f>
        <v>#REF!</v>
      </c>
      <c r="Y79" s="993" t="e">
        <f>+IF(K79=0,0,(V79/H79)*K79)</f>
        <v>#REF!</v>
      </c>
      <c r="Z79" s="993" t="e">
        <f>+T79+W79</f>
        <v>#REF!</v>
      </c>
      <c r="AA79" s="993" t="e">
        <f>+U79+X79</f>
        <v>#REF!</v>
      </c>
      <c r="AB79" s="993" t="e">
        <f>+V79+Y79</f>
        <v>#REF!</v>
      </c>
      <c r="AC79" s="264">
        <f>+L79</f>
        <v>0</v>
      </c>
      <c r="AD79" s="264">
        <f>+M79</f>
        <v>0</v>
      </c>
      <c r="AE79" s="264">
        <f>+N79</f>
        <v>0</v>
      </c>
      <c r="AF79" s="264" t="e">
        <f>+I79-W79</f>
        <v>#REF!</v>
      </c>
      <c r="AG79" s="264" t="e">
        <f>+J79-X79</f>
        <v>#REF!</v>
      </c>
      <c r="AH79" s="264" t="e">
        <f>+K79-Y79</f>
        <v>#REF!</v>
      </c>
      <c r="AI79" s="999" t="e">
        <f>+AC79+AF79</f>
        <v>#REF!</v>
      </c>
      <c r="AJ79" s="999" t="e">
        <f>+AD79+AG79</f>
        <v>#REF!</v>
      </c>
      <c r="AK79" s="999" t="e">
        <f>+AE79+AH79</f>
        <v>#REF!</v>
      </c>
      <c r="AL79" s="1000" t="e">
        <f>+T79+W79+AC79+AF79</f>
        <v>#REF!</v>
      </c>
      <c r="AM79" s="1000" t="e">
        <f>+U79+X79+AD79+AG79</f>
        <v>#REF!</v>
      </c>
      <c r="AN79" s="1000" t="e">
        <f>+V79+Y79+AE79+AH79</f>
        <v>#REF!</v>
      </c>
      <c r="AO79" s="1001" t="e">
        <f>+P79-AL79</f>
        <v>#REF!</v>
      </c>
      <c r="AP79" s="1001" t="e">
        <f>+Q79-AM79</f>
        <v>#REF!</v>
      </c>
      <c r="AQ79" s="1001" t="e">
        <f>+R79-AN79</f>
        <v>#REF!</v>
      </c>
    </row>
    <row r="80" spans="1:43" ht="49.5" customHeight="1" x14ac:dyDescent="0.4">
      <c r="A80" s="4867"/>
      <c r="B80" s="5397"/>
      <c r="C80" s="5398"/>
      <c r="D80" s="985" t="s">
        <v>936</v>
      </c>
      <c r="E80" s="993" t="e">
        <f t="shared" si="80"/>
        <v>#REF!</v>
      </c>
      <c r="F80" s="993" t="e">
        <f t="shared" si="80"/>
        <v>#REF!</v>
      </c>
      <c r="G80" s="993" t="e">
        <f t="shared" si="80"/>
        <v>#REF!</v>
      </c>
      <c r="H80" s="993" t="e">
        <f t="shared" si="80"/>
        <v>#REF!</v>
      </c>
      <c r="I80" s="993" t="e">
        <f t="shared" si="80"/>
        <v>#REF!</v>
      </c>
      <c r="J80" s="993" t="e">
        <f t="shared" si="80"/>
        <v>#REF!</v>
      </c>
      <c r="K80" s="993" t="e">
        <f t="shared" si="80"/>
        <v>#REF!</v>
      </c>
      <c r="L80" s="986" t="e">
        <f>+F80</f>
        <v>#REF!</v>
      </c>
      <c r="M80" s="986" t="e">
        <f>+G80</f>
        <v>#REF!</v>
      </c>
      <c r="N80" s="986" t="e">
        <f>+H80</f>
        <v>#REF!</v>
      </c>
      <c r="O80" s="393" t="e">
        <f>+(L80+M80+N80)/E80</f>
        <v>#REF!</v>
      </c>
      <c r="P80" s="1036" t="e">
        <f t="shared" si="81"/>
        <v>#REF!</v>
      </c>
      <c r="Q80" s="982" t="e">
        <f t="shared" si="82"/>
        <v>#REF!</v>
      </c>
      <c r="R80" s="983" t="e">
        <f t="shared" si="83"/>
        <v>#REF!</v>
      </c>
      <c r="S80" s="1039"/>
      <c r="T80" s="993"/>
      <c r="U80" s="993"/>
      <c r="V80" s="993"/>
      <c r="W80" s="993"/>
      <c r="X80" s="993"/>
      <c r="Y80" s="993"/>
      <c r="Z80" s="993"/>
      <c r="AA80" s="993"/>
      <c r="AB80" s="993"/>
      <c r="AC80" s="264"/>
      <c r="AD80" s="264"/>
      <c r="AE80" s="264"/>
      <c r="AF80" s="264"/>
      <c r="AG80" s="264"/>
      <c r="AH80" s="264"/>
      <c r="AI80" s="999"/>
      <c r="AJ80" s="999"/>
      <c r="AK80" s="999"/>
      <c r="AL80" s="1000"/>
      <c r="AM80" s="1000"/>
      <c r="AN80" s="1000"/>
      <c r="AO80" s="1001"/>
      <c r="AP80" s="1001"/>
      <c r="AQ80" s="1001"/>
    </row>
    <row r="81" spans="1:43" ht="49.5" customHeight="1" x14ac:dyDescent="0.4">
      <c r="A81" s="4867"/>
      <c r="B81" s="5397"/>
      <c r="C81" s="5398"/>
      <c r="D81" s="987" t="s">
        <v>169</v>
      </c>
      <c r="E81" s="993" t="e">
        <f t="shared" si="80"/>
        <v>#REF!</v>
      </c>
      <c r="F81" s="993" t="e">
        <f t="shared" si="80"/>
        <v>#REF!</v>
      </c>
      <c r="G81" s="993" t="e">
        <f t="shared" si="80"/>
        <v>#REF!</v>
      </c>
      <c r="H81" s="993" t="e">
        <f t="shared" si="80"/>
        <v>#REF!</v>
      </c>
      <c r="I81" s="993" t="e">
        <f t="shared" si="80"/>
        <v>#REF!</v>
      </c>
      <c r="J81" s="993" t="e">
        <f t="shared" si="80"/>
        <v>#REF!</v>
      </c>
      <c r="K81" s="993" t="e">
        <f t="shared" si="80"/>
        <v>#REF!</v>
      </c>
      <c r="L81" s="485"/>
      <c r="M81" s="485"/>
      <c r="N81" s="485"/>
      <c r="O81" s="485"/>
      <c r="P81" s="1036" t="e">
        <f t="shared" si="81"/>
        <v>#REF!</v>
      </c>
      <c r="Q81" s="982" t="e">
        <f t="shared" si="82"/>
        <v>#REF!</v>
      </c>
      <c r="R81" s="983" t="e">
        <f t="shared" si="83"/>
        <v>#REF!</v>
      </c>
      <c r="S81" s="1039"/>
      <c r="T81" s="993"/>
      <c r="U81" s="993"/>
      <c r="V81" s="993"/>
      <c r="W81" s="993"/>
      <c r="X81" s="993"/>
      <c r="Y81" s="993"/>
      <c r="Z81" s="993"/>
      <c r="AA81" s="993"/>
      <c r="AB81" s="993"/>
      <c r="AC81" s="264"/>
      <c r="AD81" s="264"/>
      <c r="AE81" s="264"/>
      <c r="AF81" s="264"/>
      <c r="AG81" s="264"/>
      <c r="AH81" s="264"/>
      <c r="AI81" s="999"/>
      <c r="AJ81" s="999"/>
      <c r="AK81" s="999"/>
      <c r="AL81" s="1000"/>
      <c r="AM81" s="1000"/>
      <c r="AN81" s="1000"/>
      <c r="AO81" s="1001"/>
      <c r="AP81" s="1001"/>
      <c r="AQ81" s="1001"/>
    </row>
    <row r="82" spans="1:43" ht="49.5" customHeight="1" x14ac:dyDescent="0.4">
      <c r="A82" s="4867"/>
      <c r="B82" s="5397"/>
      <c r="C82" s="5398"/>
      <c r="D82" s="987" t="s">
        <v>49</v>
      </c>
      <c r="E82" s="993" t="e">
        <f t="shared" ref="E82:K82" si="85">+E240</f>
        <v>#REF!</v>
      </c>
      <c r="F82" s="993" t="e">
        <f t="shared" si="85"/>
        <v>#REF!</v>
      </c>
      <c r="G82" s="993" t="e">
        <f t="shared" si="85"/>
        <v>#REF!</v>
      </c>
      <c r="H82" s="993" t="e">
        <f t="shared" si="85"/>
        <v>#REF!</v>
      </c>
      <c r="I82" s="993" t="e">
        <f t="shared" si="85"/>
        <v>#REF!</v>
      </c>
      <c r="J82" s="993" t="e">
        <f t="shared" si="85"/>
        <v>#REF!</v>
      </c>
      <c r="K82" s="993" t="e">
        <f t="shared" si="85"/>
        <v>#REF!</v>
      </c>
      <c r="L82" s="485"/>
      <c r="M82" s="485"/>
      <c r="N82" s="485"/>
      <c r="O82" s="485"/>
      <c r="P82" s="1036" t="e">
        <f t="shared" si="81"/>
        <v>#REF!</v>
      </c>
      <c r="Q82" s="982" t="e">
        <f t="shared" si="82"/>
        <v>#REF!</v>
      </c>
      <c r="R82" s="983" t="e">
        <f t="shared" si="83"/>
        <v>#REF!</v>
      </c>
      <c r="S82" s="1039"/>
      <c r="T82" s="993"/>
      <c r="U82" s="993"/>
      <c r="V82" s="993"/>
      <c r="W82" s="993"/>
      <c r="X82" s="993"/>
      <c r="Y82" s="993"/>
      <c r="Z82" s="993"/>
      <c r="AA82" s="993"/>
      <c r="AB82" s="993"/>
      <c r="AC82" s="264"/>
      <c r="AD82" s="264"/>
      <c r="AE82" s="264"/>
      <c r="AF82" s="264"/>
      <c r="AG82" s="264"/>
      <c r="AH82" s="264"/>
      <c r="AI82" s="999"/>
      <c r="AJ82" s="999"/>
      <c r="AK82" s="999"/>
      <c r="AL82" s="1000"/>
      <c r="AM82" s="1000"/>
      <c r="AN82" s="1000"/>
      <c r="AO82" s="1001"/>
      <c r="AP82" s="1001"/>
      <c r="AQ82" s="1001"/>
    </row>
    <row r="83" spans="1:43" ht="49.5" customHeight="1" x14ac:dyDescent="0.4">
      <c r="A83" s="4867"/>
      <c r="B83" s="5397"/>
      <c r="C83" s="5398"/>
      <c r="D83" s="987" t="s">
        <v>937</v>
      </c>
      <c r="E83" s="993" t="e">
        <f t="shared" ref="E83:K83" si="86">+E241</f>
        <v>#REF!</v>
      </c>
      <c r="F83" s="993" t="e">
        <f t="shared" si="86"/>
        <v>#REF!</v>
      </c>
      <c r="G83" s="993" t="e">
        <f t="shared" si="86"/>
        <v>#REF!</v>
      </c>
      <c r="H83" s="993" t="e">
        <f t="shared" si="86"/>
        <v>#REF!</v>
      </c>
      <c r="I83" s="993" t="e">
        <f t="shared" si="86"/>
        <v>#REF!</v>
      </c>
      <c r="J83" s="993" t="e">
        <f t="shared" si="86"/>
        <v>#REF!</v>
      </c>
      <c r="K83" s="993" t="e">
        <f t="shared" si="86"/>
        <v>#REF!</v>
      </c>
      <c r="L83" s="485"/>
      <c r="M83" s="485"/>
      <c r="N83" s="485"/>
      <c r="O83" s="485"/>
      <c r="P83" s="1036" t="e">
        <f t="shared" si="81"/>
        <v>#REF!</v>
      </c>
      <c r="Q83" s="982" t="e">
        <f t="shared" si="82"/>
        <v>#REF!</v>
      </c>
      <c r="R83" s="983" t="e">
        <f t="shared" si="83"/>
        <v>#REF!</v>
      </c>
      <c r="S83" s="1039"/>
      <c r="T83" s="993"/>
      <c r="U83" s="993"/>
      <c r="V83" s="993"/>
      <c r="W83" s="993"/>
      <c r="X83" s="993"/>
      <c r="Y83" s="993"/>
      <c r="Z83" s="993"/>
      <c r="AA83" s="993"/>
      <c r="AB83" s="993"/>
      <c r="AC83" s="264"/>
      <c r="AD83" s="264"/>
      <c r="AE83" s="264"/>
      <c r="AF83" s="264"/>
      <c r="AG83" s="264"/>
      <c r="AH83" s="264"/>
      <c r="AI83" s="999"/>
      <c r="AJ83" s="999"/>
      <c r="AK83" s="999"/>
      <c r="AL83" s="1000"/>
      <c r="AM83" s="1000"/>
      <c r="AN83" s="1000"/>
      <c r="AO83" s="1001"/>
      <c r="AP83" s="1001"/>
      <c r="AQ83" s="1001"/>
    </row>
    <row r="84" spans="1:43" ht="49.5" customHeight="1" x14ac:dyDescent="0.4">
      <c r="A84" s="4867"/>
      <c r="B84" s="5399"/>
      <c r="C84" s="5400"/>
      <c r="D84" s="987" t="s">
        <v>938</v>
      </c>
      <c r="E84" s="993" t="e">
        <f t="shared" ref="E84:K84" si="87">+E242</f>
        <v>#REF!</v>
      </c>
      <c r="F84" s="993" t="e">
        <f t="shared" si="87"/>
        <v>#REF!</v>
      </c>
      <c r="G84" s="993" t="e">
        <f t="shared" si="87"/>
        <v>#REF!</v>
      </c>
      <c r="H84" s="993" t="e">
        <f t="shared" si="87"/>
        <v>#REF!</v>
      </c>
      <c r="I84" s="993" t="e">
        <f t="shared" si="87"/>
        <v>#REF!</v>
      </c>
      <c r="J84" s="993" t="e">
        <f t="shared" si="87"/>
        <v>#REF!</v>
      </c>
      <c r="K84" s="993" t="e">
        <f t="shared" si="87"/>
        <v>#REF!</v>
      </c>
      <c r="L84" s="485"/>
      <c r="M84" s="485"/>
      <c r="N84" s="485"/>
      <c r="O84" s="485"/>
      <c r="P84" s="1036" t="e">
        <f t="shared" si="81"/>
        <v>#REF!</v>
      </c>
      <c r="Q84" s="982" t="e">
        <f t="shared" si="82"/>
        <v>#REF!</v>
      </c>
      <c r="R84" s="983" t="e">
        <f t="shared" si="83"/>
        <v>#REF!</v>
      </c>
      <c r="S84" s="1039"/>
      <c r="T84" s="993"/>
      <c r="U84" s="993"/>
      <c r="V84" s="993"/>
      <c r="W84" s="993"/>
      <c r="X84" s="993"/>
      <c r="Y84" s="993"/>
      <c r="Z84" s="993"/>
      <c r="AA84" s="993"/>
      <c r="AB84" s="993"/>
      <c r="AC84" s="264"/>
      <c r="AD84" s="264"/>
      <c r="AE84" s="264"/>
      <c r="AF84" s="264"/>
      <c r="AG84" s="264"/>
      <c r="AH84" s="264"/>
      <c r="AI84" s="999"/>
      <c r="AJ84" s="999"/>
      <c r="AK84" s="999"/>
      <c r="AL84" s="1000"/>
      <c r="AM84" s="1000"/>
      <c r="AN84" s="1000"/>
      <c r="AO84" s="1001"/>
      <c r="AP84" s="1001"/>
      <c r="AQ84" s="1001"/>
    </row>
    <row r="85" spans="1:43" ht="49.5" customHeight="1" x14ac:dyDescent="0.4">
      <c r="A85" s="4867"/>
      <c r="B85" s="892">
        <v>6000</v>
      </c>
      <c r="C85" s="845" t="s">
        <v>66</v>
      </c>
      <c r="D85" s="1021" t="s">
        <v>934</v>
      </c>
      <c r="E85" s="993" t="e">
        <f t="shared" ref="E85:K85" si="88">+E243</f>
        <v>#REF!</v>
      </c>
      <c r="F85" s="993" t="e">
        <f t="shared" si="88"/>
        <v>#REF!</v>
      </c>
      <c r="G85" s="993" t="e">
        <f t="shared" si="88"/>
        <v>#REF!</v>
      </c>
      <c r="H85" s="993" t="e">
        <f t="shared" si="88"/>
        <v>#REF!</v>
      </c>
      <c r="I85" s="993" t="e">
        <f t="shared" si="88"/>
        <v>#REF!</v>
      </c>
      <c r="J85" s="993" t="e">
        <f t="shared" si="88"/>
        <v>#REF!</v>
      </c>
      <c r="K85" s="993" t="e">
        <f t="shared" si="88"/>
        <v>#REF!</v>
      </c>
      <c r="L85" s="485"/>
      <c r="M85" s="485"/>
      <c r="N85" s="485"/>
      <c r="O85" s="485"/>
      <c r="P85" s="1036" t="e">
        <f t="shared" si="81"/>
        <v>#REF!</v>
      </c>
      <c r="Q85" s="982" t="e">
        <f t="shared" si="82"/>
        <v>#REF!</v>
      </c>
      <c r="R85" s="983" t="e">
        <f t="shared" si="83"/>
        <v>#REF!</v>
      </c>
      <c r="S85" s="1039"/>
      <c r="T85" s="993"/>
      <c r="U85" s="993"/>
      <c r="V85" s="993"/>
      <c r="W85" s="993"/>
      <c r="X85" s="993"/>
      <c r="Y85" s="993"/>
      <c r="Z85" s="993"/>
      <c r="AA85" s="993"/>
      <c r="AB85" s="993"/>
      <c r="AC85" s="264"/>
      <c r="AD85" s="264"/>
      <c r="AE85" s="264"/>
      <c r="AF85" s="264"/>
      <c r="AG85" s="264"/>
      <c r="AH85" s="264"/>
      <c r="AI85" s="999"/>
      <c r="AJ85" s="999"/>
      <c r="AK85" s="999"/>
      <c r="AL85" s="1000"/>
      <c r="AM85" s="1000"/>
      <c r="AN85" s="1000"/>
      <c r="AO85" s="1001"/>
      <c r="AP85" s="1001"/>
      <c r="AQ85" s="1001"/>
    </row>
    <row r="86" spans="1:43" ht="49.5" customHeight="1" x14ac:dyDescent="0.2">
      <c r="A86" s="1040"/>
      <c r="B86" s="5581" t="s">
        <v>403</v>
      </c>
      <c r="C86" s="5581"/>
      <c r="D86" s="5582"/>
      <c r="E86" s="1003" t="e">
        <f t="shared" ref="E86:N86" si="89">SUM(E75:E85)</f>
        <v>#REF!</v>
      </c>
      <c r="F86" s="1003" t="e">
        <f t="shared" si="89"/>
        <v>#REF!</v>
      </c>
      <c r="G86" s="1003" t="e">
        <f t="shared" si="89"/>
        <v>#REF!</v>
      </c>
      <c r="H86" s="1003" t="e">
        <f t="shared" si="89"/>
        <v>#REF!</v>
      </c>
      <c r="I86" s="1003" t="e">
        <f t="shared" si="89"/>
        <v>#REF!</v>
      </c>
      <c r="J86" s="1003" t="e">
        <f t="shared" si="89"/>
        <v>#REF!</v>
      </c>
      <c r="K86" s="1003" t="e">
        <f t="shared" si="89"/>
        <v>#REF!</v>
      </c>
      <c r="L86" s="1003" t="e">
        <f t="shared" si="89"/>
        <v>#REF!</v>
      </c>
      <c r="M86" s="1003" t="e">
        <f t="shared" si="89"/>
        <v>#REF!</v>
      </c>
      <c r="N86" s="1003" t="e">
        <f t="shared" si="89"/>
        <v>#REF!</v>
      </c>
      <c r="O86" s="1041"/>
      <c r="P86" s="1005" t="e">
        <f>SUM(P75:P85)</f>
        <v>#REF!</v>
      </c>
      <c r="Q86" s="1005" t="e">
        <f>SUM(Q75:Q85)</f>
        <v>#REF!</v>
      </c>
      <c r="R86" s="1006" t="e">
        <f>SUM(R75:R85)</f>
        <v>#REF!</v>
      </c>
      <c r="S86" s="1042" t="e">
        <f>SUM(P86:R86)</f>
        <v>#REF!</v>
      </c>
      <c r="T86" s="1003" t="e">
        <f t="shared" ref="T86:AQ86" si="90">SUM(T75:T85)</f>
        <v>#REF!</v>
      </c>
      <c r="U86" s="1003" t="e">
        <f t="shared" si="90"/>
        <v>#REF!</v>
      </c>
      <c r="V86" s="1003" t="e">
        <f t="shared" si="90"/>
        <v>#REF!</v>
      </c>
      <c r="W86" s="1003" t="e">
        <f t="shared" si="90"/>
        <v>#REF!</v>
      </c>
      <c r="X86" s="1003" t="e">
        <f t="shared" si="90"/>
        <v>#REF!</v>
      </c>
      <c r="Y86" s="1003" t="e">
        <f t="shared" si="90"/>
        <v>#REF!</v>
      </c>
      <c r="Z86" s="1003" t="e">
        <f t="shared" si="90"/>
        <v>#REF!</v>
      </c>
      <c r="AA86" s="1003" t="e">
        <f t="shared" si="90"/>
        <v>#REF!</v>
      </c>
      <c r="AB86" s="1003" t="e">
        <f t="shared" si="90"/>
        <v>#REF!</v>
      </c>
      <c r="AC86" s="1003">
        <f t="shared" si="90"/>
        <v>0</v>
      </c>
      <c r="AD86" s="1003">
        <f t="shared" si="90"/>
        <v>0</v>
      </c>
      <c r="AE86" s="1003">
        <f t="shared" si="90"/>
        <v>0</v>
      </c>
      <c r="AF86" s="1003" t="e">
        <f t="shared" si="90"/>
        <v>#REF!</v>
      </c>
      <c r="AG86" s="1003" t="e">
        <f t="shared" si="90"/>
        <v>#REF!</v>
      </c>
      <c r="AH86" s="1003" t="e">
        <f t="shared" si="90"/>
        <v>#REF!</v>
      </c>
      <c r="AI86" s="1003" t="e">
        <f t="shared" si="90"/>
        <v>#REF!</v>
      </c>
      <c r="AJ86" s="1003" t="e">
        <f t="shared" si="90"/>
        <v>#REF!</v>
      </c>
      <c r="AK86" s="1003" t="e">
        <f t="shared" si="90"/>
        <v>#REF!</v>
      </c>
      <c r="AL86" s="1003" t="e">
        <f t="shared" si="90"/>
        <v>#REF!</v>
      </c>
      <c r="AM86" s="1003" t="e">
        <f t="shared" si="90"/>
        <v>#REF!</v>
      </c>
      <c r="AN86" s="1003" t="e">
        <f t="shared" si="90"/>
        <v>#REF!</v>
      </c>
      <c r="AO86" s="1003" t="e">
        <f t="shared" si="90"/>
        <v>#REF!</v>
      </c>
      <c r="AP86" s="1003" t="e">
        <f t="shared" si="90"/>
        <v>#REF!</v>
      </c>
      <c r="AQ86" s="1003" t="e">
        <f t="shared" si="90"/>
        <v>#REF!</v>
      </c>
    </row>
    <row r="87" spans="1:43" ht="49.5" customHeight="1" x14ac:dyDescent="0.2">
      <c r="A87" s="5389"/>
      <c r="B87" s="5390"/>
      <c r="C87" s="5390"/>
      <c r="D87" s="5390"/>
      <c r="E87" s="5390"/>
      <c r="F87" s="5390"/>
      <c r="G87" s="5390"/>
      <c r="H87" s="5390"/>
      <c r="I87" s="5390"/>
      <c r="J87" s="5390"/>
      <c r="K87" s="5390"/>
      <c r="L87" s="5390"/>
      <c r="M87" s="5390"/>
      <c r="N87" s="5390"/>
      <c r="O87" s="5390"/>
      <c r="P87" s="5390"/>
      <c r="Q87" s="5390"/>
      <c r="R87" s="5391"/>
      <c r="U87" s="971"/>
      <c r="V87" s="971"/>
    </row>
    <row r="88" spans="1:43" ht="49.5" customHeight="1" x14ac:dyDescent="0.2">
      <c r="A88" s="5389"/>
      <c r="B88" s="5390"/>
      <c r="C88" s="5390"/>
      <c r="D88" s="5390"/>
      <c r="E88" s="5390"/>
      <c r="F88" s="5390"/>
      <c r="G88" s="5390"/>
      <c r="H88" s="5390"/>
      <c r="I88" s="5390"/>
      <c r="J88" s="5390"/>
      <c r="K88" s="5390"/>
      <c r="L88" s="5390"/>
      <c r="M88" s="5390"/>
      <c r="N88" s="5390"/>
      <c r="O88" s="5390"/>
      <c r="P88" s="5390"/>
      <c r="Q88" s="5390"/>
      <c r="R88" s="5391"/>
      <c r="U88" s="971"/>
      <c r="V88" s="971"/>
    </row>
    <row r="89" spans="1:43" s="606" customFormat="1" ht="49.5" customHeight="1" x14ac:dyDescent="0.2">
      <c r="A89" s="5389"/>
      <c r="B89" s="5390"/>
      <c r="C89" s="5390"/>
      <c r="D89" s="5411"/>
      <c r="E89" s="5409" t="s">
        <v>101</v>
      </c>
      <c r="F89" s="5382" t="s">
        <v>304</v>
      </c>
      <c r="G89" s="5382"/>
      <c r="H89" s="5382"/>
      <c r="I89" s="5382" t="s">
        <v>368</v>
      </c>
      <c r="J89" s="5382"/>
      <c r="K89" s="5382"/>
      <c r="L89" s="5366" t="s">
        <v>851</v>
      </c>
      <c r="M89" s="5367"/>
      <c r="N89" s="5368"/>
      <c r="O89" s="395"/>
      <c r="P89" s="5313" t="s">
        <v>377</v>
      </c>
      <c r="Q89" s="5313"/>
      <c r="R89" s="5383"/>
      <c r="T89" s="5373" t="s">
        <v>304</v>
      </c>
      <c r="U89" s="5374"/>
      <c r="V89" s="5375"/>
      <c r="W89" s="5373" t="s">
        <v>368</v>
      </c>
      <c r="X89" s="5374"/>
      <c r="Y89" s="5375"/>
      <c r="Z89" s="5376" t="s">
        <v>850</v>
      </c>
      <c r="AA89" s="5376"/>
      <c r="AB89" s="5376"/>
      <c r="AC89" s="5366" t="s">
        <v>851</v>
      </c>
      <c r="AD89" s="5367"/>
      <c r="AE89" s="5368"/>
      <c r="AF89" s="5366" t="s">
        <v>852</v>
      </c>
      <c r="AG89" s="5367"/>
      <c r="AH89" s="5368"/>
      <c r="AI89" s="5366" t="s">
        <v>853</v>
      </c>
      <c r="AJ89" s="5367"/>
      <c r="AK89" s="5368"/>
      <c r="AL89" s="5366" t="s">
        <v>377</v>
      </c>
      <c r="AM89" s="5367"/>
      <c r="AN89" s="5368"/>
      <c r="AO89" s="5366" t="s">
        <v>241</v>
      </c>
      <c r="AP89" s="5367"/>
      <c r="AQ89" s="5368"/>
    </row>
    <row r="90" spans="1:43" s="606" customFormat="1" ht="49.5" customHeight="1" x14ac:dyDescent="0.2">
      <c r="A90" s="5412"/>
      <c r="B90" s="5413"/>
      <c r="C90" s="5413"/>
      <c r="D90" s="5414"/>
      <c r="E90" s="5410"/>
      <c r="F90" s="1028" t="s">
        <v>287</v>
      </c>
      <c r="G90" s="1028" t="s">
        <v>289</v>
      </c>
      <c r="H90" s="1028" t="s">
        <v>288</v>
      </c>
      <c r="I90" s="1028" t="s">
        <v>287</v>
      </c>
      <c r="J90" s="1028" t="s">
        <v>289</v>
      </c>
      <c r="K90" s="1028" t="s">
        <v>288</v>
      </c>
      <c r="L90" s="261" t="s">
        <v>287</v>
      </c>
      <c r="M90" s="261" t="s">
        <v>289</v>
      </c>
      <c r="N90" s="262" t="s">
        <v>288</v>
      </c>
      <c r="O90" s="399" t="s">
        <v>905</v>
      </c>
      <c r="P90" s="979" t="s">
        <v>287</v>
      </c>
      <c r="Q90" s="979" t="s">
        <v>289</v>
      </c>
      <c r="R90" s="980" t="s">
        <v>288</v>
      </c>
      <c r="T90" s="261" t="s">
        <v>287</v>
      </c>
      <c r="U90" s="261" t="s">
        <v>289</v>
      </c>
      <c r="V90" s="262" t="s">
        <v>288</v>
      </c>
      <c r="W90" s="261" t="s">
        <v>287</v>
      </c>
      <c r="X90" s="261" t="s">
        <v>289</v>
      </c>
      <c r="Y90" s="262" t="s">
        <v>288</v>
      </c>
      <c r="Z90" s="261" t="s">
        <v>287</v>
      </c>
      <c r="AA90" s="261" t="s">
        <v>289</v>
      </c>
      <c r="AB90" s="262" t="s">
        <v>288</v>
      </c>
      <c r="AC90" s="261" t="s">
        <v>287</v>
      </c>
      <c r="AD90" s="261" t="s">
        <v>289</v>
      </c>
      <c r="AE90" s="261" t="s">
        <v>288</v>
      </c>
      <c r="AF90" s="261" t="s">
        <v>287</v>
      </c>
      <c r="AG90" s="261" t="s">
        <v>289</v>
      </c>
      <c r="AH90" s="261" t="s">
        <v>288</v>
      </c>
      <c r="AI90" s="261" t="s">
        <v>287</v>
      </c>
      <c r="AJ90" s="261" t="s">
        <v>289</v>
      </c>
      <c r="AK90" s="261" t="s">
        <v>288</v>
      </c>
      <c r="AL90" s="261" t="s">
        <v>287</v>
      </c>
      <c r="AM90" s="261" t="s">
        <v>289</v>
      </c>
      <c r="AN90" s="261" t="s">
        <v>288</v>
      </c>
      <c r="AO90" s="261" t="s">
        <v>287</v>
      </c>
      <c r="AP90" s="261" t="s">
        <v>289</v>
      </c>
      <c r="AQ90" s="261" t="s">
        <v>288</v>
      </c>
    </row>
    <row r="91" spans="1:43" s="606" customFormat="1" ht="49.5" customHeight="1" x14ac:dyDescent="0.2">
      <c r="A91" s="5392" t="s">
        <v>404</v>
      </c>
      <c r="B91" s="886">
        <v>5000</v>
      </c>
      <c r="C91" s="4861" t="s">
        <v>42</v>
      </c>
      <c r="D91" s="4872"/>
      <c r="E91" s="998" t="e">
        <f>+E15+E27+E43+E59+E75</f>
        <v>#REF!</v>
      </c>
      <c r="F91" s="998" t="e">
        <f t="shared" ref="F91:N91" ca="1" si="91">+F15+F27+F43+F59+F75</f>
        <v>#REF!</v>
      </c>
      <c r="G91" s="998" t="e">
        <f t="shared" ca="1" si="91"/>
        <v>#REF!</v>
      </c>
      <c r="H91" s="998" t="e">
        <f t="shared" ca="1" si="91"/>
        <v>#REF!</v>
      </c>
      <c r="I91" s="998" t="e">
        <f t="shared" ca="1" si="91"/>
        <v>#REF!</v>
      </c>
      <c r="J91" s="998" t="e">
        <f t="shared" ca="1" si="91"/>
        <v>#REF!</v>
      </c>
      <c r="K91" s="998" t="e">
        <f t="shared" ca="1" si="91"/>
        <v>#REF!</v>
      </c>
      <c r="L91" s="998">
        <f t="shared" si="91"/>
        <v>0</v>
      </c>
      <c r="M91" s="998">
        <f t="shared" si="91"/>
        <v>0</v>
      </c>
      <c r="N91" s="998">
        <f t="shared" si="91"/>
        <v>0</v>
      </c>
      <c r="O91" s="1043"/>
      <c r="P91" s="982" t="e">
        <f ca="1">+F91+I91</f>
        <v>#REF!</v>
      </c>
      <c r="Q91" s="982" t="e">
        <f ca="1">+G91+J91</f>
        <v>#REF!</v>
      </c>
      <c r="R91" s="983" t="e">
        <f ca="1">+H91+K91</f>
        <v>#REF!</v>
      </c>
      <c r="T91" s="994"/>
      <c r="U91" s="994"/>
      <c r="V91" s="994"/>
      <c r="W91" s="994"/>
      <c r="X91" s="994"/>
      <c r="Y91" s="994"/>
      <c r="Z91" s="9"/>
      <c r="AA91" s="9"/>
      <c r="AB91" s="9"/>
      <c r="AC91" s="997"/>
      <c r="AD91" s="997"/>
      <c r="AE91" s="997"/>
      <c r="AF91" s="263"/>
      <c r="AG91" s="263"/>
      <c r="AH91" s="263"/>
      <c r="AI91" s="998"/>
      <c r="AJ91" s="998"/>
      <c r="AK91" s="998"/>
      <c r="AL91" s="998"/>
      <c r="AM91" s="998"/>
      <c r="AN91" s="998"/>
      <c r="AO91" s="43"/>
      <c r="AP91" s="33"/>
      <c r="AQ91" s="33"/>
    </row>
    <row r="92" spans="1:43" s="606" customFormat="1" ht="49.5" hidden="1" customHeight="1" x14ac:dyDescent="0.2">
      <c r="A92" s="5393"/>
      <c r="B92" s="889">
        <v>5020</v>
      </c>
      <c r="C92" s="845" t="s">
        <v>43</v>
      </c>
      <c r="D92" s="1038" t="s">
        <v>44</v>
      </c>
      <c r="E92" s="998" t="e">
        <f>+E16+E28+E44+E60+E76</f>
        <v>#REF!</v>
      </c>
      <c r="F92" s="998" t="e">
        <f t="shared" ref="F92:N92" si="92">+F16+F28+F44+F60+F76</f>
        <v>#REF!</v>
      </c>
      <c r="G92" s="998" t="e">
        <f t="shared" si="92"/>
        <v>#REF!</v>
      </c>
      <c r="H92" s="998" t="e">
        <f t="shared" si="92"/>
        <v>#REF!</v>
      </c>
      <c r="I92" s="998" t="e">
        <f t="shared" ca="1" si="92"/>
        <v>#REF!</v>
      </c>
      <c r="J92" s="998" t="e">
        <f t="shared" ca="1" si="92"/>
        <v>#REF!</v>
      </c>
      <c r="K92" s="998" t="e">
        <f t="shared" ca="1" si="92"/>
        <v>#REF!</v>
      </c>
      <c r="L92" s="998">
        <f t="shared" si="92"/>
        <v>0</v>
      </c>
      <c r="M92" s="998">
        <f t="shared" si="92"/>
        <v>0</v>
      </c>
      <c r="N92" s="998">
        <f t="shared" si="92"/>
        <v>0</v>
      </c>
      <c r="O92" s="263"/>
      <c r="P92" s="982" t="e">
        <f t="shared" ref="P92:P101" ca="1" si="93">+F92+I92</f>
        <v>#REF!</v>
      </c>
      <c r="Q92" s="982" t="e">
        <f t="shared" ref="Q92:Q101" ca="1" si="94">+G92+J92</f>
        <v>#REF!</v>
      </c>
      <c r="R92" s="983" t="e">
        <f t="shared" ref="R92:R101" ca="1" si="95">+H92+K92</f>
        <v>#REF!</v>
      </c>
      <c r="T92" s="994"/>
      <c r="U92" s="994"/>
      <c r="V92" s="994"/>
      <c r="W92" s="994"/>
      <c r="X92" s="994"/>
      <c r="Y92" s="994"/>
      <c r="Z92" s="9"/>
      <c r="AA92" s="9"/>
      <c r="AB92" s="9"/>
      <c r="AC92" s="997"/>
      <c r="AD92" s="997"/>
      <c r="AE92" s="997"/>
      <c r="AF92" s="263"/>
      <c r="AG92" s="263"/>
      <c r="AH92" s="263"/>
      <c r="AI92" s="998"/>
      <c r="AJ92" s="998"/>
      <c r="AK92" s="998"/>
      <c r="AL92" s="998"/>
      <c r="AM92" s="998"/>
      <c r="AN92" s="998"/>
      <c r="AO92" s="43"/>
      <c r="AP92" s="33"/>
      <c r="AQ92" s="33"/>
    </row>
    <row r="93" spans="1:43" s="606" customFormat="1" ht="49.5" customHeight="1" x14ac:dyDescent="0.2">
      <c r="A93" s="5393"/>
      <c r="B93" s="5395" t="s">
        <v>220</v>
      </c>
      <c r="C93" s="5396"/>
      <c r="D93" s="985" t="s">
        <v>46</v>
      </c>
      <c r="E93" s="998" t="e">
        <f>+E17+E29+E45+E61+E77</f>
        <v>#REF!</v>
      </c>
      <c r="F93" s="998" t="e">
        <f t="shared" ref="F93:N93" si="96">+F17+F29+F45+F61+F77</f>
        <v>#REF!</v>
      </c>
      <c r="G93" s="998" t="e">
        <f t="shared" si="96"/>
        <v>#REF!</v>
      </c>
      <c r="H93" s="998" t="e">
        <f t="shared" si="96"/>
        <v>#REF!</v>
      </c>
      <c r="I93" s="998" t="e">
        <f t="shared" ca="1" si="96"/>
        <v>#REF!</v>
      </c>
      <c r="J93" s="998" t="e">
        <f t="shared" ca="1" si="96"/>
        <v>#REF!</v>
      </c>
      <c r="K93" s="998" t="e">
        <f t="shared" ca="1" si="96"/>
        <v>#REF!</v>
      </c>
      <c r="L93" s="998" t="e">
        <f t="shared" si="96"/>
        <v>#REF!</v>
      </c>
      <c r="M93" s="998" t="e">
        <f t="shared" si="96"/>
        <v>#REF!</v>
      </c>
      <c r="N93" s="998" t="e">
        <f t="shared" si="96"/>
        <v>#REF!</v>
      </c>
      <c r="O93" s="393" t="e">
        <f>+(L93+M93+N93)/E93</f>
        <v>#REF!</v>
      </c>
      <c r="P93" s="982" t="e">
        <f t="shared" ca="1" si="93"/>
        <v>#REF!</v>
      </c>
      <c r="Q93" s="982" t="e">
        <f t="shared" ca="1" si="94"/>
        <v>#REF!</v>
      </c>
      <c r="R93" s="983" t="e">
        <f t="shared" ca="1" si="95"/>
        <v>#REF!</v>
      </c>
      <c r="T93" s="994"/>
      <c r="U93" s="994"/>
      <c r="V93" s="994"/>
      <c r="W93" s="994"/>
      <c r="X93" s="994"/>
      <c r="Y93" s="994"/>
      <c r="Z93" s="9"/>
      <c r="AA93" s="9"/>
      <c r="AB93" s="9"/>
      <c r="AC93" s="997"/>
      <c r="AD93" s="997"/>
      <c r="AE93" s="997"/>
      <c r="AF93" s="263"/>
      <c r="AG93" s="263"/>
      <c r="AH93" s="263"/>
      <c r="AI93" s="998"/>
      <c r="AJ93" s="998"/>
      <c r="AK93" s="998"/>
      <c r="AL93" s="998"/>
      <c r="AM93" s="998"/>
      <c r="AN93" s="998"/>
      <c r="AO93" s="43"/>
      <c r="AP93" s="33"/>
      <c r="AQ93" s="33"/>
    </row>
    <row r="94" spans="1:43" s="606" customFormat="1" ht="49.5" customHeight="1" x14ac:dyDescent="0.4">
      <c r="A94" s="5393"/>
      <c r="B94" s="5397"/>
      <c r="C94" s="5398"/>
      <c r="D94" s="985" t="s">
        <v>47</v>
      </c>
      <c r="E94" s="998" t="e">
        <f>+E18+E30+E46+E62+E78</f>
        <v>#REF!</v>
      </c>
      <c r="F94" s="998" t="e">
        <f t="shared" ref="F94:N94" si="97">+F18+F30+F46+F62+F78</f>
        <v>#REF!</v>
      </c>
      <c r="G94" s="998" t="e">
        <f t="shared" si="97"/>
        <v>#REF!</v>
      </c>
      <c r="H94" s="998" t="e">
        <f t="shared" si="97"/>
        <v>#REF!</v>
      </c>
      <c r="I94" s="998" t="e">
        <f t="shared" ca="1" si="97"/>
        <v>#REF!</v>
      </c>
      <c r="J94" s="998" t="e">
        <f t="shared" ca="1" si="97"/>
        <v>#REF!</v>
      </c>
      <c r="K94" s="998" t="e">
        <f t="shared" ca="1" si="97"/>
        <v>#REF!</v>
      </c>
      <c r="L94" s="998" t="e">
        <f t="shared" si="97"/>
        <v>#REF!</v>
      </c>
      <c r="M94" s="998" t="e">
        <f t="shared" si="97"/>
        <v>#REF!</v>
      </c>
      <c r="N94" s="998" t="e">
        <f t="shared" si="97"/>
        <v>#REF!</v>
      </c>
      <c r="O94" s="393" t="e">
        <f>+(L94+M94+N94)/E94</f>
        <v>#REF!</v>
      </c>
      <c r="P94" s="982" t="e">
        <f t="shared" ca="1" si="93"/>
        <v>#REF!</v>
      </c>
      <c r="Q94" s="982" t="e">
        <f t="shared" ca="1" si="94"/>
        <v>#REF!</v>
      </c>
      <c r="R94" s="983" t="e">
        <f t="shared" ca="1" si="95"/>
        <v>#REF!</v>
      </c>
      <c r="T94" s="993" t="e">
        <f t="shared" ref="T94:V95" si="98">+F94-L94</f>
        <v>#REF!</v>
      </c>
      <c r="U94" s="993" t="e">
        <f t="shared" si="98"/>
        <v>#REF!</v>
      </c>
      <c r="V94" s="993" t="e">
        <f t="shared" si="98"/>
        <v>#REF!</v>
      </c>
      <c r="W94" s="993" t="e">
        <f ca="1">+IF( I94=0,0,(T94/F94)*I94)</f>
        <v>#REF!</v>
      </c>
      <c r="X94" s="993" t="e">
        <f ca="1">+IF(J94=0,0,(U94/G94)*J94)</f>
        <v>#REF!</v>
      </c>
      <c r="Y94" s="993" t="e">
        <f ca="1">+IF(K94=0,0,(V94/H94)*K94)</f>
        <v>#REF!</v>
      </c>
      <c r="Z94" s="993" t="e">
        <f t="shared" ref="Z94:AB95" ca="1" si="99">+T94+W94</f>
        <v>#REF!</v>
      </c>
      <c r="AA94" s="993" t="e">
        <f t="shared" ca="1" si="99"/>
        <v>#REF!</v>
      </c>
      <c r="AB94" s="993" t="e">
        <f t="shared" ca="1" si="99"/>
        <v>#REF!</v>
      </c>
      <c r="AC94" s="264" t="e">
        <f t="shared" ref="AC94:AE95" si="100">+L94</f>
        <v>#REF!</v>
      </c>
      <c r="AD94" s="264" t="e">
        <f t="shared" si="100"/>
        <v>#REF!</v>
      </c>
      <c r="AE94" s="264" t="e">
        <f t="shared" si="100"/>
        <v>#REF!</v>
      </c>
      <c r="AF94" s="264" t="e">
        <f t="shared" ref="AF94:AH95" ca="1" si="101">+I94-W94</f>
        <v>#REF!</v>
      </c>
      <c r="AG94" s="264" t="e">
        <f t="shared" ca="1" si="101"/>
        <v>#REF!</v>
      </c>
      <c r="AH94" s="264" t="e">
        <f t="shared" ca="1" si="101"/>
        <v>#REF!</v>
      </c>
      <c r="AI94" s="999" t="e">
        <f t="shared" ref="AI94:AK95" ca="1" si="102">+AC94+AF94</f>
        <v>#REF!</v>
      </c>
      <c r="AJ94" s="999" t="e">
        <f t="shared" ca="1" si="102"/>
        <v>#REF!</v>
      </c>
      <c r="AK94" s="999" t="e">
        <f t="shared" ca="1" si="102"/>
        <v>#REF!</v>
      </c>
      <c r="AL94" s="1000" t="e">
        <f t="shared" ref="AL94:AN95" ca="1" si="103">+T94+W94+AC94+AF94</f>
        <v>#REF!</v>
      </c>
      <c r="AM94" s="1000" t="e">
        <f t="shared" ca="1" si="103"/>
        <v>#REF!</v>
      </c>
      <c r="AN94" s="1000" t="e">
        <f t="shared" ca="1" si="103"/>
        <v>#REF!</v>
      </c>
      <c r="AO94" s="1001" t="e">
        <f t="shared" ref="AO94:AQ95" ca="1" si="104">+P94-AL94</f>
        <v>#REF!</v>
      </c>
      <c r="AP94" s="1001" t="e">
        <f t="shared" ca="1" si="104"/>
        <v>#REF!</v>
      </c>
      <c r="AQ94" s="1001" t="e">
        <f t="shared" ca="1" si="104"/>
        <v>#REF!</v>
      </c>
    </row>
    <row r="95" spans="1:43" s="606" customFormat="1" ht="49.5" customHeight="1" x14ac:dyDescent="0.4">
      <c r="A95" s="5393"/>
      <c r="B95" s="5397"/>
      <c r="C95" s="5398"/>
      <c r="D95" s="985" t="s">
        <v>935</v>
      </c>
      <c r="E95" s="998" t="e">
        <f>+E31+E47+E63+E79</f>
        <v>#REF!</v>
      </c>
      <c r="F95" s="998" t="e">
        <f t="shared" ref="F95:N95" si="105">+F31+F47+F63+F79</f>
        <v>#REF!</v>
      </c>
      <c r="G95" s="998" t="e">
        <f t="shared" si="105"/>
        <v>#REF!</v>
      </c>
      <c r="H95" s="998" t="e">
        <f t="shared" si="105"/>
        <v>#REF!</v>
      </c>
      <c r="I95" s="998" t="e">
        <f t="shared" ca="1" si="105"/>
        <v>#REF!</v>
      </c>
      <c r="J95" s="998" t="e">
        <f t="shared" ca="1" si="105"/>
        <v>#REF!</v>
      </c>
      <c r="K95" s="998" t="e">
        <f t="shared" ca="1" si="105"/>
        <v>#REF!</v>
      </c>
      <c r="L95" s="998">
        <f t="shared" si="105"/>
        <v>0</v>
      </c>
      <c r="M95" s="998">
        <f t="shared" si="105"/>
        <v>0</v>
      </c>
      <c r="N95" s="998">
        <f t="shared" si="105"/>
        <v>0</v>
      </c>
      <c r="O95" s="484"/>
      <c r="P95" s="982" t="e">
        <f t="shared" ca="1" si="93"/>
        <v>#REF!</v>
      </c>
      <c r="Q95" s="982" t="e">
        <f t="shared" ca="1" si="94"/>
        <v>#REF!</v>
      </c>
      <c r="R95" s="983" t="e">
        <f t="shared" ca="1" si="95"/>
        <v>#REF!</v>
      </c>
      <c r="T95" s="993" t="e">
        <f t="shared" si="98"/>
        <v>#REF!</v>
      </c>
      <c r="U95" s="993" t="e">
        <f t="shared" si="98"/>
        <v>#REF!</v>
      </c>
      <c r="V95" s="993" t="e">
        <f t="shared" si="98"/>
        <v>#REF!</v>
      </c>
      <c r="W95" s="993" t="e">
        <f ca="1">+IF( I95=0,0,(T95/F95)*I95)</f>
        <v>#REF!</v>
      </c>
      <c r="X95" s="993" t="e">
        <f ca="1">+IF(J95=0,0,(U95/G95)*J95)</f>
        <v>#REF!</v>
      </c>
      <c r="Y95" s="993" t="e">
        <f ca="1">+IF(K95=0,0,(V95/H95)*K95)</f>
        <v>#REF!</v>
      </c>
      <c r="Z95" s="993" t="e">
        <f t="shared" ca="1" si="99"/>
        <v>#REF!</v>
      </c>
      <c r="AA95" s="993" t="e">
        <f t="shared" ca="1" si="99"/>
        <v>#REF!</v>
      </c>
      <c r="AB95" s="993" t="e">
        <f t="shared" ca="1" si="99"/>
        <v>#REF!</v>
      </c>
      <c r="AC95" s="264">
        <f t="shared" si="100"/>
        <v>0</v>
      </c>
      <c r="AD95" s="264">
        <f t="shared" si="100"/>
        <v>0</v>
      </c>
      <c r="AE95" s="264">
        <f t="shared" si="100"/>
        <v>0</v>
      </c>
      <c r="AF95" s="264" t="e">
        <f t="shared" ca="1" si="101"/>
        <v>#REF!</v>
      </c>
      <c r="AG95" s="264" t="e">
        <f t="shared" ca="1" si="101"/>
        <v>#REF!</v>
      </c>
      <c r="AH95" s="264" t="e">
        <f t="shared" ca="1" si="101"/>
        <v>#REF!</v>
      </c>
      <c r="AI95" s="999" t="e">
        <f t="shared" ca="1" si="102"/>
        <v>#REF!</v>
      </c>
      <c r="AJ95" s="999" t="e">
        <f t="shared" ca="1" si="102"/>
        <v>#REF!</v>
      </c>
      <c r="AK95" s="999" t="e">
        <f t="shared" ca="1" si="102"/>
        <v>#REF!</v>
      </c>
      <c r="AL95" s="1000" t="e">
        <f t="shared" ca="1" si="103"/>
        <v>#REF!</v>
      </c>
      <c r="AM95" s="1000" t="e">
        <f t="shared" ca="1" si="103"/>
        <v>#REF!</v>
      </c>
      <c r="AN95" s="1000" t="e">
        <f t="shared" ca="1" si="103"/>
        <v>#REF!</v>
      </c>
      <c r="AO95" s="1001" t="e">
        <f t="shared" ca="1" si="104"/>
        <v>#REF!</v>
      </c>
      <c r="AP95" s="1001" t="e">
        <f t="shared" ca="1" si="104"/>
        <v>#REF!</v>
      </c>
      <c r="AQ95" s="1001" t="e">
        <f t="shared" ca="1" si="104"/>
        <v>#REF!</v>
      </c>
    </row>
    <row r="96" spans="1:43" s="606" customFormat="1" ht="49.5" customHeight="1" x14ac:dyDescent="0.4">
      <c r="A96" s="5393"/>
      <c r="B96" s="5397"/>
      <c r="C96" s="5398"/>
      <c r="D96" s="985" t="s">
        <v>936</v>
      </c>
      <c r="E96" s="998" t="e">
        <f>+E32+E48+E64+E80</f>
        <v>#REF!</v>
      </c>
      <c r="F96" s="998" t="e">
        <f t="shared" ref="F96:N96" si="106">+F32+F48+F64+F80</f>
        <v>#REF!</v>
      </c>
      <c r="G96" s="998" t="e">
        <f t="shared" si="106"/>
        <v>#REF!</v>
      </c>
      <c r="H96" s="998" t="e">
        <f t="shared" si="106"/>
        <v>#REF!</v>
      </c>
      <c r="I96" s="998" t="e">
        <f t="shared" ca="1" si="106"/>
        <v>#REF!</v>
      </c>
      <c r="J96" s="998" t="e">
        <f t="shared" ca="1" si="106"/>
        <v>#REF!</v>
      </c>
      <c r="K96" s="998" t="e">
        <f t="shared" ca="1" si="106"/>
        <v>#REF!</v>
      </c>
      <c r="L96" s="998" t="e">
        <f t="shared" si="106"/>
        <v>#REF!</v>
      </c>
      <c r="M96" s="998" t="e">
        <f t="shared" si="106"/>
        <v>#REF!</v>
      </c>
      <c r="N96" s="998" t="e">
        <f t="shared" si="106"/>
        <v>#REF!</v>
      </c>
      <c r="O96" s="484"/>
      <c r="P96" s="982" t="e">
        <f t="shared" ca="1" si="93"/>
        <v>#REF!</v>
      </c>
      <c r="Q96" s="982" t="e">
        <f t="shared" ca="1" si="94"/>
        <v>#REF!</v>
      </c>
      <c r="R96" s="983" t="e">
        <f t="shared" ca="1" si="95"/>
        <v>#REF!</v>
      </c>
      <c r="T96" s="993"/>
      <c r="U96" s="993"/>
      <c r="V96" s="993"/>
      <c r="W96" s="993"/>
      <c r="X96" s="993"/>
      <c r="Y96" s="993"/>
      <c r="Z96" s="993"/>
      <c r="AA96" s="993"/>
      <c r="AB96" s="993"/>
      <c r="AC96" s="264"/>
      <c r="AD96" s="264"/>
      <c r="AE96" s="264"/>
      <c r="AF96" s="264"/>
      <c r="AG96" s="264"/>
      <c r="AH96" s="264"/>
      <c r="AI96" s="999"/>
      <c r="AJ96" s="999"/>
      <c r="AK96" s="999"/>
      <c r="AL96" s="1000"/>
      <c r="AM96" s="1000"/>
      <c r="AN96" s="1000"/>
      <c r="AO96" s="1001"/>
      <c r="AP96" s="1001"/>
      <c r="AQ96" s="1001"/>
    </row>
    <row r="97" spans="1:68" s="606" customFormat="1" ht="49.5" customHeight="1" x14ac:dyDescent="0.4">
      <c r="A97" s="5393"/>
      <c r="B97" s="5397"/>
      <c r="C97" s="5398"/>
      <c r="D97" s="987" t="s">
        <v>169</v>
      </c>
      <c r="E97" s="998" t="e">
        <f>+E19+E33+E49+E65+E81</f>
        <v>#REF!</v>
      </c>
      <c r="F97" s="998" t="e">
        <f t="shared" ref="F97:N97" si="107">+F19+F33+F49+F65+F81</f>
        <v>#REF!</v>
      </c>
      <c r="G97" s="998" t="e">
        <f t="shared" si="107"/>
        <v>#REF!</v>
      </c>
      <c r="H97" s="998" t="e">
        <f t="shared" si="107"/>
        <v>#REF!</v>
      </c>
      <c r="I97" s="998" t="e">
        <f t="shared" ca="1" si="107"/>
        <v>#REF!</v>
      </c>
      <c r="J97" s="998" t="e">
        <f t="shared" ca="1" si="107"/>
        <v>#REF!</v>
      </c>
      <c r="K97" s="998" t="e">
        <f t="shared" ca="1" si="107"/>
        <v>#REF!</v>
      </c>
      <c r="L97" s="998">
        <f t="shared" si="107"/>
        <v>0</v>
      </c>
      <c r="M97" s="998">
        <f t="shared" si="107"/>
        <v>0</v>
      </c>
      <c r="N97" s="998">
        <f t="shared" si="107"/>
        <v>0</v>
      </c>
      <c r="O97" s="484"/>
      <c r="P97" s="982" t="e">
        <f t="shared" ca="1" si="93"/>
        <v>#REF!</v>
      </c>
      <c r="Q97" s="982" t="e">
        <f t="shared" ca="1" si="94"/>
        <v>#REF!</v>
      </c>
      <c r="R97" s="983" t="e">
        <f t="shared" ca="1" si="95"/>
        <v>#REF!</v>
      </c>
      <c r="T97" s="993"/>
      <c r="U97" s="993"/>
      <c r="V97" s="993"/>
      <c r="W97" s="993"/>
      <c r="X97" s="993"/>
      <c r="Y97" s="993"/>
      <c r="Z97" s="993"/>
      <c r="AA97" s="993"/>
      <c r="AB97" s="993"/>
      <c r="AC97" s="264"/>
      <c r="AD97" s="264"/>
      <c r="AE97" s="264"/>
      <c r="AF97" s="264"/>
      <c r="AG97" s="264"/>
      <c r="AH97" s="264"/>
      <c r="AI97" s="999"/>
      <c r="AJ97" s="999"/>
      <c r="AK97" s="999"/>
      <c r="AL97" s="1000"/>
      <c r="AM97" s="1000"/>
      <c r="AN97" s="1000"/>
      <c r="AO97" s="1001"/>
      <c r="AP97" s="1001"/>
      <c r="AQ97" s="1001"/>
    </row>
    <row r="98" spans="1:68" s="606" customFormat="1" ht="49.5" customHeight="1" x14ac:dyDescent="0.4">
      <c r="A98" s="5393"/>
      <c r="B98" s="5397"/>
      <c r="C98" s="5398"/>
      <c r="D98" s="987" t="s">
        <v>49</v>
      </c>
      <c r="E98" s="998" t="e">
        <f>+E20+E34+E50+E66+E82</f>
        <v>#REF!</v>
      </c>
      <c r="F98" s="998" t="e">
        <f t="shared" ref="F98:N98" si="108">+F20+F34+F50+F66+F82</f>
        <v>#REF!</v>
      </c>
      <c r="G98" s="998" t="e">
        <f t="shared" si="108"/>
        <v>#REF!</v>
      </c>
      <c r="H98" s="998" t="e">
        <f t="shared" si="108"/>
        <v>#REF!</v>
      </c>
      <c r="I98" s="998" t="e">
        <f t="shared" ca="1" si="108"/>
        <v>#REF!</v>
      </c>
      <c r="J98" s="998" t="e">
        <f t="shared" ca="1" si="108"/>
        <v>#REF!</v>
      </c>
      <c r="K98" s="998" t="e">
        <f t="shared" ca="1" si="108"/>
        <v>#REF!</v>
      </c>
      <c r="L98" s="998">
        <f t="shared" si="108"/>
        <v>0</v>
      </c>
      <c r="M98" s="998">
        <f t="shared" si="108"/>
        <v>0</v>
      </c>
      <c r="N98" s="998">
        <f t="shared" si="108"/>
        <v>0</v>
      </c>
      <c r="O98" s="393"/>
      <c r="P98" s="982" t="e">
        <f t="shared" ca="1" si="93"/>
        <v>#REF!</v>
      </c>
      <c r="Q98" s="982" t="e">
        <f t="shared" ca="1" si="94"/>
        <v>#REF!</v>
      </c>
      <c r="R98" s="983" t="e">
        <f t="shared" ca="1" si="95"/>
        <v>#REF!</v>
      </c>
      <c r="T98" s="993"/>
      <c r="U98" s="993"/>
      <c r="V98" s="993"/>
      <c r="W98" s="993"/>
      <c r="X98" s="993"/>
      <c r="Y98" s="993"/>
      <c r="Z98" s="993"/>
      <c r="AA98" s="993"/>
      <c r="AB98" s="993"/>
      <c r="AC98" s="264"/>
      <c r="AD98" s="264"/>
      <c r="AE98" s="264"/>
      <c r="AF98" s="264"/>
      <c r="AG98" s="264"/>
      <c r="AH98" s="264"/>
      <c r="AI98" s="999"/>
      <c r="AJ98" s="999"/>
      <c r="AK98" s="999"/>
      <c r="AL98" s="1000"/>
      <c r="AM98" s="1000"/>
      <c r="AN98" s="1000"/>
      <c r="AO98" s="1001"/>
      <c r="AP98" s="1001"/>
      <c r="AQ98" s="1001"/>
    </row>
    <row r="99" spans="1:68" s="606" customFormat="1" ht="49.5" customHeight="1" x14ac:dyDescent="0.4">
      <c r="A99" s="5393"/>
      <c r="B99" s="5397"/>
      <c r="C99" s="5398"/>
      <c r="D99" s="987" t="s">
        <v>937</v>
      </c>
      <c r="E99" s="998" t="e">
        <f>+E35+E51+E67+E83</f>
        <v>#REF!</v>
      </c>
      <c r="F99" s="998" t="e">
        <f t="shared" ref="F99:N99" si="109">+F35+F51+F67+F83</f>
        <v>#REF!</v>
      </c>
      <c r="G99" s="998" t="e">
        <f t="shared" si="109"/>
        <v>#REF!</v>
      </c>
      <c r="H99" s="998" t="e">
        <f t="shared" si="109"/>
        <v>#REF!</v>
      </c>
      <c r="I99" s="998" t="e">
        <f t="shared" ca="1" si="109"/>
        <v>#REF!</v>
      </c>
      <c r="J99" s="998" t="e">
        <f t="shared" ca="1" si="109"/>
        <v>#REF!</v>
      </c>
      <c r="K99" s="998" t="e">
        <f t="shared" ca="1" si="109"/>
        <v>#REF!</v>
      </c>
      <c r="L99" s="998">
        <f t="shared" si="109"/>
        <v>0</v>
      </c>
      <c r="M99" s="998">
        <f t="shared" si="109"/>
        <v>0</v>
      </c>
      <c r="N99" s="998">
        <f t="shared" si="109"/>
        <v>0</v>
      </c>
      <c r="O99" s="393"/>
      <c r="P99" s="982" t="e">
        <f t="shared" ca="1" si="93"/>
        <v>#REF!</v>
      </c>
      <c r="Q99" s="982" t="e">
        <f t="shared" ca="1" si="94"/>
        <v>#REF!</v>
      </c>
      <c r="R99" s="983" t="e">
        <f t="shared" ca="1" si="95"/>
        <v>#REF!</v>
      </c>
      <c r="T99" s="993"/>
      <c r="U99" s="993"/>
      <c r="V99" s="993"/>
      <c r="W99" s="993"/>
      <c r="X99" s="993"/>
      <c r="Y99" s="993"/>
      <c r="Z99" s="993"/>
      <c r="AA99" s="993"/>
      <c r="AB99" s="993"/>
      <c r="AC99" s="264"/>
      <c r="AD99" s="264"/>
      <c r="AE99" s="264"/>
      <c r="AF99" s="264"/>
      <c r="AG99" s="264"/>
      <c r="AH99" s="264"/>
      <c r="AI99" s="999"/>
      <c r="AJ99" s="999"/>
      <c r="AK99" s="999"/>
      <c r="AL99" s="1000"/>
      <c r="AM99" s="1000"/>
      <c r="AN99" s="1000"/>
      <c r="AO99" s="1001"/>
      <c r="AP99" s="1001"/>
      <c r="AQ99" s="1001"/>
    </row>
    <row r="100" spans="1:68" s="606" customFormat="1" ht="49.5" customHeight="1" x14ac:dyDescent="0.4">
      <c r="A100" s="5393"/>
      <c r="B100" s="5399"/>
      <c r="C100" s="5400"/>
      <c r="D100" s="987" t="s">
        <v>938</v>
      </c>
      <c r="E100" s="998" t="e">
        <f>+E36+E52+E68+E84</f>
        <v>#REF!</v>
      </c>
      <c r="F100" s="998" t="e">
        <f t="shared" ref="F100:N100" si="110">+F36+F52+F68+F84</f>
        <v>#REF!</v>
      </c>
      <c r="G100" s="998" t="e">
        <f t="shared" si="110"/>
        <v>#REF!</v>
      </c>
      <c r="H100" s="998" t="e">
        <f t="shared" si="110"/>
        <v>#REF!</v>
      </c>
      <c r="I100" s="998" t="e">
        <f t="shared" ca="1" si="110"/>
        <v>#REF!</v>
      </c>
      <c r="J100" s="998" t="e">
        <f t="shared" ca="1" si="110"/>
        <v>#REF!</v>
      </c>
      <c r="K100" s="998" t="e">
        <f t="shared" ca="1" si="110"/>
        <v>#REF!</v>
      </c>
      <c r="L100" s="998">
        <f t="shared" si="110"/>
        <v>0</v>
      </c>
      <c r="M100" s="998">
        <f t="shared" si="110"/>
        <v>0</v>
      </c>
      <c r="N100" s="998">
        <f t="shared" si="110"/>
        <v>0</v>
      </c>
      <c r="O100" s="393"/>
      <c r="P100" s="982" t="e">
        <f t="shared" ca="1" si="93"/>
        <v>#REF!</v>
      </c>
      <c r="Q100" s="982" t="e">
        <f t="shared" ca="1" si="94"/>
        <v>#REF!</v>
      </c>
      <c r="R100" s="983" t="e">
        <f t="shared" ca="1" si="95"/>
        <v>#REF!</v>
      </c>
      <c r="T100" s="993"/>
      <c r="U100" s="993"/>
      <c r="V100" s="993"/>
      <c r="W100" s="993"/>
      <c r="X100" s="993"/>
      <c r="Y100" s="993"/>
      <c r="Z100" s="993"/>
      <c r="AA100" s="993"/>
      <c r="AB100" s="993"/>
      <c r="AC100" s="264"/>
      <c r="AD100" s="264"/>
      <c r="AE100" s="264"/>
      <c r="AF100" s="264"/>
      <c r="AG100" s="264"/>
      <c r="AH100" s="264"/>
      <c r="AI100" s="999"/>
      <c r="AJ100" s="999"/>
      <c r="AK100" s="999"/>
      <c r="AL100" s="1000"/>
      <c r="AM100" s="1000"/>
      <c r="AN100" s="1000"/>
      <c r="AO100" s="1001"/>
      <c r="AP100" s="1001"/>
      <c r="AQ100" s="1001"/>
    </row>
    <row r="101" spans="1:68" s="606" customFormat="1" ht="49.5" customHeight="1" x14ac:dyDescent="0.4">
      <c r="A101" s="5394"/>
      <c r="B101" s="892">
        <v>6000</v>
      </c>
      <c r="C101" s="845" t="s">
        <v>66</v>
      </c>
      <c r="D101" s="1021" t="s">
        <v>934</v>
      </c>
      <c r="E101" s="998" t="e">
        <f>+E37+E53+E69+E85+E21</f>
        <v>#REF!</v>
      </c>
      <c r="F101" s="998" t="e">
        <f t="shared" ref="F101:N101" si="111">+F37+F53+F69+F85+F21</f>
        <v>#REF!</v>
      </c>
      <c r="G101" s="998" t="e">
        <f t="shared" si="111"/>
        <v>#REF!</v>
      </c>
      <c r="H101" s="998" t="e">
        <f t="shared" si="111"/>
        <v>#REF!</v>
      </c>
      <c r="I101" s="998" t="e">
        <f t="shared" ca="1" si="111"/>
        <v>#REF!</v>
      </c>
      <c r="J101" s="998" t="e">
        <f t="shared" ca="1" si="111"/>
        <v>#REF!</v>
      </c>
      <c r="K101" s="998" t="e">
        <f t="shared" ca="1" si="111"/>
        <v>#REF!</v>
      </c>
      <c r="L101" s="998">
        <f t="shared" si="111"/>
        <v>0</v>
      </c>
      <c r="M101" s="998">
        <f t="shared" si="111"/>
        <v>0</v>
      </c>
      <c r="N101" s="998">
        <f t="shared" si="111"/>
        <v>0</v>
      </c>
      <c r="O101" s="393"/>
      <c r="P101" s="982" t="e">
        <f t="shared" ca="1" si="93"/>
        <v>#REF!</v>
      </c>
      <c r="Q101" s="982" t="e">
        <f t="shared" ca="1" si="94"/>
        <v>#REF!</v>
      </c>
      <c r="R101" s="983" t="e">
        <f t="shared" ca="1" si="95"/>
        <v>#REF!</v>
      </c>
      <c r="T101" s="993"/>
      <c r="U101" s="993"/>
      <c r="V101" s="993"/>
      <c r="W101" s="993"/>
      <c r="X101" s="993"/>
      <c r="Y101" s="993"/>
      <c r="Z101" s="993"/>
      <c r="AA101" s="993"/>
      <c r="AB101" s="993"/>
      <c r="AC101" s="264"/>
      <c r="AD101" s="264"/>
      <c r="AE101" s="264"/>
      <c r="AF101" s="264"/>
      <c r="AG101" s="264"/>
      <c r="AH101" s="264"/>
      <c r="AI101" s="999"/>
      <c r="AJ101" s="999"/>
      <c r="AK101" s="999"/>
      <c r="AL101" s="1000"/>
      <c r="AM101" s="1000"/>
      <c r="AN101" s="1000"/>
      <c r="AO101" s="1001"/>
      <c r="AP101" s="1001"/>
      <c r="AQ101" s="1001"/>
    </row>
    <row r="102" spans="1:68" s="606" customFormat="1" ht="24" customHeight="1" thickBot="1" x14ac:dyDescent="0.4">
      <c r="A102" s="5401" t="s">
        <v>409</v>
      </c>
      <c r="B102" s="5402"/>
      <c r="C102" s="5402"/>
      <c r="D102" s="5402"/>
      <c r="E102" s="1003" t="e">
        <f t="shared" ref="E102:N102" si="112">SUM(E91:E101)</f>
        <v>#REF!</v>
      </c>
      <c r="F102" s="1003" t="e">
        <f t="shared" ca="1" si="112"/>
        <v>#REF!</v>
      </c>
      <c r="G102" s="1003" t="e">
        <f t="shared" ca="1" si="112"/>
        <v>#REF!</v>
      </c>
      <c r="H102" s="1003" t="e">
        <f t="shared" ca="1" si="112"/>
        <v>#REF!</v>
      </c>
      <c r="I102" s="1003" t="e">
        <f t="shared" ca="1" si="112"/>
        <v>#REF!</v>
      </c>
      <c r="J102" s="1003" t="e">
        <f t="shared" ca="1" si="112"/>
        <v>#REF!</v>
      </c>
      <c r="K102" s="1003" t="e">
        <f t="shared" ca="1" si="112"/>
        <v>#REF!</v>
      </c>
      <c r="L102" s="1003" t="e">
        <f t="shared" si="112"/>
        <v>#REF!</v>
      </c>
      <c r="M102" s="1003" t="e">
        <f t="shared" si="112"/>
        <v>#REF!</v>
      </c>
      <c r="N102" s="1003" t="e">
        <f t="shared" si="112"/>
        <v>#REF!</v>
      </c>
      <c r="O102" s="1004"/>
      <c r="P102" s="1005" t="e">
        <f ca="1">SUM(P91:P101)</f>
        <v>#REF!</v>
      </c>
      <c r="Q102" s="1005" t="e">
        <f ca="1">SUM(Q91:Q101)</f>
        <v>#REF!</v>
      </c>
      <c r="R102" s="1006" t="e">
        <f ca="1">SUM(R91:R101)</f>
        <v>#REF!</v>
      </c>
      <c r="S102" s="1044" t="e">
        <f ca="1">SUM(P102:R102)</f>
        <v>#REF!</v>
      </c>
      <c r="T102" s="1003" t="e">
        <f t="shared" ref="T102:AN102" si="113">SUM(T91:T95)</f>
        <v>#REF!</v>
      </c>
      <c r="U102" s="1003" t="e">
        <f t="shared" si="113"/>
        <v>#REF!</v>
      </c>
      <c r="V102" s="1003" t="e">
        <f t="shared" si="113"/>
        <v>#REF!</v>
      </c>
      <c r="W102" s="1003" t="e">
        <f t="shared" ca="1" si="113"/>
        <v>#REF!</v>
      </c>
      <c r="X102" s="1003" t="e">
        <f t="shared" ca="1" si="113"/>
        <v>#REF!</v>
      </c>
      <c r="Y102" s="1003" t="e">
        <f t="shared" ca="1" si="113"/>
        <v>#REF!</v>
      </c>
      <c r="Z102" s="1003" t="e">
        <f t="shared" ca="1" si="113"/>
        <v>#REF!</v>
      </c>
      <c r="AA102" s="1003" t="e">
        <f t="shared" ca="1" si="113"/>
        <v>#REF!</v>
      </c>
      <c r="AB102" s="1003" t="e">
        <f t="shared" ca="1" si="113"/>
        <v>#REF!</v>
      </c>
      <c r="AC102" s="1003" t="e">
        <f t="shared" si="113"/>
        <v>#REF!</v>
      </c>
      <c r="AD102" s="1003" t="e">
        <f t="shared" si="113"/>
        <v>#REF!</v>
      </c>
      <c r="AE102" s="1003" t="e">
        <f t="shared" si="113"/>
        <v>#REF!</v>
      </c>
      <c r="AF102" s="1003" t="e">
        <f t="shared" ca="1" si="113"/>
        <v>#REF!</v>
      </c>
      <c r="AG102" s="1003" t="e">
        <f t="shared" ca="1" si="113"/>
        <v>#REF!</v>
      </c>
      <c r="AH102" s="1003" t="e">
        <f t="shared" ca="1" si="113"/>
        <v>#REF!</v>
      </c>
      <c r="AI102" s="1003" t="e">
        <f t="shared" ca="1" si="113"/>
        <v>#REF!</v>
      </c>
      <c r="AJ102" s="1003" t="e">
        <f t="shared" ca="1" si="113"/>
        <v>#REF!</v>
      </c>
      <c r="AK102" s="1003" t="e">
        <f t="shared" ca="1" si="113"/>
        <v>#REF!</v>
      </c>
      <c r="AL102" s="1003" t="e">
        <f t="shared" ca="1" si="113"/>
        <v>#REF!</v>
      </c>
      <c r="AM102" s="1003" t="e">
        <f t="shared" ca="1" si="113"/>
        <v>#REF!</v>
      </c>
      <c r="AN102" s="1003" t="e">
        <f t="shared" ca="1" si="113"/>
        <v>#REF!</v>
      </c>
      <c r="AO102" s="33"/>
      <c r="AP102" s="33"/>
      <c r="AQ102" s="33"/>
      <c r="BP102" s="1027" t="e">
        <f ca="1">SUM(P102:R102)</f>
        <v>#REF!</v>
      </c>
    </row>
    <row r="103" spans="1:68" s="606" customFormat="1" ht="24" customHeight="1" x14ac:dyDescent="0.35">
      <c r="A103" s="5415" t="s">
        <v>409</v>
      </c>
      <c r="B103" s="5416"/>
      <c r="C103" s="5416"/>
      <c r="D103" s="5416"/>
      <c r="E103" s="5416"/>
      <c r="F103" s="5486" t="s">
        <v>377</v>
      </c>
      <c r="G103" s="5487"/>
      <c r="H103" s="5488"/>
      <c r="I103" s="1045"/>
      <c r="O103" s="1046"/>
      <c r="P103" s="1047"/>
      <c r="Q103" s="1047"/>
      <c r="R103" s="1048"/>
      <c r="U103" s="1049"/>
      <c r="V103" s="1049"/>
    </row>
    <row r="104" spans="1:68" s="606" customFormat="1" ht="24" customHeight="1" x14ac:dyDescent="0.35">
      <c r="A104" s="5417"/>
      <c r="B104" s="5418"/>
      <c r="C104" s="5418"/>
      <c r="D104" s="5418"/>
      <c r="E104" s="5418"/>
      <c r="F104" s="1050" t="s">
        <v>287</v>
      </c>
      <c r="G104" s="261" t="s">
        <v>289</v>
      </c>
      <c r="H104" s="265" t="s">
        <v>288</v>
      </c>
      <c r="I104" s="1045"/>
      <c r="O104" s="1046"/>
      <c r="P104" s="1047"/>
      <c r="Q104" s="1047"/>
      <c r="R104" s="1048"/>
      <c r="U104" s="1049"/>
      <c r="V104" s="1049"/>
    </row>
    <row r="105" spans="1:68" s="606" customFormat="1" ht="24" customHeight="1" thickBot="1" x14ac:dyDescent="0.45">
      <c r="A105" s="5417"/>
      <c r="B105" s="5418"/>
      <c r="C105" s="5418"/>
      <c r="D105" s="5418"/>
      <c r="E105" s="5418"/>
      <c r="F105" s="1051" t="e">
        <f ca="1">+F102+I102</f>
        <v>#REF!</v>
      </c>
      <c r="G105" s="1052" t="e">
        <f ca="1">+G102+J102</f>
        <v>#REF!</v>
      </c>
      <c r="H105" s="1053" t="e">
        <f ca="1">+H102+K102</f>
        <v>#REF!</v>
      </c>
      <c r="I105" s="1054" t="e">
        <f ca="1">SUM(F105:H105)</f>
        <v>#REF!</v>
      </c>
      <c r="J105" s="1055"/>
      <c r="K105" s="1055"/>
      <c r="L105" s="1055"/>
      <c r="M105" s="1055"/>
      <c r="N105" s="1055"/>
      <c r="O105" s="1055"/>
      <c r="P105" s="1047"/>
      <c r="Q105" s="1047"/>
      <c r="R105" s="1048"/>
      <c r="U105" s="1049"/>
      <c r="V105" s="1049"/>
    </row>
    <row r="106" spans="1:68" ht="24" customHeight="1" thickBot="1" x14ac:dyDescent="0.25">
      <c r="A106" s="5568"/>
      <c r="B106" s="5569"/>
      <c r="C106" s="5569"/>
      <c r="D106" s="5569"/>
      <c r="E106" s="5569"/>
      <c r="F106" s="5569"/>
      <c r="G106" s="5569"/>
      <c r="H106" s="5569"/>
      <c r="I106" s="5569"/>
      <c r="J106" s="5569"/>
      <c r="K106" s="5569"/>
      <c r="L106" s="5569"/>
      <c r="M106" s="5569"/>
      <c r="N106" s="5569"/>
      <c r="O106" s="5569"/>
      <c r="P106" s="5569"/>
      <c r="Q106" s="5569"/>
      <c r="R106" s="5570"/>
      <c r="U106" s="971"/>
      <c r="V106" s="971"/>
    </row>
    <row r="107" spans="1:68" ht="24" customHeight="1" x14ac:dyDescent="0.2">
      <c r="A107" s="5403" t="s">
        <v>939</v>
      </c>
      <c r="B107" s="5404"/>
      <c r="C107" s="5404"/>
      <c r="D107" s="5404"/>
      <c r="E107" s="5484" t="s">
        <v>101</v>
      </c>
      <c r="F107" s="5447" t="s">
        <v>304</v>
      </c>
      <c r="G107" s="5382"/>
      <c r="H107" s="5382"/>
      <c r="I107" s="5382" t="s">
        <v>368</v>
      </c>
      <c r="J107" s="5382"/>
      <c r="K107" s="5382"/>
      <c r="L107" s="1028"/>
      <c r="M107" s="1028"/>
      <c r="N107" s="1028"/>
      <c r="O107" s="1056"/>
      <c r="P107" s="5313" t="s">
        <v>377</v>
      </c>
      <c r="Q107" s="5313"/>
      <c r="R107" s="5383"/>
      <c r="U107" s="971"/>
      <c r="V107" s="971"/>
    </row>
    <row r="108" spans="1:68" s="606" customFormat="1" ht="24" customHeight="1" x14ac:dyDescent="0.2">
      <c r="A108" s="5405"/>
      <c r="B108" s="5406"/>
      <c r="C108" s="5406"/>
      <c r="D108" s="5406"/>
      <c r="E108" s="5485"/>
      <c r="F108" s="1057" t="s">
        <v>287</v>
      </c>
      <c r="G108" s="1028" t="s">
        <v>289</v>
      </c>
      <c r="H108" s="1028" t="s">
        <v>288</v>
      </c>
      <c r="I108" s="1028" t="s">
        <v>287</v>
      </c>
      <c r="J108" s="1028" t="s">
        <v>289</v>
      </c>
      <c r="K108" s="1028" t="s">
        <v>288</v>
      </c>
      <c r="L108" s="1028"/>
      <c r="M108" s="1028"/>
      <c r="N108" s="1028"/>
      <c r="O108" s="1056"/>
      <c r="P108" s="979" t="s">
        <v>287</v>
      </c>
      <c r="Q108" s="979" t="s">
        <v>289</v>
      </c>
      <c r="R108" s="980" t="s">
        <v>288</v>
      </c>
      <c r="U108" s="1049"/>
      <c r="V108" s="1049"/>
    </row>
    <row r="109" spans="1:68" s="606" customFormat="1" ht="24" customHeight="1" thickBot="1" x14ac:dyDescent="0.4">
      <c r="A109" s="5405"/>
      <c r="B109" s="5406"/>
      <c r="C109" s="5406"/>
      <c r="D109" s="5406"/>
      <c r="E109" s="1058">
        <f>+E244</f>
        <v>0</v>
      </c>
      <c r="F109" s="1058">
        <f t="shared" ref="F109:K109" si="114">+F244</f>
        <v>0</v>
      </c>
      <c r="G109" s="1058">
        <f t="shared" si="114"/>
        <v>0</v>
      </c>
      <c r="H109" s="1058">
        <f t="shared" si="114"/>
        <v>0</v>
      </c>
      <c r="I109" s="1058">
        <f t="shared" ca="1" si="114"/>
        <v>0</v>
      </c>
      <c r="J109" s="1058">
        <f t="shared" ca="1" si="114"/>
        <v>0</v>
      </c>
      <c r="K109" s="1058">
        <f t="shared" ca="1" si="114"/>
        <v>0</v>
      </c>
      <c r="L109" s="1059"/>
      <c r="M109" s="1059"/>
      <c r="N109" s="1059"/>
      <c r="O109" s="1060"/>
      <c r="P109" s="1005">
        <f ca="1">+F109+I109</f>
        <v>0</v>
      </c>
      <c r="Q109" s="1005">
        <f ca="1">+G109+J109</f>
        <v>0</v>
      </c>
      <c r="R109" s="1006">
        <f ca="1">+H109+K109</f>
        <v>0</v>
      </c>
      <c r="S109" s="1044">
        <f ca="1">SUM(P109:R109)</f>
        <v>0</v>
      </c>
      <c r="U109" s="1049"/>
      <c r="V109" s="1049"/>
    </row>
    <row r="110" spans="1:68" s="606" customFormat="1" ht="24" customHeight="1" x14ac:dyDescent="0.25">
      <c r="A110" s="5405"/>
      <c r="B110" s="5406"/>
      <c r="C110" s="5406"/>
      <c r="D110" s="5406"/>
      <c r="E110" s="5386"/>
      <c r="F110" s="5375" t="s">
        <v>377</v>
      </c>
      <c r="G110" s="5384"/>
      <c r="H110" s="5385"/>
      <c r="I110" s="1061"/>
      <c r="J110" s="1061"/>
      <c r="K110" s="1061"/>
      <c r="L110" s="1061"/>
      <c r="M110" s="1061"/>
      <c r="N110" s="1061"/>
      <c r="O110" s="1061"/>
      <c r="P110" s="1061"/>
      <c r="Q110" s="1061"/>
      <c r="R110" s="1062"/>
      <c r="U110" s="1049"/>
      <c r="V110" s="1049"/>
    </row>
    <row r="111" spans="1:68" ht="27" customHeight="1" x14ac:dyDescent="0.25">
      <c r="A111" s="5405"/>
      <c r="B111" s="5406"/>
      <c r="C111" s="5406"/>
      <c r="D111" s="5406"/>
      <c r="E111" s="5387"/>
      <c r="F111" s="535" t="s">
        <v>287</v>
      </c>
      <c r="G111" s="261" t="s">
        <v>289</v>
      </c>
      <c r="H111" s="265" t="s">
        <v>288</v>
      </c>
      <c r="I111" s="1063"/>
      <c r="J111" s="1063"/>
      <c r="K111" s="1063"/>
      <c r="L111" s="1063"/>
      <c r="M111" s="1063"/>
      <c r="N111" s="1063"/>
      <c r="O111" s="1063"/>
      <c r="P111" s="1063"/>
      <c r="Q111" s="1063"/>
      <c r="R111" s="1064"/>
      <c r="U111" s="971"/>
      <c r="V111" s="971"/>
    </row>
    <row r="112" spans="1:68" ht="27" customHeight="1" thickBot="1" x14ac:dyDescent="0.3">
      <c r="A112" s="5407"/>
      <c r="B112" s="5408"/>
      <c r="C112" s="5408"/>
      <c r="D112" s="5408"/>
      <c r="E112" s="5388"/>
      <c r="F112" s="1065">
        <f ca="1">+F109+I109</f>
        <v>0</v>
      </c>
      <c r="G112" s="1066">
        <f ca="1">+G109+J109</f>
        <v>0</v>
      </c>
      <c r="H112" s="1066">
        <f ca="1">+H109+K109</f>
        <v>0</v>
      </c>
      <c r="I112" s="1063">
        <f ca="1">SUM(F112:H112)</f>
        <v>0</v>
      </c>
      <c r="J112" s="1063"/>
      <c r="K112" s="1063"/>
      <c r="L112" s="1063"/>
      <c r="M112" s="1063"/>
      <c r="N112" s="1063"/>
      <c r="O112" s="1063"/>
      <c r="P112" s="1063"/>
      <c r="Q112" s="1063"/>
      <c r="R112" s="1064"/>
      <c r="S112" s="25"/>
      <c r="T112" s="25"/>
      <c r="U112" s="971"/>
      <c r="V112" s="971"/>
    </row>
    <row r="113" spans="1:22" ht="27" customHeight="1" x14ac:dyDescent="0.2">
      <c r="A113" s="5478"/>
      <c r="B113" s="5479"/>
      <c r="C113" s="5479"/>
      <c r="D113" s="5479"/>
      <c r="E113" s="5479"/>
      <c r="F113" s="5479"/>
      <c r="G113" s="5479"/>
      <c r="H113" s="5479"/>
      <c r="I113" s="5479"/>
      <c r="J113" s="5479"/>
      <c r="K113" s="5479"/>
      <c r="L113" s="5479"/>
      <c r="M113" s="5479"/>
      <c r="N113" s="5479"/>
      <c r="O113" s="5479"/>
      <c r="P113" s="5479"/>
      <c r="Q113" s="5479"/>
      <c r="R113" s="5480"/>
      <c r="S113" s="25"/>
      <c r="T113" s="25"/>
      <c r="U113" s="971"/>
      <c r="V113" s="971"/>
    </row>
    <row r="114" spans="1:22" ht="27" customHeight="1" x14ac:dyDescent="0.2">
      <c r="A114" s="5478"/>
      <c r="B114" s="5479"/>
      <c r="C114" s="5479"/>
      <c r="D114" s="5479"/>
      <c r="E114" s="5479"/>
      <c r="F114" s="5479"/>
      <c r="G114" s="5479"/>
      <c r="H114" s="5479"/>
      <c r="I114" s="5479"/>
      <c r="J114" s="5479"/>
      <c r="K114" s="5479"/>
      <c r="L114" s="5479"/>
      <c r="M114" s="5479"/>
      <c r="N114" s="5479"/>
      <c r="O114" s="5479"/>
      <c r="P114" s="5479"/>
      <c r="Q114" s="5479"/>
      <c r="R114" s="5480"/>
      <c r="S114" s="25"/>
      <c r="T114" s="25"/>
      <c r="U114" s="971"/>
      <c r="V114" s="971"/>
    </row>
    <row r="115" spans="1:22" ht="27" customHeight="1" x14ac:dyDescent="0.2">
      <c r="A115" s="5504" t="s">
        <v>940</v>
      </c>
      <c r="B115" s="5505"/>
      <c r="C115" s="5505"/>
      <c r="D115" s="5505"/>
      <c r="E115" s="5506" t="s">
        <v>101</v>
      </c>
      <c r="F115" s="5447" t="s">
        <v>304</v>
      </c>
      <c r="G115" s="5382"/>
      <c r="H115" s="5382"/>
      <c r="I115" s="5382" t="s">
        <v>368</v>
      </c>
      <c r="J115" s="5382"/>
      <c r="K115" s="5382"/>
      <c r="L115" s="1028"/>
      <c r="M115" s="1028"/>
      <c r="N115" s="1028"/>
      <c r="O115" s="1056"/>
      <c r="P115" s="5313" t="s">
        <v>377</v>
      </c>
      <c r="Q115" s="5313"/>
      <c r="R115" s="5383"/>
      <c r="S115" s="25"/>
      <c r="T115" s="25"/>
      <c r="U115" s="971"/>
      <c r="V115" s="971"/>
    </row>
    <row r="116" spans="1:22" ht="27" customHeight="1" x14ac:dyDescent="0.2">
      <c r="A116" s="5504"/>
      <c r="B116" s="5505"/>
      <c r="C116" s="5505"/>
      <c r="D116" s="5505"/>
      <c r="E116" s="5506"/>
      <c r="F116" s="1057" t="s">
        <v>287</v>
      </c>
      <c r="G116" s="1028" t="s">
        <v>289</v>
      </c>
      <c r="H116" s="1028" t="s">
        <v>288</v>
      </c>
      <c r="I116" s="1028" t="s">
        <v>287</v>
      </c>
      <c r="J116" s="1028" t="s">
        <v>289</v>
      </c>
      <c r="K116" s="1028" t="s">
        <v>288</v>
      </c>
      <c r="L116" s="1028"/>
      <c r="M116" s="1028"/>
      <c r="N116" s="1028"/>
      <c r="O116" s="1056"/>
      <c r="P116" s="979" t="s">
        <v>287</v>
      </c>
      <c r="Q116" s="979" t="s">
        <v>289</v>
      </c>
      <c r="R116" s="980" t="s">
        <v>288</v>
      </c>
      <c r="S116" s="25"/>
      <c r="T116" s="25"/>
      <c r="U116" s="971"/>
      <c r="V116" s="971"/>
    </row>
    <row r="117" spans="1:22" ht="27" customHeight="1" x14ac:dyDescent="0.35">
      <c r="A117" s="5504"/>
      <c r="B117" s="5505"/>
      <c r="C117" s="5505"/>
      <c r="D117" s="5505"/>
      <c r="E117" s="1059">
        <f>+E245</f>
        <v>0</v>
      </c>
      <c r="F117" s="1059">
        <f t="shared" ref="F117:K117" si="115">+F245</f>
        <v>0</v>
      </c>
      <c r="G117" s="1059">
        <f t="shared" si="115"/>
        <v>0</v>
      </c>
      <c r="H117" s="1059">
        <f t="shared" si="115"/>
        <v>0</v>
      </c>
      <c r="I117" s="1059">
        <f t="shared" ca="1" si="115"/>
        <v>0</v>
      </c>
      <c r="J117" s="1059">
        <f t="shared" ca="1" si="115"/>
        <v>0</v>
      </c>
      <c r="K117" s="1059">
        <f t="shared" ca="1" si="115"/>
        <v>0</v>
      </c>
      <c r="L117" s="1059"/>
      <c r="M117" s="1059"/>
      <c r="N117" s="1059"/>
      <c r="O117" s="1060"/>
      <c r="P117" s="1005">
        <f ca="1">+F117+I117</f>
        <v>0</v>
      </c>
      <c r="Q117" s="1005">
        <f ca="1">+G117+J117</f>
        <v>0</v>
      </c>
      <c r="R117" s="1006">
        <f ca="1">+H117+K117</f>
        <v>0</v>
      </c>
      <c r="S117" s="1044">
        <f ca="1">SUM(P117:R117)</f>
        <v>0</v>
      </c>
      <c r="T117" s="25"/>
      <c r="U117" s="971"/>
      <c r="V117" s="971"/>
    </row>
    <row r="118" spans="1:22" ht="27" customHeight="1" x14ac:dyDescent="0.25">
      <c r="A118" s="5504"/>
      <c r="B118" s="5505"/>
      <c r="C118" s="5505"/>
      <c r="D118" s="5505"/>
      <c r="E118" s="5402"/>
      <c r="F118" s="5375" t="s">
        <v>377</v>
      </c>
      <c r="G118" s="5384"/>
      <c r="H118" s="5385"/>
      <c r="I118" s="1061"/>
      <c r="J118" s="1061"/>
      <c r="K118" s="1061"/>
      <c r="L118" s="1061"/>
      <c r="M118" s="1061"/>
      <c r="N118" s="1061"/>
      <c r="O118" s="1061"/>
      <c r="P118" s="1061"/>
      <c r="Q118" s="1061"/>
      <c r="R118" s="1062"/>
      <c r="S118" s="25"/>
      <c r="T118" s="25"/>
      <c r="U118" s="971"/>
      <c r="V118" s="971"/>
    </row>
    <row r="119" spans="1:22" ht="30" customHeight="1" x14ac:dyDescent="0.25">
      <c r="A119" s="5504"/>
      <c r="B119" s="5505"/>
      <c r="C119" s="5505"/>
      <c r="D119" s="5505"/>
      <c r="E119" s="5402"/>
      <c r="F119" s="535" t="s">
        <v>287</v>
      </c>
      <c r="G119" s="261" t="s">
        <v>289</v>
      </c>
      <c r="H119" s="265" t="s">
        <v>288</v>
      </c>
      <c r="I119" s="1063"/>
      <c r="J119" s="1063"/>
      <c r="K119" s="1063"/>
      <c r="L119" s="1063"/>
      <c r="M119" s="1063"/>
      <c r="N119" s="1063"/>
      <c r="O119" s="1063"/>
      <c r="P119" s="1063"/>
      <c r="Q119" s="1063"/>
      <c r="R119" s="1064"/>
      <c r="U119" s="971"/>
      <c r="V119" s="971"/>
    </row>
    <row r="120" spans="1:22" ht="30" customHeight="1" thickBot="1" x14ac:dyDescent="0.3">
      <c r="A120" s="5504"/>
      <c r="B120" s="5505"/>
      <c r="C120" s="5505"/>
      <c r="D120" s="5505"/>
      <c r="E120" s="5402"/>
      <c r="F120" s="1067">
        <f ca="1">+F117+I117</f>
        <v>0</v>
      </c>
      <c r="G120" s="1068">
        <f ca="1">+G117+J117</f>
        <v>0</v>
      </c>
      <c r="H120" s="1068">
        <f ca="1">+H117+K117</f>
        <v>0</v>
      </c>
      <c r="I120" s="1063">
        <f ca="1">SUM(F120:H120)</f>
        <v>0</v>
      </c>
      <c r="J120" s="1063"/>
      <c r="K120" s="1063"/>
      <c r="L120" s="1063"/>
      <c r="M120" s="1063"/>
      <c r="N120" s="1063"/>
      <c r="O120" s="1063"/>
      <c r="P120" s="1063"/>
      <c r="Q120" s="1063"/>
      <c r="R120" s="1064"/>
      <c r="U120" s="971"/>
      <c r="V120" s="971"/>
    </row>
    <row r="121" spans="1:22" ht="30" customHeight="1" x14ac:dyDescent="0.2">
      <c r="A121" s="5513"/>
      <c r="B121" s="5514"/>
      <c r="C121" s="5514"/>
      <c r="D121" s="5514"/>
      <c r="E121" s="5514"/>
      <c r="F121" s="5514"/>
      <c r="G121" s="5514"/>
      <c r="H121" s="5514"/>
      <c r="I121" s="5514"/>
      <c r="J121" s="5514"/>
      <c r="K121" s="5514"/>
      <c r="L121" s="5514"/>
      <c r="M121" s="5514"/>
      <c r="N121" s="5514"/>
      <c r="O121" s="5514"/>
      <c r="P121" s="5514"/>
      <c r="Q121" s="5514"/>
      <c r="R121" s="5515"/>
      <c r="U121" s="971"/>
      <c r="V121" s="971"/>
    </row>
    <row r="122" spans="1:22" ht="30" customHeight="1" thickBot="1" x14ac:dyDescent="0.25">
      <c r="A122" s="5513"/>
      <c r="B122" s="5514"/>
      <c r="C122" s="5514"/>
      <c r="D122" s="5514"/>
      <c r="E122" s="5514"/>
      <c r="F122" s="5514"/>
      <c r="G122" s="5514"/>
      <c r="H122" s="5514"/>
      <c r="I122" s="5514"/>
      <c r="J122" s="5514"/>
      <c r="K122" s="5514"/>
      <c r="L122" s="5514"/>
      <c r="M122" s="5514"/>
      <c r="N122" s="5514"/>
      <c r="O122" s="5514"/>
      <c r="P122" s="5514"/>
      <c r="Q122" s="5514"/>
      <c r="R122" s="5515"/>
      <c r="U122" s="971"/>
      <c r="V122" s="971"/>
    </row>
    <row r="123" spans="1:22" ht="30" customHeight="1" x14ac:dyDescent="0.2">
      <c r="A123" s="5516" t="s">
        <v>417</v>
      </c>
      <c r="B123" s="5517"/>
      <c r="C123" s="5517"/>
      <c r="D123" s="5518"/>
      <c r="E123" s="5484" t="s">
        <v>101</v>
      </c>
      <c r="F123" s="5447" t="s">
        <v>304</v>
      </c>
      <c r="G123" s="5382"/>
      <c r="H123" s="5382"/>
      <c r="I123" s="5382" t="s">
        <v>368</v>
      </c>
      <c r="J123" s="5382"/>
      <c r="K123" s="5382"/>
      <c r="L123" s="1028"/>
      <c r="M123" s="1028"/>
      <c r="N123" s="1028"/>
      <c r="O123" s="1056"/>
      <c r="P123" s="5313" t="s">
        <v>377</v>
      </c>
      <c r="Q123" s="5313"/>
      <c r="R123" s="5383"/>
      <c r="U123" s="971"/>
      <c r="V123" s="971"/>
    </row>
    <row r="124" spans="1:22" ht="30" customHeight="1" x14ac:dyDescent="0.2">
      <c r="A124" s="5519"/>
      <c r="B124" s="5520"/>
      <c r="C124" s="5520"/>
      <c r="D124" s="5521"/>
      <c r="E124" s="5485"/>
      <c r="F124" s="1057" t="s">
        <v>287</v>
      </c>
      <c r="G124" s="1028" t="s">
        <v>289</v>
      </c>
      <c r="H124" s="1028" t="s">
        <v>288</v>
      </c>
      <c r="I124" s="1028" t="s">
        <v>287</v>
      </c>
      <c r="J124" s="1028" t="s">
        <v>289</v>
      </c>
      <c r="K124" s="1028" t="s">
        <v>288</v>
      </c>
      <c r="L124" s="1028"/>
      <c r="M124" s="1028"/>
      <c r="N124" s="1028"/>
      <c r="O124" s="1056"/>
      <c r="P124" s="979" t="s">
        <v>287</v>
      </c>
      <c r="Q124" s="979" t="s">
        <v>289</v>
      </c>
      <c r="R124" s="980" t="s">
        <v>288</v>
      </c>
      <c r="U124" s="971"/>
      <c r="V124" s="971"/>
    </row>
    <row r="125" spans="1:22" ht="30" customHeight="1" x14ac:dyDescent="0.35">
      <c r="A125" s="5519"/>
      <c r="B125" s="5520"/>
      <c r="C125" s="5520"/>
      <c r="D125" s="5521"/>
      <c r="E125" s="1069" t="e">
        <f>+E246</f>
        <v>#REF!</v>
      </c>
      <c r="F125" s="1069">
        <f t="shared" ref="F125:K125" si="116">+F246</f>
        <v>0</v>
      </c>
      <c r="G125" s="1069">
        <f t="shared" si="116"/>
        <v>0</v>
      </c>
      <c r="H125" s="1069">
        <f t="shared" si="116"/>
        <v>0</v>
      </c>
      <c r="I125" s="1069">
        <f t="shared" si="116"/>
        <v>0</v>
      </c>
      <c r="J125" s="1069">
        <f t="shared" si="116"/>
        <v>0</v>
      </c>
      <c r="K125" s="1069">
        <f t="shared" si="116"/>
        <v>0</v>
      </c>
      <c r="L125" s="1059"/>
      <c r="M125" s="1059"/>
      <c r="N125" s="1059"/>
      <c r="O125" s="1060"/>
      <c r="P125" s="1005">
        <f>+F125+I125</f>
        <v>0</v>
      </c>
      <c r="Q125" s="1005">
        <f>+G125+J125</f>
        <v>0</v>
      </c>
      <c r="R125" s="1006">
        <f>+H125+K125</f>
        <v>0</v>
      </c>
      <c r="S125" s="1044">
        <f>SUM(P125:R125)</f>
        <v>0</v>
      </c>
      <c r="U125" s="971"/>
      <c r="V125" s="971"/>
    </row>
    <row r="126" spans="1:22" ht="30" customHeight="1" x14ac:dyDescent="0.25">
      <c r="A126" s="5519"/>
      <c r="B126" s="5520"/>
      <c r="C126" s="5520"/>
      <c r="D126" s="5521"/>
      <c r="E126" s="5469"/>
      <c r="F126" s="5375" t="s">
        <v>377</v>
      </c>
      <c r="G126" s="5384"/>
      <c r="H126" s="5385"/>
      <c r="I126" s="1061"/>
      <c r="J126" s="1061"/>
      <c r="K126" s="1061"/>
      <c r="L126" s="1061"/>
      <c r="M126" s="1061"/>
      <c r="N126" s="1061"/>
      <c r="O126" s="1061"/>
      <c r="P126" s="1061"/>
      <c r="Q126" s="1061"/>
      <c r="R126" s="1062"/>
      <c r="U126" s="971"/>
      <c r="V126" s="971"/>
    </row>
    <row r="127" spans="1:22" ht="30" customHeight="1" x14ac:dyDescent="0.25">
      <c r="A127" s="5519"/>
      <c r="B127" s="5520"/>
      <c r="C127" s="5520"/>
      <c r="D127" s="5521"/>
      <c r="E127" s="5391"/>
      <c r="F127" s="535" t="s">
        <v>287</v>
      </c>
      <c r="G127" s="261" t="s">
        <v>289</v>
      </c>
      <c r="H127" s="265" t="s">
        <v>288</v>
      </c>
      <c r="I127" s="1063"/>
      <c r="J127" s="1063"/>
      <c r="K127" s="1063"/>
      <c r="L127" s="1063"/>
      <c r="M127" s="1063"/>
      <c r="N127" s="1063"/>
      <c r="O127" s="1063"/>
      <c r="P127" s="1063"/>
      <c r="Q127" s="1063"/>
      <c r="R127" s="1064"/>
      <c r="U127" s="971"/>
      <c r="V127" s="971"/>
    </row>
    <row r="128" spans="1:22" ht="30" customHeight="1" thickBot="1" x14ac:dyDescent="0.3">
      <c r="A128" s="5522"/>
      <c r="B128" s="5523"/>
      <c r="C128" s="5523"/>
      <c r="D128" s="5524"/>
      <c r="E128" s="5466"/>
      <c r="F128" s="1070">
        <f>+F125+I125</f>
        <v>0</v>
      </c>
      <c r="G128" s="1071">
        <f>+G125+J125</f>
        <v>0</v>
      </c>
      <c r="H128" s="1071">
        <f>+H125+K125</f>
        <v>0</v>
      </c>
      <c r="I128" s="1063">
        <f>SUM(F128:H128)</f>
        <v>0</v>
      </c>
      <c r="J128" s="1063"/>
      <c r="K128" s="1063"/>
      <c r="L128" s="1063"/>
      <c r="M128" s="1063"/>
      <c r="N128" s="1063"/>
      <c r="O128" s="1063"/>
      <c r="P128" s="1063"/>
      <c r="Q128" s="1063"/>
      <c r="R128" s="1064"/>
      <c r="U128" s="971"/>
      <c r="V128" s="971"/>
    </row>
    <row r="129" spans="1:68" s="606" customFormat="1" ht="30" customHeight="1" thickBot="1" x14ac:dyDescent="0.45">
      <c r="A129" s="1072"/>
      <c r="B129" s="1073"/>
      <c r="C129" s="1073"/>
      <c r="D129" s="1074"/>
      <c r="E129" s="1075"/>
      <c r="F129" s="1076"/>
      <c r="G129" s="1076"/>
      <c r="H129" s="1076"/>
      <c r="I129" s="1045"/>
      <c r="J129" s="1045"/>
      <c r="K129" s="1045"/>
      <c r="L129" s="1045"/>
      <c r="M129" s="1045"/>
      <c r="N129" s="1045"/>
      <c r="O129" s="1077"/>
      <c r="P129" s="1054"/>
      <c r="Q129" s="1054"/>
      <c r="R129" s="1078"/>
      <c r="U129" s="1049"/>
      <c r="V129" s="1049"/>
    </row>
    <row r="130" spans="1:68" s="606" customFormat="1" ht="30" customHeight="1" x14ac:dyDescent="0.2">
      <c r="A130" s="5525" t="s">
        <v>855</v>
      </c>
      <c r="B130" s="5526"/>
      <c r="C130" s="5526"/>
      <c r="D130" s="5527"/>
      <c r="E130" s="1079" t="s">
        <v>101</v>
      </c>
      <c r="F130" s="5560" t="s">
        <v>304</v>
      </c>
      <c r="G130" s="5561"/>
      <c r="H130" s="5562"/>
      <c r="I130" s="5560" t="s">
        <v>368</v>
      </c>
      <c r="J130" s="5561"/>
      <c r="K130" s="5561"/>
      <c r="L130" s="1080"/>
      <c r="M130" s="1080"/>
      <c r="N130" s="1080"/>
      <c r="O130" s="1081"/>
      <c r="P130" s="5501" t="s">
        <v>377</v>
      </c>
      <c r="Q130" s="5501"/>
      <c r="R130" s="5502"/>
      <c r="U130" s="1049"/>
      <c r="V130" s="1049"/>
    </row>
    <row r="131" spans="1:68" s="606" customFormat="1" ht="30" customHeight="1" x14ac:dyDescent="0.2">
      <c r="A131" s="5528"/>
      <c r="B131" s="5529"/>
      <c r="C131" s="5529"/>
      <c r="D131" s="5530"/>
      <c r="E131" s="1082"/>
      <c r="F131" s="1057" t="s">
        <v>287</v>
      </c>
      <c r="G131" s="1028" t="s">
        <v>289</v>
      </c>
      <c r="H131" s="1083" t="s">
        <v>288</v>
      </c>
      <c r="I131" s="1057" t="s">
        <v>287</v>
      </c>
      <c r="J131" s="1028" t="s">
        <v>289</v>
      </c>
      <c r="K131" s="1028" t="s">
        <v>288</v>
      </c>
      <c r="L131" s="1028"/>
      <c r="M131" s="1028"/>
      <c r="N131" s="1028"/>
      <c r="O131" s="1056"/>
      <c r="P131" s="979" t="s">
        <v>287</v>
      </c>
      <c r="Q131" s="979" t="s">
        <v>289</v>
      </c>
      <c r="R131" s="980" t="s">
        <v>288</v>
      </c>
      <c r="U131" s="1049"/>
      <c r="V131" s="1049"/>
    </row>
    <row r="132" spans="1:68" s="606" customFormat="1" ht="30" customHeight="1" thickBot="1" x14ac:dyDescent="0.4">
      <c r="A132" s="5528"/>
      <c r="B132" s="5529"/>
      <c r="C132" s="5529"/>
      <c r="D132" s="5530"/>
      <c r="E132" s="1084" t="e">
        <f>+E102+E109+E117+E125</f>
        <v>#REF!</v>
      </c>
      <c r="F132" s="1085" t="e">
        <f t="shared" ref="F132:R132" ca="1" si="117">+F102+F109+F117+F125</f>
        <v>#REF!</v>
      </c>
      <c r="G132" s="1085" t="e">
        <f t="shared" ca="1" si="117"/>
        <v>#REF!</v>
      </c>
      <c r="H132" s="1086" t="e">
        <f t="shared" ca="1" si="117"/>
        <v>#REF!</v>
      </c>
      <c r="I132" s="1087" t="e">
        <f t="shared" ca="1" si="117"/>
        <v>#REF!</v>
      </c>
      <c r="J132" s="1087" t="e">
        <f t="shared" ca="1" si="117"/>
        <v>#REF!</v>
      </c>
      <c r="K132" s="1087" t="e">
        <f t="shared" ca="1" si="117"/>
        <v>#REF!</v>
      </c>
      <c r="L132" s="1087"/>
      <c r="M132" s="1087"/>
      <c r="N132" s="1087"/>
      <c r="O132" s="1088"/>
      <c r="P132" s="1089" t="e">
        <f t="shared" ca="1" si="117"/>
        <v>#REF!</v>
      </c>
      <c r="Q132" s="1089" t="e">
        <f t="shared" ca="1" si="117"/>
        <v>#REF!</v>
      </c>
      <c r="R132" s="1090" t="e">
        <f t="shared" ca="1" si="117"/>
        <v>#REF!</v>
      </c>
      <c r="S132" s="1044" t="e">
        <f ca="1">SUM(P132:R132)</f>
        <v>#REF!</v>
      </c>
      <c r="U132" s="1049"/>
      <c r="V132" s="1049"/>
      <c r="BP132" s="1055" t="e">
        <f ca="1">SUM(P132:BO132)</f>
        <v>#REF!</v>
      </c>
    </row>
    <row r="133" spans="1:68" s="606" customFormat="1" ht="30" customHeight="1" x14ac:dyDescent="0.4">
      <c r="A133" s="5528"/>
      <c r="B133" s="5529"/>
      <c r="C133" s="5529"/>
      <c r="D133" s="5530"/>
      <c r="E133" s="1091"/>
      <c r="F133" s="5368" t="s">
        <v>377</v>
      </c>
      <c r="G133" s="5376"/>
      <c r="H133" s="5503"/>
      <c r="I133" s="1092"/>
      <c r="J133" s="1092"/>
      <c r="K133" s="1092"/>
      <c r="L133" s="1092"/>
      <c r="M133" s="1092"/>
      <c r="N133" s="1092"/>
      <c r="O133" s="1093"/>
      <c r="P133" s="1094"/>
      <c r="Q133" s="1094"/>
      <c r="R133" s="1095"/>
      <c r="U133" s="1049"/>
      <c r="V133" s="1049"/>
    </row>
    <row r="134" spans="1:68" s="606" customFormat="1" ht="30" customHeight="1" thickBot="1" x14ac:dyDescent="0.45">
      <c r="A134" s="5531"/>
      <c r="B134" s="5532"/>
      <c r="C134" s="5532"/>
      <c r="D134" s="5533"/>
      <c r="E134" s="1096"/>
      <c r="F134" s="1097" t="e">
        <f ca="1">+F132+I132</f>
        <v>#REF!</v>
      </c>
      <c r="G134" s="1098" t="e">
        <f ca="1">+G132+J132</f>
        <v>#REF!</v>
      </c>
      <c r="H134" s="1099" t="e">
        <f ca="1">+H132+K132</f>
        <v>#REF!</v>
      </c>
      <c r="I134" s="1100" t="e">
        <f ca="1">SUM(F134:H134)</f>
        <v>#REF!</v>
      </c>
      <c r="J134" s="1100"/>
      <c r="K134" s="1100"/>
      <c r="L134" s="1100"/>
      <c r="M134" s="1100"/>
      <c r="N134" s="1100"/>
      <c r="O134" s="1101"/>
      <c r="P134" s="1102"/>
      <c r="Q134" s="1102"/>
      <c r="R134" s="1103"/>
      <c r="U134" s="1049"/>
      <c r="V134" s="1049"/>
    </row>
    <row r="135" spans="1:68" s="606" customFormat="1" ht="30" customHeight="1" x14ac:dyDescent="0.4">
      <c r="A135" s="1104"/>
      <c r="B135" s="1105"/>
      <c r="C135" s="1105"/>
      <c r="D135" s="1106"/>
      <c r="E135" s="1091"/>
      <c r="F135" s="1107"/>
      <c r="G135" s="1107"/>
      <c r="H135" s="1107"/>
      <c r="I135" s="1063"/>
      <c r="J135" s="1063"/>
      <c r="K135" s="1063"/>
      <c r="L135" s="1063"/>
      <c r="M135" s="1063"/>
      <c r="N135" s="1063"/>
      <c r="O135" s="1108"/>
      <c r="P135" s="1102"/>
      <c r="Q135" s="1102"/>
      <c r="R135" s="1103"/>
      <c r="U135" s="1049"/>
      <c r="V135" s="1049"/>
    </row>
    <row r="136" spans="1:68" s="606" customFormat="1" ht="30" customHeight="1" thickBot="1" x14ac:dyDescent="0.45">
      <c r="A136" s="1104"/>
      <c r="B136" s="1105"/>
      <c r="C136" s="1105"/>
      <c r="D136" s="1106"/>
      <c r="E136" s="1091"/>
      <c r="F136" s="1107"/>
      <c r="G136" s="1107"/>
      <c r="H136" s="1107"/>
      <c r="I136" s="1063"/>
      <c r="J136" s="1063"/>
      <c r="K136" s="1063"/>
      <c r="L136" s="1063"/>
      <c r="M136" s="1063"/>
      <c r="N136" s="1063"/>
      <c r="O136" s="1108"/>
      <c r="P136" s="1102"/>
      <c r="Q136" s="1102"/>
      <c r="R136" s="1103"/>
      <c r="U136" s="1049"/>
      <c r="V136" s="1049"/>
    </row>
    <row r="137" spans="1:68" ht="30" customHeight="1" thickBot="1" x14ac:dyDescent="0.25">
      <c r="A137" s="5492" t="s">
        <v>941</v>
      </c>
      <c r="B137" s="5493"/>
      <c r="C137" s="5493"/>
      <c r="D137" s="5493"/>
      <c r="E137" s="5493"/>
      <c r="F137" s="5493"/>
      <c r="G137" s="5493"/>
      <c r="H137" s="5493"/>
      <c r="I137" s="5493"/>
      <c r="J137" s="5493"/>
      <c r="K137" s="5494"/>
      <c r="L137" s="1109"/>
      <c r="M137" s="1109"/>
      <c r="N137" s="1109"/>
      <c r="O137" s="1110"/>
      <c r="P137" s="1109"/>
      <c r="Q137" s="1109"/>
      <c r="R137" s="1111"/>
      <c r="U137" s="971"/>
      <c r="V137" s="971"/>
    </row>
    <row r="138" spans="1:68" ht="66" customHeight="1" x14ac:dyDescent="0.25">
      <c r="A138" s="5564" t="s">
        <v>942</v>
      </c>
      <c r="B138" s="1112" t="s">
        <v>29</v>
      </c>
      <c r="C138" s="1113" t="s">
        <v>101</v>
      </c>
      <c r="D138" s="1114" t="s">
        <v>422</v>
      </c>
      <c r="E138" s="1115"/>
      <c r="F138" s="5567" t="s">
        <v>304</v>
      </c>
      <c r="G138" s="5563"/>
      <c r="H138" s="5563"/>
      <c r="I138" s="5563" t="s">
        <v>368</v>
      </c>
      <c r="J138" s="5563"/>
      <c r="K138" s="5563"/>
      <c r="L138" s="1116"/>
      <c r="M138" s="1116"/>
      <c r="N138" s="1116"/>
      <c r="O138" s="1117"/>
      <c r="P138" s="5313" t="s">
        <v>377</v>
      </c>
      <c r="Q138" s="5313"/>
      <c r="R138" s="5383"/>
      <c r="U138" s="971"/>
      <c r="V138" s="971"/>
    </row>
    <row r="139" spans="1:68" ht="30" customHeight="1" x14ac:dyDescent="0.35">
      <c r="A139" s="5565"/>
      <c r="C139" s="1118"/>
      <c r="D139" s="1119"/>
      <c r="E139" s="1115"/>
      <c r="F139" s="1057" t="s">
        <v>287</v>
      </c>
      <c r="G139" s="1028" t="s">
        <v>289</v>
      </c>
      <c r="H139" s="1028" t="s">
        <v>288</v>
      </c>
      <c r="I139" s="1028" t="s">
        <v>287</v>
      </c>
      <c r="J139" s="1028" t="s">
        <v>289</v>
      </c>
      <c r="K139" s="1028" t="s">
        <v>288</v>
      </c>
      <c r="L139" s="1028"/>
      <c r="M139" s="1028"/>
      <c r="N139" s="1028"/>
      <c r="O139" s="1056"/>
      <c r="P139" s="979" t="s">
        <v>287</v>
      </c>
      <c r="Q139" s="979" t="s">
        <v>289</v>
      </c>
      <c r="R139" s="980" t="s">
        <v>288</v>
      </c>
      <c r="U139" s="971"/>
      <c r="V139" s="971"/>
    </row>
    <row r="140" spans="1:68" ht="30" customHeight="1" thickBot="1" x14ac:dyDescent="0.4">
      <c r="A140" s="5565"/>
      <c r="B140" s="1120" t="s">
        <v>423</v>
      </c>
      <c r="C140" s="1121">
        <f>+D266</f>
        <v>0</v>
      </c>
      <c r="D140" s="1122">
        <f>+F266</f>
        <v>0</v>
      </c>
      <c r="E140" s="1123"/>
      <c r="F140" s="1124">
        <f>+G266</f>
        <v>0</v>
      </c>
      <c r="G140" s="1121">
        <f>+H266</f>
        <v>0</v>
      </c>
      <c r="H140" s="1121">
        <f>+I266</f>
        <v>0</v>
      </c>
      <c r="I140" s="1121">
        <f>+J266</f>
        <v>0</v>
      </c>
      <c r="J140" s="1121">
        <f>+K266</f>
        <v>0</v>
      </c>
      <c r="K140" s="1121">
        <f>+P266</f>
        <v>0</v>
      </c>
      <c r="L140" s="1125"/>
      <c r="M140" s="1125"/>
      <c r="N140" s="1125"/>
      <c r="O140" s="1126"/>
      <c r="P140" s="1089">
        <f>+F140+I140</f>
        <v>0</v>
      </c>
      <c r="Q140" s="1089">
        <f>+G140+J140</f>
        <v>0</v>
      </c>
      <c r="R140" s="1090">
        <f>+H140+K140</f>
        <v>0</v>
      </c>
      <c r="S140" s="1044">
        <f>SUM(P140:R140)</f>
        <v>0</v>
      </c>
      <c r="U140" s="971"/>
      <c r="V140" s="971"/>
    </row>
    <row r="141" spans="1:68" ht="30" customHeight="1" x14ac:dyDescent="0.4">
      <c r="A141" s="5565"/>
      <c r="B141" s="5571"/>
      <c r="C141" s="5571"/>
      <c r="D141" s="5571"/>
      <c r="E141" s="5572"/>
      <c r="F141" s="5368" t="s">
        <v>377</v>
      </c>
      <c r="G141" s="5376"/>
      <c r="H141" s="5503"/>
      <c r="I141" s="1063"/>
      <c r="J141" s="1063"/>
      <c r="K141" s="1063"/>
      <c r="L141" s="1063"/>
      <c r="M141" s="1063"/>
      <c r="N141" s="1063"/>
      <c r="O141" s="1108"/>
      <c r="P141" s="1102"/>
      <c r="Q141" s="1102"/>
      <c r="R141" s="1103"/>
      <c r="U141" s="971"/>
      <c r="V141" s="971"/>
    </row>
    <row r="142" spans="1:68" ht="54" customHeight="1" thickBot="1" x14ac:dyDescent="0.45">
      <c r="A142" s="5566"/>
      <c r="B142" s="5573"/>
      <c r="C142" s="5573"/>
      <c r="D142" s="5573"/>
      <c r="E142" s="5574"/>
      <c r="F142" s="1097">
        <f>+F140+I140</f>
        <v>0</v>
      </c>
      <c r="G142" s="1097">
        <f>+G140+J140</f>
        <v>0</v>
      </c>
      <c r="H142" s="1097">
        <f>+H140+K140</f>
        <v>0</v>
      </c>
      <c r="I142" s="1100"/>
      <c r="J142" s="1100"/>
      <c r="K142" s="1100"/>
      <c r="L142" s="1100"/>
      <c r="M142" s="1100"/>
      <c r="N142" s="1100"/>
      <c r="O142" s="1101"/>
      <c r="P142" s="1102"/>
      <c r="Q142" s="1102"/>
      <c r="R142" s="1103"/>
      <c r="U142" s="971"/>
      <c r="V142" s="971"/>
    </row>
    <row r="143" spans="1:68" ht="54" customHeight="1" thickBot="1" x14ac:dyDescent="0.45">
      <c r="A143" s="1104"/>
      <c r="B143" s="1105"/>
      <c r="C143" s="1105"/>
      <c r="D143" s="1106"/>
      <c r="E143" s="1105"/>
      <c r="F143" s="1107"/>
      <c r="G143" s="1107"/>
      <c r="H143" s="1107"/>
      <c r="I143" s="1127"/>
      <c r="J143" s="1127"/>
      <c r="K143" s="1127"/>
      <c r="L143" s="1127"/>
      <c r="M143" s="1127"/>
      <c r="N143" s="1127"/>
      <c r="O143" s="1128"/>
      <c r="P143" s="1054"/>
      <c r="Q143" s="1054"/>
      <c r="R143" s="1078"/>
      <c r="S143" s="606"/>
      <c r="T143" s="606"/>
      <c r="U143" s="1049"/>
      <c r="V143" s="1049"/>
    </row>
    <row r="144" spans="1:68" ht="48" customHeight="1" thickBot="1" x14ac:dyDescent="0.25">
      <c r="A144" s="5492" t="s">
        <v>943</v>
      </c>
      <c r="B144" s="5493"/>
      <c r="C144" s="5493"/>
      <c r="D144" s="5493"/>
      <c r="E144" s="5493"/>
      <c r="F144" s="5493"/>
      <c r="G144" s="5493"/>
      <c r="H144" s="5493"/>
      <c r="I144" s="5493"/>
      <c r="J144" s="5493"/>
      <c r="K144" s="5494"/>
      <c r="L144" s="1109"/>
      <c r="M144" s="1109"/>
      <c r="N144" s="1109"/>
      <c r="O144" s="1110"/>
      <c r="P144" s="1118"/>
      <c r="Q144" s="1118"/>
      <c r="R144" s="1129"/>
      <c r="S144" s="1130"/>
      <c r="T144" s="1130"/>
      <c r="U144" s="1130"/>
      <c r="V144" s="1130"/>
    </row>
    <row r="145" spans="1:22" ht="53.25" customHeight="1" x14ac:dyDescent="0.25">
      <c r="A145" s="5558" t="s">
        <v>944</v>
      </c>
      <c r="B145" s="1112" t="s">
        <v>29</v>
      </c>
      <c r="C145" s="1113" t="s">
        <v>101</v>
      </c>
      <c r="D145" s="1114" t="s">
        <v>422</v>
      </c>
      <c r="E145" s="1115"/>
      <c r="F145" s="5567" t="s">
        <v>304</v>
      </c>
      <c r="G145" s="5563"/>
      <c r="H145" s="5563"/>
      <c r="I145" s="5563" t="s">
        <v>368</v>
      </c>
      <c r="J145" s="5563"/>
      <c r="K145" s="5563"/>
      <c r="L145" s="1116"/>
      <c r="M145" s="1116"/>
      <c r="N145" s="1116"/>
      <c r="O145" s="1117"/>
      <c r="P145" s="5313" t="s">
        <v>377</v>
      </c>
      <c r="Q145" s="5313"/>
      <c r="R145" s="5383"/>
      <c r="U145" s="971"/>
      <c r="V145" s="971"/>
    </row>
    <row r="146" spans="1:22" ht="30" customHeight="1" x14ac:dyDescent="0.35">
      <c r="A146" s="5559"/>
      <c r="C146" s="1118"/>
      <c r="D146" s="1119"/>
      <c r="E146" s="1115"/>
      <c r="F146" s="1057" t="s">
        <v>287</v>
      </c>
      <c r="G146" s="1028" t="s">
        <v>289</v>
      </c>
      <c r="H146" s="1028" t="s">
        <v>288</v>
      </c>
      <c r="I146" s="1028" t="s">
        <v>287</v>
      </c>
      <c r="J146" s="1028" t="s">
        <v>289</v>
      </c>
      <c r="K146" s="1028" t="s">
        <v>288</v>
      </c>
      <c r="L146" s="1028"/>
      <c r="M146" s="1028"/>
      <c r="N146" s="1028"/>
      <c r="O146" s="1056"/>
      <c r="P146" s="979" t="s">
        <v>287</v>
      </c>
      <c r="Q146" s="979" t="s">
        <v>289</v>
      </c>
      <c r="R146" s="980" t="s">
        <v>288</v>
      </c>
      <c r="U146" s="971"/>
      <c r="V146" s="971"/>
    </row>
    <row r="147" spans="1:22" ht="30" customHeight="1" x14ac:dyDescent="0.2">
      <c r="A147" s="5559"/>
      <c r="B147" s="1120" t="s">
        <v>426</v>
      </c>
      <c r="C147" s="1121">
        <f>+D256</f>
        <v>0</v>
      </c>
      <c r="D147" s="1122">
        <f>+F256</f>
        <v>0</v>
      </c>
      <c r="E147" s="1123"/>
      <c r="F147" s="1121">
        <f>+G256</f>
        <v>0</v>
      </c>
      <c r="G147" s="1121">
        <f t="shared" ref="G147:J148" si="118">+H256</f>
        <v>0</v>
      </c>
      <c r="H147" s="1121">
        <f t="shared" si="118"/>
        <v>0</v>
      </c>
      <c r="I147" s="1121">
        <f t="shared" si="118"/>
        <v>0</v>
      </c>
      <c r="J147" s="1121">
        <f t="shared" si="118"/>
        <v>0</v>
      </c>
      <c r="K147" s="1121">
        <f>+P256</f>
        <v>0</v>
      </c>
      <c r="L147" s="1121"/>
      <c r="M147" s="1121"/>
      <c r="N147" s="1121"/>
      <c r="O147" s="1131"/>
      <c r="P147" s="1005">
        <f t="shared" ref="P147:R148" si="119">+F147+I147</f>
        <v>0</v>
      </c>
      <c r="Q147" s="1005">
        <f t="shared" si="119"/>
        <v>0</v>
      </c>
      <c r="R147" s="1006">
        <f t="shared" si="119"/>
        <v>0</v>
      </c>
      <c r="U147" s="971"/>
      <c r="V147" s="971"/>
    </row>
    <row r="148" spans="1:22" ht="30" customHeight="1" x14ac:dyDescent="0.2">
      <c r="A148" s="5559"/>
      <c r="B148" s="1120" t="s">
        <v>423</v>
      </c>
      <c r="C148" s="1121">
        <f>+D257</f>
        <v>0</v>
      </c>
      <c r="D148" s="1122">
        <f>+F257</f>
        <v>0</v>
      </c>
      <c r="E148" s="1132"/>
      <c r="F148" s="1121">
        <f>+G257</f>
        <v>0</v>
      </c>
      <c r="G148" s="1121">
        <f t="shared" si="118"/>
        <v>0</v>
      </c>
      <c r="H148" s="1121">
        <f t="shared" si="118"/>
        <v>0</v>
      </c>
      <c r="I148" s="1121">
        <f t="shared" si="118"/>
        <v>0</v>
      </c>
      <c r="J148" s="1121">
        <f t="shared" si="118"/>
        <v>0</v>
      </c>
      <c r="K148" s="1121">
        <f>+P257</f>
        <v>0</v>
      </c>
      <c r="L148" s="1121"/>
      <c r="M148" s="1121"/>
      <c r="N148" s="1121"/>
      <c r="O148" s="1131"/>
      <c r="P148" s="1005">
        <f t="shared" si="119"/>
        <v>0</v>
      </c>
      <c r="Q148" s="1005">
        <f t="shared" si="119"/>
        <v>0</v>
      </c>
      <c r="R148" s="1006">
        <f t="shared" si="119"/>
        <v>0</v>
      </c>
      <c r="U148" s="971"/>
      <c r="V148" s="971"/>
    </row>
    <row r="149" spans="1:22" s="606" customFormat="1" ht="30" customHeight="1" thickBot="1" x14ac:dyDescent="0.4">
      <c r="A149" s="5559"/>
      <c r="B149" s="5529"/>
      <c r="C149" s="5529"/>
      <c r="D149" s="5529"/>
      <c r="E149" s="5530"/>
      <c r="F149" s="1097">
        <f>SUM(F147:F148)</f>
        <v>0</v>
      </c>
      <c r="G149" s="1097">
        <f t="shared" ref="G149:R149" si="120">SUM(G147:G148)</f>
        <v>0</v>
      </c>
      <c r="H149" s="1097">
        <f t="shared" si="120"/>
        <v>0</v>
      </c>
      <c r="I149" s="1097">
        <f t="shared" si="120"/>
        <v>0</v>
      </c>
      <c r="J149" s="1097">
        <f t="shared" si="120"/>
        <v>0</v>
      </c>
      <c r="K149" s="1097">
        <f t="shared" si="120"/>
        <v>0</v>
      </c>
      <c r="L149" s="1097"/>
      <c r="M149" s="1097"/>
      <c r="N149" s="1097"/>
      <c r="O149" s="1133"/>
      <c r="P149" s="1134">
        <f t="shared" si="120"/>
        <v>0</v>
      </c>
      <c r="Q149" s="1134">
        <f t="shared" si="120"/>
        <v>0</v>
      </c>
      <c r="R149" s="1135">
        <f t="shared" si="120"/>
        <v>0</v>
      </c>
      <c r="S149" s="1044">
        <f>SUM(P149:R149)</f>
        <v>0</v>
      </c>
      <c r="U149" s="1049"/>
      <c r="V149" s="1049"/>
    </row>
    <row r="150" spans="1:22" ht="30" customHeight="1" x14ac:dyDescent="0.4">
      <c r="A150" s="5559"/>
      <c r="B150" s="5529"/>
      <c r="C150" s="5529"/>
      <c r="D150" s="5529"/>
      <c r="E150" s="5530"/>
      <c r="F150" s="5368" t="s">
        <v>377</v>
      </c>
      <c r="G150" s="5376"/>
      <c r="H150" s="5503"/>
      <c r="I150" s="1063"/>
      <c r="J150" s="1063"/>
      <c r="K150" s="1063"/>
      <c r="L150" s="1063"/>
      <c r="M150" s="1063"/>
      <c r="N150" s="1063"/>
      <c r="O150" s="1108"/>
      <c r="P150" s="1102"/>
      <c r="Q150" s="1102"/>
      <c r="R150" s="1103"/>
      <c r="U150" s="971"/>
      <c r="V150" s="971"/>
    </row>
    <row r="151" spans="1:22" ht="30" customHeight="1" thickBot="1" x14ac:dyDescent="0.45">
      <c r="A151" s="5559"/>
      <c r="B151" s="5532"/>
      <c r="C151" s="5532"/>
      <c r="D151" s="5532"/>
      <c r="E151" s="5533"/>
      <c r="F151" s="1097">
        <f>+F149+I149</f>
        <v>0</v>
      </c>
      <c r="G151" s="1097">
        <f>+G149+J149</f>
        <v>0</v>
      </c>
      <c r="H151" s="1097">
        <f>+H149+K149</f>
        <v>0</v>
      </c>
      <c r="I151" s="1100"/>
      <c r="J151" s="1100"/>
      <c r="K151" s="1100"/>
      <c r="L151" s="1100"/>
      <c r="M151" s="1100"/>
      <c r="N151" s="1100"/>
      <c r="O151" s="1101"/>
      <c r="P151" s="1102"/>
      <c r="Q151" s="1102"/>
      <c r="R151" s="1103"/>
      <c r="U151" s="971"/>
      <c r="V151" s="971"/>
    </row>
    <row r="152" spans="1:22" ht="30" customHeight="1" thickBot="1" x14ac:dyDescent="0.45">
      <c r="A152" s="1104"/>
      <c r="B152" s="1105"/>
      <c r="C152" s="1105"/>
      <c r="D152" s="1106"/>
      <c r="E152" s="1105"/>
      <c r="F152" s="1107"/>
      <c r="G152" s="1107"/>
      <c r="H152" s="1107"/>
      <c r="I152" s="1127"/>
      <c r="J152" s="1127"/>
      <c r="K152" s="1127"/>
      <c r="L152" s="1127"/>
      <c r="M152" s="1127"/>
      <c r="N152" s="1127"/>
      <c r="O152" s="1128"/>
      <c r="P152" s="1054"/>
      <c r="Q152" s="1054"/>
      <c r="R152" s="1078"/>
      <c r="U152" s="971"/>
      <c r="V152" s="971"/>
    </row>
    <row r="153" spans="1:22" ht="54" customHeight="1" thickBot="1" x14ac:dyDescent="0.25">
      <c r="A153" s="5492" t="s">
        <v>945</v>
      </c>
      <c r="B153" s="5493"/>
      <c r="C153" s="5493"/>
      <c r="D153" s="5493"/>
      <c r="E153" s="5493"/>
      <c r="F153" s="5493"/>
      <c r="G153" s="5493"/>
      <c r="H153" s="5493"/>
      <c r="I153" s="5493"/>
      <c r="J153" s="5493"/>
      <c r="K153" s="5494"/>
      <c r="L153" s="1109"/>
      <c r="M153" s="1109"/>
      <c r="N153" s="1109"/>
      <c r="O153" s="1110"/>
      <c r="P153" s="1118"/>
      <c r="Q153" s="1118"/>
      <c r="R153" s="1129"/>
      <c r="U153" s="971"/>
      <c r="V153" s="971"/>
    </row>
    <row r="154" spans="1:22" ht="64.5" customHeight="1" x14ac:dyDescent="0.25">
      <c r="A154" s="5559" t="s">
        <v>946</v>
      </c>
      <c r="B154" s="1136" t="s">
        <v>29</v>
      </c>
      <c r="C154" s="1137" t="s">
        <v>101</v>
      </c>
      <c r="D154" s="1138" t="s">
        <v>422</v>
      </c>
      <c r="E154" s="1139"/>
      <c r="F154" s="5447" t="s">
        <v>304</v>
      </c>
      <c r="G154" s="5382"/>
      <c r="H154" s="5382"/>
      <c r="I154" s="5382" t="s">
        <v>368</v>
      </c>
      <c r="J154" s="5382"/>
      <c r="K154" s="5382"/>
      <c r="L154" s="1028"/>
      <c r="M154" s="1028"/>
      <c r="N154" s="1028"/>
      <c r="O154" s="1056"/>
      <c r="P154" s="5313" t="s">
        <v>377</v>
      </c>
      <c r="Q154" s="5313"/>
      <c r="R154" s="5383"/>
      <c r="U154" s="971"/>
      <c r="V154" s="971"/>
    </row>
    <row r="155" spans="1:22" ht="30" customHeight="1" x14ac:dyDescent="0.35">
      <c r="A155" s="5559"/>
      <c r="C155" s="1118"/>
      <c r="D155" s="1119"/>
      <c r="E155" s="1115"/>
      <c r="F155" s="1057" t="s">
        <v>287</v>
      </c>
      <c r="G155" s="1028" t="s">
        <v>289</v>
      </c>
      <c r="H155" s="1028" t="s">
        <v>288</v>
      </c>
      <c r="I155" s="1028" t="s">
        <v>287</v>
      </c>
      <c r="J155" s="1028" t="s">
        <v>289</v>
      </c>
      <c r="K155" s="1028" t="s">
        <v>288</v>
      </c>
      <c r="L155" s="1028"/>
      <c r="M155" s="1028"/>
      <c r="N155" s="1028"/>
      <c r="O155" s="1056"/>
      <c r="P155" s="979" t="s">
        <v>287</v>
      </c>
      <c r="Q155" s="979" t="s">
        <v>289</v>
      </c>
      <c r="R155" s="980" t="s">
        <v>288</v>
      </c>
      <c r="U155" s="971"/>
      <c r="V155" s="971"/>
    </row>
    <row r="156" spans="1:22" ht="30" customHeight="1" x14ac:dyDescent="0.2">
      <c r="A156" s="5559"/>
      <c r="B156" s="1120" t="s">
        <v>426</v>
      </c>
      <c r="C156" s="1121">
        <f>+D278</f>
        <v>0</v>
      </c>
      <c r="D156" s="1122">
        <f ca="1">+F278</f>
        <v>0</v>
      </c>
      <c r="E156" s="1123"/>
      <c r="F156" s="1121">
        <f t="shared" ref="F156:J157" ca="1" si="121">+G278</f>
        <v>0</v>
      </c>
      <c r="G156" s="1121">
        <f t="shared" ca="1" si="121"/>
        <v>0</v>
      </c>
      <c r="H156" s="1121">
        <f t="shared" ca="1" si="121"/>
        <v>0</v>
      </c>
      <c r="I156" s="1121">
        <f t="shared" ca="1" si="121"/>
        <v>0</v>
      </c>
      <c r="J156" s="1121">
        <f t="shared" ca="1" si="121"/>
        <v>0</v>
      </c>
      <c r="K156" s="1121">
        <f ca="1">+P278</f>
        <v>0</v>
      </c>
      <c r="L156" s="1121"/>
      <c r="M156" s="1121"/>
      <c r="N156" s="1121"/>
      <c r="O156" s="1131"/>
      <c r="P156" s="1005">
        <f t="shared" ref="P156:R157" ca="1" si="122">+F156+I156</f>
        <v>0</v>
      </c>
      <c r="Q156" s="1005">
        <f t="shared" ca="1" si="122"/>
        <v>0</v>
      </c>
      <c r="R156" s="1006">
        <f t="shared" ca="1" si="122"/>
        <v>0</v>
      </c>
      <c r="U156" s="971"/>
      <c r="V156" s="971"/>
    </row>
    <row r="157" spans="1:22" ht="30" customHeight="1" x14ac:dyDescent="0.2">
      <c r="A157" s="5559"/>
      <c r="B157" s="1120" t="s">
        <v>423</v>
      </c>
      <c r="C157" s="1121">
        <f>+D279</f>
        <v>0</v>
      </c>
      <c r="D157" s="1122">
        <f ca="1">+F279</f>
        <v>0</v>
      </c>
      <c r="E157" s="1132"/>
      <c r="F157" s="1121">
        <f t="shared" ca="1" si="121"/>
        <v>0</v>
      </c>
      <c r="G157" s="1121">
        <f t="shared" ca="1" si="121"/>
        <v>0</v>
      </c>
      <c r="H157" s="1121">
        <f t="shared" ca="1" si="121"/>
        <v>0</v>
      </c>
      <c r="I157" s="1121">
        <f t="shared" ca="1" si="121"/>
        <v>0</v>
      </c>
      <c r="J157" s="1121">
        <f t="shared" ca="1" si="121"/>
        <v>0</v>
      </c>
      <c r="K157" s="1121">
        <f ca="1">+P279</f>
        <v>0</v>
      </c>
      <c r="L157" s="1121"/>
      <c r="M157" s="1121"/>
      <c r="N157" s="1121"/>
      <c r="O157" s="1131"/>
      <c r="P157" s="1005">
        <f t="shared" ca="1" si="122"/>
        <v>0</v>
      </c>
      <c r="Q157" s="1005">
        <f t="shared" ca="1" si="122"/>
        <v>0</v>
      </c>
      <c r="R157" s="1006">
        <f t="shared" ca="1" si="122"/>
        <v>0</v>
      </c>
      <c r="U157" s="971"/>
      <c r="V157" s="971"/>
    </row>
    <row r="158" spans="1:22" ht="30" customHeight="1" thickBot="1" x14ac:dyDescent="0.4">
      <c r="A158" s="5559"/>
      <c r="B158" s="5529"/>
      <c r="C158" s="5529"/>
      <c r="D158" s="5529"/>
      <c r="E158" s="5530"/>
      <c r="F158" s="1097">
        <f t="shared" ref="F158:R158" ca="1" si="123">SUM(F156:F157)</f>
        <v>0</v>
      </c>
      <c r="G158" s="1097">
        <f t="shared" ca="1" si="123"/>
        <v>0</v>
      </c>
      <c r="H158" s="1097">
        <f t="shared" ca="1" si="123"/>
        <v>0</v>
      </c>
      <c r="I158" s="1097">
        <f t="shared" ca="1" si="123"/>
        <v>0</v>
      </c>
      <c r="J158" s="1097">
        <f t="shared" ca="1" si="123"/>
        <v>0</v>
      </c>
      <c r="K158" s="1097">
        <f t="shared" ca="1" si="123"/>
        <v>0</v>
      </c>
      <c r="L158" s="1097"/>
      <c r="M158" s="1097"/>
      <c r="N158" s="1097"/>
      <c r="O158" s="1133"/>
      <c r="P158" s="1134">
        <f t="shared" ca="1" si="123"/>
        <v>0</v>
      </c>
      <c r="Q158" s="1134">
        <f t="shared" ca="1" si="123"/>
        <v>0</v>
      </c>
      <c r="R158" s="1135">
        <f t="shared" ca="1" si="123"/>
        <v>0</v>
      </c>
      <c r="S158" s="1044">
        <f ca="1">SUM(P158:R158)</f>
        <v>0</v>
      </c>
      <c r="U158" s="971"/>
      <c r="V158" s="971"/>
    </row>
    <row r="159" spans="1:22" s="606" customFormat="1" ht="30" customHeight="1" x14ac:dyDescent="0.4">
      <c r="A159" s="5559"/>
      <c r="B159" s="5529"/>
      <c r="C159" s="5529"/>
      <c r="D159" s="5529"/>
      <c r="E159" s="5530"/>
      <c r="F159" s="5368" t="s">
        <v>377</v>
      </c>
      <c r="G159" s="5376"/>
      <c r="H159" s="5503"/>
      <c r="I159" s="1063"/>
      <c r="J159" s="1063"/>
      <c r="K159" s="1063"/>
      <c r="L159" s="1063"/>
      <c r="M159" s="1063"/>
      <c r="N159" s="1063"/>
      <c r="O159" s="1108"/>
      <c r="P159" s="1102"/>
      <c r="Q159" s="1102"/>
      <c r="R159" s="1103"/>
      <c r="U159" s="1049"/>
      <c r="V159" s="1049"/>
    </row>
    <row r="160" spans="1:22" ht="30" customHeight="1" thickBot="1" x14ac:dyDescent="0.45">
      <c r="A160" s="5559"/>
      <c r="B160" s="5532"/>
      <c r="C160" s="5532"/>
      <c r="D160" s="5532"/>
      <c r="E160" s="5533"/>
      <c r="F160" s="1140">
        <f ca="1">+F158+I158</f>
        <v>0</v>
      </c>
      <c r="G160" s="1140">
        <f ca="1">+G158+J158</f>
        <v>0</v>
      </c>
      <c r="H160" s="1140">
        <f ca="1">+H158+K158</f>
        <v>0</v>
      </c>
      <c r="I160" s="1063"/>
      <c r="J160" s="1063"/>
      <c r="K160" s="1063"/>
      <c r="L160" s="1063"/>
      <c r="M160" s="1063"/>
      <c r="N160" s="1063"/>
      <c r="O160" s="1108"/>
      <c r="P160" s="1102"/>
      <c r="Q160" s="1102"/>
      <c r="R160" s="1103"/>
      <c r="U160" s="971"/>
      <c r="V160" s="971"/>
    </row>
    <row r="161" spans="1:22" s="606" customFormat="1" ht="30" customHeight="1" thickBot="1" x14ac:dyDescent="0.45">
      <c r="A161" s="1104"/>
      <c r="B161" s="1105"/>
      <c r="C161" s="1105"/>
      <c r="D161" s="1106"/>
      <c r="E161" s="1105"/>
      <c r="F161" s="1141"/>
      <c r="G161" s="1141"/>
      <c r="H161" s="1141"/>
      <c r="I161" s="1142"/>
      <c r="J161" s="1142"/>
      <c r="K161" s="1142"/>
      <c r="L161" s="1142"/>
      <c r="M161" s="1142"/>
      <c r="N161" s="1142"/>
      <c r="O161" s="1143"/>
      <c r="P161" s="1054"/>
      <c r="Q161" s="1054"/>
      <c r="R161" s="1078"/>
      <c r="U161" s="1049"/>
      <c r="V161" s="1049"/>
    </row>
    <row r="162" spans="1:22" ht="30" customHeight="1" x14ac:dyDescent="0.2">
      <c r="A162" s="5534" t="s">
        <v>429</v>
      </c>
      <c r="B162" s="5535"/>
      <c r="C162" s="5535"/>
      <c r="D162" s="5535"/>
      <c r="E162" s="5536"/>
      <c r="F162" s="5560" t="s">
        <v>304</v>
      </c>
      <c r="G162" s="5561"/>
      <c r="H162" s="5561"/>
      <c r="I162" s="5561" t="s">
        <v>368</v>
      </c>
      <c r="J162" s="5561"/>
      <c r="K162" s="5561"/>
      <c r="L162" s="1080"/>
      <c r="M162" s="1080"/>
      <c r="N162" s="1080"/>
      <c r="O162" s="1081"/>
      <c r="P162" s="5501" t="s">
        <v>377</v>
      </c>
      <c r="Q162" s="5501"/>
      <c r="R162" s="5502"/>
      <c r="U162" s="971"/>
      <c r="V162" s="971"/>
    </row>
    <row r="163" spans="1:22" s="606" customFormat="1" ht="30" customHeight="1" x14ac:dyDescent="0.2">
      <c r="A163" s="5537"/>
      <c r="B163" s="5538"/>
      <c r="C163" s="5538"/>
      <c r="D163" s="5538"/>
      <c r="E163" s="5539"/>
      <c r="F163" s="1057" t="s">
        <v>287</v>
      </c>
      <c r="G163" s="1028" t="s">
        <v>289</v>
      </c>
      <c r="H163" s="1028" t="s">
        <v>288</v>
      </c>
      <c r="I163" s="1028" t="s">
        <v>287</v>
      </c>
      <c r="J163" s="1028" t="s">
        <v>289</v>
      </c>
      <c r="K163" s="1028" t="s">
        <v>288</v>
      </c>
      <c r="L163" s="1028"/>
      <c r="M163" s="1028"/>
      <c r="N163" s="1028"/>
      <c r="O163" s="1056"/>
      <c r="P163" s="979" t="s">
        <v>287</v>
      </c>
      <c r="Q163" s="979" t="s">
        <v>289</v>
      </c>
      <c r="R163" s="980" t="s">
        <v>288</v>
      </c>
      <c r="U163" s="1049"/>
      <c r="V163" s="1049"/>
    </row>
    <row r="164" spans="1:22" s="606" customFormat="1" ht="30" customHeight="1" x14ac:dyDescent="0.35">
      <c r="A164" s="5537"/>
      <c r="B164" s="5538"/>
      <c r="C164" s="5538"/>
      <c r="D164" s="5538"/>
      <c r="E164" s="5539"/>
      <c r="F164" s="1125" t="e">
        <f>+G388</f>
        <v>#REF!</v>
      </c>
      <c r="G164" s="1144" t="e">
        <f>+H388</f>
        <v>#REF!</v>
      </c>
      <c r="H164" s="1144" t="e">
        <f>+I388</f>
        <v>#REF!</v>
      </c>
      <c r="I164" s="1144" t="e">
        <f>+J388</f>
        <v>#REF!</v>
      </c>
      <c r="J164" s="1144" t="e">
        <f>+K388</f>
        <v>#REF!</v>
      </c>
      <c r="K164" s="1144" t="e">
        <f>+P388</f>
        <v>#REF!</v>
      </c>
      <c r="L164" s="1144"/>
      <c r="M164" s="1144"/>
      <c r="N164" s="1144"/>
      <c r="O164" s="1145"/>
      <c r="P164" s="990" t="e">
        <f>+F164+I164</f>
        <v>#REF!</v>
      </c>
      <c r="Q164" s="990" t="e">
        <f>+G164+J164</f>
        <v>#REF!</v>
      </c>
      <c r="R164" s="991" t="e">
        <f>+H164+K164</f>
        <v>#REF!</v>
      </c>
      <c r="S164" s="1044" t="e">
        <f>SUM(P164:R164)</f>
        <v>#REF!</v>
      </c>
      <c r="U164" s="1049"/>
      <c r="V164" s="1049"/>
    </row>
    <row r="165" spans="1:22" s="606" customFormat="1" ht="30" customHeight="1" x14ac:dyDescent="0.2">
      <c r="A165" s="5537"/>
      <c r="B165" s="5538"/>
      <c r="C165" s="5538"/>
      <c r="D165" s="5538"/>
      <c r="E165" s="5539"/>
      <c r="F165" s="5368" t="s">
        <v>377</v>
      </c>
      <c r="G165" s="5376"/>
      <c r="H165" s="5503"/>
      <c r="I165" s="1146"/>
      <c r="J165" s="1146"/>
      <c r="K165" s="1146"/>
      <c r="L165" s="1146"/>
      <c r="M165" s="1146"/>
      <c r="N165" s="1146"/>
      <c r="O165" s="1147"/>
      <c r="P165" s="1148"/>
      <c r="Q165" s="1148"/>
      <c r="R165" s="1149"/>
      <c r="U165" s="1049"/>
      <c r="V165" s="1049"/>
    </row>
    <row r="166" spans="1:22" s="606" customFormat="1" ht="30" customHeight="1" thickBot="1" x14ac:dyDescent="0.25">
      <c r="A166" s="5540"/>
      <c r="B166" s="5541"/>
      <c r="C166" s="5541"/>
      <c r="D166" s="5541"/>
      <c r="E166" s="5542"/>
      <c r="F166" s="1097" t="e">
        <f>+F164+I164</f>
        <v>#REF!</v>
      </c>
      <c r="G166" s="1097" t="e">
        <f>+G164+J164</f>
        <v>#REF!</v>
      </c>
      <c r="H166" s="1097" t="e">
        <f>+H164+K164</f>
        <v>#REF!</v>
      </c>
      <c r="I166" s="1150"/>
      <c r="J166" s="1150"/>
      <c r="K166" s="1150"/>
      <c r="L166" s="1150"/>
      <c r="M166" s="1150"/>
      <c r="N166" s="1150"/>
      <c r="O166" s="1151"/>
      <c r="P166" s="1152"/>
      <c r="Q166" s="1152"/>
      <c r="R166" s="1153"/>
      <c r="U166" s="1049"/>
      <c r="V166" s="1049"/>
    </row>
    <row r="167" spans="1:22" s="606" customFormat="1" ht="30" customHeight="1" thickBot="1" x14ac:dyDescent="0.55000000000000004">
      <c r="A167" s="1154"/>
      <c r="B167" s="1155"/>
      <c r="C167" s="1156"/>
      <c r="D167" s="1157"/>
      <c r="E167" s="1156"/>
      <c r="F167" s="1146"/>
      <c r="G167" s="1146"/>
      <c r="H167" s="1146"/>
      <c r="I167" s="1146"/>
      <c r="J167" s="1146"/>
      <c r="K167" s="1146"/>
      <c r="L167" s="1146"/>
      <c r="M167" s="1146"/>
      <c r="N167" s="1146"/>
      <c r="O167" s="1147"/>
      <c r="P167" s="1148"/>
      <c r="Q167" s="1148"/>
      <c r="R167" s="1149"/>
      <c r="U167" s="1049"/>
      <c r="V167" s="1049"/>
    </row>
    <row r="168" spans="1:22" s="606" customFormat="1" ht="30" customHeight="1" x14ac:dyDescent="0.2">
      <c r="A168" s="5495" t="s">
        <v>430</v>
      </c>
      <c r="B168" s="5496"/>
      <c r="C168" s="5496"/>
      <c r="D168" s="5496"/>
      <c r="E168" s="5496"/>
      <c r="F168" s="5561" t="s">
        <v>304</v>
      </c>
      <c r="G168" s="5561"/>
      <c r="H168" s="5562"/>
      <c r="I168" s="1146"/>
      <c r="J168" s="1146"/>
      <c r="K168" s="1146"/>
      <c r="L168" s="1146"/>
      <c r="M168" s="1146"/>
      <c r="N168" s="1146"/>
      <c r="O168" s="1147"/>
      <c r="P168" s="1148"/>
      <c r="Q168" s="1148"/>
      <c r="R168" s="1149"/>
      <c r="U168" s="1049"/>
      <c r="V168" s="1049"/>
    </row>
    <row r="169" spans="1:22" s="606" customFormat="1" ht="30" customHeight="1" x14ac:dyDescent="0.4">
      <c r="A169" s="5497"/>
      <c r="B169" s="5498"/>
      <c r="C169" s="5498"/>
      <c r="D169" s="5498"/>
      <c r="E169" s="5498"/>
      <c r="F169" s="1028" t="s">
        <v>287</v>
      </c>
      <c r="G169" s="1028" t="s">
        <v>289</v>
      </c>
      <c r="H169" s="1083" t="s">
        <v>288</v>
      </c>
      <c r="I169" s="1142"/>
      <c r="J169" s="1142"/>
      <c r="K169" s="1142"/>
      <c r="L169" s="1142"/>
      <c r="M169" s="1142"/>
      <c r="N169" s="1142"/>
      <c r="O169" s="1143"/>
      <c r="P169" s="1054"/>
      <c r="Q169" s="1054"/>
      <c r="R169" s="1078"/>
      <c r="U169" s="1049"/>
      <c r="V169" s="1049"/>
    </row>
    <row r="170" spans="1:22" s="606" customFormat="1" ht="30" customHeight="1" thickBot="1" x14ac:dyDescent="0.45">
      <c r="A170" s="5499"/>
      <c r="B170" s="5500"/>
      <c r="C170" s="5500"/>
      <c r="D170" s="5500"/>
      <c r="E170" s="5500"/>
      <c r="F170" s="1158">
        <f>+G389</f>
        <v>0</v>
      </c>
      <c r="G170" s="1158">
        <f>+H389</f>
        <v>0</v>
      </c>
      <c r="H170" s="1159">
        <f>+I389</f>
        <v>0</v>
      </c>
      <c r="I170" s="1142"/>
      <c r="J170" s="1142"/>
      <c r="K170" s="1142"/>
      <c r="L170" s="1142"/>
      <c r="M170" s="1142"/>
      <c r="N170" s="1142"/>
      <c r="O170" s="1143"/>
      <c r="P170" s="1054"/>
      <c r="Q170" s="1054"/>
      <c r="R170" s="1078"/>
      <c r="U170" s="1049"/>
      <c r="V170" s="1049"/>
    </row>
    <row r="171" spans="1:22" s="606" customFormat="1" ht="30" customHeight="1" x14ac:dyDescent="0.5">
      <c r="A171" s="1154"/>
      <c r="B171" s="1155"/>
      <c r="C171" s="1156"/>
      <c r="D171" s="1157"/>
      <c r="E171" s="1156"/>
      <c r="F171" s="1160"/>
      <c r="G171" s="1160"/>
      <c r="H171" s="1160"/>
      <c r="I171" s="1142"/>
      <c r="J171" s="1142"/>
      <c r="K171" s="1142"/>
      <c r="L171" s="1142"/>
      <c r="M171" s="1142"/>
      <c r="N171" s="1142"/>
      <c r="O171" s="1143"/>
      <c r="P171" s="1054"/>
      <c r="Q171" s="1054"/>
      <c r="R171" s="1078"/>
      <c r="U171" s="1049"/>
      <c r="V171" s="1049"/>
    </row>
    <row r="172" spans="1:22" s="606" customFormat="1" ht="30" customHeight="1" x14ac:dyDescent="0.2">
      <c r="A172" s="5618" t="s">
        <v>431</v>
      </c>
      <c r="B172" s="5619"/>
      <c r="C172" s="5619"/>
      <c r="D172" s="5619"/>
      <c r="E172" s="5619"/>
      <c r="F172" s="5447" t="s">
        <v>304</v>
      </c>
      <c r="G172" s="5382"/>
      <c r="H172" s="5382"/>
      <c r="I172" s="5382" t="s">
        <v>368</v>
      </c>
      <c r="J172" s="5382"/>
      <c r="K172" s="5382"/>
      <c r="L172" s="1028"/>
      <c r="M172" s="1028"/>
      <c r="N172" s="1028"/>
      <c r="O172" s="1056"/>
      <c r="P172" s="5313" t="s">
        <v>377</v>
      </c>
      <c r="Q172" s="5313"/>
      <c r="R172" s="5383"/>
      <c r="U172" s="1049"/>
      <c r="V172" s="1049"/>
    </row>
    <row r="173" spans="1:22" s="606" customFormat="1" ht="30" customHeight="1" x14ac:dyDescent="0.2">
      <c r="A173" s="5618"/>
      <c r="B173" s="5619"/>
      <c r="C173" s="5619"/>
      <c r="D173" s="5619"/>
      <c r="E173" s="5619"/>
      <c r="F173" s="1057" t="s">
        <v>287</v>
      </c>
      <c r="G173" s="1028" t="s">
        <v>289</v>
      </c>
      <c r="H173" s="1028" t="s">
        <v>288</v>
      </c>
      <c r="I173" s="1028" t="s">
        <v>287</v>
      </c>
      <c r="J173" s="1028" t="s">
        <v>289</v>
      </c>
      <c r="K173" s="1028" t="s">
        <v>288</v>
      </c>
      <c r="L173" s="1028"/>
      <c r="M173" s="1028"/>
      <c r="N173" s="1028"/>
      <c r="O173" s="1056"/>
      <c r="P173" s="979" t="s">
        <v>287</v>
      </c>
      <c r="Q173" s="979" t="s">
        <v>289</v>
      </c>
      <c r="R173" s="980" t="s">
        <v>288</v>
      </c>
      <c r="U173" s="1049"/>
      <c r="V173" s="1049"/>
    </row>
    <row r="174" spans="1:22" s="606" customFormat="1" ht="30" customHeight="1" x14ac:dyDescent="0.35">
      <c r="A174" s="5618"/>
      <c r="B174" s="5619"/>
      <c r="C174" s="5619"/>
      <c r="D174" s="5619"/>
      <c r="E174" s="5619"/>
      <c r="F174" s="1161" t="e">
        <f ca="1">+F132+F140+F149+F158+F164+F170</f>
        <v>#REF!</v>
      </c>
      <c r="G174" s="1161" t="e">
        <f t="shared" ref="G174:R174" ca="1" si="124">+G132+G140+G149+G158+G164+G170</f>
        <v>#REF!</v>
      </c>
      <c r="H174" s="1161" t="e">
        <f t="shared" ca="1" si="124"/>
        <v>#REF!</v>
      </c>
      <c r="I174" s="1161" t="e">
        <f t="shared" ca="1" si="124"/>
        <v>#REF!</v>
      </c>
      <c r="J174" s="1161" t="e">
        <f t="shared" ca="1" si="124"/>
        <v>#REF!</v>
      </c>
      <c r="K174" s="1161" t="e">
        <f t="shared" ca="1" si="124"/>
        <v>#REF!</v>
      </c>
      <c r="L174" s="1161"/>
      <c r="M174" s="1161"/>
      <c r="N174" s="1161"/>
      <c r="O174" s="1162"/>
      <c r="P174" s="1163" t="e">
        <f t="shared" ca="1" si="124"/>
        <v>#REF!</v>
      </c>
      <c r="Q174" s="1163" t="e">
        <f t="shared" ca="1" si="124"/>
        <v>#REF!</v>
      </c>
      <c r="R174" s="1164" t="e">
        <f t="shared" ca="1" si="124"/>
        <v>#REF!</v>
      </c>
      <c r="S174" s="1044" t="e">
        <f ca="1">SUM(P174:R174)</f>
        <v>#REF!</v>
      </c>
      <c r="U174" s="1049"/>
      <c r="V174" s="1049"/>
    </row>
    <row r="175" spans="1:22" s="606" customFormat="1" ht="30" customHeight="1" x14ac:dyDescent="0.4">
      <c r="A175" s="5618"/>
      <c r="B175" s="5619"/>
      <c r="C175" s="5619"/>
      <c r="D175" s="5619"/>
      <c r="E175" s="5619"/>
      <c r="F175" s="5376" t="s">
        <v>432</v>
      </c>
      <c r="G175" s="5376"/>
      <c r="H175" s="5376"/>
      <c r="I175" s="1142"/>
      <c r="J175" s="1142"/>
      <c r="K175" s="1142"/>
      <c r="L175" s="1142" t="e">
        <f ca="1">SUM(I174:K174)</f>
        <v>#REF!</v>
      </c>
      <c r="M175" s="1142"/>
      <c r="N175" s="1142"/>
      <c r="O175" s="1143"/>
      <c r="P175" s="1165" t="e">
        <f ca="1">+F174+I174</f>
        <v>#REF!</v>
      </c>
      <c r="Q175" s="1166" t="e">
        <f ca="1">+G174+J174</f>
        <v>#REF!</v>
      </c>
      <c r="R175" s="1167" t="e">
        <f ca="1">+H174+K174</f>
        <v>#REF!</v>
      </c>
      <c r="U175" s="1049"/>
      <c r="V175" s="1049"/>
    </row>
    <row r="176" spans="1:22" s="606" customFormat="1" ht="30" customHeight="1" x14ac:dyDescent="0.4">
      <c r="A176" s="5618"/>
      <c r="B176" s="5619"/>
      <c r="C176" s="5619"/>
      <c r="D176" s="5619"/>
      <c r="E176" s="5619"/>
      <c r="F176" s="261" t="s">
        <v>287</v>
      </c>
      <c r="G176" s="261" t="s">
        <v>289</v>
      </c>
      <c r="H176" s="261" t="s">
        <v>288</v>
      </c>
      <c r="I176" s="1142"/>
      <c r="J176" s="1142"/>
      <c r="K176" s="1142"/>
      <c r="L176" s="1142" t="e">
        <f ca="1">+L175+I175</f>
        <v>#REF!</v>
      </c>
      <c r="M176" s="1142"/>
      <c r="N176" s="1142"/>
      <c r="O176" s="1143"/>
      <c r="P176" s="1054"/>
      <c r="Q176" s="1054"/>
      <c r="R176" s="1078"/>
      <c r="U176" s="1049"/>
      <c r="V176" s="1049"/>
    </row>
    <row r="177" spans="1:22" ht="30" customHeight="1" x14ac:dyDescent="0.35">
      <c r="A177" s="5618"/>
      <c r="B177" s="5619"/>
      <c r="C177" s="5619"/>
      <c r="D177" s="5619"/>
      <c r="E177" s="5619"/>
      <c r="F177" s="1168" t="e">
        <f ca="1">+F174+I174</f>
        <v>#REF!</v>
      </c>
      <c r="G177" s="1168" t="e">
        <f ca="1">+G174+J174</f>
        <v>#REF!</v>
      </c>
      <c r="H177" s="1169" t="e">
        <f ca="1">+H174+K174</f>
        <v>#REF!</v>
      </c>
      <c r="I177" s="1170"/>
      <c r="U177" s="971"/>
      <c r="V177" s="971"/>
    </row>
    <row r="178" spans="1:22" s="606" customFormat="1" ht="30" customHeight="1" thickBot="1" x14ac:dyDescent="0.4">
      <c r="A178" s="1171"/>
      <c r="B178" s="1172"/>
      <c r="C178" s="1172"/>
      <c r="D178" s="1173"/>
      <c r="E178" s="1172"/>
      <c r="F178" s="1174"/>
      <c r="G178" s="1174"/>
      <c r="H178" s="1174"/>
      <c r="I178" s="1175"/>
      <c r="O178" s="1046"/>
      <c r="P178" s="1047"/>
      <c r="Q178" s="1047"/>
      <c r="R178" s="1047"/>
      <c r="U178" s="1049"/>
      <c r="V178" s="1049"/>
    </row>
    <row r="179" spans="1:22" ht="50.25" customHeight="1" x14ac:dyDescent="0.25">
      <c r="A179" s="5507" t="s">
        <v>433</v>
      </c>
      <c r="B179" s="5508"/>
      <c r="C179" s="5508"/>
      <c r="D179" s="5508"/>
      <c r="E179" s="5508"/>
      <c r="F179" s="5376" t="s">
        <v>434</v>
      </c>
      <c r="G179" s="5376"/>
      <c r="H179" s="5366"/>
      <c r="I179" s="1170"/>
      <c r="P179" s="5575"/>
      <c r="Q179" s="5575"/>
      <c r="R179" s="5575"/>
      <c r="U179" s="971"/>
      <c r="V179" s="971"/>
    </row>
    <row r="180" spans="1:22" ht="30" customHeight="1" x14ac:dyDescent="0.25">
      <c r="A180" s="5509"/>
      <c r="B180" s="5510"/>
      <c r="C180" s="5510"/>
      <c r="D180" s="5510"/>
      <c r="E180" s="5510"/>
      <c r="F180" s="261" t="s">
        <v>287</v>
      </c>
      <c r="G180" s="261" t="s">
        <v>289</v>
      </c>
      <c r="H180" s="262" t="s">
        <v>288</v>
      </c>
      <c r="I180" s="1170"/>
      <c r="P180" s="1176"/>
      <c r="Q180" s="1176"/>
      <c r="R180" s="1176"/>
      <c r="U180" s="971"/>
      <c r="V180" s="971"/>
    </row>
    <row r="181" spans="1:22" ht="30" customHeight="1" thickBot="1" x14ac:dyDescent="0.4">
      <c r="A181" s="5511"/>
      <c r="B181" s="5512"/>
      <c r="C181" s="5512"/>
      <c r="D181" s="5512"/>
      <c r="E181" s="5512"/>
      <c r="F181" s="1177">
        <f>+'Compra -HOJA1'!G10</f>
        <v>0</v>
      </c>
      <c r="G181" s="1177">
        <f>+'Compra -HOJA1'!I10</f>
        <v>0</v>
      </c>
      <c r="H181" s="1178">
        <f>+'Compra -HOJA1'!H10</f>
        <v>0</v>
      </c>
      <c r="I181" s="1170"/>
      <c r="P181" s="1179"/>
      <c r="Q181" s="1179"/>
      <c r="R181" s="1179"/>
      <c r="S181" s="1044">
        <f>SUM(P181:R181)</f>
        <v>0</v>
      </c>
      <c r="U181" s="971"/>
      <c r="V181" s="971"/>
    </row>
    <row r="182" spans="1:22" s="606" customFormat="1" ht="30" customHeight="1" x14ac:dyDescent="0.35">
      <c r="A182" s="1180"/>
      <c r="B182" s="1181"/>
      <c r="C182" s="1182"/>
      <c r="D182" s="1183"/>
      <c r="E182" s="1182"/>
      <c r="F182" s="1175"/>
      <c r="G182" s="1175"/>
      <c r="H182" s="1175"/>
      <c r="I182" s="1175"/>
      <c r="O182" s="1046"/>
      <c r="P182" s="1179"/>
      <c r="Q182" s="1179"/>
      <c r="R182" s="1179"/>
      <c r="U182" s="1049"/>
      <c r="V182" s="1049"/>
    </row>
    <row r="183" spans="1:22" s="606" customFormat="1" ht="30" customHeight="1" thickBot="1" x14ac:dyDescent="0.4">
      <c r="A183" s="5625" t="s">
        <v>435</v>
      </c>
      <c r="B183" s="5626"/>
      <c r="C183" s="5626"/>
      <c r="D183" s="5626"/>
      <c r="E183" s="5626"/>
      <c r="F183" s="1184" t="e">
        <f ca="1">+F181-F177</f>
        <v>#REF!</v>
      </c>
      <c r="G183" s="1184" t="e">
        <f ca="1">+G181-G177</f>
        <v>#REF!</v>
      </c>
      <c r="H183" s="1185" t="e">
        <f ca="1">+H181-H177</f>
        <v>#REF!</v>
      </c>
      <c r="I183" s="1175"/>
      <c r="O183" s="1046"/>
      <c r="P183" s="1179"/>
      <c r="Q183" s="1179"/>
      <c r="R183" s="1179"/>
      <c r="S183" s="1044">
        <f>SUM(P183:R183)</f>
        <v>0</v>
      </c>
      <c r="U183" s="1049"/>
      <c r="V183" s="1049"/>
    </row>
    <row r="184" spans="1:22" s="606" customFormat="1" ht="30" customHeight="1" thickBot="1" x14ac:dyDescent="0.4">
      <c r="A184" s="1180"/>
      <c r="B184" s="1181"/>
      <c r="C184" s="1182"/>
      <c r="D184" s="1183"/>
      <c r="E184" s="1182"/>
      <c r="F184" s="1186" t="e">
        <f ca="1">+IF(F181=F177,"OK","VERIFICAR")</f>
        <v>#REF!</v>
      </c>
      <c r="G184" s="1187" t="e">
        <f ca="1">+IF(G181=G177,"OK","VERIFICAR")</f>
        <v>#REF!</v>
      </c>
      <c r="H184" s="1188" t="e">
        <f ca="1">+IF(H181=H177,"OK","VERIFICAR")</f>
        <v>#REF!</v>
      </c>
      <c r="I184" s="1175"/>
      <c r="O184" s="1046"/>
      <c r="P184" s="1179"/>
      <c r="Q184" s="1179"/>
      <c r="R184" s="1179"/>
      <c r="U184" s="1049"/>
      <c r="V184" s="1049"/>
    </row>
    <row r="185" spans="1:22" ht="30" customHeight="1" thickBot="1" x14ac:dyDescent="0.4">
      <c r="A185" s="1189"/>
      <c r="B185" s="1190"/>
      <c r="C185" s="1191"/>
      <c r="D185" s="1192"/>
      <c r="E185" s="1193"/>
      <c r="F185" s="1194"/>
      <c r="G185" s="1194"/>
      <c r="H185" s="1194"/>
      <c r="I185" s="1194"/>
      <c r="J185" s="164"/>
      <c r="K185" s="164"/>
      <c r="L185" s="164"/>
      <c r="M185" s="164"/>
      <c r="N185" s="164"/>
      <c r="O185" s="1195"/>
      <c r="P185" s="1196"/>
      <c r="Q185" s="1196"/>
      <c r="R185" s="1197"/>
      <c r="U185" s="971"/>
      <c r="V185" s="971"/>
    </row>
    <row r="186" spans="1:22" ht="30" customHeight="1" x14ac:dyDescent="0.35">
      <c r="U186" s="971"/>
      <c r="V186" s="971"/>
    </row>
    <row r="187" spans="1:22" ht="30" customHeight="1" x14ac:dyDescent="0.35">
      <c r="A187" s="1198" t="s">
        <v>947</v>
      </c>
      <c r="B187" s="1199"/>
      <c r="C187" s="1200"/>
      <c r="D187" s="1201" t="e">
        <f>'Compra -HOJA1'!#REF!</f>
        <v>#REF!</v>
      </c>
      <c r="E187" s="1202"/>
      <c r="F187" s="1203"/>
      <c r="G187" s="1203"/>
      <c r="H187" s="1203"/>
      <c r="U187" s="971"/>
      <c r="V187" s="971"/>
    </row>
    <row r="188" spans="1:22" ht="30" customHeight="1" x14ac:dyDescent="0.35">
      <c r="A188" s="1198" t="s">
        <v>948</v>
      </c>
      <c r="B188" s="1199"/>
      <c r="C188" s="1200"/>
      <c r="D188" s="969"/>
      <c r="E188" s="970"/>
      <c r="F188" s="971"/>
      <c r="G188" s="971"/>
      <c r="H188" s="971"/>
      <c r="U188" s="971"/>
      <c r="V188" s="971"/>
    </row>
    <row r="189" spans="1:22" ht="30" customHeight="1" x14ac:dyDescent="0.35">
      <c r="A189" s="233"/>
      <c r="B189" s="974"/>
      <c r="C189" s="1204"/>
      <c r="D189" s="975"/>
      <c r="E189" s="1205"/>
      <c r="F189" s="233"/>
      <c r="G189" s="233"/>
      <c r="H189" s="233"/>
      <c r="I189" s="75"/>
      <c r="U189" s="971"/>
      <c r="V189" s="971"/>
    </row>
    <row r="190" spans="1:22" ht="30" customHeight="1" x14ac:dyDescent="0.35">
      <c r="A190" s="233"/>
      <c r="B190" s="974"/>
      <c r="C190" s="1204"/>
      <c r="D190" s="975"/>
      <c r="E190" s="1205"/>
      <c r="F190" s="233"/>
      <c r="G190" s="233"/>
      <c r="H190" s="233"/>
      <c r="U190" s="971"/>
      <c r="V190" s="971"/>
    </row>
    <row r="191" spans="1:22" ht="30" customHeight="1" x14ac:dyDescent="0.3">
      <c r="A191" s="74" t="s">
        <v>949</v>
      </c>
      <c r="B191" s="1206"/>
      <c r="C191" s="1207"/>
      <c r="D191" s="1208"/>
      <c r="E191" s="1209"/>
      <c r="F191" s="5376" t="s">
        <v>304</v>
      </c>
      <c r="G191" s="5376"/>
      <c r="H191" s="5376"/>
      <c r="I191" s="5376" t="s">
        <v>439</v>
      </c>
      <c r="J191" s="5376"/>
      <c r="K191" s="5376"/>
      <c r="L191" s="5376"/>
      <c r="M191" s="5376"/>
      <c r="N191" s="5376"/>
      <c r="O191" s="400"/>
      <c r="P191" s="5313" t="s">
        <v>377</v>
      </c>
      <c r="Q191" s="5313"/>
      <c r="R191" s="5313"/>
      <c r="U191" s="971"/>
      <c r="V191" s="971"/>
    </row>
    <row r="192" spans="1:22" ht="30" customHeight="1" thickBot="1" x14ac:dyDescent="0.35">
      <c r="A192" s="1210" t="s">
        <v>440</v>
      </c>
      <c r="B192" s="1211"/>
      <c r="C192" s="1212"/>
      <c r="D192" s="1208"/>
      <c r="E192" s="1209" t="s">
        <v>441</v>
      </c>
      <c r="F192" s="1213" t="s">
        <v>287</v>
      </c>
      <c r="G192" s="1213" t="s">
        <v>289</v>
      </c>
      <c r="H192" s="1213" t="s">
        <v>288</v>
      </c>
      <c r="I192" s="1213" t="s">
        <v>287</v>
      </c>
      <c r="J192" s="1213" t="s">
        <v>289</v>
      </c>
      <c r="K192" s="1213" t="s">
        <v>288</v>
      </c>
      <c r="L192" s="1213"/>
      <c r="M192" s="1213"/>
      <c r="N192" s="1213"/>
      <c r="O192" s="1214"/>
      <c r="P192" s="1215" t="s">
        <v>287</v>
      </c>
      <c r="Q192" s="1215" t="s">
        <v>289</v>
      </c>
      <c r="R192" s="1215" t="s">
        <v>288</v>
      </c>
      <c r="S192" s="1216" t="s">
        <v>290</v>
      </c>
      <c r="U192" s="971"/>
      <c r="V192" s="971"/>
    </row>
    <row r="193" spans="1:22" ht="30" customHeight="1" thickBot="1" x14ac:dyDescent="0.4">
      <c r="A193" s="5622" t="s">
        <v>41</v>
      </c>
      <c r="B193" s="1217">
        <v>5000</v>
      </c>
      <c r="C193" s="5595" t="s">
        <v>42</v>
      </c>
      <c r="D193" s="5596"/>
      <c r="E193" s="1218">
        <f>+INT(E300)</f>
        <v>0</v>
      </c>
      <c r="F193" s="1218">
        <f t="shared" ref="F193:K193" si="125">+INT(F300)</f>
        <v>0</v>
      </c>
      <c r="G193" s="1218">
        <f t="shared" si="125"/>
        <v>0</v>
      </c>
      <c r="H193" s="1218">
        <f t="shared" si="125"/>
        <v>0</v>
      </c>
      <c r="I193" s="1218">
        <f t="shared" ca="1" si="125"/>
        <v>0</v>
      </c>
      <c r="J193" s="1218">
        <f t="shared" ca="1" si="125"/>
        <v>0</v>
      </c>
      <c r="K193" s="1218">
        <f t="shared" ca="1" si="125"/>
        <v>0</v>
      </c>
      <c r="L193" s="1218">
        <f>+ROUND(L300,0)</f>
        <v>0</v>
      </c>
      <c r="M193" s="1218">
        <f>+ROUND(M300,0)</f>
        <v>0</v>
      </c>
      <c r="N193" s="1218">
        <f>+ROUND(N300,0)</f>
        <v>0</v>
      </c>
      <c r="O193" s="1218">
        <f>+ROUND(O300,0)</f>
        <v>0</v>
      </c>
      <c r="P193" s="1219">
        <f ca="1">+F193+I193</f>
        <v>0</v>
      </c>
      <c r="Q193" s="1219">
        <f ca="1">+G193+J193</f>
        <v>0</v>
      </c>
      <c r="R193" s="1220">
        <f ca="1">+H193+K193</f>
        <v>0</v>
      </c>
      <c r="S193" s="1220">
        <f t="shared" ref="S193:S248" ca="1" si="126">SUM(P193:R193)</f>
        <v>0</v>
      </c>
      <c r="T193" s="1221"/>
      <c r="U193" s="971"/>
      <c r="V193" s="971"/>
    </row>
    <row r="194" spans="1:22" ht="27" customHeight="1" thickBot="1" x14ac:dyDescent="0.4">
      <c r="A194" s="5623"/>
      <c r="B194" s="1222">
        <v>5020</v>
      </c>
      <c r="C194" s="1223" t="s">
        <v>43</v>
      </c>
      <c r="D194" s="984" t="s">
        <v>44</v>
      </c>
      <c r="E194" s="1218">
        <f t="shared" ref="E194:K194" si="127">+INT(E301)</f>
        <v>0</v>
      </c>
      <c r="F194" s="1218">
        <f t="shared" si="127"/>
        <v>0</v>
      </c>
      <c r="G194" s="1218">
        <f t="shared" si="127"/>
        <v>0</v>
      </c>
      <c r="H194" s="1218">
        <f t="shared" si="127"/>
        <v>0</v>
      </c>
      <c r="I194" s="1218">
        <f t="shared" ca="1" si="127"/>
        <v>0</v>
      </c>
      <c r="J194" s="1218">
        <f t="shared" ca="1" si="127"/>
        <v>0</v>
      </c>
      <c r="K194" s="1218">
        <f t="shared" ca="1" si="127"/>
        <v>0</v>
      </c>
      <c r="L194" s="1224"/>
      <c r="M194" s="1224"/>
      <c r="N194" s="1224"/>
      <c r="O194" s="1225"/>
      <c r="P194" s="1219">
        <f t="shared" ref="P194:P246" ca="1" si="128">+F194+I194</f>
        <v>0</v>
      </c>
      <c r="Q194" s="1219">
        <f t="shared" ref="Q194:Q246" ca="1" si="129">+G194+J194</f>
        <v>0</v>
      </c>
      <c r="R194" s="1220">
        <f t="shared" ref="R194:R246" ca="1" si="130">+H194+K194</f>
        <v>0</v>
      </c>
      <c r="S194" s="1220">
        <f t="shared" ca="1" si="126"/>
        <v>0</v>
      </c>
      <c r="T194" s="1226"/>
      <c r="U194" s="971"/>
      <c r="V194" s="971"/>
    </row>
    <row r="195" spans="1:22" ht="27" customHeight="1" thickBot="1" x14ac:dyDescent="0.4">
      <c r="A195" s="5623"/>
      <c r="B195" s="1227">
        <v>5500</v>
      </c>
      <c r="C195" s="5489" t="s">
        <v>45</v>
      </c>
      <c r="D195" s="1228" t="s">
        <v>46</v>
      </c>
      <c r="E195" s="1218">
        <f t="shared" ref="E195:K195" si="131">+INT(E302)</f>
        <v>0</v>
      </c>
      <c r="F195" s="1218">
        <f t="shared" si="131"/>
        <v>0</v>
      </c>
      <c r="G195" s="1218">
        <f t="shared" si="131"/>
        <v>0</v>
      </c>
      <c r="H195" s="1218">
        <f t="shared" si="131"/>
        <v>0</v>
      </c>
      <c r="I195" s="1218">
        <f t="shared" ca="1" si="131"/>
        <v>0</v>
      </c>
      <c r="J195" s="1218">
        <f t="shared" ca="1" si="131"/>
        <v>0</v>
      </c>
      <c r="K195" s="1218">
        <f t="shared" ca="1" si="131"/>
        <v>0</v>
      </c>
      <c r="L195" s="1224"/>
      <c r="M195" s="1224"/>
      <c r="N195" s="1224"/>
      <c r="O195" s="1225"/>
      <c r="P195" s="1219">
        <f t="shared" ca="1" si="128"/>
        <v>0</v>
      </c>
      <c r="Q195" s="1219">
        <f t="shared" ca="1" si="129"/>
        <v>0</v>
      </c>
      <c r="R195" s="1220">
        <f t="shared" ca="1" si="130"/>
        <v>0</v>
      </c>
      <c r="S195" s="1220">
        <f t="shared" ca="1" si="126"/>
        <v>0</v>
      </c>
      <c r="T195" s="1226"/>
      <c r="U195" s="971"/>
      <c r="V195" s="971"/>
    </row>
    <row r="196" spans="1:22" ht="27" customHeight="1" thickBot="1" x14ac:dyDescent="0.4">
      <c r="A196" s="5623"/>
      <c r="B196" s="1227"/>
      <c r="C196" s="5490"/>
      <c r="D196" s="1228" t="s">
        <v>47</v>
      </c>
      <c r="E196" s="1218">
        <f t="shared" ref="E196:K196" si="132">+INT(E303)</f>
        <v>0</v>
      </c>
      <c r="F196" s="1218">
        <f t="shared" si="132"/>
        <v>0</v>
      </c>
      <c r="G196" s="1218">
        <f t="shared" si="132"/>
        <v>0</v>
      </c>
      <c r="H196" s="1218">
        <f t="shared" si="132"/>
        <v>0</v>
      </c>
      <c r="I196" s="1218">
        <f t="shared" ca="1" si="132"/>
        <v>0</v>
      </c>
      <c r="J196" s="1218">
        <f t="shared" ca="1" si="132"/>
        <v>0</v>
      </c>
      <c r="K196" s="1218">
        <f t="shared" ca="1" si="132"/>
        <v>0</v>
      </c>
      <c r="L196" s="1224"/>
      <c r="M196" s="1224"/>
      <c r="N196" s="1224"/>
      <c r="O196" s="1225"/>
      <c r="P196" s="1219"/>
      <c r="Q196" s="1219"/>
      <c r="R196" s="1220"/>
      <c r="S196" s="1220"/>
      <c r="T196" s="1226"/>
      <c r="U196" s="971"/>
      <c r="V196" s="971"/>
    </row>
    <row r="197" spans="1:22" ht="27" customHeight="1" thickBot="1" x14ac:dyDescent="0.4">
      <c r="A197" s="5623"/>
      <c r="B197" s="1227"/>
      <c r="C197" s="5490"/>
      <c r="D197" s="987" t="s">
        <v>637</v>
      </c>
      <c r="E197" s="1218" t="e">
        <f t="shared" ref="E197:K197" si="133">+INT(E304)</f>
        <v>#REF!</v>
      </c>
      <c r="F197" s="1218" t="e">
        <f t="shared" si="133"/>
        <v>#REF!</v>
      </c>
      <c r="G197" s="1218" t="e">
        <f t="shared" si="133"/>
        <v>#REF!</v>
      </c>
      <c r="H197" s="1218" t="e">
        <f t="shared" si="133"/>
        <v>#REF!</v>
      </c>
      <c r="I197" s="1218" t="e">
        <f t="shared" si="133"/>
        <v>#REF!</v>
      </c>
      <c r="J197" s="1218" t="e">
        <f t="shared" si="133"/>
        <v>#REF!</v>
      </c>
      <c r="K197" s="1218" t="e">
        <f t="shared" si="133"/>
        <v>#REF!</v>
      </c>
      <c r="L197" s="1224"/>
      <c r="M197" s="1224"/>
      <c r="N197" s="1224"/>
      <c r="O197" s="1225"/>
      <c r="P197" s="1219"/>
      <c r="Q197" s="1219"/>
      <c r="R197" s="1220"/>
      <c r="S197" s="1220"/>
      <c r="T197" s="1226"/>
      <c r="U197" s="971"/>
      <c r="V197" s="971"/>
    </row>
    <row r="198" spans="1:22" ht="27" customHeight="1" thickBot="1" x14ac:dyDescent="0.4">
      <c r="A198" s="5623"/>
      <c r="B198" s="1227"/>
      <c r="C198" s="5491"/>
      <c r="D198" s="987" t="s">
        <v>49</v>
      </c>
      <c r="E198" s="1218" t="e">
        <f t="shared" ref="E198:K198" si="134">+INT(E305)</f>
        <v>#REF!</v>
      </c>
      <c r="F198" s="1218" t="e">
        <f t="shared" si="134"/>
        <v>#REF!</v>
      </c>
      <c r="G198" s="1218" t="e">
        <f t="shared" si="134"/>
        <v>#REF!</v>
      </c>
      <c r="H198" s="1218" t="e">
        <f t="shared" si="134"/>
        <v>#REF!</v>
      </c>
      <c r="I198" s="1218" t="e">
        <f t="shared" si="134"/>
        <v>#REF!</v>
      </c>
      <c r="J198" s="1218" t="e">
        <f t="shared" si="134"/>
        <v>#REF!</v>
      </c>
      <c r="K198" s="1218" t="e">
        <f t="shared" si="134"/>
        <v>#REF!</v>
      </c>
      <c r="L198" s="1224"/>
      <c r="M198" s="1224"/>
      <c r="N198" s="1224"/>
      <c r="O198" s="1225"/>
      <c r="P198" s="1219"/>
      <c r="Q198" s="1219"/>
      <c r="R198" s="1220"/>
      <c r="S198" s="1220"/>
      <c r="T198" s="1226"/>
      <c r="U198" s="971"/>
      <c r="V198" s="971"/>
    </row>
    <row r="199" spans="1:22" ht="27" customHeight="1" thickBot="1" x14ac:dyDescent="0.4">
      <c r="A199" s="5623"/>
      <c r="B199" s="1229">
        <v>6000</v>
      </c>
      <c r="C199" s="1230" t="s">
        <v>933</v>
      </c>
      <c r="D199" s="877" t="s">
        <v>934</v>
      </c>
      <c r="E199" s="1218">
        <f t="shared" ref="E199:K199" si="135">+INT(E306)</f>
        <v>0</v>
      </c>
      <c r="F199" s="1218">
        <f t="shared" si="135"/>
        <v>0</v>
      </c>
      <c r="G199" s="1218">
        <f t="shared" si="135"/>
        <v>0</v>
      </c>
      <c r="H199" s="1218">
        <f t="shared" si="135"/>
        <v>0</v>
      </c>
      <c r="I199" s="1218">
        <f t="shared" ca="1" si="135"/>
        <v>0</v>
      </c>
      <c r="J199" s="1218">
        <f t="shared" ca="1" si="135"/>
        <v>0</v>
      </c>
      <c r="K199" s="1218">
        <f t="shared" ca="1" si="135"/>
        <v>0</v>
      </c>
      <c r="L199" s="1224"/>
      <c r="M199" s="1224"/>
      <c r="N199" s="1224"/>
      <c r="O199" s="1225"/>
      <c r="P199" s="1219">
        <f t="shared" ca="1" si="128"/>
        <v>0</v>
      </c>
      <c r="Q199" s="1219">
        <f t="shared" ca="1" si="129"/>
        <v>0</v>
      </c>
      <c r="R199" s="1220">
        <f t="shared" ca="1" si="130"/>
        <v>0</v>
      </c>
      <c r="S199" s="1220">
        <f t="shared" ca="1" si="126"/>
        <v>0</v>
      </c>
      <c r="T199" s="1226"/>
      <c r="U199" s="971" t="s">
        <v>866</v>
      </c>
      <c r="V199" s="971"/>
    </row>
    <row r="200" spans="1:22" ht="27" customHeight="1" thickBot="1" x14ac:dyDescent="0.4">
      <c r="A200" s="5545" t="s">
        <v>52</v>
      </c>
      <c r="B200" s="1217">
        <v>5000</v>
      </c>
      <c r="C200" s="5595" t="s">
        <v>42</v>
      </c>
      <c r="D200" s="5596"/>
      <c r="E200" s="1218">
        <f t="shared" ref="E200:K200" si="136">+INT(E307)</f>
        <v>0</v>
      </c>
      <c r="F200" s="1218">
        <f t="shared" si="136"/>
        <v>0</v>
      </c>
      <c r="G200" s="1218">
        <f t="shared" si="136"/>
        <v>0</v>
      </c>
      <c r="H200" s="1218">
        <f t="shared" si="136"/>
        <v>0</v>
      </c>
      <c r="I200" s="1218">
        <f t="shared" ca="1" si="136"/>
        <v>0</v>
      </c>
      <c r="J200" s="1218">
        <f t="shared" ca="1" si="136"/>
        <v>0</v>
      </c>
      <c r="K200" s="1218">
        <f t="shared" ca="1" si="136"/>
        <v>0</v>
      </c>
      <c r="L200" s="1231"/>
      <c r="M200" s="1231"/>
      <c r="N200" s="1231"/>
      <c r="O200" s="1232"/>
      <c r="P200" s="1219">
        <f t="shared" ca="1" si="128"/>
        <v>0</v>
      </c>
      <c r="Q200" s="1219">
        <f t="shared" ca="1" si="129"/>
        <v>0</v>
      </c>
      <c r="R200" s="1220">
        <f t="shared" ca="1" si="130"/>
        <v>0</v>
      </c>
      <c r="S200" s="1220">
        <f t="shared" ca="1" si="126"/>
        <v>0</v>
      </c>
      <c r="T200" s="1226"/>
      <c r="U200" s="971"/>
      <c r="V200" s="971"/>
    </row>
    <row r="201" spans="1:22" ht="27" customHeight="1" thickBot="1" x14ac:dyDescent="0.4">
      <c r="A201" s="5546"/>
      <c r="B201" s="1222">
        <v>5020</v>
      </c>
      <c r="C201" s="1223" t="s">
        <v>43</v>
      </c>
      <c r="D201" s="984" t="s">
        <v>44</v>
      </c>
      <c r="E201" s="1218" t="e">
        <f t="shared" ref="E201:K201" si="137">+INT(E308)</f>
        <v>#REF!</v>
      </c>
      <c r="F201" s="1218" t="e">
        <f t="shared" si="137"/>
        <v>#REF!</v>
      </c>
      <c r="G201" s="1218" t="e">
        <f t="shared" si="137"/>
        <v>#REF!</v>
      </c>
      <c r="H201" s="1218" t="e">
        <f t="shared" si="137"/>
        <v>#REF!</v>
      </c>
      <c r="I201" s="1218" t="e">
        <f t="shared" si="137"/>
        <v>#REF!</v>
      </c>
      <c r="J201" s="1218" t="e">
        <f t="shared" si="137"/>
        <v>#REF!</v>
      </c>
      <c r="K201" s="1218" t="e">
        <f t="shared" si="137"/>
        <v>#REF!</v>
      </c>
      <c r="L201" s="1224"/>
      <c r="M201" s="1224"/>
      <c r="N201" s="1224"/>
      <c r="O201" s="1225"/>
      <c r="P201" s="1219" t="e">
        <f t="shared" si="128"/>
        <v>#REF!</v>
      </c>
      <c r="Q201" s="1219" t="e">
        <f t="shared" si="129"/>
        <v>#REF!</v>
      </c>
      <c r="R201" s="1220" t="e">
        <f t="shared" si="130"/>
        <v>#REF!</v>
      </c>
      <c r="S201" s="1220" t="e">
        <f t="shared" si="126"/>
        <v>#REF!</v>
      </c>
      <c r="T201" s="1226"/>
      <c r="U201" s="971"/>
      <c r="V201" s="971"/>
    </row>
    <row r="202" spans="1:22" ht="27" customHeight="1" thickBot="1" x14ac:dyDescent="0.4">
      <c r="A202" s="5546"/>
      <c r="B202" s="1233">
        <v>5500</v>
      </c>
      <c r="C202" s="5481" t="s">
        <v>45</v>
      </c>
      <c r="D202" s="1228" t="s">
        <v>46</v>
      </c>
      <c r="E202" s="1218">
        <f t="shared" ref="E202:K202" si="138">+INT(E309)</f>
        <v>0</v>
      </c>
      <c r="F202" s="1218">
        <f t="shared" si="138"/>
        <v>0</v>
      </c>
      <c r="G202" s="1218">
        <f t="shared" si="138"/>
        <v>0</v>
      </c>
      <c r="H202" s="1218">
        <f t="shared" si="138"/>
        <v>0</v>
      </c>
      <c r="I202" s="1218">
        <f t="shared" ca="1" si="138"/>
        <v>0</v>
      </c>
      <c r="J202" s="1218">
        <f t="shared" ca="1" si="138"/>
        <v>0</v>
      </c>
      <c r="K202" s="1218">
        <f t="shared" ca="1" si="138"/>
        <v>0</v>
      </c>
      <c r="L202" s="1224"/>
      <c r="M202" s="1224"/>
      <c r="N202" s="1224"/>
      <c r="O202" s="1225"/>
      <c r="P202" s="1219">
        <f t="shared" ca="1" si="128"/>
        <v>0</v>
      </c>
      <c r="Q202" s="1219">
        <f t="shared" ca="1" si="129"/>
        <v>0</v>
      </c>
      <c r="R202" s="1220">
        <f t="shared" ca="1" si="130"/>
        <v>0</v>
      </c>
      <c r="S202" s="1220">
        <f t="shared" ca="1" si="126"/>
        <v>0</v>
      </c>
      <c r="T202" s="1226"/>
      <c r="U202" s="971"/>
      <c r="V202" s="971"/>
    </row>
    <row r="203" spans="1:22" ht="27" customHeight="1" thickBot="1" x14ac:dyDescent="0.4">
      <c r="A203" s="5546"/>
      <c r="B203" s="1234"/>
      <c r="C203" s="5482"/>
      <c r="D203" s="1228" t="s">
        <v>47</v>
      </c>
      <c r="E203" s="1218">
        <f t="shared" ref="E203:K203" si="139">+INT(E310)</f>
        <v>0</v>
      </c>
      <c r="F203" s="1218">
        <f t="shared" si="139"/>
        <v>0</v>
      </c>
      <c r="G203" s="1218">
        <f t="shared" si="139"/>
        <v>0</v>
      </c>
      <c r="H203" s="1218">
        <f t="shared" si="139"/>
        <v>0</v>
      </c>
      <c r="I203" s="1218">
        <f t="shared" ca="1" si="139"/>
        <v>0</v>
      </c>
      <c r="J203" s="1218">
        <f t="shared" ca="1" si="139"/>
        <v>0</v>
      </c>
      <c r="K203" s="1218">
        <f t="shared" ca="1" si="139"/>
        <v>0</v>
      </c>
      <c r="L203" s="1224"/>
      <c r="M203" s="1224"/>
      <c r="N203" s="1224"/>
      <c r="O203" s="1225"/>
      <c r="P203" s="1219">
        <f t="shared" ca="1" si="128"/>
        <v>0</v>
      </c>
      <c r="Q203" s="1219">
        <f t="shared" ca="1" si="129"/>
        <v>0</v>
      </c>
      <c r="R203" s="1220">
        <f t="shared" ca="1" si="130"/>
        <v>0</v>
      </c>
      <c r="S203" s="1220">
        <f t="shared" ca="1" si="126"/>
        <v>0</v>
      </c>
      <c r="T203" s="1226"/>
      <c r="U203" s="971"/>
      <c r="V203" s="971"/>
    </row>
    <row r="204" spans="1:22" ht="27" customHeight="1" thickBot="1" x14ac:dyDescent="0.4">
      <c r="A204" s="5546"/>
      <c r="B204" s="1235">
        <v>5550</v>
      </c>
      <c r="C204" s="5482"/>
      <c r="D204" s="1228" t="s">
        <v>950</v>
      </c>
      <c r="E204" s="1218">
        <f t="shared" ref="E204:K204" si="140">+INT(E311)</f>
        <v>0</v>
      </c>
      <c r="F204" s="1218">
        <f t="shared" si="140"/>
        <v>0</v>
      </c>
      <c r="G204" s="1218">
        <f t="shared" si="140"/>
        <v>0</v>
      </c>
      <c r="H204" s="1218">
        <f t="shared" si="140"/>
        <v>0</v>
      </c>
      <c r="I204" s="1218">
        <f t="shared" ca="1" si="140"/>
        <v>0</v>
      </c>
      <c r="J204" s="1218">
        <f t="shared" ca="1" si="140"/>
        <v>0</v>
      </c>
      <c r="K204" s="1218">
        <f t="shared" ca="1" si="140"/>
        <v>0</v>
      </c>
      <c r="L204" s="1224"/>
      <c r="M204" s="1224"/>
      <c r="N204" s="1224"/>
      <c r="O204" s="1225"/>
      <c r="P204" s="1219">
        <f t="shared" ca="1" si="128"/>
        <v>0</v>
      </c>
      <c r="Q204" s="1219">
        <f t="shared" ca="1" si="129"/>
        <v>0</v>
      </c>
      <c r="R204" s="1220">
        <f t="shared" ca="1" si="130"/>
        <v>0</v>
      </c>
      <c r="S204" s="1220">
        <f t="shared" ca="1" si="126"/>
        <v>0</v>
      </c>
      <c r="T204" s="1226"/>
      <c r="U204" s="971" t="s">
        <v>866</v>
      </c>
      <c r="V204" s="971"/>
    </row>
    <row r="205" spans="1:22" ht="27" customHeight="1" thickBot="1" x14ac:dyDescent="0.4">
      <c r="A205" s="5546"/>
      <c r="B205" s="1235">
        <v>5560</v>
      </c>
      <c r="C205" s="5482"/>
      <c r="D205" s="1228" t="s">
        <v>951</v>
      </c>
      <c r="E205" s="1218" t="e">
        <f t="shared" ref="E205:K205" si="141">+INT(E312)</f>
        <v>#REF!</v>
      </c>
      <c r="F205" s="1218" t="e">
        <f t="shared" si="141"/>
        <v>#REF!</v>
      </c>
      <c r="G205" s="1218" t="e">
        <f t="shared" si="141"/>
        <v>#REF!</v>
      </c>
      <c r="H205" s="1218" t="e">
        <f t="shared" si="141"/>
        <v>#REF!</v>
      </c>
      <c r="I205" s="1218" t="e">
        <f t="shared" si="141"/>
        <v>#REF!</v>
      </c>
      <c r="J205" s="1218" t="e">
        <f t="shared" si="141"/>
        <v>#REF!</v>
      </c>
      <c r="K205" s="1218" t="e">
        <f t="shared" si="141"/>
        <v>#REF!</v>
      </c>
      <c r="L205" s="1236"/>
      <c r="M205" s="1236"/>
      <c r="N205" s="1236"/>
      <c r="O205" s="1237"/>
      <c r="P205" s="1219" t="e">
        <f t="shared" si="128"/>
        <v>#REF!</v>
      </c>
      <c r="Q205" s="1219" t="e">
        <f t="shared" si="129"/>
        <v>#REF!</v>
      </c>
      <c r="R205" s="1220" t="e">
        <f t="shared" si="130"/>
        <v>#REF!</v>
      </c>
      <c r="S205" s="1220" t="e">
        <f t="shared" si="126"/>
        <v>#REF!</v>
      </c>
      <c r="T205" s="1238"/>
      <c r="U205" s="1239" t="e">
        <f ca="1">+T205-S38</f>
        <v>#REF!</v>
      </c>
      <c r="V205" s="971"/>
    </row>
    <row r="206" spans="1:22" ht="27" customHeight="1" thickBot="1" x14ac:dyDescent="0.4">
      <c r="A206" s="5546"/>
      <c r="B206" s="1235"/>
      <c r="C206" s="5482"/>
      <c r="D206" s="987" t="s">
        <v>637</v>
      </c>
      <c r="E206" s="1218">
        <f t="shared" ref="E206:K206" si="142">+INT(E313)</f>
        <v>0</v>
      </c>
      <c r="F206" s="1218">
        <f t="shared" si="142"/>
        <v>0</v>
      </c>
      <c r="G206" s="1218">
        <f t="shared" si="142"/>
        <v>0</v>
      </c>
      <c r="H206" s="1218">
        <f t="shared" si="142"/>
        <v>0</v>
      </c>
      <c r="I206" s="1218">
        <f t="shared" ca="1" si="142"/>
        <v>0</v>
      </c>
      <c r="J206" s="1218">
        <f t="shared" ca="1" si="142"/>
        <v>0</v>
      </c>
      <c r="K206" s="1218">
        <f t="shared" ca="1" si="142"/>
        <v>0</v>
      </c>
      <c r="L206" s="1231"/>
      <c r="M206" s="1231"/>
      <c r="N206" s="1231"/>
      <c r="O206" s="1232"/>
      <c r="P206" s="1219">
        <f t="shared" ca="1" si="128"/>
        <v>0</v>
      </c>
      <c r="Q206" s="1219">
        <f t="shared" ca="1" si="129"/>
        <v>0</v>
      </c>
      <c r="R206" s="1220">
        <f t="shared" ca="1" si="130"/>
        <v>0</v>
      </c>
      <c r="S206" s="1220">
        <f t="shared" ca="1" si="126"/>
        <v>0</v>
      </c>
      <c r="T206" s="1226"/>
      <c r="U206" s="971"/>
      <c r="V206" s="971"/>
    </row>
    <row r="207" spans="1:22" ht="27" customHeight="1" thickBot="1" x14ac:dyDescent="0.4">
      <c r="A207" s="5546"/>
      <c r="B207" s="1235"/>
      <c r="C207" s="5482"/>
      <c r="D207" s="987" t="s">
        <v>49</v>
      </c>
      <c r="E207" s="1218">
        <f t="shared" ref="E207:K207" si="143">+INT(E314)</f>
        <v>0</v>
      </c>
      <c r="F207" s="1218">
        <f t="shared" si="143"/>
        <v>0</v>
      </c>
      <c r="G207" s="1218">
        <f t="shared" si="143"/>
        <v>0</v>
      </c>
      <c r="H207" s="1218">
        <f t="shared" si="143"/>
        <v>0</v>
      </c>
      <c r="I207" s="1218">
        <f t="shared" ca="1" si="143"/>
        <v>0</v>
      </c>
      <c r="J207" s="1218">
        <f t="shared" ca="1" si="143"/>
        <v>0</v>
      </c>
      <c r="K207" s="1218">
        <f t="shared" ca="1" si="143"/>
        <v>0</v>
      </c>
      <c r="L207" s="1224"/>
      <c r="M207" s="1224"/>
      <c r="N207" s="1224"/>
      <c r="O207" s="1225"/>
      <c r="P207" s="1219"/>
      <c r="Q207" s="1219"/>
      <c r="R207" s="1220"/>
      <c r="S207" s="1220"/>
      <c r="T207" s="1226"/>
      <c r="U207" s="971"/>
      <c r="V207" s="971"/>
    </row>
    <row r="208" spans="1:22" ht="27" customHeight="1" thickBot="1" x14ac:dyDescent="0.4">
      <c r="A208" s="5546"/>
      <c r="B208" s="1240">
        <v>5570</v>
      </c>
      <c r="C208" s="5482"/>
      <c r="D208" s="987" t="s">
        <v>952</v>
      </c>
      <c r="E208" s="1218" t="e">
        <f t="shared" ref="E208:K208" si="144">+INT(E315)</f>
        <v>#REF!</v>
      </c>
      <c r="F208" s="1218" t="e">
        <f t="shared" si="144"/>
        <v>#REF!</v>
      </c>
      <c r="G208" s="1218" t="e">
        <f t="shared" si="144"/>
        <v>#REF!</v>
      </c>
      <c r="H208" s="1218" t="e">
        <f t="shared" si="144"/>
        <v>#REF!</v>
      </c>
      <c r="I208" s="1218" t="e">
        <f t="shared" si="144"/>
        <v>#REF!</v>
      </c>
      <c r="J208" s="1218" t="e">
        <f t="shared" si="144"/>
        <v>#REF!</v>
      </c>
      <c r="K208" s="1218" t="e">
        <f t="shared" si="144"/>
        <v>#REF!</v>
      </c>
      <c r="L208" s="1224"/>
      <c r="M208" s="1224"/>
      <c r="N208" s="1224"/>
      <c r="O208" s="1225"/>
      <c r="P208" s="1219"/>
      <c r="Q208" s="1219"/>
      <c r="R208" s="1220"/>
      <c r="S208" s="1220"/>
      <c r="T208" s="1226"/>
      <c r="U208" s="971"/>
      <c r="V208" s="971"/>
    </row>
    <row r="209" spans="1:22" ht="27" customHeight="1" thickBot="1" x14ac:dyDescent="0.4">
      <c r="A209" s="5546"/>
      <c r="B209" s="1240">
        <v>5580</v>
      </c>
      <c r="C209" s="5483"/>
      <c r="D209" s="987" t="s">
        <v>953</v>
      </c>
      <c r="E209" s="1218" t="e">
        <f t="shared" ref="E209:K209" si="145">+INT(E316)</f>
        <v>#REF!</v>
      </c>
      <c r="F209" s="1218" t="e">
        <f t="shared" si="145"/>
        <v>#REF!</v>
      </c>
      <c r="G209" s="1218" t="e">
        <f t="shared" si="145"/>
        <v>#REF!</v>
      </c>
      <c r="H209" s="1218" t="e">
        <f t="shared" si="145"/>
        <v>#REF!</v>
      </c>
      <c r="I209" s="1218" t="e">
        <f t="shared" si="145"/>
        <v>#REF!</v>
      </c>
      <c r="J209" s="1218" t="e">
        <f t="shared" si="145"/>
        <v>#REF!</v>
      </c>
      <c r="K209" s="1218" t="e">
        <f t="shared" si="145"/>
        <v>#REF!</v>
      </c>
      <c r="L209" s="1224"/>
      <c r="M209" s="1224"/>
      <c r="N209" s="1224"/>
      <c r="O209" s="1225"/>
      <c r="P209" s="1219"/>
      <c r="Q209" s="1219"/>
      <c r="R209" s="1220"/>
      <c r="S209" s="1220"/>
      <c r="T209" s="1226"/>
      <c r="U209" s="971"/>
      <c r="V209" s="971"/>
    </row>
    <row r="210" spans="1:22" ht="27" customHeight="1" thickBot="1" x14ac:dyDescent="0.4">
      <c r="A210" s="5547"/>
      <c r="B210" s="1229">
        <v>6000</v>
      </c>
      <c r="C210" s="1241" t="s">
        <v>50</v>
      </c>
      <c r="D210" s="877" t="s">
        <v>934</v>
      </c>
      <c r="E210" s="1218">
        <f t="shared" ref="E210:K210" si="146">+INT(E317)</f>
        <v>0</v>
      </c>
      <c r="F210" s="1218">
        <f t="shared" si="146"/>
        <v>0</v>
      </c>
      <c r="G210" s="1218">
        <f t="shared" si="146"/>
        <v>0</v>
      </c>
      <c r="H210" s="1218">
        <f t="shared" si="146"/>
        <v>0</v>
      </c>
      <c r="I210" s="1218">
        <f t="shared" ca="1" si="146"/>
        <v>0</v>
      </c>
      <c r="J210" s="1218">
        <f t="shared" ca="1" si="146"/>
        <v>0</v>
      </c>
      <c r="K210" s="1218">
        <f t="shared" ca="1" si="146"/>
        <v>0</v>
      </c>
      <c r="L210" s="1224"/>
      <c r="M210" s="1224"/>
      <c r="N210" s="1224"/>
      <c r="O210" s="1225"/>
      <c r="P210" s="1219">
        <f t="shared" ca="1" si="128"/>
        <v>0</v>
      </c>
      <c r="Q210" s="1219">
        <f t="shared" ca="1" si="129"/>
        <v>0</v>
      </c>
      <c r="R210" s="1220">
        <f t="shared" ca="1" si="130"/>
        <v>0</v>
      </c>
      <c r="S210" s="1220">
        <f t="shared" ca="1" si="126"/>
        <v>0</v>
      </c>
      <c r="T210" s="1242"/>
      <c r="U210" s="971"/>
      <c r="V210" s="971"/>
    </row>
    <row r="211" spans="1:22" ht="27" customHeight="1" thickBot="1" x14ac:dyDescent="0.4">
      <c r="A211" s="5549" t="s">
        <v>57</v>
      </c>
      <c r="B211" s="1217">
        <v>5000</v>
      </c>
      <c r="C211" s="5595" t="s">
        <v>42</v>
      </c>
      <c r="D211" s="5596"/>
      <c r="E211" s="1218">
        <f t="shared" ref="E211:K211" si="147">+INT(E318)</f>
        <v>0</v>
      </c>
      <c r="F211" s="1218">
        <f t="shared" si="147"/>
        <v>0</v>
      </c>
      <c r="G211" s="1218">
        <f t="shared" si="147"/>
        <v>0</v>
      </c>
      <c r="H211" s="1218">
        <f t="shared" si="147"/>
        <v>0</v>
      </c>
      <c r="I211" s="1218">
        <f t="shared" ca="1" si="147"/>
        <v>0</v>
      </c>
      <c r="J211" s="1218">
        <f t="shared" ca="1" si="147"/>
        <v>0</v>
      </c>
      <c r="K211" s="1218">
        <f t="shared" ca="1" si="147"/>
        <v>0</v>
      </c>
      <c r="L211" s="1224"/>
      <c r="M211" s="1224"/>
      <c r="N211" s="1224"/>
      <c r="O211" s="1225"/>
      <c r="P211" s="1219">
        <f t="shared" ca="1" si="128"/>
        <v>0</v>
      </c>
      <c r="Q211" s="1219">
        <f t="shared" ca="1" si="129"/>
        <v>0</v>
      </c>
      <c r="R211" s="1220">
        <f t="shared" ca="1" si="130"/>
        <v>0</v>
      </c>
      <c r="S211" s="1220">
        <f t="shared" ca="1" si="126"/>
        <v>0</v>
      </c>
      <c r="T211" s="1242"/>
      <c r="U211" s="971"/>
      <c r="V211" s="971"/>
    </row>
    <row r="212" spans="1:22" ht="27" customHeight="1" thickBot="1" x14ac:dyDescent="0.4">
      <c r="A212" s="5550"/>
      <c r="B212" s="1222">
        <v>5020</v>
      </c>
      <c r="C212" s="1223" t="s">
        <v>43</v>
      </c>
      <c r="D212" s="984" t="s">
        <v>44</v>
      </c>
      <c r="E212" s="1218" t="e">
        <f t="shared" ref="E212:K212" si="148">+INT(E319)</f>
        <v>#REF!</v>
      </c>
      <c r="F212" s="1218" t="e">
        <f t="shared" si="148"/>
        <v>#REF!</v>
      </c>
      <c r="G212" s="1218" t="e">
        <f t="shared" si="148"/>
        <v>#REF!</v>
      </c>
      <c r="H212" s="1218" t="e">
        <f t="shared" si="148"/>
        <v>#REF!</v>
      </c>
      <c r="I212" s="1218" t="e">
        <f t="shared" si="148"/>
        <v>#REF!</v>
      </c>
      <c r="J212" s="1218" t="e">
        <f t="shared" si="148"/>
        <v>#REF!</v>
      </c>
      <c r="K212" s="1218" t="e">
        <f t="shared" si="148"/>
        <v>#REF!</v>
      </c>
      <c r="L212" s="1224"/>
      <c r="M212" s="1224"/>
      <c r="N212" s="1224"/>
      <c r="O212" s="1225"/>
      <c r="P212" s="1219" t="e">
        <f t="shared" si="128"/>
        <v>#REF!</v>
      </c>
      <c r="Q212" s="1219" t="e">
        <f t="shared" si="129"/>
        <v>#REF!</v>
      </c>
      <c r="R212" s="1220" t="e">
        <f t="shared" si="130"/>
        <v>#REF!</v>
      </c>
      <c r="S212" s="1220" t="e">
        <f t="shared" si="126"/>
        <v>#REF!</v>
      </c>
      <c r="T212" s="1243"/>
    </row>
    <row r="213" spans="1:22" ht="27" customHeight="1" thickBot="1" x14ac:dyDescent="0.4">
      <c r="A213" s="5550"/>
      <c r="B213" s="1233">
        <v>5500</v>
      </c>
      <c r="C213" s="5481" t="s">
        <v>45</v>
      </c>
      <c r="D213" s="1228" t="s">
        <v>46</v>
      </c>
      <c r="E213" s="1218">
        <f t="shared" ref="E213:K213" si="149">+INT(E320)</f>
        <v>0</v>
      </c>
      <c r="F213" s="1218">
        <f t="shared" si="149"/>
        <v>0</v>
      </c>
      <c r="G213" s="1218">
        <f t="shared" si="149"/>
        <v>0</v>
      </c>
      <c r="H213" s="1218">
        <f t="shared" si="149"/>
        <v>0</v>
      </c>
      <c r="I213" s="1218">
        <f t="shared" ca="1" si="149"/>
        <v>0</v>
      </c>
      <c r="J213" s="1218">
        <f t="shared" ca="1" si="149"/>
        <v>0</v>
      </c>
      <c r="K213" s="1218">
        <f t="shared" ca="1" si="149"/>
        <v>0</v>
      </c>
      <c r="L213" s="1224"/>
      <c r="M213" s="1224"/>
      <c r="N213" s="1224"/>
      <c r="O213" s="1225"/>
      <c r="P213" s="1219">
        <f t="shared" ca="1" si="128"/>
        <v>0</v>
      </c>
      <c r="Q213" s="1219">
        <f t="shared" ca="1" si="129"/>
        <v>0</v>
      </c>
      <c r="R213" s="1220">
        <f t="shared" ca="1" si="130"/>
        <v>0</v>
      </c>
      <c r="S213" s="1220">
        <f t="shared" ca="1" si="126"/>
        <v>0</v>
      </c>
      <c r="T213" s="1242"/>
    </row>
    <row r="214" spans="1:22" ht="27" customHeight="1" thickBot="1" x14ac:dyDescent="0.4">
      <c r="A214" s="5550"/>
      <c r="B214" s="1234"/>
      <c r="C214" s="5482"/>
      <c r="D214" s="1228" t="s">
        <v>47</v>
      </c>
      <c r="E214" s="1218">
        <f t="shared" ref="E214:K214" si="150">+INT(E321)</f>
        <v>0</v>
      </c>
      <c r="F214" s="1218">
        <f t="shared" si="150"/>
        <v>0</v>
      </c>
      <c r="G214" s="1218">
        <f t="shared" si="150"/>
        <v>0</v>
      </c>
      <c r="H214" s="1218">
        <f t="shared" si="150"/>
        <v>0</v>
      </c>
      <c r="I214" s="1218">
        <f t="shared" ca="1" si="150"/>
        <v>0</v>
      </c>
      <c r="J214" s="1218">
        <f t="shared" ca="1" si="150"/>
        <v>0</v>
      </c>
      <c r="K214" s="1218">
        <f t="shared" ca="1" si="150"/>
        <v>0</v>
      </c>
      <c r="L214" s="1224"/>
      <c r="M214" s="1224"/>
      <c r="N214" s="1224"/>
      <c r="O214" s="1225"/>
      <c r="P214" s="1219">
        <f t="shared" ca="1" si="128"/>
        <v>0</v>
      </c>
      <c r="Q214" s="1219">
        <f t="shared" ca="1" si="129"/>
        <v>0</v>
      </c>
      <c r="R214" s="1220">
        <f t="shared" ca="1" si="130"/>
        <v>0</v>
      </c>
      <c r="S214" s="1220">
        <f t="shared" ca="1" si="126"/>
        <v>0</v>
      </c>
      <c r="T214" s="1242"/>
    </row>
    <row r="215" spans="1:22" ht="27" customHeight="1" thickBot="1" x14ac:dyDescent="0.4">
      <c r="A215" s="5550"/>
      <c r="B215" s="1244">
        <v>5550</v>
      </c>
      <c r="C215" s="5482"/>
      <c r="D215" s="1245" t="s">
        <v>950</v>
      </c>
      <c r="E215" s="1218" t="e">
        <f t="shared" ref="E215:K215" si="151">+INT(E322)</f>
        <v>#REF!</v>
      </c>
      <c r="F215" s="1218" t="e">
        <f t="shared" si="151"/>
        <v>#REF!</v>
      </c>
      <c r="G215" s="1218" t="e">
        <f t="shared" si="151"/>
        <v>#REF!</v>
      </c>
      <c r="H215" s="1218" t="e">
        <f t="shared" si="151"/>
        <v>#REF!</v>
      </c>
      <c r="I215" s="1218" t="e">
        <f t="shared" si="151"/>
        <v>#REF!</v>
      </c>
      <c r="J215" s="1218" t="e">
        <f t="shared" si="151"/>
        <v>#REF!</v>
      </c>
      <c r="K215" s="1218" t="e">
        <f t="shared" si="151"/>
        <v>#REF!</v>
      </c>
      <c r="L215" s="1224"/>
      <c r="M215" s="1224"/>
      <c r="N215" s="1224"/>
      <c r="O215" s="1225"/>
      <c r="P215" s="1219" t="e">
        <f t="shared" si="128"/>
        <v>#REF!</v>
      </c>
      <c r="Q215" s="1219" t="e">
        <f t="shared" si="129"/>
        <v>#REF!</v>
      </c>
      <c r="R215" s="1220" t="e">
        <f t="shared" si="130"/>
        <v>#REF!</v>
      </c>
      <c r="S215" s="1220" t="e">
        <f t="shared" si="126"/>
        <v>#REF!</v>
      </c>
      <c r="T215" s="1242"/>
    </row>
    <row r="216" spans="1:22" ht="27" customHeight="1" thickBot="1" x14ac:dyDescent="0.4">
      <c r="A216" s="5550"/>
      <c r="B216" s="1244">
        <v>5560</v>
      </c>
      <c r="C216" s="5482"/>
      <c r="D216" s="1245" t="s">
        <v>951</v>
      </c>
      <c r="E216" s="1218">
        <f t="shared" ref="E216:K216" si="152">+INT(E323)</f>
        <v>0</v>
      </c>
      <c r="F216" s="1218">
        <f t="shared" si="152"/>
        <v>0</v>
      </c>
      <c r="G216" s="1218">
        <f t="shared" si="152"/>
        <v>0</v>
      </c>
      <c r="H216" s="1218">
        <f t="shared" si="152"/>
        <v>0</v>
      </c>
      <c r="I216" s="1218">
        <f t="shared" ca="1" si="152"/>
        <v>0</v>
      </c>
      <c r="J216" s="1218">
        <f t="shared" ca="1" si="152"/>
        <v>0</v>
      </c>
      <c r="K216" s="1218">
        <f t="shared" ca="1" si="152"/>
        <v>0</v>
      </c>
      <c r="L216" s="1231"/>
      <c r="M216" s="1231"/>
      <c r="N216" s="1231"/>
      <c r="O216" s="1232"/>
      <c r="P216" s="1219">
        <f t="shared" ca="1" si="128"/>
        <v>0</v>
      </c>
      <c r="Q216" s="1219">
        <f t="shared" ca="1" si="129"/>
        <v>0</v>
      </c>
      <c r="R216" s="1220">
        <f t="shared" ca="1" si="130"/>
        <v>0</v>
      </c>
      <c r="S216" s="1220">
        <f t="shared" ca="1" si="126"/>
        <v>0</v>
      </c>
      <c r="T216" s="1242"/>
    </row>
    <row r="217" spans="1:22" ht="27" customHeight="1" thickBot="1" x14ac:dyDescent="0.4">
      <c r="A217" s="5550"/>
      <c r="B217" s="1244"/>
      <c r="C217" s="5482"/>
      <c r="D217" s="987" t="s">
        <v>637</v>
      </c>
      <c r="E217" s="1218" t="e">
        <f t="shared" ref="E217:K217" si="153">+INT(E324)</f>
        <v>#REF!</v>
      </c>
      <c r="F217" s="1218" t="e">
        <f t="shared" si="153"/>
        <v>#REF!</v>
      </c>
      <c r="G217" s="1218" t="e">
        <f t="shared" si="153"/>
        <v>#REF!</v>
      </c>
      <c r="H217" s="1218" t="e">
        <f t="shared" si="153"/>
        <v>#REF!</v>
      </c>
      <c r="I217" s="1218" t="e">
        <f t="shared" si="153"/>
        <v>#REF!</v>
      </c>
      <c r="J217" s="1218" t="e">
        <f t="shared" si="153"/>
        <v>#REF!</v>
      </c>
      <c r="K217" s="1218" t="e">
        <f t="shared" si="153"/>
        <v>#REF!</v>
      </c>
      <c r="L217" s="1224"/>
      <c r="M217" s="1224"/>
      <c r="N217" s="1224"/>
      <c r="O217" s="1225"/>
      <c r="P217" s="1219" t="e">
        <f t="shared" si="128"/>
        <v>#REF!</v>
      </c>
      <c r="Q217" s="1219" t="e">
        <f t="shared" si="129"/>
        <v>#REF!</v>
      </c>
      <c r="R217" s="1220" t="e">
        <f t="shared" si="130"/>
        <v>#REF!</v>
      </c>
      <c r="S217" s="1220" t="e">
        <f t="shared" si="126"/>
        <v>#REF!</v>
      </c>
      <c r="T217" s="1242"/>
    </row>
    <row r="218" spans="1:22" ht="27" customHeight="1" thickBot="1" x14ac:dyDescent="0.4">
      <c r="A218" s="5550"/>
      <c r="B218" s="1244"/>
      <c r="C218" s="5482"/>
      <c r="D218" s="987" t="s">
        <v>49</v>
      </c>
      <c r="E218" s="1218" t="e">
        <f t="shared" ref="E218:K218" si="154">+INT(E325)</f>
        <v>#REF!</v>
      </c>
      <c r="F218" s="1218" t="e">
        <f t="shared" si="154"/>
        <v>#REF!</v>
      </c>
      <c r="G218" s="1218" t="e">
        <f t="shared" si="154"/>
        <v>#REF!</v>
      </c>
      <c r="H218" s="1218" t="e">
        <f t="shared" si="154"/>
        <v>#REF!</v>
      </c>
      <c r="I218" s="1218" t="e">
        <f t="shared" si="154"/>
        <v>#REF!</v>
      </c>
      <c r="J218" s="1218" t="e">
        <f t="shared" si="154"/>
        <v>#REF!</v>
      </c>
      <c r="K218" s="1218" t="e">
        <f t="shared" si="154"/>
        <v>#REF!</v>
      </c>
      <c r="L218" s="1224"/>
      <c r="M218" s="1224"/>
      <c r="N218" s="1224"/>
      <c r="O218" s="1225"/>
      <c r="P218" s="1219"/>
      <c r="Q218" s="1219"/>
      <c r="R218" s="1220"/>
      <c r="S218" s="1220"/>
      <c r="T218" s="1242"/>
    </row>
    <row r="219" spans="1:22" ht="27" customHeight="1" thickBot="1" x14ac:dyDescent="0.4">
      <c r="A219" s="5550"/>
      <c r="B219" s="1246">
        <v>5570</v>
      </c>
      <c r="C219" s="5482"/>
      <c r="D219" s="1020" t="s">
        <v>954</v>
      </c>
      <c r="E219" s="1218">
        <f t="shared" ref="E219:K219" si="155">+INT(E326)</f>
        <v>0</v>
      </c>
      <c r="F219" s="1218">
        <f t="shared" si="155"/>
        <v>0</v>
      </c>
      <c r="G219" s="1218">
        <f t="shared" si="155"/>
        <v>0</v>
      </c>
      <c r="H219" s="1218">
        <f t="shared" si="155"/>
        <v>0</v>
      </c>
      <c r="I219" s="1218">
        <f t="shared" ca="1" si="155"/>
        <v>0</v>
      </c>
      <c r="J219" s="1218">
        <f t="shared" ca="1" si="155"/>
        <v>0</v>
      </c>
      <c r="K219" s="1218">
        <f t="shared" ca="1" si="155"/>
        <v>0</v>
      </c>
      <c r="L219" s="1224"/>
      <c r="M219" s="1224"/>
      <c r="N219" s="1224"/>
      <c r="O219" s="1225"/>
      <c r="P219" s="1219"/>
      <c r="Q219" s="1219"/>
      <c r="R219" s="1220"/>
      <c r="S219" s="1220"/>
      <c r="T219" s="1242"/>
    </row>
    <row r="220" spans="1:22" ht="27" customHeight="1" thickBot="1" x14ac:dyDescent="0.4">
      <c r="A220" s="5550"/>
      <c r="B220" s="1246">
        <v>5580</v>
      </c>
      <c r="C220" s="5483"/>
      <c r="D220" s="1020" t="s">
        <v>955</v>
      </c>
      <c r="E220" s="1218">
        <f t="shared" ref="E220:K220" si="156">+INT(E327)</f>
        <v>0</v>
      </c>
      <c r="F220" s="1218">
        <f t="shared" si="156"/>
        <v>0</v>
      </c>
      <c r="G220" s="1218">
        <f t="shared" si="156"/>
        <v>0</v>
      </c>
      <c r="H220" s="1218">
        <f t="shared" si="156"/>
        <v>0</v>
      </c>
      <c r="I220" s="1218">
        <f t="shared" ca="1" si="156"/>
        <v>0</v>
      </c>
      <c r="J220" s="1218">
        <f t="shared" ca="1" si="156"/>
        <v>0</v>
      </c>
      <c r="K220" s="1218">
        <f t="shared" ca="1" si="156"/>
        <v>0</v>
      </c>
      <c r="L220" s="1224"/>
      <c r="M220" s="1224"/>
      <c r="N220" s="1224"/>
      <c r="O220" s="1225"/>
      <c r="P220" s="1219"/>
      <c r="Q220" s="1219"/>
      <c r="R220" s="1220"/>
      <c r="S220" s="1220"/>
      <c r="T220" s="1242"/>
    </row>
    <row r="221" spans="1:22" ht="27" customHeight="1" thickBot="1" x14ac:dyDescent="0.4">
      <c r="A221" s="5550"/>
      <c r="B221" s="1229">
        <v>6000</v>
      </c>
      <c r="C221" s="1247" t="s">
        <v>61</v>
      </c>
      <c r="D221" s="1021" t="s">
        <v>934</v>
      </c>
      <c r="E221" s="1218" t="e">
        <f t="shared" ref="E221:K221" si="157">+INT(E328)</f>
        <v>#REF!</v>
      </c>
      <c r="F221" s="1218" t="e">
        <f t="shared" si="157"/>
        <v>#REF!</v>
      </c>
      <c r="G221" s="1218" t="e">
        <f t="shared" si="157"/>
        <v>#REF!</v>
      </c>
      <c r="H221" s="1218" t="e">
        <f t="shared" si="157"/>
        <v>#REF!</v>
      </c>
      <c r="I221" s="1218" t="e">
        <f t="shared" si="157"/>
        <v>#REF!</v>
      </c>
      <c r="J221" s="1218" t="e">
        <f t="shared" si="157"/>
        <v>#REF!</v>
      </c>
      <c r="K221" s="1218" t="e">
        <f t="shared" si="157"/>
        <v>#REF!</v>
      </c>
      <c r="L221" s="1224"/>
      <c r="M221" s="1224"/>
      <c r="N221" s="1224"/>
      <c r="O221" s="1225"/>
      <c r="P221" s="1219" t="e">
        <f t="shared" si="128"/>
        <v>#REF!</v>
      </c>
      <c r="Q221" s="1219" t="e">
        <f t="shared" si="129"/>
        <v>#REF!</v>
      </c>
      <c r="R221" s="1220" t="e">
        <f t="shared" si="130"/>
        <v>#REF!</v>
      </c>
      <c r="S221" s="1220" t="e">
        <f t="shared" si="126"/>
        <v>#REF!</v>
      </c>
      <c r="T221" s="1242"/>
    </row>
    <row r="222" spans="1:22" ht="27" customHeight="1" thickBot="1" x14ac:dyDescent="0.4">
      <c r="A222" s="5610" t="s">
        <v>62</v>
      </c>
      <c r="B222" s="1248">
        <v>5000</v>
      </c>
      <c r="C222" s="5595" t="s">
        <v>42</v>
      </c>
      <c r="D222" s="5597"/>
      <c r="E222" s="1218">
        <f t="shared" ref="E222:K222" si="158">+INT(E329)</f>
        <v>0</v>
      </c>
      <c r="F222" s="1218">
        <f t="shared" si="158"/>
        <v>0</v>
      </c>
      <c r="G222" s="1218">
        <f t="shared" si="158"/>
        <v>0</v>
      </c>
      <c r="H222" s="1218">
        <f t="shared" si="158"/>
        <v>0</v>
      </c>
      <c r="I222" s="1218">
        <f t="shared" ca="1" si="158"/>
        <v>0</v>
      </c>
      <c r="J222" s="1218">
        <f t="shared" ca="1" si="158"/>
        <v>0</v>
      </c>
      <c r="K222" s="1218">
        <f t="shared" ca="1" si="158"/>
        <v>0</v>
      </c>
      <c r="L222" s="1224"/>
      <c r="M222" s="1224"/>
      <c r="N222" s="1224"/>
      <c r="O222" s="1225"/>
      <c r="P222" s="1219">
        <f t="shared" ca="1" si="128"/>
        <v>0</v>
      </c>
      <c r="Q222" s="1219">
        <f t="shared" ca="1" si="129"/>
        <v>0</v>
      </c>
      <c r="R222" s="1220">
        <f t="shared" ca="1" si="130"/>
        <v>0</v>
      </c>
      <c r="S222" s="1220">
        <f t="shared" ca="1" si="126"/>
        <v>0</v>
      </c>
      <c r="T222" s="1242"/>
    </row>
    <row r="223" spans="1:22" ht="27" customHeight="1" thickBot="1" x14ac:dyDescent="0.4">
      <c r="A223" s="5611"/>
      <c r="B223" s="1249">
        <v>5020</v>
      </c>
      <c r="C223" s="1230" t="s">
        <v>43</v>
      </c>
      <c r="D223" s="1031" t="s">
        <v>44</v>
      </c>
      <c r="E223" s="1218">
        <f t="shared" ref="E223:K223" si="159">+INT(E330)</f>
        <v>0</v>
      </c>
      <c r="F223" s="1218">
        <f t="shared" si="159"/>
        <v>0</v>
      </c>
      <c r="G223" s="1218">
        <f t="shared" si="159"/>
        <v>0</v>
      </c>
      <c r="H223" s="1218">
        <f t="shared" si="159"/>
        <v>0</v>
      </c>
      <c r="I223" s="1218">
        <f t="shared" ca="1" si="159"/>
        <v>0</v>
      </c>
      <c r="J223" s="1218">
        <f t="shared" ca="1" si="159"/>
        <v>0</v>
      </c>
      <c r="K223" s="1218">
        <f t="shared" ca="1" si="159"/>
        <v>0</v>
      </c>
      <c r="L223" s="1224"/>
      <c r="M223" s="1224"/>
      <c r="N223" s="1224"/>
      <c r="O223" s="1225"/>
      <c r="P223" s="1219">
        <f t="shared" ca="1" si="128"/>
        <v>0</v>
      </c>
      <c r="Q223" s="1219">
        <f t="shared" ca="1" si="129"/>
        <v>0</v>
      </c>
      <c r="R223" s="1220">
        <f t="shared" ca="1" si="130"/>
        <v>0</v>
      </c>
      <c r="S223" s="1220">
        <f t="shared" ca="1" si="126"/>
        <v>0</v>
      </c>
      <c r="T223" s="1242"/>
    </row>
    <row r="224" spans="1:22" ht="27" customHeight="1" thickBot="1" x14ac:dyDescent="0.4">
      <c r="A224" s="5611"/>
      <c r="B224" s="1233">
        <v>5500</v>
      </c>
      <c r="C224" s="5548" t="s">
        <v>45</v>
      </c>
      <c r="D224" s="1228" t="s">
        <v>46</v>
      </c>
      <c r="E224" s="1218" t="e">
        <f t="shared" ref="E224:K224" si="160">+INT(E331)</f>
        <v>#REF!</v>
      </c>
      <c r="F224" s="1218" t="e">
        <f t="shared" si="160"/>
        <v>#REF!</v>
      </c>
      <c r="G224" s="1218" t="e">
        <f t="shared" si="160"/>
        <v>#REF!</v>
      </c>
      <c r="H224" s="1218" t="e">
        <f t="shared" si="160"/>
        <v>#REF!</v>
      </c>
      <c r="I224" s="1218" t="e">
        <f t="shared" si="160"/>
        <v>#REF!</v>
      </c>
      <c r="J224" s="1218" t="e">
        <f t="shared" si="160"/>
        <v>#REF!</v>
      </c>
      <c r="K224" s="1218" t="e">
        <f t="shared" si="160"/>
        <v>#REF!</v>
      </c>
      <c r="L224" s="1224"/>
      <c r="M224" s="1224"/>
      <c r="N224" s="1224"/>
      <c r="O224" s="1225"/>
      <c r="P224" s="1219" t="e">
        <f t="shared" si="128"/>
        <v>#REF!</v>
      </c>
      <c r="Q224" s="1219" t="e">
        <f t="shared" si="129"/>
        <v>#REF!</v>
      </c>
      <c r="R224" s="1220" t="e">
        <f t="shared" si="130"/>
        <v>#REF!</v>
      </c>
      <c r="S224" s="1220" t="e">
        <f t="shared" si="126"/>
        <v>#REF!</v>
      </c>
      <c r="T224" s="1242"/>
    </row>
    <row r="225" spans="1:20" ht="27" customHeight="1" thickBot="1" x14ac:dyDescent="0.4">
      <c r="A225" s="5611"/>
      <c r="B225" s="1234"/>
      <c r="C225" s="5548"/>
      <c r="D225" s="1228" t="s">
        <v>47</v>
      </c>
      <c r="E225" s="1218">
        <f t="shared" ref="E225:K225" si="161">+INT(E332)</f>
        <v>0</v>
      </c>
      <c r="F225" s="1218">
        <f t="shared" si="161"/>
        <v>0</v>
      </c>
      <c r="G225" s="1218">
        <f t="shared" si="161"/>
        <v>0</v>
      </c>
      <c r="H225" s="1218">
        <f t="shared" si="161"/>
        <v>0</v>
      </c>
      <c r="I225" s="1218">
        <f t="shared" ca="1" si="161"/>
        <v>0</v>
      </c>
      <c r="J225" s="1218">
        <f t="shared" ca="1" si="161"/>
        <v>0</v>
      </c>
      <c r="K225" s="1218">
        <f t="shared" ca="1" si="161"/>
        <v>0</v>
      </c>
      <c r="L225" s="1224"/>
      <c r="M225" s="1224"/>
      <c r="N225" s="1224"/>
      <c r="O225" s="1225"/>
      <c r="P225" s="1219">
        <f t="shared" ca="1" si="128"/>
        <v>0</v>
      </c>
      <c r="Q225" s="1219">
        <f t="shared" ca="1" si="129"/>
        <v>0</v>
      </c>
      <c r="R225" s="1220">
        <f t="shared" ca="1" si="130"/>
        <v>0</v>
      </c>
      <c r="S225" s="1220">
        <f t="shared" ca="1" si="126"/>
        <v>0</v>
      </c>
      <c r="T225" s="1242"/>
    </row>
    <row r="226" spans="1:20" ht="27" customHeight="1" thickBot="1" x14ac:dyDescent="0.4">
      <c r="A226" s="5611"/>
      <c r="B226" s="1235">
        <v>5550</v>
      </c>
      <c r="C226" s="5548"/>
      <c r="D226" s="1228" t="s">
        <v>950</v>
      </c>
      <c r="E226" s="1218" t="e">
        <f t="shared" ref="E226:K226" si="162">+INT(E333)</f>
        <v>#REF!</v>
      </c>
      <c r="F226" s="1218" t="e">
        <f t="shared" si="162"/>
        <v>#REF!</v>
      </c>
      <c r="G226" s="1218" t="e">
        <f t="shared" si="162"/>
        <v>#REF!</v>
      </c>
      <c r="H226" s="1218" t="e">
        <f t="shared" si="162"/>
        <v>#REF!</v>
      </c>
      <c r="I226" s="1218" t="e">
        <f t="shared" si="162"/>
        <v>#REF!</v>
      </c>
      <c r="J226" s="1218" t="e">
        <f t="shared" si="162"/>
        <v>#REF!</v>
      </c>
      <c r="K226" s="1218" t="e">
        <f t="shared" si="162"/>
        <v>#REF!</v>
      </c>
      <c r="L226" s="1231"/>
      <c r="M226" s="1231"/>
      <c r="N226" s="1231"/>
      <c r="O226" s="1232"/>
      <c r="P226" s="1219" t="e">
        <f t="shared" si="128"/>
        <v>#REF!</v>
      </c>
      <c r="Q226" s="1219" t="e">
        <f t="shared" si="129"/>
        <v>#REF!</v>
      </c>
      <c r="R226" s="1220" t="e">
        <f t="shared" si="130"/>
        <v>#REF!</v>
      </c>
      <c r="S226" s="1220" t="e">
        <f t="shared" si="126"/>
        <v>#REF!</v>
      </c>
      <c r="T226" s="1242"/>
    </row>
    <row r="227" spans="1:20" ht="27" customHeight="1" thickBot="1" x14ac:dyDescent="0.4">
      <c r="A227" s="5611"/>
      <c r="B227" s="1235">
        <v>5560</v>
      </c>
      <c r="C227" s="5548"/>
      <c r="D227" s="1228" t="s">
        <v>951</v>
      </c>
      <c r="E227" s="1218" t="e">
        <f t="shared" ref="E227:K227" si="163">+INT(E334)</f>
        <v>#REF!</v>
      </c>
      <c r="F227" s="1218" t="e">
        <f t="shared" si="163"/>
        <v>#REF!</v>
      </c>
      <c r="G227" s="1218" t="e">
        <f t="shared" si="163"/>
        <v>#REF!</v>
      </c>
      <c r="H227" s="1218" t="e">
        <f t="shared" si="163"/>
        <v>#REF!</v>
      </c>
      <c r="I227" s="1218" t="e">
        <f t="shared" si="163"/>
        <v>#REF!</v>
      </c>
      <c r="J227" s="1218" t="e">
        <f t="shared" si="163"/>
        <v>#REF!</v>
      </c>
      <c r="K227" s="1218" t="e">
        <f t="shared" si="163"/>
        <v>#REF!</v>
      </c>
      <c r="L227" s="1224"/>
      <c r="M227" s="1224"/>
      <c r="N227" s="1224"/>
      <c r="O227" s="1225"/>
      <c r="P227" s="1219" t="e">
        <f t="shared" si="128"/>
        <v>#REF!</v>
      </c>
      <c r="Q227" s="1219" t="e">
        <f t="shared" si="129"/>
        <v>#REF!</v>
      </c>
      <c r="R227" s="1220" t="e">
        <f t="shared" si="130"/>
        <v>#REF!</v>
      </c>
      <c r="S227" s="1220" t="e">
        <f t="shared" si="126"/>
        <v>#REF!</v>
      </c>
      <c r="T227" s="1242"/>
    </row>
    <row r="228" spans="1:20" ht="27" customHeight="1" thickBot="1" x14ac:dyDescent="0.4">
      <c r="A228" s="5611"/>
      <c r="B228" s="1235"/>
      <c r="C228" s="5548"/>
      <c r="D228" s="987" t="s">
        <v>637</v>
      </c>
      <c r="E228" s="1218">
        <f t="shared" ref="E228:K228" si="164">+INT(E335)</f>
        <v>0</v>
      </c>
      <c r="F228" s="1218">
        <f t="shared" si="164"/>
        <v>0</v>
      </c>
      <c r="G228" s="1218">
        <f t="shared" si="164"/>
        <v>0</v>
      </c>
      <c r="H228" s="1218">
        <f t="shared" si="164"/>
        <v>0</v>
      </c>
      <c r="I228" s="1218">
        <f t="shared" ca="1" si="164"/>
        <v>0</v>
      </c>
      <c r="J228" s="1218">
        <f t="shared" ca="1" si="164"/>
        <v>0</v>
      </c>
      <c r="K228" s="1218">
        <f t="shared" ca="1" si="164"/>
        <v>0</v>
      </c>
      <c r="L228" s="1224"/>
      <c r="M228" s="1224"/>
      <c r="N228" s="1224"/>
      <c r="O228" s="1225"/>
      <c r="P228" s="1219">
        <f t="shared" ca="1" si="128"/>
        <v>0</v>
      </c>
      <c r="Q228" s="1219">
        <f t="shared" ca="1" si="129"/>
        <v>0</v>
      </c>
      <c r="R228" s="1220">
        <f t="shared" ca="1" si="130"/>
        <v>0</v>
      </c>
      <c r="S228" s="1220">
        <f t="shared" ca="1" si="126"/>
        <v>0</v>
      </c>
      <c r="T228" s="1242"/>
    </row>
    <row r="229" spans="1:20" ht="27" customHeight="1" thickBot="1" x14ac:dyDescent="0.4">
      <c r="A229" s="5611"/>
      <c r="B229" s="1235"/>
      <c r="C229" s="5548"/>
      <c r="D229" s="987" t="s">
        <v>49</v>
      </c>
      <c r="E229" s="1218">
        <f t="shared" ref="E229:K229" si="165">+INT(E336)</f>
        <v>0</v>
      </c>
      <c r="F229" s="1218">
        <f t="shared" si="165"/>
        <v>0</v>
      </c>
      <c r="G229" s="1218">
        <f t="shared" si="165"/>
        <v>0</v>
      </c>
      <c r="H229" s="1218">
        <f t="shared" si="165"/>
        <v>0</v>
      </c>
      <c r="I229" s="1218">
        <f t="shared" ca="1" si="165"/>
        <v>0</v>
      </c>
      <c r="J229" s="1218">
        <f t="shared" ca="1" si="165"/>
        <v>0</v>
      </c>
      <c r="K229" s="1218">
        <f t="shared" ca="1" si="165"/>
        <v>0</v>
      </c>
      <c r="L229" s="1224"/>
      <c r="M229" s="1224"/>
      <c r="N229" s="1224"/>
      <c r="O229" s="1225"/>
      <c r="P229" s="1219"/>
      <c r="Q229" s="1219"/>
      <c r="R229" s="1220"/>
      <c r="S229" s="1220"/>
      <c r="T229" s="1242"/>
    </row>
    <row r="230" spans="1:20" ht="27" customHeight="1" thickBot="1" x14ac:dyDescent="0.4">
      <c r="A230" s="5611"/>
      <c r="B230" s="1240">
        <v>5570</v>
      </c>
      <c r="C230" s="5548"/>
      <c r="D230" s="987" t="s">
        <v>954</v>
      </c>
      <c r="E230" s="1218" t="e">
        <f t="shared" ref="E230:K230" si="166">+INT(E337)</f>
        <v>#REF!</v>
      </c>
      <c r="F230" s="1218" t="e">
        <f t="shared" si="166"/>
        <v>#REF!</v>
      </c>
      <c r="G230" s="1218" t="e">
        <f t="shared" si="166"/>
        <v>#REF!</v>
      </c>
      <c r="H230" s="1218" t="e">
        <f t="shared" si="166"/>
        <v>#REF!</v>
      </c>
      <c r="I230" s="1218" t="e">
        <f t="shared" si="166"/>
        <v>#REF!</v>
      </c>
      <c r="J230" s="1218" t="e">
        <f t="shared" si="166"/>
        <v>#REF!</v>
      </c>
      <c r="K230" s="1218" t="e">
        <f t="shared" si="166"/>
        <v>#REF!</v>
      </c>
      <c r="L230" s="1224"/>
      <c r="M230" s="1224"/>
      <c r="N230" s="1224"/>
      <c r="O230" s="1225"/>
      <c r="P230" s="1219"/>
      <c r="Q230" s="1219"/>
      <c r="R230" s="1220"/>
      <c r="S230" s="1220"/>
      <c r="T230" s="1242"/>
    </row>
    <row r="231" spans="1:20" ht="27" customHeight="1" thickBot="1" x14ac:dyDescent="0.4">
      <c r="A231" s="5611"/>
      <c r="B231" s="1240">
        <v>5580</v>
      </c>
      <c r="C231" s="5548"/>
      <c r="D231" s="987" t="s">
        <v>955</v>
      </c>
      <c r="E231" s="1218">
        <f t="shared" ref="E231:K231" si="167">+INT(E338)</f>
        <v>0</v>
      </c>
      <c r="F231" s="1218">
        <f t="shared" si="167"/>
        <v>0</v>
      </c>
      <c r="G231" s="1218">
        <f t="shared" si="167"/>
        <v>0</v>
      </c>
      <c r="H231" s="1218">
        <f t="shared" si="167"/>
        <v>0</v>
      </c>
      <c r="I231" s="1218">
        <f t="shared" ca="1" si="167"/>
        <v>0</v>
      </c>
      <c r="J231" s="1218">
        <f t="shared" ca="1" si="167"/>
        <v>0</v>
      </c>
      <c r="K231" s="1218">
        <f t="shared" ca="1" si="167"/>
        <v>0</v>
      </c>
      <c r="L231" s="1224"/>
      <c r="M231" s="1224"/>
      <c r="N231" s="1224"/>
      <c r="O231" s="1225"/>
      <c r="P231" s="1219"/>
      <c r="Q231" s="1219"/>
      <c r="R231" s="1220"/>
      <c r="S231" s="1220"/>
      <c r="T231" s="1242"/>
    </row>
    <row r="232" spans="1:20" ht="27" customHeight="1" thickBot="1" x14ac:dyDescent="0.4">
      <c r="A232" s="5611"/>
      <c r="B232" s="1229">
        <v>6000</v>
      </c>
      <c r="C232" s="1230" t="s">
        <v>66</v>
      </c>
      <c r="D232" s="1021" t="s">
        <v>934</v>
      </c>
      <c r="E232" s="1218">
        <f t="shared" ref="E232:K232" si="168">+INT(E339)</f>
        <v>0</v>
      </c>
      <c r="F232" s="1218">
        <f t="shared" si="168"/>
        <v>0</v>
      </c>
      <c r="G232" s="1218">
        <f t="shared" si="168"/>
        <v>0</v>
      </c>
      <c r="H232" s="1218">
        <f t="shared" si="168"/>
        <v>0</v>
      </c>
      <c r="I232" s="1218">
        <f t="shared" ca="1" si="168"/>
        <v>0</v>
      </c>
      <c r="J232" s="1218">
        <f t="shared" ca="1" si="168"/>
        <v>0</v>
      </c>
      <c r="K232" s="1218">
        <f t="shared" ca="1" si="168"/>
        <v>0</v>
      </c>
      <c r="L232" s="1224"/>
      <c r="M232" s="1224"/>
      <c r="N232" s="1224"/>
      <c r="O232" s="1225"/>
      <c r="P232" s="1219">
        <f t="shared" ca="1" si="128"/>
        <v>0</v>
      </c>
      <c r="Q232" s="1219">
        <f t="shared" ca="1" si="129"/>
        <v>0</v>
      </c>
      <c r="R232" s="1220">
        <f t="shared" ca="1" si="130"/>
        <v>0</v>
      </c>
      <c r="S232" s="1220">
        <f t="shared" ca="1" si="126"/>
        <v>0</v>
      </c>
      <c r="T232" s="1242"/>
    </row>
    <row r="233" spans="1:20" ht="27" customHeight="1" thickBot="1" x14ac:dyDescent="0.4">
      <c r="A233" s="5598" t="s">
        <v>67</v>
      </c>
      <c r="B233" s="1248">
        <v>5000</v>
      </c>
      <c r="C233" s="5599" t="s">
        <v>42</v>
      </c>
      <c r="D233" s="5600"/>
      <c r="E233" s="1218" t="e">
        <f t="shared" ref="E233:K233" si="169">+INT(E340)</f>
        <v>#REF!</v>
      </c>
      <c r="F233" s="1218" t="e">
        <f t="shared" si="169"/>
        <v>#REF!</v>
      </c>
      <c r="G233" s="1218" t="e">
        <f t="shared" si="169"/>
        <v>#REF!</v>
      </c>
      <c r="H233" s="1218" t="e">
        <f t="shared" si="169"/>
        <v>#REF!</v>
      </c>
      <c r="I233" s="1218" t="e">
        <f t="shared" si="169"/>
        <v>#REF!</v>
      </c>
      <c r="J233" s="1218" t="e">
        <f t="shared" si="169"/>
        <v>#REF!</v>
      </c>
      <c r="K233" s="1218" t="e">
        <f t="shared" si="169"/>
        <v>#REF!</v>
      </c>
      <c r="L233" s="1224"/>
      <c r="M233" s="1224"/>
      <c r="N233" s="1224"/>
      <c r="O233" s="1225"/>
      <c r="P233" s="1219" t="e">
        <f t="shared" si="128"/>
        <v>#REF!</v>
      </c>
      <c r="Q233" s="1219" t="e">
        <f t="shared" si="129"/>
        <v>#REF!</v>
      </c>
      <c r="R233" s="1220" t="e">
        <f t="shared" si="130"/>
        <v>#REF!</v>
      </c>
      <c r="S233" s="1220" t="e">
        <f t="shared" si="126"/>
        <v>#REF!</v>
      </c>
      <c r="T233" s="1242"/>
    </row>
    <row r="234" spans="1:20" ht="27" customHeight="1" thickBot="1" x14ac:dyDescent="0.4">
      <c r="A234" s="5598"/>
      <c r="B234" s="1249">
        <v>5020</v>
      </c>
      <c r="C234" s="1230" t="s">
        <v>43</v>
      </c>
      <c r="D234" s="1038" t="s">
        <v>44</v>
      </c>
      <c r="E234" s="1218">
        <f t="shared" ref="E234:K234" si="170">+INT(E341)</f>
        <v>0</v>
      </c>
      <c r="F234" s="1218">
        <f t="shared" si="170"/>
        <v>0</v>
      </c>
      <c r="G234" s="1218">
        <f t="shared" si="170"/>
        <v>0</v>
      </c>
      <c r="H234" s="1218">
        <f t="shared" si="170"/>
        <v>0</v>
      </c>
      <c r="I234" s="1218">
        <f t="shared" ca="1" si="170"/>
        <v>0</v>
      </c>
      <c r="J234" s="1218">
        <f t="shared" ca="1" si="170"/>
        <v>0</v>
      </c>
      <c r="K234" s="1218">
        <f t="shared" ca="1" si="170"/>
        <v>0</v>
      </c>
      <c r="L234" s="1224"/>
      <c r="M234" s="1224"/>
      <c r="N234" s="1224"/>
      <c r="O234" s="1225"/>
      <c r="P234" s="1219">
        <f t="shared" ca="1" si="128"/>
        <v>0</v>
      </c>
      <c r="Q234" s="1219">
        <f t="shared" ca="1" si="129"/>
        <v>0</v>
      </c>
      <c r="R234" s="1220">
        <f t="shared" ca="1" si="130"/>
        <v>0</v>
      </c>
      <c r="S234" s="1220">
        <f t="shared" ca="1" si="126"/>
        <v>0</v>
      </c>
      <c r="T234" s="1242"/>
    </row>
    <row r="235" spans="1:20" ht="27" customHeight="1" thickBot="1" x14ac:dyDescent="0.4">
      <c r="A235" s="5598"/>
      <c r="B235" s="1233">
        <v>5500</v>
      </c>
      <c r="C235" s="5548" t="s">
        <v>45</v>
      </c>
      <c r="D235" s="1228" t="s">
        <v>46</v>
      </c>
      <c r="E235" s="1218" t="e">
        <f t="shared" ref="E235:K235" si="171">+INT(E342)</f>
        <v>#REF!</v>
      </c>
      <c r="F235" s="1218" t="e">
        <f t="shared" si="171"/>
        <v>#REF!</v>
      </c>
      <c r="G235" s="1218" t="e">
        <f t="shared" si="171"/>
        <v>#REF!</v>
      </c>
      <c r="H235" s="1218" t="e">
        <f t="shared" si="171"/>
        <v>#REF!</v>
      </c>
      <c r="I235" s="1218" t="e">
        <f t="shared" si="171"/>
        <v>#REF!</v>
      </c>
      <c r="J235" s="1218" t="e">
        <f t="shared" si="171"/>
        <v>#REF!</v>
      </c>
      <c r="K235" s="1218" t="e">
        <f t="shared" si="171"/>
        <v>#REF!</v>
      </c>
      <c r="L235" s="1224"/>
      <c r="M235" s="1224"/>
      <c r="N235" s="1224"/>
      <c r="O235" s="1225"/>
      <c r="P235" s="1219" t="e">
        <f t="shared" si="128"/>
        <v>#REF!</v>
      </c>
      <c r="Q235" s="1219" t="e">
        <f t="shared" si="129"/>
        <v>#REF!</v>
      </c>
      <c r="R235" s="1220" t="e">
        <f t="shared" si="130"/>
        <v>#REF!</v>
      </c>
      <c r="S235" s="1220" t="e">
        <f t="shared" si="126"/>
        <v>#REF!</v>
      </c>
      <c r="T235" s="1242"/>
    </row>
    <row r="236" spans="1:20" ht="27" customHeight="1" thickBot="1" x14ac:dyDescent="0.4">
      <c r="A236" s="5598"/>
      <c r="B236" s="1234"/>
      <c r="C236" s="5548"/>
      <c r="D236" s="1228" t="s">
        <v>47</v>
      </c>
      <c r="E236" s="1218" t="e">
        <f t="shared" ref="E236:K236" si="172">+INT(E343)</f>
        <v>#REF!</v>
      </c>
      <c r="F236" s="1218" t="e">
        <f t="shared" si="172"/>
        <v>#REF!</v>
      </c>
      <c r="G236" s="1218" t="e">
        <f t="shared" si="172"/>
        <v>#REF!</v>
      </c>
      <c r="H236" s="1218" t="e">
        <f t="shared" si="172"/>
        <v>#REF!</v>
      </c>
      <c r="I236" s="1218" t="e">
        <f t="shared" si="172"/>
        <v>#REF!</v>
      </c>
      <c r="J236" s="1218" t="e">
        <f t="shared" si="172"/>
        <v>#REF!</v>
      </c>
      <c r="K236" s="1218" t="e">
        <f t="shared" si="172"/>
        <v>#REF!</v>
      </c>
      <c r="L236" s="1224"/>
      <c r="M236" s="1224"/>
      <c r="N236" s="1224"/>
      <c r="O236" s="1225"/>
      <c r="P236" s="1219" t="e">
        <f t="shared" si="128"/>
        <v>#REF!</v>
      </c>
      <c r="Q236" s="1219" t="e">
        <f t="shared" si="129"/>
        <v>#REF!</v>
      </c>
      <c r="R236" s="1220" t="e">
        <f t="shared" si="130"/>
        <v>#REF!</v>
      </c>
      <c r="S236" s="1220" t="e">
        <f t="shared" si="126"/>
        <v>#REF!</v>
      </c>
      <c r="T236" s="1238"/>
    </row>
    <row r="237" spans="1:20" ht="27" customHeight="1" thickBot="1" x14ac:dyDescent="0.4">
      <c r="A237" s="5598"/>
      <c r="B237" s="1235">
        <v>5550</v>
      </c>
      <c r="C237" s="5548"/>
      <c r="D237" s="1228" t="s">
        <v>950</v>
      </c>
      <c r="E237" s="1218" t="e">
        <f t="shared" ref="E237:K237" si="173">+INT(E344)</f>
        <v>#REF!</v>
      </c>
      <c r="F237" s="1218" t="e">
        <f t="shared" si="173"/>
        <v>#REF!</v>
      </c>
      <c r="G237" s="1218" t="e">
        <f t="shared" si="173"/>
        <v>#REF!</v>
      </c>
      <c r="H237" s="1218" t="e">
        <f t="shared" si="173"/>
        <v>#REF!</v>
      </c>
      <c r="I237" s="1218" t="e">
        <f t="shared" si="173"/>
        <v>#REF!</v>
      </c>
      <c r="J237" s="1218" t="e">
        <f t="shared" si="173"/>
        <v>#REF!</v>
      </c>
      <c r="K237" s="1218" t="e">
        <f t="shared" si="173"/>
        <v>#REF!</v>
      </c>
      <c r="L237" s="1224"/>
      <c r="M237" s="1224"/>
      <c r="N237" s="1224"/>
      <c r="O237" s="1225"/>
      <c r="P237" s="1219" t="e">
        <f t="shared" si="128"/>
        <v>#REF!</v>
      </c>
      <c r="Q237" s="1219" t="e">
        <f t="shared" si="129"/>
        <v>#REF!</v>
      </c>
      <c r="R237" s="1220" t="e">
        <f t="shared" si="130"/>
        <v>#REF!</v>
      </c>
      <c r="S237" s="1220" t="e">
        <f t="shared" si="126"/>
        <v>#REF!</v>
      </c>
      <c r="T237" s="1238"/>
    </row>
    <row r="238" spans="1:20" ht="27" customHeight="1" thickBot="1" x14ac:dyDescent="0.4">
      <c r="A238" s="5598"/>
      <c r="B238" s="1235">
        <v>5560</v>
      </c>
      <c r="C238" s="5548"/>
      <c r="D238" s="1228" t="s">
        <v>951</v>
      </c>
      <c r="E238" s="1218" t="e">
        <f t="shared" ref="E238:K238" si="174">+INT(E345)</f>
        <v>#REF!</v>
      </c>
      <c r="F238" s="1218" t="e">
        <f t="shared" si="174"/>
        <v>#REF!</v>
      </c>
      <c r="G238" s="1218" t="e">
        <f t="shared" si="174"/>
        <v>#REF!</v>
      </c>
      <c r="H238" s="1218" t="e">
        <f t="shared" si="174"/>
        <v>#REF!</v>
      </c>
      <c r="I238" s="1218" t="e">
        <f t="shared" si="174"/>
        <v>#REF!</v>
      </c>
      <c r="J238" s="1218" t="e">
        <f t="shared" si="174"/>
        <v>#REF!</v>
      </c>
      <c r="K238" s="1218" t="e">
        <f t="shared" si="174"/>
        <v>#REF!</v>
      </c>
      <c r="L238" s="1224"/>
      <c r="M238" s="1224"/>
      <c r="N238" s="1224"/>
      <c r="O238" s="1225"/>
      <c r="P238" s="1219" t="e">
        <f t="shared" si="128"/>
        <v>#REF!</v>
      </c>
      <c r="Q238" s="1219" t="e">
        <f t="shared" si="129"/>
        <v>#REF!</v>
      </c>
      <c r="R238" s="1220" t="e">
        <f t="shared" si="130"/>
        <v>#REF!</v>
      </c>
      <c r="S238" s="1220" t="e">
        <f t="shared" si="126"/>
        <v>#REF!</v>
      </c>
      <c r="T238" s="1238"/>
    </row>
    <row r="239" spans="1:20" ht="27" customHeight="1" thickBot="1" x14ac:dyDescent="0.4">
      <c r="A239" s="5598"/>
      <c r="B239" s="1235"/>
      <c r="C239" s="5548"/>
      <c r="D239" s="987" t="s">
        <v>637</v>
      </c>
      <c r="E239" s="1218" t="e">
        <f t="shared" ref="E239:K239" si="175">+INT(E346)</f>
        <v>#REF!</v>
      </c>
      <c r="F239" s="1218" t="e">
        <f t="shared" si="175"/>
        <v>#REF!</v>
      </c>
      <c r="G239" s="1218" t="e">
        <f t="shared" si="175"/>
        <v>#REF!</v>
      </c>
      <c r="H239" s="1218" t="e">
        <f t="shared" si="175"/>
        <v>#REF!</v>
      </c>
      <c r="I239" s="1218" t="e">
        <f t="shared" si="175"/>
        <v>#REF!</v>
      </c>
      <c r="J239" s="1218" t="e">
        <f t="shared" si="175"/>
        <v>#REF!</v>
      </c>
      <c r="K239" s="1218" t="e">
        <f t="shared" si="175"/>
        <v>#REF!</v>
      </c>
      <c r="L239" s="1224"/>
      <c r="M239" s="1224"/>
      <c r="N239" s="1224"/>
      <c r="O239" s="1225"/>
      <c r="P239" s="1219" t="e">
        <f t="shared" si="128"/>
        <v>#REF!</v>
      </c>
      <c r="Q239" s="1219" t="e">
        <f t="shared" si="129"/>
        <v>#REF!</v>
      </c>
      <c r="R239" s="1220" t="e">
        <f t="shared" si="130"/>
        <v>#REF!</v>
      </c>
      <c r="S239" s="1220" t="e">
        <f t="shared" si="126"/>
        <v>#REF!</v>
      </c>
      <c r="T239" s="1238"/>
    </row>
    <row r="240" spans="1:20" ht="27" customHeight="1" thickBot="1" x14ac:dyDescent="0.4">
      <c r="A240" s="5598"/>
      <c r="B240" s="1235"/>
      <c r="C240" s="5548"/>
      <c r="D240" s="987" t="s">
        <v>49</v>
      </c>
      <c r="E240" s="1218" t="e">
        <f t="shared" ref="E240:K240" si="176">+INT(E347)</f>
        <v>#REF!</v>
      </c>
      <c r="F240" s="1218" t="e">
        <f t="shared" si="176"/>
        <v>#REF!</v>
      </c>
      <c r="G240" s="1218" t="e">
        <f t="shared" si="176"/>
        <v>#REF!</v>
      </c>
      <c r="H240" s="1218" t="e">
        <f t="shared" si="176"/>
        <v>#REF!</v>
      </c>
      <c r="I240" s="1218" t="e">
        <f t="shared" si="176"/>
        <v>#REF!</v>
      </c>
      <c r="J240" s="1218" t="e">
        <f t="shared" si="176"/>
        <v>#REF!</v>
      </c>
      <c r="K240" s="1218" t="e">
        <f t="shared" si="176"/>
        <v>#REF!</v>
      </c>
      <c r="L240" s="1224"/>
      <c r="M240" s="1224"/>
      <c r="N240" s="1224"/>
      <c r="O240" s="1225"/>
      <c r="P240" s="1219"/>
      <c r="Q240" s="1219"/>
      <c r="R240" s="1220"/>
      <c r="S240" s="1220"/>
      <c r="T240" s="1238"/>
    </row>
    <row r="241" spans="1:20" ht="27" customHeight="1" thickBot="1" x14ac:dyDescent="0.4">
      <c r="A241" s="5598"/>
      <c r="B241" s="1240">
        <v>5570</v>
      </c>
      <c r="C241" s="5548"/>
      <c r="D241" s="987" t="s">
        <v>954</v>
      </c>
      <c r="E241" s="1218" t="e">
        <f t="shared" ref="E241:K241" si="177">+INT(E348)</f>
        <v>#REF!</v>
      </c>
      <c r="F241" s="1218" t="e">
        <f t="shared" si="177"/>
        <v>#REF!</v>
      </c>
      <c r="G241" s="1218" t="e">
        <f t="shared" si="177"/>
        <v>#REF!</v>
      </c>
      <c r="H241" s="1218" t="e">
        <f t="shared" si="177"/>
        <v>#REF!</v>
      </c>
      <c r="I241" s="1218" t="e">
        <f t="shared" si="177"/>
        <v>#REF!</v>
      </c>
      <c r="J241" s="1218" t="e">
        <f t="shared" si="177"/>
        <v>#REF!</v>
      </c>
      <c r="K241" s="1218" t="e">
        <f t="shared" si="177"/>
        <v>#REF!</v>
      </c>
      <c r="L241" s="1224"/>
      <c r="M241" s="1224"/>
      <c r="N241" s="1224"/>
      <c r="O241" s="1225"/>
      <c r="P241" s="1219"/>
      <c r="Q241" s="1219"/>
      <c r="R241" s="1220"/>
      <c r="S241" s="1220"/>
      <c r="T241" s="1238"/>
    </row>
    <row r="242" spans="1:20" ht="27" customHeight="1" thickBot="1" x14ac:dyDescent="0.4">
      <c r="A242" s="5598"/>
      <c r="B242" s="1240">
        <v>5580</v>
      </c>
      <c r="C242" s="5548"/>
      <c r="D242" s="987" t="s">
        <v>955</v>
      </c>
      <c r="E242" s="1218" t="e">
        <f t="shared" ref="E242:K242" si="178">+INT(E349)</f>
        <v>#REF!</v>
      </c>
      <c r="F242" s="1218" t="e">
        <f t="shared" si="178"/>
        <v>#REF!</v>
      </c>
      <c r="G242" s="1218" t="e">
        <f t="shared" si="178"/>
        <v>#REF!</v>
      </c>
      <c r="H242" s="1218" t="e">
        <f t="shared" si="178"/>
        <v>#REF!</v>
      </c>
      <c r="I242" s="1218" t="e">
        <f t="shared" si="178"/>
        <v>#REF!</v>
      </c>
      <c r="J242" s="1218" t="e">
        <f t="shared" si="178"/>
        <v>#REF!</v>
      </c>
      <c r="K242" s="1218" t="e">
        <f t="shared" si="178"/>
        <v>#REF!</v>
      </c>
      <c r="L242" s="1224"/>
      <c r="M242" s="1224"/>
      <c r="N242" s="1224"/>
      <c r="O242" s="1225"/>
      <c r="P242" s="1219"/>
      <c r="Q242" s="1219"/>
      <c r="R242" s="1220"/>
      <c r="S242" s="1220"/>
      <c r="T242" s="1238"/>
    </row>
    <row r="243" spans="1:20" ht="27" customHeight="1" thickBot="1" x14ac:dyDescent="0.4">
      <c r="A243" s="5598"/>
      <c r="B243" s="1229">
        <v>6000</v>
      </c>
      <c r="C243" s="1230" t="s">
        <v>66</v>
      </c>
      <c r="D243" s="1021" t="s">
        <v>934</v>
      </c>
      <c r="E243" s="1218" t="e">
        <f t="shared" ref="E243:K243" si="179">+INT(E350)</f>
        <v>#REF!</v>
      </c>
      <c r="F243" s="1218" t="e">
        <f t="shared" si="179"/>
        <v>#REF!</v>
      </c>
      <c r="G243" s="1218" t="e">
        <f t="shared" si="179"/>
        <v>#REF!</v>
      </c>
      <c r="H243" s="1218" t="e">
        <f t="shared" si="179"/>
        <v>#REF!</v>
      </c>
      <c r="I243" s="1218" t="e">
        <f t="shared" si="179"/>
        <v>#REF!</v>
      </c>
      <c r="J243" s="1218" t="e">
        <f t="shared" si="179"/>
        <v>#REF!</v>
      </c>
      <c r="K243" s="1218" t="e">
        <f t="shared" si="179"/>
        <v>#REF!</v>
      </c>
      <c r="L243" s="1224" t="e">
        <f ca="1">SUM(F193:K243)</f>
        <v>#REF!</v>
      </c>
      <c r="M243" s="1224"/>
      <c r="N243" s="1224"/>
      <c r="O243" s="1225"/>
      <c r="P243" s="1219" t="e">
        <f t="shared" si="128"/>
        <v>#REF!</v>
      </c>
      <c r="Q243" s="1219" t="e">
        <f t="shared" si="129"/>
        <v>#REF!</v>
      </c>
      <c r="R243" s="1220" t="e">
        <f t="shared" si="130"/>
        <v>#REF!</v>
      </c>
      <c r="S243" s="1220" t="e">
        <f t="shared" si="126"/>
        <v>#REF!</v>
      </c>
      <c r="T243" s="1220" t="e">
        <f ca="1">SUM(S193:S243)</f>
        <v>#REF!</v>
      </c>
    </row>
    <row r="244" spans="1:20" ht="27" customHeight="1" thickBot="1" x14ac:dyDescent="0.4">
      <c r="A244" s="475" t="s">
        <v>21</v>
      </c>
      <c r="B244" s="5612" t="s">
        <v>70</v>
      </c>
      <c r="C244" s="5613"/>
      <c r="D244" s="5614"/>
      <c r="E244" s="1218">
        <f t="shared" ref="E244:K244" si="180">+INT(E351)</f>
        <v>0</v>
      </c>
      <c r="F244" s="1218">
        <f t="shared" si="180"/>
        <v>0</v>
      </c>
      <c r="G244" s="1218">
        <f t="shared" si="180"/>
        <v>0</v>
      </c>
      <c r="H244" s="1218">
        <f t="shared" si="180"/>
        <v>0</v>
      </c>
      <c r="I244" s="1218">
        <f t="shared" ca="1" si="180"/>
        <v>0</v>
      </c>
      <c r="J244" s="1218">
        <f t="shared" ca="1" si="180"/>
        <v>0</v>
      </c>
      <c r="K244" s="1218">
        <f t="shared" ca="1" si="180"/>
        <v>0</v>
      </c>
      <c r="L244" s="1224"/>
      <c r="M244" s="1224"/>
      <c r="N244" s="1224"/>
      <c r="O244" s="1225"/>
      <c r="P244" s="1219">
        <f t="shared" ca="1" si="128"/>
        <v>0</v>
      </c>
      <c r="Q244" s="1219">
        <f t="shared" ca="1" si="129"/>
        <v>0</v>
      </c>
      <c r="R244" s="1220">
        <f t="shared" ca="1" si="130"/>
        <v>0</v>
      </c>
      <c r="S244" s="1220">
        <f t="shared" ca="1" si="126"/>
        <v>0</v>
      </c>
      <c r="T244" s="1250"/>
    </row>
    <row r="245" spans="1:20" ht="27" customHeight="1" thickBot="1" x14ac:dyDescent="0.4">
      <c r="A245" s="476" t="s">
        <v>71</v>
      </c>
      <c r="B245" s="5615" t="s">
        <v>72</v>
      </c>
      <c r="C245" s="5616"/>
      <c r="D245" s="5617"/>
      <c r="E245" s="1218">
        <f t="shared" ref="E245:K245" si="181">+INT(E352)</f>
        <v>0</v>
      </c>
      <c r="F245" s="1218">
        <f t="shared" si="181"/>
        <v>0</v>
      </c>
      <c r="G245" s="1218">
        <f t="shared" si="181"/>
        <v>0</v>
      </c>
      <c r="H245" s="1218">
        <f t="shared" si="181"/>
        <v>0</v>
      </c>
      <c r="I245" s="1218">
        <f t="shared" ca="1" si="181"/>
        <v>0</v>
      </c>
      <c r="J245" s="1218">
        <f t="shared" ca="1" si="181"/>
        <v>0</v>
      </c>
      <c r="K245" s="1218">
        <f t="shared" ca="1" si="181"/>
        <v>0</v>
      </c>
      <c r="L245" s="1224"/>
      <c r="M245" s="1224"/>
      <c r="N245" s="1224"/>
      <c r="O245" s="1225"/>
      <c r="P245" s="1219">
        <f t="shared" ca="1" si="128"/>
        <v>0</v>
      </c>
      <c r="Q245" s="1219">
        <f t="shared" ca="1" si="129"/>
        <v>0</v>
      </c>
      <c r="R245" s="1220">
        <f t="shared" ca="1" si="130"/>
        <v>0</v>
      </c>
      <c r="S245" s="1220">
        <f t="shared" ca="1" si="126"/>
        <v>0</v>
      </c>
      <c r="T245" s="1250"/>
    </row>
    <row r="246" spans="1:20" ht="23.25" customHeight="1" x14ac:dyDescent="0.35">
      <c r="A246" s="5592" t="s">
        <v>417</v>
      </c>
      <c r="B246" s="5593"/>
      <c r="C246" s="5593"/>
      <c r="D246" s="5594"/>
      <c r="E246" s="1218" t="e">
        <f t="shared" ref="E246:K246" si="182">+INT(E353)</f>
        <v>#REF!</v>
      </c>
      <c r="F246" s="1218">
        <f t="shared" si="182"/>
        <v>0</v>
      </c>
      <c r="G246" s="1218">
        <f t="shared" si="182"/>
        <v>0</v>
      </c>
      <c r="H246" s="1218">
        <f t="shared" si="182"/>
        <v>0</v>
      </c>
      <c r="I246" s="1218">
        <f t="shared" si="182"/>
        <v>0</v>
      </c>
      <c r="J246" s="1218">
        <f t="shared" si="182"/>
        <v>0</v>
      </c>
      <c r="K246" s="1218">
        <f t="shared" si="182"/>
        <v>0</v>
      </c>
      <c r="L246" s="1224"/>
      <c r="M246" s="1224"/>
      <c r="N246" s="1224"/>
      <c r="O246" s="1225"/>
      <c r="P246" s="1219">
        <f t="shared" si="128"/>
        <v>0</v>
      </c>
      <c r="Q246" s="1219">
        <f t="shared" si="129"/>
        <v>0</v>
      </c>
      <c r="R246" s="1220">
        <f t="shared" si="130"/>
        <v>0</v>
      </c>
      <c r="S246" s="1220">
        <f t="shared" si="126"/>
        <v>0</v>
      </c>
      <c r="T246" s="1250"/>
    </row>
    <row r="247" spans="1:20" ht="23.25" customHeight="1" thickBot="1" x14ac:dyDescent="0.4">
      <c r="A247" s="1251"/>
      <c r="B247" s="1252"/>
      <c r="C247" s="1253"/>
      <c r="D247" s="915"/>
    </row>
    <row r="248" spans="1:20" ht="23.25" customHeight="1" x14ac:dyDescent="0.4">
      <c r="A248" s="5552" t="s">
        <v>855</v>
      </c>
      <c r="B248" s="5552"/>
      <c r="C248" s="5552"/>
      <c r="D248" s="5552"/>
      <c r="E248" s="1254" t="e">
        <f t="shared" ref="E248:K248" si="183">SUM(E193:E247)</f>
        <v>#REF!</v>
      </c>
      <c r="F248" s="1254" t="e">
        <f t="shared" si="183"/>
        <v>#REF!</v>
      </c>
      <c r="G248" s="1254" t="e">
        <f t="shared" si="183"/>
        <v>#REF!</v>
      </c>
      <c r="H248" s="1254" t="e">
        <f t="shared" si="183"/>
        <v>#REF!</v>
      </c>
      <c r="I248" s="1254" t="e">
        <f t="shared" ca="1" si="183"/>
        <v>#REF!</v>
      </c>
      <c r="J248" s="1254" t="e">
        <f t="shared" ca="1" si="183"/>
        <v>#REF!</v>
      </c>
      <c r="K248" s="1254" t="e">
        <f t="shared" ca="1" si="183"/>
        <v>#REF!</v>
      </c>
      <c r="L248" s="1255" t="e">
        <f>SUM(F248:H248)</f>
        <v>#REF!</v>
      </c>
      <c r="M248" s="1255" t="e">
        <f ca="1">SUM(I248:K248)</f>
        <v>#REF!</v>
      </c>
      <c r="N248" s="1255" t="e">
        <f>SUM(L248:M248)</f>
        <v>#REF!</v>
      </c>
      <c r="O248" s="1256"/>
      <c r="P248" s="1257" t="e">
        <f ca="1">SUM(P193:P247)</f>
        <v>#REF!</v>
      </c>
      <c r="Q248" s="1257" t="e">
        <f ca="1">SUM(Q193:Q247)</f>
        <v>#REF!</v>
      </c>
      <c r="R248" s="1257" t="e">
        <f ca="1">SUM(R193:R247)</f>
        <v>#REF!</v>
      </c>
      <c r="S248" s="1220" t="e">
        <f t="shared" ca="1" si="126"/>
        <v>#REF!</v>
      </c>
      <c r="T248" s="9" t="e">
        <f ca="1">SUM(T193:T247)</f>
        <v>#REF!</v>
      </c>
    </row>
    <row r="249" spans="1:20" ht="23.25" customHeight="1" x14ac:dyDescent="0.2">
      <c r="A249" s="482"/>
      <c r="B249" s="1258"/>
      <c r="C249" s="1258"/>
      <c r="D249" s="1259"/>
      <c r="F249" s="5366" t="s">
        <v>304</v>
      </c>
      <c r="G249" s="5367"/>
      <c r="H249" s="5368"/>
      <c r="I249" s="5366" t="s">
        <v>439</v>
      </c>
      <c r="J249" s="5367"/>
      <c r="K249" s="5368"/>
      <c r="L249" s="534"/>
      <c r="N249" s="1260">
        <f>+'Compra -HOJA1'!F10</f>
        <v>0</v>
      </c>
      <c r="O249" s="396"/>
      <c r="P249" s="5362" t="s">
        <v>449</v>
      </c>
      <c r="Q249" s="5363"/>
      <c r="R249" s="5364"/>
    </row>
    <row r="250" spans="1:20" ht="23.25" customHeight="1" x14ac:dyDescent="0.2">
      <c r="A250" s="482"/>
      <c r="B250" s="1258"/>
      <c r="C250" s="1258"/>
      <c r="D250" s="1259"/>
      <c r="E250" s="1261"/>
      <c r="F250" s="1213" t="s">
        <v>287</v>
      </c>
      <c r="G250" s="1213" t="s">
        <v>289</v>
      </c>
      <c r="H250" s="1213" t="s">
        <v>288</v>
      </c>
      <c r="I250" s="1213" t="s">
        <v>287</v>
      </c>
      <c r="J250" s="1213" t="s">
        <v>289</v>
      </c>
      <c r="K250" s="1213" t="s">
        <v>288</v>
      </c>
      <c r="L250" s="1213"/>
      <c r="M250" s="1213"/>
      <c r="N250" s="1213"/>
      <c r="O250" s="1214"/>
      <c r="P250" s="1215" t="s">
        <v>287</v>
      </c>
      <c r="Q250" s="1215" t="s">
        <v>289</v>
      </c>
      <c r="R250" s="1215" t="s">
        <v>288</v>
      </c>
    </row>
    <row r="251" spans="1:20" ht="23.25" customHeight="1" x14ac:dyDescent="0.2">
      <c r="A251" s="1198"/>
      <c r="B251" s="1199"/>
      <c r="C251" s="1200"/>
      <c r="D251" s="1262"/>
      <c r="E251" s="1261"/>
      <c r="F251" s="1263"/>
      <c r="G251" s="1264"/>
      <c r="H251" s="1264"/>
      <c r="I251" s="1264"/>
      <c r="J251" s="1264"/>
      <c r="K251" s="1264"/>
      <c r="L251" s="1264"/>
      <c r="M251" s="1264"/>
      <c r="N251" s="1264"/>
      <c r="O251" s="1265"/>
      <c r="P251" s="1176"/>
      <c r="Q251" s="1176"/>
      <c r="R251" s="1176"/>
    </row>
    <row r="252" spans="1:20" ht="23.25" customHeight="1" x14ac:dyDescent="0.2">
      <c r="A252" s="1198"/>
      <c r="B252" s="1199"/>
      <c r="C252" s="1200"/>
      <c r="D252" s="1262"/>
      <c r="E252" s="1261"/>
      <c r="F252" s="1264"/>
      <c r="G252" s="1264"/>
      <c r="H252" s="1264"/>
      <c r="I252" s="1264"/>
      <c r="J252" s="1264"/>
      <c r="K252" s="1264"/>
      <c r="L252" s="1264"/>
      <c r="M252" s="1264"/>
      <c r="N252" s="1264"/>
      <c r="O252" s="1265"/>
      <c r="P252" s="1176"/>
      <c r="Q252" s="1176"/>
      <c r="R252" s="1176"/>
    </row>
    <row r="253" spans="1:20" ht="23.25" customHeight="1" x14ac:dyDescent="0.3">
      <c r="A253" s="1266" t="s">
        <v>445</v>
      </c>
      <c r="B253" s="1267"/>
      <c r="C253" s="1268"/>
      <c r="D253" s="5551" t="s">
        <v>446</v>
      </c>
      <c r="E253" s="1269"/>
      <c r="F253" s="5624" t="s">
        <v>447</v>
      </c>
      <c r="G253" s="5621" t="s">
        <v>304</v>
      </c>
      <c r="H253" s="5621"/>
      <c r="I253" s="5621"/>
      <c r="J253" s="5621" t="s">
        <v>448</v>
      </c>
      <c r="K253" s="5621"/>
      <c r="L253" s="5621"/>
      <c r="M253" s="5621"/>
      <c r="N253" s="5621"/>
      <c r="O253" s="5621"/>
      <c r="P253" s="5621"/>
      <c r="Q253" s="5620" t="s">
        <v>449</v>
      </c>
      <c r="R253" s="5620"/>
      <c r="S253" s="5620"/>
    </row>
    <row r="254" spans="1:20" ht="23.25" customHeight="1" x14ac:dyDescent="0.3">
      <c r="A254" s="1266"/>
      <c r="B254" s="1267"/>
      <c r="C254" s="1268"/>
      <c r="D254" s="5551"/>
      <c r="E254" s="1269"/>
      <c r="F254" s="5624"/>
      <c r="G254" s="1270" t="s">
        <v>287</v>
      </c>
      <c r="H254" s="1270" t="s">
        <v>450</v>
      </c>
      <c r="I254" s="1270" t="s">
        <v>288</v>
      </c>
      <c r="J254" s="1270" t="s">
        <v>287</v>
      </c>
      <c r="K254" s="1270" t="s">
        <v>450</v>
      </c>
      <c r="L254" s="1270"/>
      <c r="M254" s="1270"/>
      <c r="N254" s="1270"/>
      <c r="O254" s="1271"/>
      <c r="P254" s="1272" t="s">
        <v>288</v>
      </c>
      <c r="Q254" s="979" t="s">
        <v>287</v>
      </c>
      <c r="R254" s="979" t="s">
        <v>289</v>
      </c>
      <c r="S254" s="1273" t="s">
        <v>288</v>
      </c>
    </row>
    <row r="255" spans="1:20" ht="23.25" customHeight="1" thickBot="1" x14ac:dyDescent="0.4">
      <c r="A255" s="1274"/>
      <c r="B255" s="977"/>
      <c r="C255" s="1275"/>
      <c r="D255" s="1276"/>
      <c r="E255" s="1277"/>
      <c r="F255" s="1274"/>
      <c r="G255" s="1274"/>
      <c r="H255" s="1274"/>
      <c r="I255" s="1274"/>
    </row>
    <row r="256" spans="1:20" ht="23.25" customHeight="1" thickBot="1" x14ac:dyDescent="0.4">
      <c r="A256" s="1278" t="s">
        <v>23</v>
      </c>
      <c r="B256" s="1279" t="s">
        <v>454</v>
      </c>
      <c r="C256" s="1280"/>
      <c r="D256" s="1281">
        <f t="shared" ref="D256:K257" si="184">+INT(D362)</f>
        <v>0</v>
      </c>
      <c r="E256" s="1282">
        <f t="shared" si="184"/>
        <v>0</v>
      </c>
      <c r="F256" s="1282">
        <f t="shared" si="184"/>
        <v>0</v>
      </c>
      <c r="G256" s="1282">
        <f t="shared" si="184"/>
        <v>0</v>
      </c>
      <c r="H256" s="1282">
        <f t="shared" si="184"/>
        <v>0</v>
      </c>
      <c r="I256" s="1282">
        <f t="shared" si="184"/>
        <v>0</v>
      </c>
      <c r="J256" s="1282">
        <f t="shared" si="184"/>
        <v>0</v>
      </c>
      <c r="K256" s="1282">
        <f t="shared" si="184"/>
        <v>0</v>
      </c>
      <c r="L256" s="1282"/>
      <c r="M256" s="1282"/>
      <c r="N256" s="1282"/>
      <c r="O256" s="1283"/>
      <c r="P256" s="1284">
        <f>+ROUND((P362),0)</f>
        <v>0</v>
      </c>
      <c r="Q256" s="1285">
        <f>+G256+J256</f>
        <v>0</v>
      </c>
      <c r="R256" s="1285">
        <f>+H256+K256</f>
        <v>0</v>
      </c>
      <c r="S256" s="1286">
        <f>+I256+P256</f>
        <v>0</v>
      </c>
    </row>
    <row r="257" spans="1:19" ht="23.25" customHeight="1" x14ac:dyDescent="0.35">
      <c r="A257" s="1278" t="s">
        <v>24</v>
      </c>
      <c r="B257" s="1279" t="s">
        <v>454</v>
      </c>
      <c r="C257" s="1280"/>
      <c r="D257" s="1281">
        <f t="shared" si="184"/>
        <v>0</v>
      </c>
      <c r="E257" s="1282">
        <f t="shared" si="184"/>
        <v>0</v>
      </c>
      <c r="F257" s="1282">
        <f t="shared" si="184"/>
        <v>0</v>
      </c>
      <c r="G257" s="1282">
        <f t="shared" si="184"/>
        <v>0</v>
      </c>
      <c r="H257" s="1282">
        <f t="shared" si="184"/>
        <v>0</v>
      </c>
      <c r="I257" s="1282">
        <f t="shared" si="184"/>
        <v>0</v>
      </c>
      <c r="J257" s="1282">
        <f t="shared" si="184"/>
        <v>0</v>
      </c>
      <c r="K257" s="1282">
        <f t="shared" si="184"/>
        <v>0</v>
      </c>
      <c r="L257" s="1282"/>
      <c r="M257" s="1282"/>
      <c r="N257" s="1282"/>
      <c r="O257" s="1283"/>
      <c r="P257" s="1284">
        <f>+ROUND((P363),0)</f>
        <v>0</v>
      </c>
      <c r="Q257" s="1285">
        <f>+G257+J257</f>
        <v>0</v>
      </c>
      <c r="R257" s="1285">
        <f>+H257+K257</f>
        <v>0</v>
      </c>
      <c r="S257" s="1286">
        <f>+I257+P257</f>
        <v>0</v>
      </c>
    </row>
    <row r="258" spans="1:19" ht="23.25" customHeight="1" x14ac:dyDescent="0.4">
      <c r="A258" s="5553" t="s">
        <v>451</v>
      </c>
      <c r="B258" s="5554"/>
      <c r="C258" s="5555"/>
      <c r="D258" s="1287">
        <f>SUM(D256:D257)</f>
        <v>0</v>
      </c>
      <c r="E258" s="1254"/>
      <c r="F258" s="1254">
        <f t="shared" ref="F258:S258" si="185">SUM(F256:F257)</f>
        <v>0</v>
      </c>
      <c r="G258" s="1254">
        <f t="shared" si="185"/>
        <v>0</v>
      </c>
      <c r="H258" s="1254">
        <f t="shared" si="185"/>
        <v>0</v>
      </c>
      <c r="I258" s="1254">
        <f t="shared" si="185"/>
        <v>0</v>
      </c>
      <c r="J258" s="1254">
        <f t="shared" si="185"/>
        <v>0</v>
      </c>
      <c r="K258" s="1254">
        <f t="shared" si="185"/>
        <v>0</v>
      </c>
      <c r="L258" s="1288"/>
      <c r="M258" s="1288"/>
      <c r="N258" s="1288"/>
      <c r="O258" s="1288"/>
      <c r="P258" s="1289">
        <f t="shared" si="185"/>
        <v>0</v>
      </c>
      <c r="Q258" s="1289">
        <f t="shared" si="185"/>
        <v>0</v>
      </c>
      <c r="R258" s="1289">
        <f t="shared" si="185"/>
        <v>0</v>
      </c>
      <c r="S258" s="1288">
        <f t="shared" si="185"/>
        <v>0</v>
      </c>
    </row>
    <row r="259" spans="1:19" ht="31.5" customHeight="1" x14ac:dyDescent="0.35"/>
    <row r="260" spans="1:19" ht="23.25" customHeight="1" x14ac:dyDescent="0.35"/>
    <row r="261" spans="1:19" ht="23.25" customHeight="1" x14ac:dyDescent="0.35"/>
    <row r="262" spans="1:19" ht="23.25" customHeight="1" x14ac:dyDescent="0.35">
      <c r="A262" s="1198" t="s">
        <v>956</v>
      </c>
      <c r="B262" s="1199"/>
      <c r="C262" s="1200"/>
      <c r="D262" s="1262"/>
      <c r="E262" s="1261"/>
      <c r="F262" s="1198"/>
      <c r="G262" s="1198"/>
      <c r="H262" s="1198"/>
      <c r="I262" s="1198"/>
    </row>
    <row r="263" spans="1:19" ht="23.25" customHeight="1" x14ac:dyDescent="0.3">
      <c r="A263" s="1266" t="s">
        <v>445</v>
      </c>
      <c r="B263" s="1267"/>
      <c r="C263" s="1268"/>
      <c r="D263" s="1290" t="s">
        <v>446</v>
      </c>
      <c r="E263" s="1269"/>
      <c r="F263" s="1266" t="s">
        <v>447</v>
      </c>
      <c r="G263" s="5379" t="s">
        <v>304</v>
      </c>
      <c r="H263" s="5379"/>
      <c r="I263" s="5379"/>
      <c r="J263" s="5379" t="s">
        <v>453</v>
      </c>
      <c r="K263" s="5379"/>
      <c r="L263" s="5379"/>
      <c r="M263" s="5379"/>
      <c r="N263" s="5379"/>
      <c r="O263" s="5379"/>
      <c r="P263" s="5379"/>
      <c r="Q263" s="5366" t="s">
        <v>449</v>
      </c>
      <c r="R263" s="5367"/>
      <c r="S263" s="5368"/>
    </row>
    <row r="264" spans="1:19" ht="24.75" x14ac:dyDescent="0.3">
      <c r="A264" s="1266"/>
      <c r="B264" s="1267"/>
      <c r="C264" s="1268"/>
      <c r="D264" s="1290"/>
      <c r="E264" s="1269"/>
      <c r="F264" s="1266"/>
      <c r="G264" s="1291" t="s">
        <v>287</v>
      </c>
      <c r="H264" s="1291" t="s">
        <v>450</v>
      </c>
      <c r="I264" s="1291" t="s">
        <v>288</v>
      </c>
      <c r="J264" s="1291" t="s">
        <v>287</v>
      </c>
      <c r="K264" s="1291" t="s">
        <v>450</v>
      </c>
      <c r="L264" s="1291"/>
      <c r="M264" s="1291"/>
      <c r="N264" s="1291"/>
      <c r="O264" s="1292"/>
      <c r="P264" s="1267" t="s">
        <v>288</v>
      </c>
      <c r="Q264" s="979" t="s">
        <v>287</v>
      </c>
      <c r="R264" s="979" t="s">
        <v>289</v>
      </c>
      <c r="S264" s="261" t="s">
        <v>288</v>
      </c>
    </row>
    <row r="265" spans="1:19" x14ac:dyDescent="0.35">
      <c r="A265" s="1274"/>
      <c r="B265" s="977"/>
      <c r="C265" s="1275"/>
      <c r="D265" s="1276"/>
      <c r="E265" s="1277"/>
      <c r="F265" s="1274"/>
      <c r="G265" s="1274"/>
      <c r="H265" s="1274"/>
      <c r="I265" s="1274"/>
    </row>
    <row r="266" spans="1:19" ht="74.25" x14ac:dyDescent="0.35">
      <c r="A266" s="1293" t="s">
        <v>24</v>
      </c>
      <c r="B266" s="1294" t="s">
        <v>454</v>
      </c>
      <c r="C266" s="1294"/>
      <c r="D266" s="1281">
        <f>+ROUND(D372,0)</f>
        <v>0</v>
      </c>
      <c r="E266" s="1284">
        <f t="shared" ref="E266:K266" si="186">+INT(E372)</f>
        <v>0</v>
      </c>
      <c r="F266" s="1284">
        <f t="shared" si="186"/>
        <v>0</v>
      </c>
      <c r="G266" s="1284">
        <f t="shared" si="186"/>
        <v>0</v>
      </c>
      <c r="H266" s="1284">
        <f t="shared" si="186"/>
        <v>0</v>
      </c>
      <c r="I266" s="1284">
        <f t="shared" si="186"/>
        <v>0</v>
      </c>
      <c r="J266" s="1284">
        <f t="shared" si="186"/>
        <v>0</v>
      </c>
      <c r="K266" s="1284">
        <f t="shared" si="186"/>
        <v>0</v>
      </c>
      <c r="L266" s="1282"/>
      <c r="M266" s="1282"/>
      <c r="N266" s="1282"/>
      <c r="O266" s="1283"/>
      <c r="P266" s="1282">
        <f>+ROUND((P372),0)</f>
        <v>0</v>
      </c>
      <c r="Q266" s="1295">
        <f>+G266+J266</f>
        <v>0</v>
      </c>
      <c r="R266" s="1295">
        <f>+H266+K266</f>
        <v>0</v>
      </c>
      <c r="S266" s="25">
        <f>+I266+P266</f>
        <v>0</v>
      </c>
    </row>
    <row r="267" spans="1:19" x14ac:dyDescent="0.35">
      <c r="A267" s="98"/>
      <c r="B267" s="403"/>
      <c r="C267" s="240"/>
      <c r="D267" s="1296"/>
      <c r="E267" s="1297"/>
      <c r="F267" s="1298"/>
      <c r="G267" s="1298"/>
      <c r="H267" s="1298"/>
      <c r="I267" s="1298"/>
    </row>
    <row r="268" spans="1:19" ht="27.75" customHeight="1" x14ac:dyDescent="0.4">
      <c r="A268" s="5553" t="s">
        <v>455</v>
      </c>
      <c r="B268" s="5554"/>
      <c r="C268" s="5555"/>
      <c r="D268" s="1287">
        <f>SUM(D266:D267)</f>
        <v>0</v>
      </c>
      <c r="E268" s="1254"/>
      <c r="F268" s="1254">
        <f>SUM(F266:F267)</f>
        <v>0</v>
      </c>
      <c r="G268" s="1254">
        <f>SUM(G266:G266)</f>
        <v>0</v>
      </c>
      <c r="H268" s="1254">
        <f>SUM(H266:H266)</f>
        <v>0</v>
      </c>
      <c r="I268" s="1254">
        <f>SUM(I266:I266)</f>
        <v>0</v>
      </c>
      <c r="J268" s="1254">
        <f t="shared" ref="J268:S268" si="187">SUM(J266:J266)</f>
        <v>0</v>
      </c>
      <c r="K268" s="1254">
        <f t="shared" si="187"/>
        <v>0</v>
      </c>
      <c r="L268" s="1299"/>
      <c r="M268" s="1299"/>
      <c r="N268" s="1299"/>
      <c r="O268" s="1288"/>
      <c r="P268" s="1300">
        <f t="shared" si="187"/>
        <v>0</v>
      </c>
      <c r="Q268" s="1300">
        <f t="shared" si="187"/>
        <v>0</v>
      </c>
      <c r="R268" s="1300">
        <f t="shared" si="187"/>
        <v>0</v>
      </c>
      <c r="S268" s="1299">
        <f t="shared" si="187"/>
        <v>0</v>
      </c>
    </row>
    <row r="272" spans="1:19" ht="32.25" x14ac:dyDescent="0.2">
      <c r="A272" s="1198" t="s">
        <v>957</v>
      </c>
      <c r="B272" s="1199"/>
      <c r="C272" s="1200"/>
      <c r="D272" s="1262"/>
      <c r="E272" s="1261"/>
      <c r="F272" s="1198"/>
      <c r="G272" s="1198"/>
      <c r="H272" s="1198"/>
      <c r="I272" s="1198"/>
      <c r="J272" s="1198"/>
      <c r="K272" s="1198"/>
      <c r="L272" s="1198"/>
      <c r="M272" s="1198"/>
      <c r="N272" s="1198"/>
      <c r="O272" s="1301"/>
      <c r="P272" s="1302"/>
      <c r="Q272" s="1302"/>
      <c r="R272" s="1302"/>
      <c r="S272" s="1198"/>
    </row>
    <row r="273" spans="1:21" ht="24.75" x14ac:dyDescent="0.2">
      <c r="A273" s="1198"/>
      <c r="B273" s="1199"/>
      <c r="C273" s="1200"/>
      <c r="D273" s="1262"/>
      <c r="E273" s="1261"/>
      <c r="F273" s="1198"/>
      <c r="G273" s="1198"/>
      <c r="H273" s="1198"/>
      <c r="I273" s="1198"/>
      <c r="J273" s="1198"/>
      <c r="K273" s="1198"/>
      <c r="L273" s="1198"/>
      <c r="M273" s="1198"/>
      <c r="N273" s="1198"/>
      <c r="O273" s="1301"/>
      <c r="P273" s="1302"/>
      <c r="Q273" s="1302"/>
      <c r="R273" s="1302"/>
      <c r="S273" s="1198"/>
    </row>
    <row r="275" spans="1:21" ht="24.75" x14ac:dyDescent="0.3">
      <c r="A275" s="1266" t="s">
        <v>457</v>
      </c>
      <c r="B275" s="1267"/>
      <c r="C275" s="1268"/>
      <c r="D275" s="1290" t="s">
        <v>26</v>
      </c>
      <c r="E275" s="1269"/>
      <c r="F275" s="1266" t="s">
        <v>458</v>
      </c>
      <c r="G275" s="5379" t="s">
        <v>304</v>
      </c>
      <c r="H275" s="5379"/>
      <c r="I275" s="5379"/>
      <c r="J275" s="5379" t="s">
        <v>453</v>
      </c>
      <c r="K275" s="5379"/>
      <c r="L275" s="5379"/>
      <c r="M275" s="5379"/>
      <c r="N275" s="5379"/>
      <c r="O275" s="5379"/>
      <c r="P275" s="5379"/>
      <c r="Q275" s="5366" t="s">
        <v>449</v>
      </c>
      <c r="R275" s="5367"/>
      <c r="S275" s="5368"/>
    </row>
    <row r="276" spans="1:21" ht="24.75" x14ac:dyDescent="0.3">
      <c r="A276" s="1266"/>
      <c r="B276" s="1267"/>
      <c r="C276" s="1268"/>
      <c r="D276" s="1290"/>
      <c r="E276" s="1269"/>
      <c r="F276" s="1266"/>
      <c r="G276" s="1291" t="s">
        <v>287</v>
      </c>
      <c r="H276" s="1291" t="s">
        <v>450</v>
      </c>
      <c r="I276" s="1291" t="s">
        <v>288</v>
      </c>
      <c r="J276" s="1291" t="s">
        <v>287</v>
      </c>
      <c r="K276" s="1291" t="s">
        <v>450</v>
      </c>
      <c r="L276" s="1291"/>
      <c r="M276" s="1291"/>
      <c r="N276" s="1291"/>
      <c r="O276" s="1292"/>
      <c r="P276" s="1267" t="s">
        <v>288</v>
      </c>
      <c r="Q276" s="979" t="s">
        <v>287</v>
      </c>
      <c r="R276" s="979" t="s">
        <v>289</v>
      </c>
      <c r="S276" s="261" t="s">
        <v>288</v>
      </c>
    </row>
    <row r="278" spans="1:21" ht="74.25" x14ac:dyDescent="0.35">
      <c r="A278" s="1303" t="s">
        <v>23</v>
      </c>
      <c r="B278" s="1294" t="s">
        <v>454</v>
      </c>
      <c r="C278" s="1280"/>
      <c r="D278" s="1281">
        <f>+INT(D384)</f>
        <v>0</v>
      </c>
      <c r="E278" s="1284">
        <f t="shared" ref="E278:P279" si="188">+INT(E384)</f>
        <v>0</v>
      </c>
      <c r="F278" s="1284">
        <f t="shared" ca="1" si="188"/>
        <v>0</v>
      </c>
      <c r="G278" s="1284">
        <f t="shared" ca="1" si="188"/>
        <v>0</v>
      </c>
      <c r="H278" s="1284">
        <f t="shared" ca="1" si="188"/>
        <v>0</v>
      </c>
      <c r="I278" s="1284">
        <f t="shared" ca="1" si="188"/>
        <v>0</v>
      </c>
      <c r="J278" s="1284">
        <f t="shared" ca="1" si="188"/>
        <v>0</v>
      </c>
      <c r="K278" s="1284">
        <f t="shared" ca="1" si="188"/>
        <v>0</v>
      </c>
      <c r="L278" s="1304"/>
      <c r="M278" s="1304"/>
      <c r="N278" s="1304"/>
      <c r="O278" s="1305"/>
      <c r="P278" s="922">
        <f ca="1">+INT(P384)</f>
        <v>0</v>
      </c>
      <c r="Q278" s="1306">
        <f ca="1">+J278+G278</f>
        <v>0</v>
      </c>
      <c r="R278" s="1306">
        <f ca="1">+K278+H278</f>
        <v>0</v>
      </c>
      <c r="S278" s="1307">
        <f ca="1">+P278+I278</f>
        <v>0</v>
      </c>
    </row>
    <row r="279" spans="1:21" ht="74.25" x14ac:dyDescent="0.35">
      <c r="A279" s="1303" t="s">
        <v>24</v>
      </c>
      <c r="B279" s="1294" t="s">
        <v>454</v>
      </c>
      <c r="C279" s="1280"/>
      <c r="D279" s="1281">
        <f>+INT(D385)</f>
        <v>0</v>
      </c>
      <c r="E279" s="1284">
        <f t="shared" si="188"/>
        <v>0</v>
      </c>
      <c r="F279" s="1284">
        <f t="shared" ca="1" si="188"/>
        <v>0</v>
      </c>
      <c r="G279" s="1284">
        <f t="shared" ca="1" si="188"/>
        <v>0</v>
      </c>
      <c r="H279" s="1284">
        <f t="shared" ca="1" si="188"/>
        <v>0</v>
      </c>
      <c r="I279" s="1284">
        <f t="shared" ca="1" si="188"/>
        <v>0</v>
      </c>
      <c r="J279" s="1284">
        <f t="shared" ca="1" si="188"/>
        <v>0</v>
      </c>
      <c r="K279" s="1284">
        <f t="shared" ca="1" si="188"/>
        <v>0</v>
      </c>
      <c r="L279" s="1304"/>
      <c r="M279" s="1304"/>
      <c r="N279" s="1304"/>
      <c r="O279" s="1305"/>
      <c r="P279" s="922">
        <f t="shared" ca="1" si="188"/>
        <v>0</v>
      </c>
      <c r="Q279" s="1306">
        <f ca="1">+J279+G279</f>
        <v>0</v>
      </c>
      <c r="R279" s="1306">
        <f ca="1">+K279+H279</f>
        <v>0</v>
      </c>
      <c r="S279" s="1307">
        <f ca="1">+P279+I279</f>
        <v>0</v>
      </c>
    </row>
    <row r="280" spans="1:21" ht="52.5" x14ac:dyDescent="0.4">
      <c r="A280" s="1254" t="s">
        <v>459</v>
      </c>
      <c r="B280" s="1254"/>
      <c r="C280" s="1254"/>
      <c r="D280" s="1287">
        <f>SUM(D278:D279)</f>
        <v>0</v>
      </c>
      <c r="E280" s="1254"/>
      <c r="F280" s="1254">
        <f t="shared" ref="F280:S280" ca="1" si="189">SUM(F278:F279)</f>
        <v>0</v>
      </c>
      <c r="G280" s="1254">
        <f t="shared" ca="1" si="189"/>
        <v>0</v>
      </c>
      <c r="H280" s="1254">
        <f t="shared" ca="1" si="189"/>
        <v>0</v>
      </c>
      <c r="I280" s="1254">
        <f t="shared" ca="1" si="189"/>
        <v>0</v>
      </c>
      <c r="J280" s="1254">
        <f t="shared" ca="1" si="189"/>
        <v>0</v>
      </c>
      <c r="K280" s="1254">
        <f t="shared" ca="1" si="189"/>
        <v>0</v>
      </c>
      <c r="L280" s="1308"/>
      <c r="M280" s="1308"/>
      <c r="N280" s="1308"/>
      <c r="O280" s="1256"/>
      <c r="P280" s="1309">
        <f t="shared" ca="1" si="189"/>
        <v>0</v>
      </c>
      <c r="Q280" s="1309">
        <f t="shared" ca="1" si="189"/>
        <v>0</v>
      </c>
      <c r="R280" s="1309">
        <f t="shared" ca="1" si="189"/>
        <v>0</v>
      </c>
      <c r="S280" s="1308">
        <f t="shared" ca="1" si="189"/>
        <v>0</v>
      </c>
    </row>
    <row r="281" spans="1:21" ht="26.25" x14ac:dyDescent="0.4">
      <c r="B281" s="537" t="s">
        <v>429</v>
      </c>
      <c r="C281" s="908"/>
      <c r="G281" s="1310" t="e">
        <f t="shared" ref="G281:P282" si="190">+INT(G388)</f>
        <v>#REF!</v>
      </c>
      <c r="H281" s="1310" t="e">
        <f t="shared" si="190"/>
        <v>#REF!</v>
      </c>
      <c r="I281" s="1310" t="e">
        <f t="shared" si="190"/>
        <v>#REF!</v>
      </c>
      <c r="J281" s="1310" t="e">
        <f t="shared" si="190"/>
        <v>#REF!</v>
      </c>
      <c r="K281" s="1310" t="e">
        <f t="shared" si="190"/>
        <v>#REF!</v>
      </c>
      <c r="L281" s="1310"/>
      <c r="M281" s="1310"/>
      <c r="N281" s="1310"/>
      <c r="O281" s="1311"/>
      <c r="P281" s="1312" t="e">
        <f t="shared" si="190"/>
        <v>#REF!</v>
      </c>
      <c r="Q281" s="1306" t="e">
        <f>+J281+G281</f>
        <v>#REF!</v>
      </c>
      <c r="R281" s="1306" t="e">
        <f>+K281+H281</f>
        <v>#REF!</v>
      </c>
      <c r="S281" s="1307" t="e">
        <f>+P281+I281</f>
        <v>#REF!</v>
      </c>
    </row>
    <row r="282" spans="1:21" ht="29.25" customHeight="1" x14ac:dyDescent="0.4">
      <c r="A282" s="966"/>
      <c r="B282" s="537" t="s">
        <v>430</v>
      </c>
      <c r="C282" s="963"/>
      <c r="D282" s="964"/>
      <c r="E282" s="965"/>
      <c r="F282" s="966"/>
      <c r="G282" s="1310">
        <f t="shared" si="190"/>
        <v>0</v>
      </c>
      <c r="H282" s="1310">
        <f t="shared" si="190"/>
        <v>0</v>
      </c>
      <c r="I282" s="1310">
        <f t="shared" si="190"/>
        <v>0</v>
      </c>
      <c r="J282" s="1310">
        <f t="shared" si="190"/>
        <v>0</v>
      </c>
      <c r="K282" s="1310">
        <f t="shared" si="190"/>
        <v>0</v>
      </c>
      <c r="L282" s="1310"/>
      <c r="M282" s="1310"/>
      <c r="N282" s="1310"/>
      <c r="O282" s="1311"/>
      <c r="P282" s="1312">
        <f t="shared" si="190"/>
        <v>0</v>
      </c>
      <c r="Q282" s="1306">
        <f>+J282+G282</f>
        <v>0</v>
      </c>
      <c r="R282" s="1306">
        <f>+K282+H282</f>
        <v>0</v>
      </c>
      <c r="S282" s="1307">
        <f>+P282+I282</f>
        <v>0</v>
      </c>
    </row>
    <row r="283" spans="1:21" x14ac:dyDescent="0.3">
      <c r="A283" s="1313"/>
      <c r="B283" s="5377" t="s">
        <v>460</v>
      </c>
      <c r="C283" s="5377"/>
      <c r="D283" s="5377"/>
      <c r="E283" s="5377"/>
      <c r="F283" s="5377"/>
      <c r="G283" s="1314" t="e">
        <f t="shared" ref="G283:S283" si="191">SUM(G281:G282)</f>
        <v>#REF!</v>
      </c>
      <c r="H283" s="1314" t="e">
        <f t="shared" si="191"/>
        <v>#REF!</v>
      </c>
      <c r="I283" s="1314" t="e">
        <f t="shared" si="191"/>
        <v>#REF!</v>
      </c>
      <c r="J283" s="1314" t="e">
        <f t="shared" si="191"/>
        <v>#REF!</v>
      </c>
      <c r="K283" s="1314" t="e">
        <f t="shared" si="191"/>
        <v>#REF!</v>
      </c>
      <c r="L283" s="1314"/>
      <c r="M283" s="1314"/>
      <c r="N283" s="1314"/>
      <c r="O283" s="1315"/>
      <c r="P283" s="1316" t="e">
        <f t="shared" si="191"/>
        <v>#REF!</v>
      </c>
      <c r="Q283" s="1316" t="e">
        <f t="shared" si="191"/>
        <v>#REF!</v>
      </c>
      <c r="R283" s="1316" t="e">
        <f t="shared" si="191"/>
        <v>#REF!</v>
      </c>
      <c r="S283" s="1314" t="e">
        <f t="shared" si="191"/>
        <v>#REF!</v>
      </c>
    </row>
    <row r="284" spans="1:21" x14ac:dyDescent="0.35">
      <c r="A284" s="556"/>
      <c r="B284" s="1317"/>
      <c r="C284" s="1318"/>
      <c r="G284" s="5371" t="s">
        <v>304</v>
      </c>
      <c r="H284" s="5371"/>
      <c r="I284" s="5371"/>
      <c r="J284" s="5371" t="s">
        <v>453</v>
      </c>
      <c r="K284" s="5371"/>
      <c r="L284" s="5371"/>
      <c r="M284" s="5371"/>
      <c r="N284" s="5371"/>
      <c r="O284" s="5371"/>
      <c r="P284" s="5371"/>
      <c r="Q284" s="5376" t="s">
        <v>449</v>
      </c>
      <c r="R284" s="5376"/>
      <c r="S284" s="5376"/>
    </row>
    <row r="285" spans="1:21" x14ac:dyDescent="0.35">
      <c r="A285" s="556"/>
      <c r="B285" s="1317"/>
      <c r="C285" s="1318"/>
      <c r="G285" s="1320" t="s">
        <v>287</v>
      </c>
      <c r="H285" s="1320" t="s">
        <v>450</v>
      </c>
      <c r="I285" s="1320" t="s">
        <v>288</v>
      </c>
      <c r="J285" s="1319" t="s">
        <v>287</v>
      </c>
      <c r="K285" s="1319" t="s">
        <v>450</v>
      </c>
      <c r="L285" s="1319"/>
      <c r="M285" s="1319"/>
      <c r="N285" s="1319"/>
      <c r="O285" s="1321"/>
      <c r="P285" s="1272" t="s">
        <v>288</v>
      </c>
      <c r="Q285" s="979" t="s">
        <v>287</v>
      </c>
      <c r="R285" s="979" t="s">
        <v>289</v>
      </c>
      <c r="S285" s="261" t="s">
        <v>288</v>
      </c>
    </row>
    <row r="286" spans="1:21" ht="24.75" x14ac:dyDescent="0.3">
      <c r="A286" s="5372" t="s">
        <v>431</v>
      </c>
      <c r="B286" s="5372"/>
      <c r="C286" s="5372"/>
      <c r="D286" s="5372"/>
      <c r="E286" s="5372"/>
      <c r="F286" s="5378"/>
      <c r="G286" s="1322" t="e">
        <f ca="1">+F248+G258+G268+G280+G283</f>
        <v>#REF!</v>
      </c>
      <c r="H286" s="1322" t="e">
        <f t="shared" ref="H286:S286" ca="1" si="192">+G248+H258+H268+H280+H283</f>
        <v>#REF!</v>
      </c>
      <c r="I286" s="1322" t="e">
        <f t="shared" ca="1" si="192"/>
        <v>#REF!</v>
      </c>
      <c r="J286" s="1322" t="e">
        <f t="shared" ca="1" si="192"/>
        <v>#REF!</v>
      </c>
      <c r="K286" s="1322" t="e">
        <f t="shared" ca="1" si="192"/>
        <v>#REF!</v>
      </c>
      <c r="L286" s="1322"/>
      <c r="M286" s="1322"/>
      <c r="N286" s="1322"/>
      <c r="O286" s="1323"/>
      <c r="P286" s="1322" t="e">
        <f ca="1">+K248+P258+P268+P280+P283</f>
        <v>#REF!</v>
      </c>
      <c r="Q286" s="1322" t="e">
        <f t="shared" ca="1" si="192"/>
        <v>#REF!</v>
      </c>
      <c r="R286" s="1322" t="e">
        <f t="shared" ca="1" si="192"/>
        <v>#REF!</v>
      </c>
      <c r="S286" s="1322" t="e">
        <f t="shared" ca="1" si="192"/>
        <v>#REF!</v>
      </c>
    </row>
    <row r="287" spans="1:21" x14ac:dyDescent="0.35">
      <c r="A287" s="1320"/>
      <c r="B287" s="1272"/>
      <c r="C287" s="1320"/>
      <c r="D287" s="1324"/>
      <c r="E287" s="1320"/>
      <c r="F287" s="1320"/>
      <c r="G287" s="5373" t="s">
        <v>449</v>
      </c>
      <c r="H287" s="5374"/>
      <c r="I287" s="5375"/>
    </row>
    <row r="288" spans="1:21" ht="27.75" customHeight="1" x14ac:dyDescent="0.35">
      <c r="A288" s="5372" t="s">
        <v>431</v>
      </c>
      <c r="B288" s="5372"/>
      <c r="C288" s="5372"/>
      <c r="D288" s="5372"/>
      <c r="E288" s="5372"/>
      <c r="F288" s="5372"/>
      <c r="G288" s="1325" t="e">
        <f ca="1">+G286+J286</f>
        <v>#REF!</v>
      </c>
      <c r="H288" s="1325" t="e">
        <f ca="1">+H286+K286</f>
        <v>#REF!</v>
      </c>
      <c r="I288" s="1325" t="e">
        <f ca="1">+I286+P286</f>
        <v>#REF!</v>
      </c>
      <c r="J288" s="25"/>
      <c r="K288" s="25" t="e">
        <f ca="1">SUM(G288:J288)</f>
        <v>#REF!</v>
      </c>
      <c r="L288" s="25"/>
      <c r="M288" s="25"/>
      <c r="N288" s="25"/>
      <c r="P288" s="1295" t="e">
        <f ca="1">+I288-S286</f>
        <v>#REF!</v>
      </c>
      <c r="T288" s="1198"/>
      <c r="U288" s="1198"/>
    </row>
    <row r="289" spans="1:29" x14ac:dyDescent="0.35">
      <c r="A289" s="5372" t="s">
        <v>433</v>
      </c>
      <c r="B289" s="5372"/>
      <c r="C289" s="5372"/>
      <c r="D289" s="5372"/>
      <c r="E289" s="5372"/>
      <c r="F289" s="5372"/>
      <c r="G289" s="1326">
        <f>+'Compra -HOJA1'!G10</f>
        <v>0</v>
      </c>
      <c r="H289" s="1326">
        <f>+'Compra -HOJA1'!I10</f>
        <v>0</v>
      </c>
      <c r="I289" s="1326">
        <f>+'Compra -HOJA1'!H10</f>
        <v>0</v>
      </c>
      <c r="K289" s="25">
        <f>SUM(G289:J289)</f>
        <v>0</v>
      </c>
      <c r="T289" s="1198"/>
      <c r="U289" s="1198"/>
    </row>
    <row r="290" spans="1:29" x14ac:dyDescent="0.35">
      <c r="A290" s="1327"/>
      <c r="B290" s="1328"/>
      <c r="C290" s="1329"/>
    </row>
    <row r="291" spans="1:29" x14ac:dyDescent="0.35">
      <c r="A291" s="1327"/>
      <c r="B291" s="1328"/>
      <c r="C291" s="1329"/>
      <c r="D291" s="542" t="s">
        <v>435</v>
      </c>
      <c r="G291" s="25" t="e">
        <f ca="1">IF((G289-G288)=0,"O.K.","VERIFICAR¨")</f>
        <v>#REF!</v>
      </c>
      <c r="H291" s="25" t="e">
        <f ca="1">IF((H289-H288)=0,"O.K.","VERIFICAR¨")</f>
        <v>#REF!</v>
      </c>
      <c r="I291" s="25" t="e">
        <f ca="1">IF((I289-I288)=0,"O.K.","VERIFICAR¨")</f>
        <v>#REF!</v>
      </c>
    </row>
    <row r="292" spans="1:29" ht="30" x14ac:dyDescent="0.4">
      <c r="A292" s="1330"/>
      <c r="B292" s="1331"/>
      <c r="C292" s="1332"/>
      <c r="G292" s="1333" t="e">
        <f ca="1">+G289-G288</f>
        <v>#REF!</v>
      </c>
      <c r="H292" s="1333" t="e">
        <f ca="1">+H289-H288</f>
        <v>#REF!</v>
      </c>
      <c r="I292" s="1333" t="e">
        <f ca="1">+I289-I288</f>
        <v>#REF!</v>
      </c>
      <c r="J292" s="25" t="e">
        <f ca="1">SUM(G292:I292)</f>
        <v>#REF!</v>
      </c>
    </row>
    <row r="293" spans="1:29" ht="23.25" customHeight="1" x14ac:dyDescent="0.35"/>
    <row r="294" spans="1:29" ht="23.25" customHeight="1" x14ac:dyDescent="0.35">
      <c r="A294" s="1198" t="s">
        <v>947</v>
      </c>
      <c r="B294" s="1199"/>
      <c r="C294" s="1200"/>
      <c r="D294" s="1201">
        <f>'Compra -HOJA1'!D2:H2</f>
        <v>0</v>
      </c>
      <c r="E294" s="1202"/>
      <c r="F294" s="1203"/>
      <c r="G294" s="1203"/>
      <c r="H294" s="1203"/>
    </row>
    <row r="295" spans="1:29" ht="23.25" customHeight="1" x14ac:dyDescent="0.35">
      <c r="A295" s="1198" t="s">
        <v>948</v>
      </c>
      <c r="B295" s="1199"/>
      <c r="C295" s="1200"/>
      <c r="D295" s="969">
        <f>'Compra -HOJA1'!F4</f>
        <v>45536</v>
      </c>
      <c r="E295" s="970"/>
      <c r="F295" s="971"/>
      <c r="G295" s="971"/>
      <c r="H295" s="971"/>
    </row>
    <row r="296" spans="1:29" ht="23.25" customHeight="1" x14ac:dyDescent="0.35">
      <c r="A296" s="233"/>
      <c r="B296" s="974"/>
      <c r="C296" s="1204"/>
      <c r="D296" s="975"/>
      <c r="E296" s="1205"/>
      <c r="F296" s="233"/>
      <c r="G296" s="233"/>
      <c r="H296" s="233"/>
      <c r="I296" s="75"/>
    </row>
    <row r="297" spans="1:29" ht="23.25" customHeight="1" x14ac:dyDescent="0.35">
      <c r="A297" s="233"/>
      <c r="B297" s="974"/>
      <c r="C297" s="1204"/>
      <c r="D297" s="975"/>
      <c r="E297" s="1205"/>
      <c r="F297" s="233"/>
      <c r="G297" s="233"/>
      <c r="H297" s="233"/>
    </row>
    <row r="298" spans="1:29" ht="19.5" customHeight="1" x14ac:dyDescent="0.4">
      <c r="A298" s="74" t="s">
        <v>949</v>
      </c>
      <c r="B298" s="1206"/>
      <c r="C298" s="1207"/>
      <c r="D298" s="1208"/>
      <c r="E298" s="1209"/>
      <c r="F298" s="5376" t="s">
        <v>304</v>
      </c>
      <c r="G298" s="5376"/>
      <c r="H298" s="5376"/>
      <c r="I298" s="5376" t="s">
        <v>439</v>
      </c>
      <c r="J298" s="5376"/>
      <c r="K298" s="5376"/>
      <c r="L298" s="261"/>
      <c r="M298" s="261"/>
      <c r="N298" s="261"/>
      <c r="O298" s="400"/>
      <c r="P298" s="5313" t="s">
        <v>377</v>
      </c>
      <c r="Q298" s="5313"/>
      <c r="R298" s="5313"/>
      <c r="U298" s="3826" t="s">
        <v>191</v>
      </c>
      <c r="V298" s="3826"/>
      <c r="W298" s="3826"/>
      <c r="X298" s="3826" t="s">
        <v>464</v>
      </c>
      <c r="Y298" s="3826"/>
      <c r="Z298" s="3826"/>
      <c r="AA298" s="3826" t="s">
        <v>465</v>
      </c>
      <c r="AB298" s="3826"/>
      <c r="AC298" s="3826"/>
    </row>
    <row r="299" spans="1:29" ht="33.75" customHeight="1" thickBot="1" x14ac:dyDescent="0.35">
      <c r="A299" s="1210" t="s">
        <v>440</v>
      </c>
      <c r="B299" s="1211"/>
      <c r="C299" s="1212"/>
      <c r="D299" s="1208"/>
      <c r="E299" s="1209" t="s">
        <v>441</v>
      </c>
      <c r="F299" s="261" t="s">
        <v>287</v>
      </c>
      <c r="G299" s="261" t="s">
        <v>289</v>
      </c>
      <c r="H299" s="261" t="s">
        <v>288</v>
      </c>
      <c r="I299" s="261" t="s">
        <v>287</v>
      </c>
      <c r="J299" s="261" t="s">
        <v>289</v>
      </c>
      <c r="K299" s="261" t="s">
        <v>288</v>
      </c>
      <c r="L299" s="261"/>
      <c r="M299" s="261"/>
      <c r="N299" s="261"/>
      <c r="O299" s="400"/>
      <c r="P299" s="979" t="s">
        <v>287</v>
      </c>
      <c r="Q299" s="979" t="s">
        <v>289</v>
      </c>
      <c r="R299" s="979" t="s">
        <v>288</v>
      </c>
      <c r="U299" s="979" t="s">
        <v>5</v>
      </c>
      <c r="V299" s="979" t="s">
        <v>6</v>
      </c>
      <c r="W299" s="979" t="s">
        <v>7</v>
      </c>
      <c r="X299" s="979" t="s">
        <v>5</v>
      </c>
      <c r="Y299" s="979" t="s">
        <v>6</v>
      </c>
      <c r="Z299" s="979" t="s">
        <v>7</v>
      </c>
      <c r="AA299" s="979" t="s">
        <v>5</v>
      </c>
      <c r="AB299" s="979" t="s">
        <v>6</v>
      </c>
      <c r="AC299" s="979" t="s">
        <v>7</v>
      </c>
    </row>
    <row r="300" spans="1:29" ht="37.5" customHeight="1" thickBot="1" x14ac:dyDescent="0.4">
      <c r="A300" s="5380" t="s">
        <v>41</v>
      </c>
      <c r="B300" s="1334">
        <v>5000</v>
      </c>
      <c r="C300" s="5369" t="s">
        <v>42</v>
      </c>
      <c r="D300" s="5370"/>
      <c r="E300" s="1335">
        <f>+('Compra -HOJA1'!G290)</f>
        <v>0</v>
      </c>
      <c r="F300" s="1336">
        <f>(U300)</f>
        <v>0</v>
      </c>
      <c r="G300" s="1336">
        <f>(W300)</f>
        <v>0</v>
      </c>
      <c r="H300" s="1336">
        <f>(V300)</f>
        <v>0</v>
      </c>
      <c r="I300" s="1336">
        <f ca="1">(X300)</f>
        <v>0</v>
      </c>
      <c r="J300" s="1336">
        <f ca="1">(Z300)</f>
        <v>0</v>
      </c>
      <c r="K300" s="1336">
        <f ca="1">(Y300)</f>
        <v>0</v>
      </c>
      <c r="L300" s="1337"/>
      <c r="M300" s="1337"/>
      <c r="N300" s="1337"/>
      <c r="O300" s="1337"/>
      <c r="P300" s="1338">
        <f ca="1">+F300+I300</f>
        <v>0</v>
      </c>
      <c r="Q300" s="1338">
        <f ca="1">+G300+J300</f>
        <v>0</v>
      </c>
      <c r="R300" s="1338">
        <f ca="1">+H300+K300</f>
        <v>0</v>
      </c>
      <c r="S300" s="5556" t="s">
        <v>322</v>
      </c>
      <c r="T300" s="857">
        <v>5000</v>
      </c>
      <c r="U300" s="1339">
        <f>+'Compra -HOJA1'!I290</f>
        <v>0</v>
      </c>
      <c r="V300" s="1339">
        <f>+'Compra -HOJA1'!J290</f>
        <v>0</v>
      </c>
      <c r="W300" s="1339">
        <f>+'Compra -HOJA1'!K290</f>
        <v>0</v>
      </c>
      <c r="X300" s="1339">
        <f ca="1">+'Compra -HOJA1'!L290</f>
        <v>0</v>
      </c>
      <c r="Y300" s="1339">
        <f ca="1">+'Compra -HOJA1'!M290</f>
        <v>0</v>
      </c>
      <c r="Z300" s="1339">
        <f ca="1">+'Compra -HOJA1'!N290</f>
        <v>0</v>
      </c>
      <c r="AA300" s="1339">
        <f ca="1">+'Compra -HOJA1'!O290</f>
        <v>0</v>
      </c>
      <c r="AB300" s="1340">
        <f ca="1">+'Compra -HOJA1'!P290</f>
        <v>0</v>
      </c>
      <c r="AC300" s="1340">
        <f ca="1">+'Compra -HOJA1'!Q290</f>
        <v>0</v>
      </c>
    </row>
    <row r="301" spans="1:29" ht="37.5" customHeight="1" x14ac:dyDescent="0.35">
      <c r="A301" s="5381"/>
      <c r="B301" s="1341">
        <v>5020</v>
      </c>
      <c r="C301" s="1342" t="s">
        <v>43</v>
      </c>
      <c r="D301" s="984" t="s">
        <v>44</v>
      </c>
      <c r="E301" s="1335">
        <f>+('Compra -HOJA1'!G291)</f>
        <v>0</v>
      </c>
      <c r="F301" s="1336">
        <f t="shared" ref="F301:F352" si="193">(U301)</f>
        <v>0</v>
      </c>
      <c r="G301" s="1336">
        <f t="shared" ref="G301:G352" si="194">(W301)</f>
        <v>0</v>
      </c>
      <c r="H301" s="1336">
        <f t="shared" ref="H301:H352" si="195">(V301)</f>
        <v>0</v>
      </c>
      <c r="I301" s="1336">
        <f t="shared" ref="I301:I352" ca="1" si="196">(X301)</f>
        <v>0</v>
      </c>
      <c r="J301" s="1336">
        <f t="shared" ref="J301:J352" ca="1" si="197">(Z301)</f>
        <v>0</v>
      </c>
      <c r="K301" s="1336">
        <f t="shared" ref="K301:K352" ca="1" si="198">(Y301)</f>
        <v>0</v>
      </c>
      <c r="L301" s="1337"/>
      <c r="M301" s="1337"/>
      <c r="N301" s="1337"/>
      <c r="O301" s="1337"/>
      <c r="P301" s="1338">
        <f t="shared" ref="P301:R353" ca="1" si="199">+F301+I301</f>
        <v>0</v>
      </c>
      <c r="Q301" s="1338">
        <f t="shared" ca="1" si="199"/>
        <v>0</v>
      </c>
      <c r="R301" s="1338">
        <f t="shared" ca="1" si="199"/>
        <v>0</v>
      </c>
      <c r="S301" s="5556"/>
      <c r="T301" s="864">
        <v>5020</v>
      </c>
      <c r="U301" s="1339">
        <f>+'Compra -HOJA1'!I291</f>
        <v>0</v>
      </c>
      <c r="V301" s="1339">
        <f>+'Compra -HOJA1'!J291</f>
        <v>0</v>
      </c>
      <c r="W301" s="1339">
        <f>+'Compra -HOJA1'!K291</f>
        <v>0</v>
      </c>
      <c r="X301" s="1339">
        <f ca="1">+'Compra -HOJA1'!L291</f>
        <v>0</v>
      </c>
      <c r="Y301" s="1339">
        <f ca="1">+'Compra -HOJA1'!M291</f>
        <v>0</v>
      </c>
      <c r="Z301" s="1339">
        <f ca="1">+'Compra -HOJA1'!N291</f>
        <v>0</v>
      </c>
      <c r="AA301" s="1339">
        <f ca="1">+'Compra -HOJA1'!O291</f>
        <v>0</v>
      </c>
      <c r="AB301" s="1340">
        <f ca="1">+'Compra -HOJA1'!P291</f>
        <v>0</v>
      </c>
      <c r="AC301" s="1340">
        <f ca="1">+'Compra -HOJA1'!Q291</f>
        <v>0</v>
      </c>
    </row>
    <row r="302" spans="1:29" ht="37.5" customHeight="1" x14ac:dyDescent="0.35">
      <c r="A302" s="5381"/>
      <c r="B302" s="1343">
        <v>5500</v>
      </c>
      <c r="C302" s="4996" t="s">
        <v>45</v>
      </c>
      <c r="D302" s="1228" t="s">
        <v>46</v>
      </c>
      <c r="E302" s="1335">
        <f>+('Compra -HOJA1'!G295)</f>
        <v>0</v>
      </c>
      <c r="F302" s="1336">
        <f t="shared" si="193"/>
        <v>0</v>
      </c>
      <c r="G302" s="1336">
        <f t="shared" si="194"/>
        <v>0</v>
      </c>
      <c r="H302" s="1336">
        <f t="shared" si="195"/>
        <v>0</v>
      </c>
      <c r="I302" s="1336">
        <f t="shared" ca="1" si="196"/>
        <v>0</v>
      </c>
      <c r="J302" s="1336">
        <f t="shared" ca="1" si="197"/>
        <v>0</v>
      </c>
      <c r="K302" s="1336">
        <f t="shared" ca="1" si="198"/>
        <v>0</v>
      </c>
      <c r="L302" s="1337"/>
      <c r="M302" s="1337"/>
      <c r="N302" s="1337"/>
      <c r="O302" s="1337"/>
      <c r="P302" s="1338">
        <f t="shared" ca="1" si="199"/>
        <v>0</v>
      </c>
      <c r="Q302" s="1338">
        <f t="shared" ca="1" si="199"/>
        <v>0</v>
      </c>
      <c r="R302" s="1338">
        <f t="shared" ca="1" si="199"/>
        <v>0</v>
      </c>
      <c r="S302" s="5556"/>
      <c r="T302" s="919" t="s">
        <v>46</v>
      </c>
      <c r="U302" s="1339">
        <f>+'Compra -HOJA1'!I295</f>
        <v>0</v>
      </c>
      <c r="V302" s="1339">
        <f>+'Compra -HOJA1'!J295</f>
        <v>0</v>
      </c>
      <c r="W302" s="1339">
        <f>+'Compra -HOJA1'!K295</f>
        <v>0</v>
      </c>
      <c r="X302" s="1339">
        <f ca="1">+'Compra -HOJA1'!L295</f>
        <v>0</v>
      </c>
      <c r="Y302" s="1339">
        <f ca="1">+'Compra -HOJA1'!M295</f>
        <v>0</v>
      </c>
      <c r="Z302" s="1339">
        <f ca="1">+'Compra -HOJA1'!N295</f>
        <v>0</v>
      </c>
      <c r="AA302" s="1339">
        <f ca="1">+'Compra -HOJA1'!O295</f>
        <v>0</v>
      </c>
      <c r="AB302" s="1340">
        <f ca="1">+'Compra -HOJA1'!P295</f>
        <v>0</v>
      </c>
      <c r="AC302" s="1340">
        <f ca="1">+'Compra -HOJA1'!Q295</f>
        <v>0</v>
      </c>
    </row>
    <row r="303" spans="1:29" ht="37.5" customHeight="1" x14ac:dyDescent="0.35">
      <c r="A303" s="5381"/>
      <c r="B303" s="1343"/>
      <c r="C303" s="4997"/>
      <c r="D303" s="1228" t="s">
        <v>47</v>
      </c>
      <c r="E303" s="1335">
        <f>+('Compra -HOJA1'!G296)</f>
        <v>0</v>
      </c>
      <c r="F303" s="1336">
        <f t="shared" si="193"/>
        <v>0</v>
      </c>
      <c r="G303" s="1336">
        <f t="shared" si="194"/>
        <v>0</v>
      </c>
      <c r="H303" s="1336">
        <f t="shared" si="195"/>
        <v>0</v>
      </c>
      <c r="I303" s="1336">
        <f t="shared" ca="1" si="196"/>
        <v>0</v>
      </c>
      <c r="J303" s="1336">
        <f t="shared" ca="1" si="197"/>
        <v>0</v>
      </c>
      <c r="K303" s="1336">
        <f t="shared" ca="1" si="198"/>
        <v>0</v>
      </c>
      <c r="L303" s="1337"/>
      <c r="M303" s="1337"/>
      <c r="N303" s="1337"/>
      <c r="O303" s="1337"/>
      <c r="P303" s="1338"/>
      <c r="Q303" s="1338"/>
      <c r="R303" s="1338"/>
      <c r="S303" s="5556"/>
      <c r="T303" s="919" t="s">
        <v>47</v>
      </c>
      <c r="U303" s="1339">
        <f>+'Compra -HOJA1'!I296</f>
        <v>0</v>
      </c>
      <c r="V303" s="1339">
        <f>+'Compra -HOJA1'!J296</f>
        <v>0</v>
      </c>
      <c r="W303" s="1339">
        <f>+'Compra -HOJA1'!K296</f>
        <v>0</v>
      </c>
      <c r="X303" s="1339">
        <f ca="1">+'Compra -HOJA1'!L296</f>
        <v>0</v>
      </c>
      <c r="Y303" s="1339">
        <f ca="1">+'Compra -HOJA1'!M296</f>
        <v>0</v>
      </c>
      <c r="Z303" s="1339">
        <f ca="1">+'Compra -HOJA1'!N296</f>
        <v>0</v>
      </c>
      <c r="AA303" s="1339">
        <f ca="1">+'Compra -HOJA1'!O296</f>
        <v>0</v>
      </c>
      <c r="AB303" s="1340">
        <f ca="1">+'Compra -HOJA1'!P296</f>
        <v>0</v>
      </c>
      <c r="AC303" s="1340">
        <f ca="1">+'Compra -HOJA1'!Q296</f>
        <v>0</v>
      </c>
    </row>
    <row r="304" spans="1:29" ht="37.5" customHeight="1" x14ac:dyDescent="0.35">
      <c r="A304" s="5381"/>
      <c r="B304" s="1343"/>
      <c r="C304" s="4997"/>
      <c r="D304" s="987" t="s">
        <v>637</v>
      </c>
      <c r="E304" s="1335" t="e">
        <f>+('Compra -HOJA1'!#REF!)</f>
        <v>#REF!</v>
      </c>
      <c r="F304" s="1336" t="e">
        <f t="shared" si="193"/>
        <v>#REF!</v>
      </c>
      <c r="G304" s="1336" t="e">
        <f t="shared" si="194"/>
        <v>#REF!</v>
      </c>
      <c r="H304" s="1336" t="e">
        <f t="shared" si="195"/>
        <v>#REF!</v>
      </c>
      <c r="I304" s="1336" t="e">
        <f t="shared" si="196"/>
        <v>#REF!</v>
      </c>
      <c r="J304" s="1336" t="e">
        <f t="shared" si="197"/>
        <v>#REF!</v>
      </c>
      <c r="K304" s="1336" t="e">
        <f t="shared" si="198"/>
        <v>#REF!</v>
      </c>
      <c r="L304" s="1337"/>
      <c r="M304" s="1337"/>
      <c r="N304" s="1337"/>
      <c r="O304" s="1337"/>
      <c r="P304" s="1338"/>
      <c r="Q304" s="1338"/>
      <c r="R304" s="1338"/>
      <c r="S304" s="5556"/>
      <c r="T304" s="872" t="s">
        <v>637</v>
      </c>
      <c r="U304" s="1339" t="e">
        <f>+'Compra -HOJA1'!#REF!</f>
        <v>#REF!</v>
      </c>
      <c r="V304" s="1339" t="e">
        <f>+'Compra -HOJA1'!#REF!</f>
        <v>#REF!</v>
      </c>
      <c r="W304" s="1339" t="e">
        <f>+'Compra -HOJA1'!#REF!</f>
        <v>#REF!</v>
      </c>
      <c r="X304" s="1339" t="e">
        <f>+'Compra -HOJA1'!#REF!</f>
        <v>#REF!</v>
      </c>
      <c r="Y304" s="1339" t="e">
        <f>+'Compra -HOJA1'!#REF!</f>
        <v>#REF!</v>
      </c>
      <c r="Z304" s="1339" t="e">
        <f>+'Compra -HOJA1'!#REF!</f>
        <v>#REF!</v>
      </c>
      <c r="AA304" s="1339" t="e">
        <f>+'Compra -HOJA1'!#REF!</f>
        <v>#REF!</v>
      </c>
      <c r="AB304" s="1340" t="e">
        <f>+'Compra -HOJA1'!#REF!</f>
        <v>#REF!</v>
      </c>
      <c r="AC304" s="1340" t="e">
        <f>+'Compra -HOJA1'!#REF!</f>
        <v>#REF!</v>
      </c>
    </row>
    <row r="305" spans="1:29" ht="37.5" customHeight="1" x14ac:dyDescent="0.35">
      <c r="A305" s="5381"/>
      <c r="B305" s="1343"/>
      <c r="C305" s="4998"/>
      <c r="D305" s="987" t="s">
        <v>49</v>
      </c>
      <c r="E305" s="1335" t="e">
        <f>+('Compra -HOJA1'!#REF!)</f>
        <v>#REF!</v>
      </c>
      <c r="F305" s="1336" t="e">
        <f t="shared" si="193"/>
        <v>#REF!</v>
      </c>
      <c r="G305" s="1336" t="e">
        <f t="shared" si="194"/>
        <v>#REF!</v>
      </c>
      <c r="H305" s="1336" t="e">
        <f t="shared" si="195"/>
        <v>#REF!</v>
      </c>
      <c r="I305" s="1336" t="e">
        <f t="shared" si="196"/>
        <v>#REF!</v>
      </c>
      <c r="J305" s="1336" t="e">
        <f t="shared" si="197"/>
        <v>#REF!</v>
      </c>
      <c r="K305" s="1336" t="e">
        <f t="shared" si="198"/>
        <v>#REF!</v>
      </c>
      <c r="L305" s="1337"/>
      <c r="M305" s="1337"/>
      <c r="N305" s="1337"/>
      <c r="O305" s="1337"/>
      <c r="P305" s="1338"/>
      <c r="Q305" s="1338"/>
      <c r="R305" s="1338"/>
      <c r="S305" s="5556"/>
      <c r="T305" s="872" t="s">
        <v>49</v>
      </c>
      <c r="U305" s="1339" t="e">
        <f>+'Compra -HOJA1'!#REF!</f>
        <v>#REF!</v>
      </c>
      <c r="V305" s="1339" t="e">
        <f>+'Compra -HOJA1'!#REF!</f>
        <v>#REF!</v>
      </c>
      <c r="W305" s="1339" t="e">
        <f>+'Compra -HOJA1'!#REF!</f>
        <v>#REF!</v>
      </c>
      <c r="X305" s="1339" t="e">
        <f>+'Compra -HOJA1'!#REF!</f>
        <v>#REF!</v>
      </c>
      <c r="Y305" s="1339" t="e">
        <f>+'Compra -HOJA1'!#REF!</f>
        <v>#REF!</v>
      </c>
      <c r="Z305" s="1339" t="e">
        <f>+'Compra -HOJA1'!#REF!</f>
        <v>#REF!</v>
      </c>
      <c r="AA305" s="1339" t="e">
        <f>+'Compra -HOJA1'!#REF!</f>
        <v>#REF!</v>
      </c>
      <c r="AB305" s="1340" t="e">
        <f>+'Compra -HOJA1'!#REF!</f>
        <v>#REF!</v>
      </c>
      <c r="AC305" s="1340" t="e">
        <f>+'Compra -HOJA1'!#REF!</f>
        <v>#REF!</v>
      </c>
    </row>
    <row r="306" spans="1:29" ht="37.5" customHeight="1" thickBot="1" x14ac:dyDescent="0.4">
      <c r="A306" s="5381"/>
      <c r="B306" s="1344">
        <v>6000</v>
      </c>
      <c r="C306" s="1345" t="s">
        <v>933</v>
      </c>
      <c r="D306" s="877" t="s">
        <v>934</v>
      </c>
      <c r="E306" s="1335">
        <f>+('Compra -HOJA1'!G305)</f>
        <v>0</v>
      </c>
      <c r="F306" s="1336">
        <f t="shared" si="193"/>
        <v>0</v>
      </c>
      <c r="G306" s="1336">
        <f t="shared" si="194"/>
        <v>0</v>
      </c>
      <c r="H306" s="1336">
        <f t="shared" si="195"/>
        <v>0</v>
      </c>
      <c r="I306" s="1336">
        <f t="shared" ca="1" si="196"/>
        <v>0</v>
      </c>
      <c r="J306" s="1336">
        <f t="shared" ca="1" si="197"/>
        <v>0</v>
      </c>
      <c r="K306" s="1336">
        <f t="shared" ca="1" si="198"/>
        <v>0</v>
      </c>
      <c r="L306" s="1337"/>
      <c r="M306" s="1337"/>
      <c r="N306" s="1337"/>
      <c r="O306" s="1337"/>
      <c r="P306" s="1338">
        <f t="shared" ca="1" si="199"/>
        <v>0</v>
      </c>
      <c r="Q306" s="1338">
        <f t="shared" ca="1" si="199"/>
        <v>0</v>
      </c>
      <c r="R306" s="1338">
        <f t="shared" ca="1" si="199"/>
        <v>0</v>
      </c>
      <c r="S306" s="5556"/>
      <c r="T306" s="873">
        <v>6000</v>
      </c>
      <c r="U306" s="1339">
        <f>+'Compra -HOJA1'!I305</f>
        <v>0</v>
      </c>
      <c r="V306" s="1339">
        <f>+'Compra -HOJA1'!J305</f>
        <v>0</v>
      </c>
      <c r="W306" s="1339">
        <f>+'Compra -HOJA1'!K305</f>
        <v>0</v>
      </c>
      <c r="X306" s="1339">
        <f ca="1">+'Compra -HOJA1'!L305</f>
        <v>0</v>
      </c>
      <c r="Y306" s="1339">
        <f ca="1">+'Compra -HOJA1'!M305</f>
        <v>0</v>
      </c>
      <c r="Z306" s="1339">
        <f ca="1">+'Compra -HOJA1'!N305</f>
        <v>0</v>
      </c>
      <c r="AA306" s="1339">
        <f ca="1">+'Compra -HOJA1'!O305</f>
        <v>0</v>
      </c>
      <c r="AB306" s="1340">
        <f ca="1">+'Compra -HOJA1'!P305</f>
        <v>0</v>
      </c>
      <c r="AC306" s="1340">
        <f ca="1">+'Compra -HOJA1'!Q305</f>
        <v>0</v>
      </c>
    </row>
    <row r="307" spans="1:29" ht="37.5" customHeight="1" thickBot="1" x14ac:dyDescent="0.4">
      <c r="A307" s="5601" t="s">
        <v>52</v>
      </c>
      <c r="B307" s="1334">
        <v>5000</v>
      </c>
      <c r="C307" s="5369" t="s">
        <v>42</v>
      </c>
      <c r="D307" s="5370"/>
      <c r="E307" s="1335">
        <f>+('Compra -HOJA1'!G306)</f>
        <v>0</v>
      </c>
      <c r="F307" s="1336">
        <f t="shared" si="193"/>
        <v>0</v>
      </c>
      <c r="G307" s="1336">
        <f t="shared" si="194"/>
        <v>0</v>
      </c>
      <c r="H307" s="1336">
        <f t="shared" si="195"/>
        <v>0</v>
      </c>
      <c r="I307" s="1336">
        <f t="shared" ca="1" si="196"/>
        <v>0</v>
      </c>
      <c r="J307" s="1336">
        <f t="shared" ca="1" si="197"/>
        <v>0</v>
      </c>
      <c r="K307" s="1336">
        <f t="shared" ca="1" si="198"/>
        <v>0</v>
      </c>
      <c r="L307" s="1337"/>
      <c r="M307" s="1337"/>
      <c r="N307" s="1337"/>
      <c r="O307" s="1337"/>
      <c r="P307" s="1338">
        <f t="shared" ca="1" si="199"/>
        <v>0</v>
      </c>
      <c r="Q307" s="1338">
        <f t="shared" ca="1" si="199"/>
        <v>0</v>
      </c>
      <c r="R307" s="1338">
        <f t="shared" ca="1" si="199"/>
        <v>0</v>
      </c>
      <c r="S307" s="5357" t="s">
        <v>323</v>
      </c>
      <c r="T307" s="857">
        <v>5000</v>
      </c>
      <c r="U307" s="1339">
        <f>+'Compra -HOJA1'!I306</f>
        <v>0</v>
      </c>
      <c r="V307" s="1339">
        <f>+'Compra -HOJA1'!J306</f>
        <v>0</v>
      </c>
      <c r="W307" s="1339">
        <f>+'Compra -HOJA1'!K306</f>
        <v>0</v>
      </c>
      <c r="X307" s="1339">
        <f ca="1">+'Compra -HOJA1'!L306</f>
        <v>0</v>
      </c>
      <c r="Y307" s="1339">
        <f ca="1">+'Compra -HOJA1'!M306</f>
        <v>0</v>
      </c>
      <c r="Z307" s="1339">
        <f ca="1">+'Compra -HOJA1'!N306</f>
        <v>0</v>
      </c>
      <c r="AA307" s="1339">
        <f ca="1">+'Compra -HOJA1'!O306</f>
        <v>0</v>
      </c>
      <c r="AB307" s="1340">
        <f ca="1">+'Compra -HOJA1'!P306</f>
        <v>0</v>
      </c>
      <c r="AC307" s="1340">
        <f ca="1">+'Compra -HOJA1'!Q306</f>
        <v>0</v>
      </c>
    </row>
    <row r="308" spans="1:29" ht="37.5" customHeight="1" thickBot="1" x14ac:dyDescent="0.4">
      <c r="A308" s="5602"/>
      <c r="B308" s="1341">
        <v>5020</v>
      </c>
      <c r="C308" s="1342" t="s">
        <v>43</v>
      </c>
      <c r="D308" s="984" t="s">
        <v>44</v>
      </c>
      <c r="E308" s="1335" t="e">
        <f>+('Compra -HOJA1'!#REF!)</f>
        <v>#REF!</v>
      </c>
      <c r="F308" s="1336" t="e">
        <f t="shared" si="193"/>
        <v>#REF!</v>
      </c>
      <c r="G308" s="1336" t="e">
        <f t="shared" si="194"/>
        <v>#REF!</v>
      </c>
      <c r="H308" s="1336" t="e">
        <f t="shared" si="195"/>
        <v>#REF!</v>
      </c>
      <c r="I308" s="1336" t="e">
        <f t="shared" si="196"/>
        <v>#REF!</v>
      </c>
      <c r="J308" s="1336" t="e">
        <f t="shared" si="197"/>
        <v>#REF!</v>
      </c>
      <c r="K308" s="1336" t="e">
        <f t="shared" si="198"/>
        <v>#REF!</v>
      </c>
      <c r="L308" s="1337"/>
      <c r="M308" s="1337"/>
      <c r="N308" s="1337"/>
      <c r="O308" s="1337"/>
      <c r="P308" s="1338" t="e">
        <f t="shared" si="199"/>
        <v>#REF!</v>
      </c>
      <c r="Q308" s="1338" t="e">
        <f t="shared" si="199"/>
        <v>#REF!</v>
      </c>
      <c r="R308" s="1338" t="e">
        <f t="shared" si="199"/>
        <v>#REF!</v>
      </c>
      <c r="S308" s="5357"/>
      <c r="T308" s="864">
        <v>5020</v>
      </c>
      <c r="U308" s="1339" t="e">
        <f>+'Compra -HOJA1'!#REF!</f>
        <v>#REF!</v>
      </c>
      <c r="V308" s="1339" t="e">
        <f>+'Compra -HOJA1'!#REF!</f>
        <v>#REF!</v>
      </c>
      <c r="W308" s="1339" t="e">
        <f>+'Compra -HOJA1'!#REF!</f>
        <v>#REF!</v>
      </c>
      <c r="X308" s="1339" t="e">
        <f>+'Compra -HOJA1'!#REF!</f>
        <v>#REF!</v>
      </c>
      <c r="Y308" s="1339" t="e">
        <f>+'Compra -HOJA1'!#REF!</f>
        <v>#REF!</v>
      </c>
      <c r="Z308" s="1339" t="e">
        <f>+'Compra -HOJA1'!#REF!</f>
        <v>#REF!</v>
      </c>
      <c r="AA308" s="1339" t="e">
        <f>+'Compra -HOJA1'!#REF!</f>
        <v>#REF!</v>
      </c>
      <c r="AB308" s="1340" t="e">
        <f>+'Compra -HOJA1'!#REF!</f>
        <v>#REF!</v>
      </c>
      <c r="AC308" s="1340" t="e">
        <f>+'Compra -HOJA1'!#REF!</f>
        <v>#REF!</v>
      </c>
    </row>
    <row r="309" spans="1:29" ht="37.5" customHeight="1" x14ac:dyDescent="0.35">
      <c r="A309" s="5602"/>
      <c r="B309" s="1346">
        <v>5500</v>
      </c>
      <c r="C309" s="5358" t="s">
        <v>45</v>
      </c>
      <c r="D309" s="1228" t="s">
        <v>46</v>
      </c>
      <c r="E309" s="1335">
        <f>+('Compra -HOJA1'!G311)</f>
        <v>0</v>
      </c>
      <c r="F309" s="1336">
        <f t="shared" si="193"/>
        <v>0</v>
      </c>
      <c r="G309" s="1336">
        <f t="shared" si="194"/>
        <v>0</v>
      </c>
      <c r="H309" s="1336">
        <f t="shared" si="195"/>
        <v>0</v>
      </c>
      <c r="I309" s="1336">
        <f t="shared" ca="1" si="196"/>
        <v>0</v>
      </c>
      <c r="J309" s="1336">
        <f t="shared" ca="1" si="197"/>
        <v>0</v>
      </c>
      <c r="K309" s="1336">
        <f t="shared" ca="1" si="198"/>
        <v>0</v>
      </c>
      <c r="L309" s="1337"/>
      <c r="M309" s="1337"/>
      <c r="N309" s="1337"/>
      <c r="O309" s="1337"/>
      <c r="P309" s="1338">
        <f t="shared" ca="1" si="199"/>
        <v>0</v>
      </c>
      <c r="Q309" s="1338">
        <f t="shared" ca="1" si="199"/>
        <v>0</v>
      </c>
      <c r="R309" s="1338">
        <f t="shared" ca="1" si="199"/>
        <v>0</v>
      </c>
      <c r="S309" s="5357"/>
      <c r="T309" s="1347" t="s">
        <v>46</v>
      </c>
      <c r="U309" s="1339">
        <f>+'Compra -HOJA1'!I311</f>
        <v>0</v>
      </c>
      <c r="V309" s="1339">
        <f>+'Compra -HOJA1'!J311</f>
        <v>0</v>
      </c>
      <c r="W309" s="1339">
        <f>+'Compra -HOJA1'!K311</f>
        <v>0</v>
      </c>
      <c r="X309" s="1339">
        <f ca="1">+'Compra -HOJA1'!L311</f>
        <v>0</v>
      </c>
      <c r="Y309" s="1339">
        <f ca="1">+'Compra -HOJA1'!M311</f>
        <v>0</v>
      </c>
      <c r="Z309" s="1339">
        <f ca="1">+'Compra -HOJA1'!N311</f>
        <v>0</v>
      </c>
      <c r="AA309" s="1339">
        <f ca="1">+'Compra -HOJA1'!O311</f>
        <v>0</v>
      </c>
      <c r="AB309" s="1340">
        <f ca="1">+'Compra -HOJA1'!P311</f>
        <v>0</v>
      </c>
      <c r="AC309" s="1340">
        <f ca="1">+'Compra -HOJA1'!Q311</f>
        <v>0</v>
      </c>
    </row>
    <row r="310" spans="1:29" ht="37.5" customHeight="1" x14ac:dyDescent="0.35">
      <c r="A310" s="5602"/>
      <c r="B310" s="1348"/>
      <c r="C310" s="5359"/>
      <c r="D310" s="1228" t="s">
        <v>47</v>
      </c>
      <c r="E310" s="1335">
        <f>+('Compra -HOJA1'!G312)</f>
        <v>0</v>
      </c>
      <c r="F310" s="1336">
        <f t="shared" si="193"/>
        <v>0</v>
      </c>
      <c r="G310" s="1336">
        <f t="shared" si="194"/>
        <v>0</v>
      </c>
      <c r="H310" s="1336">
        <f t="shared" si="195"/>
        <v>0</v>
      </c>
      <c r="I310" s="1336">
        <f t="shared" ca="1" si="196"/>
        <v>0</v>
      </c>
      <c r="J310" s="1336">
        <f t="shared" ca="1" si="197"/>
        <v>0</v>
      </c>
      <c r="K310" s="1336">
        <f t="shared" ca="1" si="198"/>
        <v>0</v>
      </c>
      <c r="L310" s="1337"/>
      <c r="M310" s="1337"/>
      <c r="N310" s="1337"/>
      <c r="O310" s="1337"/>
      <c r="P310" s="1338">
        <f t="shared" ca="1" si="199"/>
        <v>0</v>
      </c>
      <c r="Q310" s="1338">
        <f t="shared" ca="1" si="199"/>
        <v>0</v>
      </c>
      <c r="R310" s="1338">
        <f t="shared" ca="1" si="199"/>
        <v>0</v>
      </c>
      <c r="S310" s="5357"/>
      <c r="T310" s="1228" t="s">
        <v>47</v>
      </c>
      <c r="U310" s="1339">
        <f>+'Compra -HOJA1'!I312</f>
        <v>0</v>
      </c>
      <c r="V310" s="1339">
        <f>+'Compra -HOJA1'!J312</f>
        <v>0</v>
      </c>
      <c r="W310" s="1339">
        <f>+'Compra -HOJA1'!K312</f>
        <v>0</v>
      </c>
      <c r="X310" s="1339">
        <f ca="1">+'Compra -HOJA1'!L312</f>
        <v>0</v>
      </c>
      <c r="Y310" s="1339">
        <f ca="1">+'Compra -HOJA1'!M312</f>
        <v>0</v>
      </c>
      <c r="Z310" s="1339">
        <f ca="1">+'Compra -HOJA1'!N312</f>
        <v>0</v>
      </c>
      <c r="AA310" s="1339">
        <f ca="1">+'Compra -HOJA1'!O312</f>
        <v>0</v>
      </c>
      <c r="AB310" s="1340">
        <f ca="1">+'Compra -HOJA1'!P312</f>
        <v>0</v>
      </c>
      <c r="AC310" s="1340">
        <f ca="1">+'Compra -HOJA1'!Q312</f>
        <v>0</v>
      </c>
    </row>
    <row r="311" spans="1:29" ht="37.5" customHeight="1" x14ac:dyDescent="0.35">
      <c r="A311" s="5602"/>
      <c r="B311" s="1349">
        <v>5550</v>
      </c>
      <c r="C311" s="5359"/>
      <c r="D311" s="1228" t="s">
        <v>950</v>
      </c>
      <c r="E311" s="1335">
        <f>+('Compra -HOJA1'!G313)</f>
        <v>0</v>
      </c>
      <c r="F311" s="1336">
        <f t="shared" si="193"/>
        <v>0</v>
      </c>
      <c r="G311" s="1336">
        <f t="shared" si="194"/>
        <v>0</v>
      </c>
      <c r="H311" s="1336">
        <f t="shared" si="195"/>
        <v>0</v>
      </c>
      <c r="I311" s="1336">
        <f t="shared" ca="1" si="196"/>
        <v>0</v>
      </c>
      <c r="J311" s="1336">
        <f t="shared" ca="1" si="197"/>
        <v>0</v>
      </c>
      <c r="K311" s="1336">
        <f t="shared" ca="1" si="198"/>
        <v>0</v>
      </c>
      <c r="L311" s="1337"/>
      <c r="M311" s="1337"/>
      <c r="N311" s="1337"/>
      <c r="O311" s="1337"/>
      <c r="P311" s="1338">
        <f ca="1">+F311+I311</f>
        <v>0</v>
      </c>
      <c r="Q311" s="1338">
        <f ca="1">+G311+J311</f>
        <v>0</v>
      </c>
      <c r="R311" s="1338">
        <f ca="1">+H311+K311</f>
        <v>0</v>
      </c>
      <c r="S311" s="5357"/>
      <c r="T311" s="1228" t="s">
        <v>950</v>
      </c>
      <c r="U311" s="1339">
        <f>+'Compra -HOJA1'!I313</f>
        <v>0</v>
      </c>
      <c r="V311" s="1339">
        <f>+'Compra -HOJA1'!J313</f>
        <v>0</v>
      </c>
      <c r="W311" s="1339">
        <f>+'Compra -HOJA1'!K313</f>
        <v>0</v>
      </c>
      <c r="X311" s="1339">
        <f ca="1">+'Compra -HOJA1'!L313</f>
        <v>0</v>
      </c>
      <c r="Y311" s="1339">
        <f ca="1">+'Compra -HOJA1'!M313</f>
        <v>0</v>
      </c>
      <c r="Z311" s="1339">
        <f ca="1">+'Compra -HOJA1'!N313</f>
        <v>0</v>
      </c>
      <c r="AA311" s="1339">
        <f ca="1">+'Compra -HOJA1'!O313</f>
        <v>0</v>
      </c>
      <c r="AB311" s="1340">
        <f ca="1">+'Compra -HOJA1'!P313</f>
        <v>0</v>
      </c>
      <c r="AC311" s="1340">
        <f ca="1">+'Compra -HOJA1'!Q313</f>
        <v>0</v>
      </c>
    </row>
    <row r="312" spans="1:29" ht="37.5" customHeight="1" x14ac:dyDescent="0.35">
      <c r="A312" s="5602"/>
      <c r="B312" s="1349">
        <v>5560</v>
      </c>
      <c r="C312" s="5359"/>
      <c r="D312" s="1228" t="s">
        <v>951</v>
      </c>
      <c r="E312" s="1335" t="e">
        <f>+('Compra -HOJA1'!#REF!)</f>
        <v>#REF!</v>
      </c>
      <c r="F312" s="1336" t="e">
        <f t="shared" si="193"/>
        <v>#REF!</v>
      </c>
      <c r="G312" s="1336" t="e">
        <f t="shared" si="194"/>
        <v>#REF!</v>
      </c>
      <c r="H312" s="1336" t="e">
        <f t="shared" si="195"/>
        <v>#REF!</v>
      </c>
      <c r="I312" s="1336" t="e">
        <f t="shared" si="196"/>
        <v>#REF!</v>
      </c>
      <c r="J312" s="1336" t="e">
        <f t="shared" si="197"/>
        <v>#REF!</v>
      </c>
      <c r="K312" s="1336" t="e">
        <f t="shared" si="198"/>
        <v>#REF!</v>
      </c>
      <c r="L312" s="1337"/>
      <c r="M312" s="1337"/>
      <c r="N312" s="1337"/>
      <c r="O312" s="1337"/>
      <c r="P312" s="1338" t="e">
        <f t="shared" si="199"/>
        <v>#REF!</v>
      </c>
      <c r="Q312" s="1338" t="e">
        <f t="shared" si="199"/>
        <v>#REF!</v>
      </c>
      <c r="R312" s="1338" t="e">
        <f t="shared" si="199"/>
        <v>#REF!</v>
      </c>
      <c r="S312" s="5357"/>
      <c r="T312" s="987" t="s">
        <v>951</v>
      </c>
      <c r="U312" s="1339" t="e">
        <f>+'Compra -HOJA1'!#REF!</f>
        <v>#REF!</v>
      </c>
      <c r="V312" s="1339" t="e">
        <f>+'Compra -HOJA1'!#REF!</f>
        <v>#REF!</v>
      </c>
      <c r="W312" s="1339" t="e">
        <f>+'Compra -HOJA1'!#REF!</f>
        <v>#REF!</v>
      </c>
      <c r="X312" s="1339" t="e">
        <f>+'Compra -HOJA1'!#REF!</f>
        <v>#REF!</v>
      </c>
      <c r="Y312" s="1339" t="e">
        <f>+'Compra -HOJA1'!#REF!</f>
        <v>#REF!</v>
      </c>
      <c r="Z312" s="1339" t="e">
        <f>+'Compra -HOJA1'!#REF!</f>
        <v>#REF!</v>
      </c>
      <c r="AA312" s="1339" t="e">
        <f>+'Compra -HOJA1'!#REF!</f>
        <v>#REF!</v>
      </c>
      <c r="AB312" s="1340" t="e">
        <f>+'Compra -HOJA1'!#REF!</f>
        <v>#REF!</v>
      </c>
      <c r="AC312" s="1340" t="e">
        <f>+'Compra -HOJA1'!#REF!</f>
        <v>#REF!</v>
      </c>
    </row>
    <row r="313" spans="1:29" ht="37.5" customHeight="1" x14ac:dyDescent="0.35">
      <c r="A313" s="5602"/>
      <c r="B313" s="1349"/>
      <c r="C313" s="5359"/>
      <c r="D313" s="987" t="s">
        <v>637</v>
      </c>
      <c r="E313" s="1335">
        <f>+('Compra -HOJA1'!G315)</f>
        <v>0</v>
      </c>
      <c r="F313" s="1336">
        <f t="shared" si="193"/>
        <v>0</v>
      </c>
      <c r="G313" s="1336">
        <f t="shared" si="194"/>
        <v>0</v>
      </c>
      <c r="H313" s="1336">
        <f t="shared" si="195"/>
        <v>0</v>
      </c>
      <c r="I313" s="1336">
        <f t="shared" ca="1" si="196"/>
        <v>0</v>
      </c>
      <c r="J313" s="1336">
        <f t="shared" ca="1" si="197"/>
        <v>0</v>
      </c>
      <c r="K313" s="1336">
        <f t="shared" ca="1" si="198"/>
        <v>0</v>
      </c>
      <c r="L313" s="1337"/>
      <c r="M313" s="1337"/>
      <c r="N313" s="1337"/>
      <c r="O313" s="1337"/>
      <c r="P313" s="1338">
        <f t="shared" ca="1" si="199"/>
        <v>0</v>
      </c>
      <c r="Q313" s="1338">
        <f t="shared" ca="1" si="199"/>
        <v>0</v>
      </c>
      <c r="R313" s="1338">
        <f t="shared" ca="1" si="199"/>
        <v>0</v>
      </c>
      <c r="S313" s="5357"/>
      <c r="T313" s="987" t="s">
        <v>637</v>
      </c>
      <c r="U313" s="1339">
        <f>+'Compra -HOJA1'!I315</f>
        <v>0</v>
      </c>
      <c r="V313" s="1339">
        <f>+'Compra -HOJA1'!J315</f>
        <v>0</v>
      </c>
      <c r="W313" s="1339">
        <f>+'Compra -HOJA1'!K315</f>
        <v>0</v>
      </c>
      <c r="X313" s="1339">
        <f ca="1">+'Compra -HOJA1'!L315</f>
        <v>0</v>
      </c>
      <c r="Y313" s="1339">
        <f ca="1">+'Compra -HOJA1'!M315</f>
        <v>0</v>
      </c>
      <c r="Z313" s="1339">
        <f ca="1">+'Compra -HOJA1'!N315</f>
        <v>0</v>
      </c>
      <c r="AA313" s="1339">
        <f ca="1">+'Compra -HOJA1'!O315</f>
        <v>0</v>
      </c>
      <c r="AB313" s="1340">
        <f ca="1">+'Compra -HOJA1'!P315</f>
        <v>0</v>
      </c>
      <c r="AC313" s="1340">
        <f ca="1">+'Compra -HOJA1'!Q315</f>
        <v>0</v>
      </c>
    </row>
    <row r="314" spans="1:29" ht="37.5" customHeight="1" x14ac:dyDescent="0.35">
      <c r="A314" s="5602"/>
      <c r="B314" s="1349"/>
      <c r="C314" s="5359"/>
      <c r="D314" s="987" t="s">
        <v>49</v>
      </c>
      <c r="E314" s="1335">
        <f>+('Compra -HOJA1'!G316)</f>
        <v>0</v>
      </c>
      <c r="F314" s="1336">
        <f t="shared" si="193"/>
        <v>0</v>
      </c>
      <c r="G314" s="1336">
        <f t="shared" si="194"/>
        <v>0</v>
      </c>
      <c r="H314" s="1336">
        <f t="shared" si="195"/>
        <v>0</v>
      </c>
      <c r="I314" s="1336">
        <f t="shared" ca="1" si="196"/>
        <v>0</v>
      </c>
      <c r="J314" s="1336">
        <f t="shared" ca="1" si="197"/>
        <v>0</v>
      </c>
      <c r="K314" s="1336">
        <f t="shared" ca="1" si="198"/>
        <v>0</v>
      </c>
      <c r="L314" s="1337"/>
      <c r="M314" s="1337"/>
      <c r="N314" s="1337"/>
      <c r="O314" s="1337"/>
      <c r="P314" s="1338"/>
      <c r="Q314" s="1338"/>
      <c r="R314" s="1338"/>
      <c r="S314" s="5357"/>
      <c r="T314" s="1350" t="s">
        <v>49</v>
      </c>
      <c r="U314" s="1339">
        <f>+'Compra -HOJA1'!I316</f>
        <v>0</v>
      </c>
      <c r="V314" s="1339">
        <f>+'Compra -HOJA1'!J316</f>
        <v>0</v>
      </c>
      <c r="W314" s="1339">
        <f>+'Compra -HOJA1'!K316</f>
        <v>0</v>
      </c>
      <c r="X314" s="1339">
        <f ca="1">+'Compra -HOJA1'!L316</f>
        <v>0</v>
      </c>
      <c r="Y314" s="1339">
        <f ca="1">+'Compra -HOJA1'!M316</f>
        <v>0</v>
      </c>
      <c r="Z314" s="1339">
        <f ca="1">+'Compra -HOJA1'!N316</f>
        <v>0</v>
      </c>
      <c r="AA314" s="1339">
        <f ca="1">+'Compra -HOJA1'!O316</f>
        <v>0</v>
      </c>
      <c r="AB314" s="1340">
        <f ca="1">+'Compra -HOJA1'!P316</f>
        <v>0</v>
      </c>
      <c r="AC314" s="1340">
        <f ca="1">+'Compra -HOJA1'!Q316</f>
        <v>0</v>
      </c>
    </row>
    <row r="315" spans="1:29" ht="37.5" customHeight="1" x14ac:dyDescent="0.35">
      <c r="A315" s="5602"/>
      <c r="B315" s="1351">
        <v>5570</v>
      </c>
      <c r="C315" s="5359"/>
      <c r="D315" s="987" t="s">
        <v>952</v>
      </c>
      <c r="E315" s="1335" t="e">
        <f>+('Compra -HOJA1'!#REF!)</f>
        <v>#REF!</v>
      </c>
      <c r="F315" s="1336" t="e">
        <f t="shared" si="193"/>
        <v>#REF!</v>
      </c>
      <c r="G315" s="1336" t="e">
        <f t="shared" si="194"/>
        <v>#REF!</v>
      </c>
      <c r="H315" s="1336" t="e">
        <f t="shared" si="195"/>
        <v>#REF!</v>
      </c>
      <c r="I315" s="1336" t="e">
        <f t="shared" si="196"/>
        <v>#REF!</v>
      </c>
      <c r="J315" s="1336" t="e">
        <f t="shared" si="197"/>
        <v>#REF!</v>
      </c>
      <c r="K315" s="1336" t="e">
        <f t="shared" si="198"/>
        <v>#REF!</v>
      </c>
      <c r="L315" s="1337"/>
      <c r="M315" s="1337"/>
      <c r="N315" s="1337"/>
      <c r="O315" s="1337"/>
      <c r="P315" s="1338"/>
      <c r="Q315" s="1338"/>
      <c r="R315" s="1338"/>
      <c r="S315" s="5357"/>
      <c r="T315" s="1350" t="s">
        <v>952</v>
      </c>
      <c r="U315" s="1339" t="e">
        <f>+'Compra -HOJA1'!#REF!</f>
        <v>#REF!</v>
      </c>
      <c r="V315" s="1339" t="e">
        <f>+'Compra -HOJA1'!#REF!</f>
        <v>#REF!</v>
      </c>
      <c r="W315" s="1339" t="e">
        <f>+'Compra -HOJA1'!#REF!</f>
        <v>#REF!</v>
      </c>
      <c r="X315" s="1339" t="e">
        <f>+'Compra -HOJA1'!#REF!</f>
        <v>#REF!</v>
      </c>
      <c r="Y315" s="1339" t="e">
        <f>+'Compra -HOJA1'!#REF!</f>
        <v>#REF!</v>
      </c>
      <c r="Z315" s="1339" t="e">
        <f>+'Compra -HOJA1'!#REF!</f>
        <v>#REF!</v>
      </c>
      <c r="AA315" s="1339" t="e">
        <f>+'Compra -HOJA1'!#REF!</f>
        <v>#REF!</v>
      </c>
      <c r="AB315" s="1340" t="e">
        <f>+'Compra -HOJA1'!#REF!</f>
        <v>#REF!</v>
      </c>
      <c r="AC315" s="1340" t="e">
        <f>+'Compra -HOJA1'!#REF!</f>
        <v>#REF!</v>
      </c>
    </row>
    <row r="316" spans="1:29" ht="37.5" customHeight="1" thickBot="1" x14ac:dyDescent="0.4">
      <c r="A316" s="5602"/>
      <c r="B316" s="1351">
        <v>5580</v>
      </c>
      <c r="C316" s="5360"/>
      <c r="D316" s="987" t="s">
        <v>953</v>
      </c>
      <c r="E316" s="1335" t="e">
        <f>+('Compra -HOJA1'!#REF!)</f>
        <v>#REF!</v>
      </c>
      <c r="F316" s="1336" t="e">
        <f t="shared" si="193"/>
        <v>#REF!</v>
      </c>
      <c r="G316" s="1336" t="e">
        <f t="shared" si="194"/>
        <v>#REF!</v>
      </c>
      <c r="H316" s="1336" t="e">
        <f t="shared" si="195"/>
        <v>#REF!</v>
      </c>
      <c r="I316" s="1336" t="e">
        <f t="shared" si="196"/>
        <v>#REF!</v>
      </c>
      <c r="J316" s="1336" t="e">
        <f t="shared" si="197"/>
        <v>#REF!</v>
      </c>
      <c r="K316" s="1336" t="e">
        <f t="shared" si="198"/>
        <v>#REF!</v>
      </c>
      <c r="L316" s="1337"/>
      <c r="M316" s="1337"/>
      <c r="N316" s="1337"/>
      <c r="O316" s="1337"/>
      <c r="P316" s="1338"/>
      <c r="Q316" s="1338"/>
      <c r="R316" s="1338"/>
      <c r="S316" s="5357"/>
      <c r="T316" s="1350" t="s">
        <v>953</v>
      </c>
      <c r="U316" s="1339" t="e">
        <f>+'Compra -HOJA1'!#REF!</f>
        <v>#REF!</v>
      </c>
      <c r="V316" s="1339" t="e">
        <f>+'Compra -HOJA1'!#REF!</f>
        <v>#REF!</v>
      </c>
      <c r="W316" s="1339" t="e">
        <f>+'Compra -HOJA1'!#REF!</f>
        <v>#REF!</v>
      </c>
      <c r="X316" s="1339" t="e">
        <f>+'Compra -HOJA1'!#REF!</f>
        <v>#REF!</v>
      </c>
      <c r="Y316" s="1339" t="e">
        <f>+'Compra -HOJA1'!#REF!</f>
        <v>#REF!</v>
      </c>
      <c r="Z316" s="1339" t="e">
        <f>+'Compra -HOJA1'!#REF!</f>
        <v>#REF!</v>
      </c>
      <c r="AA316" s="1339" t="e">
        <f>+'Compra -HOJA1'!#REF!</f>
        <v>#REF!</v>
      </c>
      <c r="AB316" s="1340" t="e">
        <f>+'Compra -HOJA1'!#REF!</f>
        <v>#REF!</v>
      </c>
      <c r="AC316" s="1340" t="e">
        <f>+'Compra -HOJA1'!#REF!</f>
        <v>#REF!</v>
      </c>
    </row>
    <row r="317" spans="1:29" ht="37.5" customHeight="1" thickBot="1" x14ac:dyDescent="0.4">
      <c r="A317" s="5603"/>
      <c r="B317" s="1344">
        <v>6000</v>
      </c>
      <c r="C317" s="1352" t="s">
        <v>50</v>
      </c>
      <c r="D317" s="877" t="s">
        <v>934</v>
      </c>
      <c r="E317" s="1335">
        <f>+('Compra -HOJA1'!G328)</f>
        <v>0</v>
      </c>
      <c r="F317" s="1336">
        <f t="shared" si="193"/>
        <v>0</v>
      </c>
      <c r="G317" s="1336">
        <f t="shared" si="194"/>
        <v>0</v>
      </c>
      <c r="H317" s="1336">
        <f t="shared" si="195"/>
        <v>0</v>
      </c>
      <c r="I317" s="1336">
        <f t="shared" ca="1" si="196"/>
        <v>0</v>
      </c>
      <c r="J317" s="1336">
        <f t="shared" ca="1" si="197"/>
        <v>0</v>
      </c>
      <c r="K317" s="1336">
        <f t="shared" ca="1" si="198"/>
        <v>0</v>
      </c>
      <c r="L317" s="1337"/>
      <c r="M317" s="1337"/>
      <c r="N317" s="1337"/>
      <c r="O317" s="1337"/>
      <c r="P317" s="1338">
        <f t="shared" ca="1" si="199"/>
        <v>0</v>
      </c>
      <c r="Q317" s="1338">
        <f t="shared" ca="1" si="199"/>
        <v>0</v>
      </c>
      <c r="R317" s="1338">
        <f t="shared" ca="1" si="199"/>
        <v>0</v>
      </c>
      <c r="S317" s="5357"/>
      <c r="T317" s="873">
        <v>6000</v>
      </c>
      <c r="U317" s="1339">
        <f>+'Compra -HOJA1'!I328</f>
        <v>0</v>
      </c>
      <c r="V317" s="1339">
        <f>+'Compra -HOJA1'!J328</f>
        <v>0</v>
      </c>
      <c r="W317" s="1339">
        <f>+'Compra -HOJA1'!K328</f>
        <v>0</v>
      </c>
      <c r="X317" s="1339">
        <f ca="1">+'Compra -HOJA1'!L328</f>
        <v>0</v>
      </c>
      <c r="Y317" s="1339">
        <f ca="1">+'Compra -HOJA1'!M328</f>
        <v>0</v>
      </c>
      <c r="Z317" s="1339">
        <f ca="1">+'Compra -HOJA1'!N328</f>
        <v>0</v>
      </c>
      <c r="AA317" s="1339">
        <f ca="1">+'Compra -HOJA1'!O328</f>
        <v>0</v>
      </c>
      <c r="AB317" s="1340">
        <f ca="1">+'Compra -HOJA1'!P328</f>
        <v>0</v>
      </c>
      <c r="AC317" s="1340">
        <f ca="1">+'Compra -HOJA1'!Q328</f>
        <v>0</v>
      </c>
    </row>
    <row r="318" spans="1:29" ht="37.5" customHeight="1" thickBot="1" x14ac:dyDescent="0.4">
      <c r="A318" s="5005" t="s">
        <v>57</v>
      </c>
      <c r="B318" s="1334">
        <v>5000</v>
      </c>
      <c r="C318" s="5369" t="s">
        <v>42</v>
      </c>
      <c r="D318" s="5370"/>
      <c r="E318" s="1335">
        <f>+('Compra -HOJA1'!G329)</f>
        <v>0</v>
      </c>
      <c r="F318" s="1336">
        <f t="shared" si="193"/>
        <v>0</v>
      </c>
      <c r="G318" s="1336">
        <f t="shared" si="194"/>
        <v>0</v>
      </c>
      <c r="H318" s="1336">
        <f t="shared" si="195"/>
        <v>0</v>
      </c>
      <c r="I318" s="1336">
        <f t="shared" ca="1" si="196"/>
        <v>0</v>
      </c>
      <c r="J318" s="1336">
        <f t="shared" ca="1" si="197"/>
        <v>0</v>
      </c>
      <c r="K318" s="1336">
        <f t="shared" ca="1" si="198"/>
        <v>0</v>
      </c>
      <c r="L318" s="1337"/>
      <c r="M318" s="1337"/>
      <c r="N318" s="1337"/>
      <c r="O318" s="1337"/>
      <c r="P318" s="1338">
        <f t="shared" ca="1" si="199"/>
        <v>0</v>
      </c>
      <c r="Q318" s="1338">
        <f t="shared" ca="1" si="199"/>
        <v>0</v>
      </c>
      <c r="R318" s="1338">
        <f t="shared" ca="1" si="199"/>
        <v>0</v>
      </c>
      <c r="S318" s="5357" t="s">
        <v>324</v>
      </c>
      <c r="T318" s="857">
        <v>5000</v>
      </c>
      <c r="U318" s="1339">
        <f>+'Compra -HOJA1'!I329</f>
        <v>0</v>
      </c>
      <c r="V318" s="1339">
        <f>+'Compra -HOJA1'!J329</f>
        <v>0</v>
      </c>
      <c r="W318" s="1339">
        <f>+'Compra -HOJA1'!K329</f>
        <v>0</v>
      </c>
      <c r="X318" s="1339">
        <f ca="1">+'Compra -HOJA1'!L329</f>
        <v>0</v>
      </c>
      <c r="Y318" s="1339">
        <f ca="1">+'Compra -HOJA1'!M329</f>
        <v>0</v>
      </c>
      <c r="Z318" s="1339">
        <f ca="1">+'Compra -HOJA1'!N329</f>
        <v>0</v>
      </c>
      <c r="AA318" s="1339">
        <f ca="1">+'Compra -HOJA1'!O329</f>
        <v>0</v>
      </c>
      <c r="AB318" s="1340">
        <f ca="1">+'Compra -HOJA1'!P329</f>
        <v>0</v>
      </c>
      <c r="AC318" s="1340">
        <f ca="1">+'Compra -HOJA1'!Q329</f>
        <v>0</v>
      </c>
    </row>
    <row r="319" spans="1:29" ht="37.5" customHeight="1" thickBot="1" x14ac:dyDescent="0.4">
      <c r="A319" s="5557"/>
      <c r="B319" s="1341">
        <v>5020</v>
      </c>
      <c r="C319" s="1342" t="s">
        <v>43</v>
      </c>
      <c r="D319" s="984" t="s">
        <v>44</v>
      </c>
      <c r="E319" s="1335" t="e">
        <f>+('Compra -HOJA1'!#REF!)</f>
        <v>#REF!</v>
      </c>
      <c r="F319" s="1336" t="e">
        <f t="shared" si="193"/>
        <v>#REF!</v>
      </c>
      <c r="G319" s="1336" t="e">
        <f t="shared" si="194"/>
        <v>#REF!</v>
      </c>
      <c r="H319" s="1336" t="e">
        <f t="shared" si="195"/>
        <v>#REF!</v>
      </c>
      <c r="I319" s="1336" t="e">
        <f t="shared" si="196"/>
        <v>#REF!</v>
      </c>
      <c r="J319" s="1336" t="e">
        <f t="shared" si="197"/>
        <v>#REF!</v>
      </c>
      <c r="K319" s="1336" t="e">
        <f t="shared" si="198"/>
        <v>#REF!</v>
      </c>
      <c r="L319" s="1337"/>
      <c r="M319" s="1337"/>
      <c r="N319" s="1337"/>
      <c r="O319" s="1337"/>
      <c r="P319" s="1338" t="e">
        <f t="shared" si="199"/>
        <v>#REF!</v>
      </c>
      <c r="Q319" s="1338" t="e">
        <f t="shared" si="199"/>
        <v>#REF!</v>
      </c>
      <c r="R319" s="1338" t="e">
        <f t="shared" si="199"/>
        <v>#REF!</v>
      </c>
      <c r="S319" s="5357"/>
      <c r="T319" s="864">
        <v>5020</v>
      </c>
      <c r="U319" s="1339" t="e">
        <f>+'Compra -HOJA1'!#REF!</f>
        <v>#REF!</v>
      </c>
      <c r="V319" s="1339" t="e">
        <f>+'Compra -HOJA1'!#REF!</f>
        <v>#REF!</v>
      </c>
      <c r="W319" s="1339" t="e">
        <f>+'Compra -HOJA1'!#REF!</f>
        <v>#REF!</v>
      </c>
      <c r="X319" s="1339" t="e">
        <f>+'Compra -HOJA1'!#REF!</f>
        <v>#REF!</v>
      </c>
      <c r="Y319" s="1339" t="e">
        <f>+'Compra -HOJA1'!#REF!</f>
        <v>#REF!</v>
      </c>
      <c r="Z319" s="1339" t="e">
        <f>+'Compra -HOJA1'!#REF!</f>
        <v>#REF!</v>
      </c>
      <c r="AA319" s="1339" t="e">
        <f>+'Compra -HOJA1'!#REF!</f>
        <v>#REF!</v>
      </c>
      <c r="AB319" s="1340" t="e">
        <f>+'Compra -HOJA1'!#REF!</f>
        <v>#REF!</v>
      </c>
      <c r="AC319" s="1340" t="e">
        <f>+'Compra -HOJA1'!#REF!</f>
        <v>#REF!</v>
      </c>
    </row>
    <row r="320" spans="1:29" ht="37.5" customHeight="1" x14ac:dyDescent="0.35">
      <c r="A320" s="5557"/>
      <c r="B320" s="1346">
        <v>5500</v>
      </c>
      <c r="C320" s="5358" t="s">
        <v>45</v>
      </c>
      <c r="D320" s="1228" t="s">
        <v>46</v>
      </c>
      <c r="E320" s="1335">
        <f>+('Compra -HOJA1'!G334)</f>
        <v>0</v>
      </c>
      <c r="F320" s="1336">
        <f t="shared" si="193"/>
        <v>0</v>
      </c>
      <c r="G320" s="1336">
        <f t="shared" si="194"/>
        <v>0</v>
      </c>
      <c r="H320" s="1336">
        <f t="shared" si="195"/>
        <v>0</v>
      </c>
      <c r="I320" s="1336">
        <f t="shared" ca="1" si="196"/>
        <v>0</v>
      </c>
      <c r="J320" s="1336">
        <f t="shared" ca="1" si="197"/>
        <v>0</v>
      </c>
      <c r="K320" s="1336">
        <f t="shared" ca="1" si="198"/>
        <v>0</v>
      </c>
      <c r="L320" s="1337"/>
      <c r="M320" s="1337"/>
      <c r="N320" s="1337"/>
      <c r="O320" s="1337"/>
      <c r="P320" s="1338">
        <f t="shared" ca="1" si="199"/>
        <v>0</v>
      </c>
      <c r="Q320" s="1338">
        <f t="shared" ca="1" si="199"/>
        <v>0</v>
      </c>
      <c r="R320" s="1338">
        <f t="shared" ca="1" si="199"/>
        <v>0</v>
      </c>
      <c r="S320" s="5357"/>
      <c r="T320" s="1353" t="s">
        <v>46</v>
      </c>
      <c r="U320" s="1339">
        <f>+'Compra -HOJA1'!I334</f>
        <v>0</v>
      </c>
      <c r="V320" s="1339">
        <f>+'Compra -HOJA1'!J334</f>
        <v>0</v>
      </c>
      <c r="W320" s="1339">
        <f>+'Compra -HOJA1'!K334</f>
        <v>0</v>
      </c>
      <c r="X320" s="1339">
        <f ca="1">+'Compra -HOJA1'!L334</f>
        <v>0</v>
      </c>
      <c r="Y320" s="1339">
        <f ca="1">+'Compra -HOJA1'!M334</f>
        <v>0</v>
      </c>
      <c r="Z320" s="1339">
        <f ca="1">+'Compra -HOJA1'!N334</f>
        <v>0</v>
      </c>
      <c r="AA320" s="1339">
        <f ca="1">+'Compra -HOJA1'!O334</f>
        <v>0</v>
      </c>
      <c r="AB320" s="1340">
        <f ca="1">+'Compra -HOJA1'!P334</f>
        <v>0</v>
      </c>
      <c r="AC320" s="1340">
        <f ca="1">+'Compra -HOJA1'!Q334</f>
        <v>0</v>
      </c>
    </row>
    <row r="321" spans="1:29" ht="37.5" customHeight="1" x14ac:dyDescent="0.35">
      <c r="A321" s="5557"/>
      <c r="B321" s="1348"/>
      <c r="C321" s="5359"/>
      <c r="D321" s="1228" t="s">
        <v>47</v>
      </c>
      <c r="E321" s="1335">
        <f>+('Compra -HOJA1'!G335)</f>
        <v>0</v>
      </c>
      <c r="F321" s="1336">
        <f t="shared" si="193"/>
        <v>0</v>
      </c>
      <c r="G321" s="1336">
        <f t="shared" si="194"/>
        <v>0</v>
      </c>
      <c r="H321" s="1336">
        <f t="shared" si="195"/>
        <v>0</v>
      </c>
      <c r="I321" s="1336">
        <f t="shared" ca="1" si="196"/>
        <v>0</v>
      </c>
      <c r="J321" s="1336">
        <f t="shared" ca="1" si="197"/>
        <v>0</v>
      </c>
      <c r="K321" s="1336">
        <f t="shared" ca="1" si="198"/>
        <v>0</v>
      </c>
      <c r="L321" s="1337"/>
      <c r="M321" s="1337"/>
      <c r="N321" s="1337"/>
      <c r="O321" s="1337"/>
      <c r="P321" s="1338">
        <f t="shared" ca="1" si="199"/>
        <v>0</v>
      </c>
      <c r="Q321" s="1338">
        <f t="shared" ca="1" si="199"/>
        <v>0</v>
      </c>
      <c r="R321" s="1338">
        <f t="shared" ca="1" si="199"/>
        <v>0</v>
      </c>
      <c r="S321" s="5357"/>
      <c r="T321" s="1354" t="s">
        <v>47</v>
      </c>
      <c r="U321" s="1339">
        <f>+'Compra -HOJA1'!I335</f>
        <v>0</v>
      </c>
      <c r="V321" s="1339">
        <f>+'Compra -HOJA1'!J335</f>
        <v>0</v>
      </c>
      <c r="W321" s="1339">
        <f>+'Compra -HOJA1'!K335</f>
        <v>0</v>
      </c>
      <c r="X321" s="1339">
        <f ca="1">+'Compra -HOJA1'!L335</f>
        <v>0</v>
      </c>
      <c r="Y321" s="1339">
        <f ca="1">+'Compra -HOJA1'!M335</f>
        <v>0</v>
      </c>
      <c r="Z321" s="1339">
        <f ca="1">+'Compra -HOJA1'!N335</f>
        <v>0</v>
      </c>
      <c r="AA321" s="1339">
        <f ca="1">+'Compra -HOJA1'!O335</f>
        <v>0</v>
      </c>
      <c r="AB321" s="1340">
        <f ca="1">+'Compra -HOJA1'!P335</f>
        <v>0</v>
      </c>
      <c r="AC321" s="1340">
        <f ca="1">+'Compra -HOJA1'!Q335</f>
        <v>0</v>
      </c>
    </row>
    <row r="322" spans="1:29" ht="37.5" customHeight="1" x14ac:dyDescent="0.35">
      <c r="A322" s="5557"/>
      <c r="B322" s="1355">
        <v>5550</v>
      </c>
      <c r="C322" s="5359"/>
      <c r="D322" s="1245" t="s">
        <v>950</v>
      </c>
      <c r="E322" s="1335" t="e">
        <f>+('Compra -HOJA1'!#REF!)</f>
        <v>#REF!</v>
      </c>
      <c r="F322" s="1336" t="e">
        <f t="shared" si="193"/>
        <v>#REF!</v>
      </c>
      <c r="G322" s="1336" t="e">
        <f t="shared" si="194"/>
        <v>#REF!</v>
      </c>
      <c r="H322" s="1336" t="e">
        <f t="shared" si="195"/>
        <v>#REF!</v>
      </c>
      <c r="I322" s="1336" t="e">
        <f t="shared" si="196"/>
        <v>#REF!</v>
      </c>
      <c r="J322" s="1336" t="e">
        <f t="shared" si="197"/>
        <v>#REF!</v>
      </c>
      <c r="K322" s="1336" t="e">
        <f t="shared" si="198"/>
        <v>#REF!</v>
      </c>
      <c r="L322" s="1337"/>
      <c r="M322" s="1337"/>
      <c r="N322" s="1337"/>
      <c r="O322" s="1337"/>
      <c r="P322" s="1338" t="e">
        <f t="shared" si="199"/>
        <v>#REF!</v>
      </c>
      <c r="Q322" s="1338" t="e">
        <f t="shared" si="199"/>
        <v>#REF!</v>
      </c>
      <c r="R322" s="1338" t="e">
        <f t="shared" si="199"/>
        <v>#REF!</v>
      </c>
      <c r="S322" s="5357"/>
      <c r="T322" s="1354" t="s">
        <v>950</v>
      </c>
      <c r="U322" s="1339" t="e">
        <f>+'Compra -HOJA1'!#REF!</f>
        <v>#REF!</v>
      </c>
      <c r="V322" s="1339" t="e">
        <f>+'Compra -HOJA1'!#REF!</f>
        <v>#REF!</v>
      </c>
      <c r="W322" s="1339" t="e">
        <f>+'Compra -HOJA1'!#REF!</f>
        <v>#REF!</v>
      </c>
      <c r="X322" s="1339" t="e">
        <f>+'Compra -HOJA1'!#REF!</f>
        <v>#REF!</v>
      </c>
      <c r="Y322" s="1339" t="e">
        <f>+'Compra -HOJA1'!#REF!</f>
        <v>#REF!</v>
      </c>
      <c r="Z322" s="1339" t="e">
        <f>+'Compra -HOJA1'!#REF!</f>
        <v>#REF!</v>
      </c>
      <c r="AA322" s="1339" t="e">
        <f>+'Compra -HOJA1'!#REF!</f>
        <v>#REF!</v>
      </c>
      <c r="AB322" s="1340" t="e">
        <f>+'Compra -HOJA1'!#REF!</f>
        <v>#REF!</v>
      </c>
      <c r="AC322" s="1340" t="e">
        <f>+'Compra -HOJA1'!#REF!</f>
        <v>#REF!</v>
      </c>
    </row>
    <row r="323" spans="1:29" ht="37.5" customHeight="1" x14ac:dyDescent="0.35">
      <c r="A323" s="5557"/>
      <c r="B323" s="1355">
        <v>5560</v>
      </c>
      <c r="C323" s="5359"/>
      <c r="D323" s="1245" t="s">
        <v>951</v>
      </c>
      <c r="E323" s="1335">
        <f>+('Compra -HOJA1'!G337)</f>
        <v>0</v>
      </c>
      <c r="F323" s="1336">
        <f t="shared" si="193"/>
        <v>0</v>
      </c>
      <c r="G323" s="1336">
        <f t="shared" si="194"/>
        <v>0</v>
      </c>
      <c r="H323" s="1336">
        <f t="shared" si="195"/>
        <v>0</v>
      </c>
      <c r="I323" s="1336">
        <f t="shared" ca="1" si="196"/>
        <v>0</v>
      </c>
      <c r="J323" s="1336">
        <f t="shared" ca="1" si="197"/>
        <v>0</v>
      </c>
      <c r="K323" s="1336">
        <f t="shared" ca="1" si="198"/>
        <v>0</v>
      </c>
      <c r="L323" s="1337"/>
      <c r="M323" s="1337"/>
      <c r="N323" s="1337"/>
      <c r="O323" s="1337"/>
      <c r="P323" s="1338">
        <f t="shared" ca="1" si="199"/>
        <v>0</v>
      </c>
      <c r="Q323" s="1338">
        <f t="shared" ca="1" si="199"/>
        <v>0</v>
      </c>
      <c r="R323" s="1338">
        <f t="shared" ca="1" si="199"/>
        <v>0</v>
      </c>
      <c r="S323" s="5357"/>
      <c r="T323" s="1356" t="s">
        <v>951</v>
      </c>
      <c r="U323" s="1339">
        <f>+'Compra -HOJA1'!I337</f>
        <v>0</v>
      </c>
      <c r="V323" s="1339">
        <f>+'Compra -HOJA1'!J337</f>
        <v>0</v>
      </c>
      <c r="W323" s="1339">
        <f>+'Compra -HOJA1'!K337</f>
        <v>0</v>
      </c>
      <c r="X323" s="1339">
        <f ca="1">+'Compra -HOJA1'!L337</f>
        <v>0</v>
      </c>
      <c r="Y323" s="1339">
        <f ca="1">+'Compra -HOJA1'!M337</f>
        <v>0</v>
      </c>
      <c r="Z323" s="1339">
        <f ca="1">+'Compra -HOJA1'!N337</f>
        <v>0</v>
      </c>
      <c r="AA323" s="1339">
        <f ca="1">+'Compra -HOJA1'!O337</f>
        <v>0</v>
      </c>
      <c r="AB323" s="1340">
        <f ca="1">+'Compra -HOJA1'!P337</f>
        <v>0</v>
      </c>
      <c r="AC323" s="1340">
        <f ca="1">+'Compra -HOJA1'!Q337</f>
        <v>0</v>
      </c>
    </row>
    <row r="324" spans="1:29" ht="37.5" customHeight="1" x14ac:dyDescent="0.35">
      <c r="A324" s="5557"/>
      <c r="B324" s="1355"/>
      <c r="C324" s="5359"/>
      <c r="D324" s="987" t="s">
        <v>637</v>
      </c>
      <c r="E324" s="1335" t="e">
        <f>+('Compra -HOJA1'!#REF!)</f>
        <v>#REF!</v>
      </c>
      <c r="F324" s="1336" t="e">
        <f t="shared" si="193"/>
        <v>#REF!</v>
      </c>
      <c r="G324" s="1336" t="e">
        <f t="shared" si="194"/>
        <v>#REF!</v>
      </c>
      <c r="H324" s="1336" t="e">
        <f t="shared" si="195"/>
        <v>#REF!</v>
      </c>
      <c r="I324" s="1336" t="e">
        <f t="shared" si="196"/>
        <v>#REF!</v>
      </c>
      <c r="J324" s="1336" t="e">
        <f t="shared" si="197"/>
        <v>#REF!</v>
      </c>
      <c r="K324" s="1336" t="e">
        <f t="shared" si="198"/>
        <v>#REF!</v>
      </c>
      <c r="L324" s="1337"/>
      <c r="M324" s="1337"/>
      <c r="N324" s="1337"/>
      <c r="O324" s="1337"/>
      <c r="P324" s="1338" t="e">
        <f t="shared" si="199"/>
        <v>#REF!</v>
      </c>
      <c r="Q324" s="1338" t="e">
        <f t="shared" si="199"/>
        <v>#REF!</v>
      </c>
      <c r="R324" s="1338" t="e">
        <f t="shared" si="199"/>
        <v>#REF!</v>
      </c>
      <c r="S324" s="5357"/>
      <c r="T324" s="1356" t="s">
        <v>637</v>
      </c>
      <c r="U324" s="1339" t="e">
        <f>+'Compra -HOJA1'!#REF!</f>
        <v>#REF!</v>
      </c>
      <c r="V324" s="1339" t="e">
        <f>+'Compra -HOJA1'!#REF!</f>
        <v>#REF!</v>
      </c>
      <c r="W324" s="1339" t="e">
        <f>+'Compra -HOJA1'!#REF!</f>
        <v>#REF!</v>
      </c>
      <c r="X324" s="1339" t="e">
        <f>+'Compra -HOJA1'!#REF!</f>
        <v>#REF!</v>
      </c>
      <c r="Y324" s="1339" t="e">
        <f>+'Compra -HOJA1'!#REF!</f>
        <v>#REF!</v>
      </c>
      <c r="Z324" s="1339" t="e">
        <f>+'Compra -HOJA1'!#REF!</f>
        <v>#REF!</v>
      </c>
      <c r="AA324" s="1339" t="e">
        <f>+'Compra -HOJA1'!#REF!</f>
        <v>#REF!</v>
      </c>
      <c r="AB324" s="1340" t="e">
        <f>+'Compra -HOJA1'!#REF!</f>
        <v>#REF!</v>
      </c>
      <c r="AC324" s="1340" t="e">
        <f>+'Compra -HOJA1'!#REF!</f>
        <v>#REF!</v>
      </c>
    </row>
    <row r="325" spans="1:29" ht="37.5" customHeight="1" x14ac:dyDescent="0.35">
      <c r="A325" s="5557"/>
      <c r="B325" s="1355"/>
      <c r="C325" s="5359"/>
      <c r="D325" s="987" t="s">
        <v>49</v>
      </c>
      <c r="E325" s="1335" t="e">
        <f>+('Compra -HOJA1'!#REF!)</f>
        <v>#REF!</v>
      </c>
      <c r="F325" s="1336" t="e">
        <f t="shared" si="193"/>
        <v>#REF!</v>
      </c>
      <c r="G325" s="1336" t="e">
        <f t="shared" si="194"/>
        <v>#REF!</v>
      </c>
      <c r="H325" s="1336" t="e">
        <f t="shared" si="195"/>
        <v>#REF!</v>
      </c>
      <c r="I325" s="1336" t="e">
        <f t="shared" si="196"/>
        <v>#REF!</v>
      </c>
      <c r="J325" s="1336" t="e">
        <f t="shared" si="197"/>
        <v>#REF!</v>
      </c>
      <c r="K325" s="1336" t="e">
        <f t="shared" si="198"/>
        <v>#REF!</v>
      </c>
      <c r="L325" s="1337"/>
      <c r="M325" s="1337"/>
      <c r="N325" s="1337"/>
      <c r="O325" s="1337"/>
      <c r="P325" s="1338"/>
      <c r="Q325" s="1338"/>
      <c r="R325" s="1338"/>
      <c r="S325" s="5357"/>
      <c r="T325" s="1357" t="s">
        <v>49</v>
      </c>
      <c r="U325" s="1339" t="e">
        <f>+'Compra -HOJA1'!#REF!</f>
        <v>#REF!</v>
      </c>
      <c r="V325" s="1339" t="e">
        <f>+'Compra -HOJA1'!#REF!</f>
        <v>#REF!</v>
      </c>
      <c r="W325" s="1339" t="e">
        <f>+'Compra -HOJA1'!#REF!</f>
        <v>#REF!</v>
      </c>
      <c r="X325" s="1339" t="e">
        <f>+'Compra -HOJA1'!#REF!</f>
        <v>#REF!</v>
      </c>
      <c r="Y325" s="1339" t="e">
        <f>+'Compra -HOJA1'!#REF!</f>
        <v>#REF!</v>
      </c>
      <c r="Z325" s="1339" t="e">
        <f>+'Compra -HOJA1'!#REF!</f>
        <v>#REF!</v>
      </c>
      <c r="AA325" s="1339" t="e">
        <f>+'Compra -HOJA1'!#REF!</f>
        <v>#REF!</v>
      </c>
      <c r="AB325" s="1340" t="e">
        <f>+'Compra -HOJA1'!#REF!</f>
        <v>#REF!</v>
      </c>
      <c r="AC325" s="1340" t="e">
        <f>+'Compra -HOJA1'!#REF!</f>
        <v>#REF!</v>
      </c>
    </row>
    <row r="326" spans="1:29" ht="37.5" customHeight="1" x14ac:dyDescent="0.35">
      <c r="A326" s="5557"/>
      <c r="B326" s="1358">
        <v>5570</v>
      </c>
      <c r="C326" s="5359"/>
      <c r="D326" s="1020" t="s">
        <v>954</v>
      </c>
      <c r="E326" s="1335">
        <f>+('Compra -HOJA1'!G345)</f>
        <v>0</v>
      </c>
      <c r="F326" s="1336">
        <f t="shared" si="193"/>
        <v>0</v>
      </c>
      <c r="G326" s="1336">
        <f t="shared" si="194"/>
        <v>0</v>
      </c>
      <c r="H326" s="1336">
        <f t="shared" si="195"/>
        <v>0</v>
      </c>
      <c r="I326" s="1336">
        <f t="shared" ca="1" si="196"/>
        <v>0</v>
      </c>
      <c r="J326" s="1336">
        <f t="shared" ca="1" si="197"/>
        <v>0</v>
      </c>
      <c r="K326" s="1336">
        <f t="shared" ca="1" si="198"/>
        <v>0</v>
      </c>
      <c r="L326" s="1337"/>
      <c r="M326" s="1337"/>
      <c r="N326" s="1337"/>
      <c r="O326" s="1337"/>
      <c r="P326" s="1338"/>
      <c r="Q326" s="1338"/>
      <c r="R326" s="1338"/>
      <c r="S326" s="5357"/>
      <c r="T326" s="1357" t="s">
        <v>954</v>
      </c>
      <c r="U326" s="1339">
        <f>+'Compra -HOJA1'!I345</f>
        <v>0</v>
      </c>
      <c r="V326" s="1339">
        <f>+'Compra -HOJA1'!J345</f>
        <v>0</v>
      </c>
      <c r="W326" s="1339">
        <f>+'Compra -HOJA1'!K345</f>
        <v>0</v>
      </c>
      <c r="X326" s="1339">
        <f ca="1">+'Compra -HOJA1'!L345</f>
        <v>0</v>
      </c>
      <c r="Y326" s="1339">
        <f ca="1">+'Compra -HOJA1'!M345</f>
        <v>0</v>
      </c>
      <c r="Z326" s="1339">
        <f ca="1">+'Compra -HOJA1'!N345</f>
        <v>0</v>
      </c>
      <c r="AA326" s="1339">
        <f ca="1">+'Compra -HOJA1'!O345</f>
        <v>0</v>
      </c>
      <c r="AB326" s="1340">
        <f ca="1">+'Compra -HOJA1'!P345</f>
        <v>0</v>
      </c>
      <c r="AC326" s="1340">
        <f ca="1">+'Compra -HOJA1'!Q345</f>
        <v>0</v>
      </c>
    </row>
    <row r="327" spans="1:29" ht="37.5" customHeight="1" thickBot="1" x14ac:dyDescent="0.4">
      <c r="A327" s="5557"/>
      <c r="B327" s="1358">
        <v>5580</v>
      </c>
      <c r="C327" s="5360"/>
      <c r="D327" s="1020" t="s">
        <v>955</v>
      </c>
      <c r="E327" s="1335">
        <f>+('Compra -HOJA1'!G346)</f>
        <v>0</v>
      </c>
      <c r="F327" s="1336">
        <f t="shared" si="193"/>
        <v>0</v>
      </c>
      <c r="G327" s="1336">
        <f t="shared" si="194"/>
        <v>0</v>
      </c>
      <c r="H327" s="1336">
        <f t="shared" si="195"/>
        <v>0</v>
      </c>
      <c r="I327" s="1336">
        <f t="shared" ca="1" si="196"/>
        <v>0</v>
      </c>
      <c r="J327" s="1336">
        <f t="shared" ca="1" si="197"/>
        <v>0</v>
      </c>
      <c r="K327" s="1336">
        <f t="shared" ca="1" si="198"/>
        <v>0</v>
      </c>
      <c r="L327" s="1337"/>
      <c r="M327" s="1337"/>
      <c r="N327" s="1337"/>
      <c r="O327" s="1337"/>
      <c r="P327" s="1338"/>
      <c r="Q327" s="1338"/>
      <c r="R327" s="1338"/>
      <c r="S327" s="5357"/>
      <c r="T327" s="1357" t="s">
        <v>955</v>
      </c>
      <c r="U327" s="1339">
        <f>+'Compra -HOJA1'!I346</f>
        <v>0</v>
      </c>
      <c r="V327" s="1339">
        <f>+'Compra -HOJA1'!J346</f>
        <v>0</v>
      </c>
      <c r="W327" s="1339">
        <f>+'Compra -HOJA1'!K346</f>
        <v>0</v>
      </c>
      <c r="X327" s="1339">
        <f ca="1">+'Compra -HOJA1'!L346</f>
        <v>0</v>
      </c>
      <c r="Y327" s="1339">
        <f ca="1">+'Compra -HOJA1'!M346</f>
        <v>0</v>
      </c>
      <c r="Z327" s="1339">
        <f ca="1">+'Compra -HOJA1'!N346</f>
        <v>0</v>
      </c>
      <c r="AA327" s="1339">
        <f ca="1">+'Compra -HOJA1'!O346</f>
        <v>0</v>
      </c>
      <c r="AB327" s="1340">
        <f ca="1">+'Compra -HOJA1'!P346</f>
        <v>0</v>
      </c>
      <c r="AC327" s="1340">
        <f ca="1">+'Compra -HOJA1'!Q346</f>
        <v>0</v>
      </c>
    </row>
    <row r="328" spans="1:29" ht="37.5" customHeight="1" thickBot="1" x14ac:dyDescent="0.4">
      <c r="A328" s="5557"/>
      <c r="B328" s="1344">
        <v>6000</v>
      </c>
      <c r="C328" s="1359" t="s">
        <v>61</v>
      </c>
      <c r="D328" s="1021" t="s">
        <v>934</v>
      </c>
      <c r="E328" s="1335" t="e">
        <f>+('Compra -HOJA1'!#REF!)</f>
        <v>#REF!</v>
      </c>
      <c r="F328" s="1336" t="e">
        <f t="shared" si="193"/>
        <v>#REF!</v>
      </c>
      <c r="G328" s="1336" t="e">
        <f t="shared" si="194"/>
        <v>#REF!</v>
      </c>
      <c r="H328" s="1336" t="e">
        <f t="shared" si="195"/>
        <v>#REF!</v>
      </c>
      <c r="I328" s="1336" t="e">
        <f t="shared" si="196"/>
        <v>#REF!</v>
      </c>
      <c r="J328" s="1336" t="e">
        <f t="shared" si="197"/>
        <v>#REF!</v>
      </c>
      <c r="K328" s="1336" t="e">
        <f t="shared" si="198"/>
        <v>#REF!</v>
      </c>
      <c r="L328" s="1337"/>
      <c r="M328" s="1337"/>
      <c r="N328" s="1337"/>
      <c r="O328" s="1337"/>
      <c r="P328" s="1338" t="e">
        <f t="shared" si="199"/>
        <v>#REF!</v>
      </c>
      <c r="Q328" s="1338" t="e">
        <f t="shared" si="199"/>
        <v>#REF!</v>
      </c>
      <c r="R328" s="1338" t="e">
        <f t="shared" si="199"/>
        <v>#REF!</v>
      </c>
      <c r="S328" s="5357"/>
      <c r="T328" s="873">
        <v>6000</v>
      </c>
      <c r="U328" s="1339" t="e">
        <f>+'Compra -HOJA1'!#REF!</f>
        <v>#REF!</v>
      </c>
      <c r="V328" s="1339" t="e">
        <f>+'Compra -HOJA1'!#REF!</f>
        <v>#REF!</v>
      </c>
      <c r="W328" s="1339" t="e">
        <f>+'Compra -HOJA1'!#REF!</f>
        <v>#REF!</v>
      </c>
      <c r="X328" s="1339" t="e">
        <f>+'Compra -HOJA1'!#REF!</f>
        <v>#REF!</v>
      </c>
      <c r="Y328" s="1339" t="e">
        <f>+'Compra -HOJA1'!#REF!</f>
        <v>#REF!</v>
      </c>
      <c r="Z328" s="1339" t="e">
        <f>+'Compra -HOJA1'!#REF!</f>
        <v>#REF!</v>
      </c>
      <c r="AA328" s="1339" t="e">
        <f>+'Compra -HOJA1'!#REF!</f>
        <v>#REF!</v>
      </c>
      <c r="AB328" s="1340" t="e">
        <f>+'Compra -HOJA1'!#REF!</f>
        <v>#REF!</v>
      </c>
      <c r="AC328" s="1340" t="e">
        <f>+'Compra -HOJA1'!#REF!</f>
        <v>#REF!</v>
      </c>
    </row>
    <row r="329" spans="1:29" ht="37.5" customHeight="1" x14ac:dyDescent="0.35">
      <c r="A329" s="5604" t="s">
        <v>62</v>
      </c>
      <c r="B329" s="1360">
        <v>5000</v>
      </c>
      <c r="C329" s="5369" t="s">
        <v>42</v>
      </c>
      <c r="D329" s="5606"/>
      <c r="E329" s="1335">
        <f>+('Compra -HOJA1'!G348)</f>
        <v>0</v>
      </c>
      <c r="F329" s="1336">
        <f t="shared" si="193"/>
        <v>0</v>
      </c>
      <c r="G329" s="1336">
        <f t="shared" si="194"/>
        <v>0</v>
      </c>
      <c r="H329" s="1336">
        <f t="shared" si="195"/>
        <v>0</v>
      </c>
      <c r="I329" s="1336">
        <f t="shared" ca="1" si="196"/>
        <v>0</v>
      </c>
      <c r="J329" s="1336">
        <f t="shared" ca="1" si="197"/>
        <v>0</v>
      </c>
      <c r="K329" s="1336">
        <f t="shared" ca="1" si="198"/>
        <v>0</v>
      </c>
      <c r="L329" s="1337"/>
      <c r="M329" s="1337"/>
      <c r="N329" s="1337"/>
      <c r="O329" s="1337"/>
      <c r="P329" s="1338">
        <f t="shared" ca="1" si="199"/>
        <v>0</v>
      </c>
      <c r="Q329" s="1338">
        <f t="shared" ca="1" si="199"/>
        <v>0</v>
      </c>
      <c r="R329" s="1338">
        <f t="shared" ca="1" si="199"/>
        <v>0</v>
      </c>
      <c r="S329" s="5357" t="s">
        <v>325</v>
      </c>
      <c r="T329" s="883">
        <v>5000</v>
      </c>
      <c r="U329" s="1339">
        <f>+'Compra -HOJA1'!I348</f>
        <v>0</v>
      </c>
      <c r="V329" s="1339">
        <f>+'Compra -HOJA1'!J348</f>
        <v>0</v>
      </c>
      <c r="W329" s="1339">
        <f>+'Compra -HOJA1'!K348</f>
        <v>0</v>
      </c>
      <c r="X329" s="1339">
        <f ca="1">+'Compra -HOJA1'!L348</f>
        <v>0</v>
      </c>
      <c r="Y329" s="1339">
        <f ca="1">+'Compra -HOJA1'!M348</f>
        <v>0</v>
      </c>
      <c r="Z329" s="1339">
        <f ca="1">+'Compra -HOJA1'!N348</f>
        <v>0</v>
      </c>
      <c r="AA329" s="1339">
        <f ca="1">+'Compra -HOJA1'!O348</f>
        <v>0</v>
      </c>
      <c r="AB329" s="1340">
        <f ca="1">+'Compra -HOJA1'!P348</f>
        <v>0</v>
      </c>
      <c r="AC329" s="1340">
        <f ca="1">+'Compra -HOJA1'!Q348</f>
        <v>0</v>
      </c>
    </row>
    <row r="330" spans="1:29" ht="37.5" customHeight="1" x14ac:dyDescent="0.35">
      <c r="A330" s="5605"/>
      <c r="B330" s="1361">
        <v>5020</v>
      </c>
      <c r="C330" s="1345" t="s">
        <v>43</v>
      </c>
      <c r="D330" s="1031" t="s">
        <v>44</v>
      </c>
      <c r="E330" s="1335">
        <f>+('Compra -HOJA1'!G349)</f>
        <v>0</v>
      </c>
      <c r="F330" s="1336">
        <f t="shared" si="193"/>
        <v>0</v>
      </c>
      <c r="G330" s="1336">
        <f t="shared" si="194"/>
        <v>0</v>
      </c>
      <c r="H330" s="1336">
        <f t="shared" si="195"/>
        <v>0</v>
      </c>
      <c r="I330" s="1336">
        <f t="shared" ca="1" si="196"/>
        <v>0</v>
      </c>
      <c r="J330" s="1336">
        <f t="shared" ca="1" si="197"/>
        <v>0</v>
      </c>
      <c r="K330" s="1336">
        <f t="shared" ca="1" si="198"/>
        <v>0</v>
      </c>
      <c r="L330" s="1337"/>
      <c r="M330" s="1337"/>
      <c r="N330" s="1337"/>
      <c r="O330" s="1337"/>
      <c r="P330" s="1338">
        <f t="shared" ca="1" si="199"/>
        <v>0</v>
      </c>
      <c r="Q330" s="1338">
        <f t="shared" ca="1" si="199"/>
        <v>0</v>
      </c>
      <c r="R330" s="1338">
        <f t="shared" ca="1" si="199"/>
        <v>0</v>
      </c>
      <c r="S330" s="5357"/>
      <c r="T330" s="884">
        <v>5020</v>
      </c>
      <c r="U330" s="1339">
        <f>+'Compra -HOJA1'!I349</f>
        <v>0</v>
      </c>
      <c r="V330" s="1339">
        <f>+'Compra -HOJA1'!J349</f>
        <v>0</v>
      </c>
      <c r="W330" s="1339">
        <f>+'Compra -HOJA1'!K349</f>
        <v>0</v>
      </c>
      <c r="X330" s="1339">
        <f ca="1">+'Compra -HOJA1'!L349</f>
        <v>0</v>
      </c>
      <c r="Y330" s="1339">
        <f ca="1">+'Compra -HOJA1'!M349</f>
        <v>0</v>
      </c>
      <c r="Z330" s="1339">
        <f ca="1">+'Compra -HOJA1'!N349</f>
        <v>0</v>
      </c>
      <c r="AA330" s="1339">
        <f ca="1">+'Compra -HOJA1'!O349</f>
        <v>0</v>
      </c>
      <c r="AB330" s="1340">
        <f ca="1">+'Compra -HOJA1'!P349</f>
        <v>0</v>
      </c>
      <c r="AC330" s="1340">
        <f ca="1">+'Compra -HOJA1'!Q349</f>
        <v>0</v>
      </c>
    </row>
    <row r="331" spans="1:29" ht="37.5" customHeight="1" x14ac:dyDescent="0.35">
      <c r="A331" s="5605"/>
      <c r="B331" s="1346">
        <v>5500</v>
      </c>
      <c r="C331" s="5002" t="s">
        <v>45</v>
      </c>
      <c r="D331" s="1228" t="s">
        <v>46</v>
      </c>
      <c r="E331" s="1335" t="e">
        <f>+('Compra -HOJA1'!#REF!)</f>
        <v>#REF!</v>
      </c>
      <c r="F331" s="1336" t="e">
        <f t="shared" si="193"/>
        <v>#REF!</v>
      </c>
      <c r="G331" s="1336" t="e">
        <f t="shared" si="194"/>
        <v>#REF!</v>
      </c>
      <c r="H331" s="1336" t="e">
        <f t="shared" si="195"/>
        <v>#REF!</v>
      </c>
      <c r="I331" s="1336" t="e">
        <f t="shared" si="196"/>
        <v>#REF!</v>
      </c>
      <c r="J331" s="1336" t="e">
        <f t="shared" si="197"/>
        <v>#REF!</v>
      </c>
      <c r="K331" s="1336" t="e">
        <f t="shared" si="198"/>
        <v>#REF!</v>
      </c>
      <c r="L331" s="1337"/>
      <c r="M331" s="1337"/>
      <c r="N331" s="1337"/>
      <c r="O331" s="1337"/>
      <c r="P331" s="1338" t="e">
        <f t="shared" si="199"/>
        <v>#REF!</v>
      </c>
      <c r="Q331" s="1338" t="e">
        <f t="shared" si="199"/>
        <v>#REF!</v>
      </c>
      <c r="R331" s="1338" t="e">
        <f t="shared" si="199"/>
        <v>#REF!</v>
      </c>
      <c r="S331" s="5357"/>
      <c r="T331" s="1353" t="s">
        <v>46</v>
      </c>
      <c r="U331" s="1339" t="e">
        <f>+'Compra -HOJA1'!#REF!</f>
        <v>#REF!</v>
      </c>
      <c r="V331" s="1339" t="e">
        <f>+'Compra -HOJA1'!#REF!</f>
        <v>#REF!</v>
      </c>
      <c r="W331" s="1339" t="e">
        <f>+'Compra -HOJA1'!#REF!</f>
        <v>#REF!</v>
      </c>
      <c r="X331" s="1339" t="e">
        <f>+'Compra -HOJA1'!#REF!</f>
        <v>#REF!</v>
      </c>
      <c r="Y331" s="1339" t="e">
        <f>+'Compra -HOJA1'!#REF!</f>
        <v>#REF!</v>
      </c>
      <c r="Z331" s="1339" t="e">
        <f>+'Compra -HOJA1'!#REF!</f>
        <v>#REF!</v>
      </c>
      <c r="AA331" s="1339" t="e">
        <f>+'Compra -HOJA1'!#REF!</f>
        <v>#REF!</v>
      </c>
      <c r="AB331" s="1340" t="e">
        <f>+'Compra -HOJA1'!#REF!</f>
        <v>#REF!</v>
      </c>
      <c r="AC331" s="1340" t="e">
        <f>+'Compra -HOJA1'!#REF!</f>
        <v>#REF!</v>
      </c>
    </row>
    <row r="332" spans="1:29" ht="37.5" customHeight="1" x14ac:dyDescent="0.35">
      <c r="A332" s="5605"/>
      <c r="B332" s="1348"/>
      <c r="C332" s="5002"/>
      <c r="D332" s="1228" t="s">
        <v>47</v>
      </c>
      <c r="E332" s="1335">
        <f>+('Compra -HOJA1'!G354)</f>
        <v>0</v>
      </c>
      <c r="F332" s="1336">
        <f t="shared" si="193"/>
        <v>0</v>
      </c>
      <c r="G332" s="1336">
        <f t="shared" si="194"/>
        <v>0</v>
      </c>
      <c r="H332" s="1336">
        <f t="shared" si="195"/>
        <v>0</v>
      </c>
      <c r="I332" s="1336">
        <f t="shared" ca="1" si="196"/>
        <v>0</v>
      </c>
      <c r="J332" s="1336">
        <f t="shared" ca="1" si="197"/>
        <v>0</v>
      </c>
      <c r="K332" s="1336">
        <f t="shared" ca="1" si="198"/>
        <v>0</v>
      </c>
      <c r="L332" s="1337"/>
      <c r="M332" s="1337"/>
      <c r="N332" s="1337"/>
      <c r="O332" s="1337"/>
      <c r="P332" s="1338">
        <f t="shared" ca="1" si="199"/>
        <v>0</v>
      </c>
      <c r="Q332" s="1338">
        <f t="shared" ca="1" si="199"/>
        <v>0</v>
      </c>
      <c r="R332" s="1338">
        <f t="shared" ca="1" si="199"/>
        <v>0</v>
      </c>
      <c r="S332" s="5357"/>
      <c r="T332" s="1362" t="s">
        <v>47</v>
      </c>
      <c r="U332" s="1339">
        <f>+'Compra -HOJA1'!I354</f>
        <v>0</v>
      </c>
      <c r="V332" s="1339">
        <f>+'Compra -HOJA1'!J354</f>
        <v>0</v>
      </c>
      <c r="W332" s="1339">
        <f>+'Compra -HOJA1'!K354</f>
        <v>0</v>
      </c>
      <c r="X332" s="1339">
        <f ca="1">+'Compra -HOJA1'!L354</f>
        <v>0</v>
      </c>
      <c r="Y332" s="1339">
        <f ca="1">+'Compra -HOJA1'!M354</f>
        <v>0</v>
      </c>
      <c r="Z332" s="1339">
        <f ca="1">+'Compra -HOJA1'!N354</f>
        <v>0</v>
      </c>
      <c r="AA332" s="1339">
        <f ca="1">+'Compra -HOJA1'!O354</f>
        <v>0</v>
      </c>
      <c r="AB332" s="1340">
        <f ca="1">+'Compra -HOJA1'!P354</f>
        <v>0</v>
      </c>
      <c r="AC332" s="1340">
        <f ca="1">+'Compra -HOJA1'!Q354</f>
        <v>0</v>
      </c>
    </row>
    <row r="333" spans="1:29" ht="37.5" customHeight="1" x14ac:dyDescent="0.35">
      <c r="A333" s="5605"/>
      <c r="B333" s="1349">
        <v>5550</v>
      </c>
      <c r="C333" s="5002"/>
      <c r="D333" s="1228" t="s">
        <v>950</v>
      </c>
      <c r="E333" s="1335" t="e">
        <f>+('Compra -HOJA1'!#REF!)</f>
        <v>#REF!</v>
      </c>
      <c r="F333" s="1336" t="e">
        <f t="shared" si="193"/>
        <v>#REF!</v>
      </c>
      <c r="G333" s="1336" t="e">
        <f t="shared" si="194"/>
        <v>#REF!</v>
      </c>
      <c r="H333" s="1336" t="e">
        <f t="shared" si="195"/>
        <v>#REF!</v>
      </c>
      <c r="I333" s="1336" t="e">
        <f t="shared" si="196"/>
        <v>#REF!</v>
      </c>
      <c r="J333" s="1336" t="e">
        <f t="shared" si="197"/>
        <v>#REF!</v>
      </c>
      <c r="K333" s="1336" t="e">
        <f t="shared" si="198"/>
        <v>#REF!</v>
      </c>
      <c r="L333" s="1337"/>
      <c r="M333" s="1337"/>
      <c r="N333" s="1337"/>
      <c r="O333" s="1337"/>
      <c r="P333" s="1338" t="e">
        <f t="shared" si="199"/>
        <v>#REF!</v>
      </c>
      <c r="Q333" s="1338" t="e">
        <f t="shared" si="199"/>
        <v>#REF!</v>
      </c>
      <c r="R333" s="1338" t="e">
        <f t="shared" si="199"/>
        <v>#REF!</v>
      </c>
      <c r="S333" s="5357"/>
      <c r="T333" s="1362" t="s">
        <v>950</v>
      </c>
      <c r="U333" s="1339" t="e">
        <f>+'Compra -HOJA1'!#REF!</f>
        <v>#REF!</v>
      </c>
      <c r="V333" s="1339" t="e">
        <f>+'Compra -HOJA1'!#REF!</f>
        <v>#REF!</v>
      </c>
      <c r="W333" s="1339" t="e">
        <f>+'Compra -HOJA1'!#REF!</f>
        <v>#REF!</v>
      </c>
      <c r="X333" s="1339" t="e">
        <f>+'Compra -HOJA1'!#REF!</f>
        <v>#REF!</v>
      </c>
      <c r="Y333" s="1339" t="e">
        <f>+'Compra -HOJA1'!#REF!</f>
        <v>#REF!</v>
      </c>
      <c r="Z333" s="1339" t="e">
        <f>+'Compra -HOJA1'!#REF!</f>
        <v>#REF!</v>
      </c>
      <c r="AA333" s="1339" t="e">
        <f>+'Compra -HOJA1'!#REF!</f>
        <v>#REF!</v>
      </c>
      <c r="AB333" s="1340" t="e">
        <f>+'Compra -HOJA1'!#REF!</f>
        <v>#REF!</v>
      </c>
      <c r="AC333" s="1340" t="e">
        <f>+'Compra -HOJA1'!#REF!</f>
        <v>#REF!</v>
      </c>
    </row>
    <row r="334" spans="1:29" ht="37.5" customHeight="1" x14ac:dyDescent="0.35">
      <c r="A334" s="5605"/>
      <c r="B334" s="1349">
        <v>5560</v>
      </c>
      <c r="C334" s="5002"/>
      <c r="D334" s="1228" t="s">
        <v>951</v>
      </c>
      <c r="E334" s="1335" t="e">
        <f>+('Compra -HOJA1'!#REF!)</f>
        <v>#REF!</v>
      </c>
      <c r="F334" s="1336" t="e">
        <f t="shared" si="193"/>
        <v>#REF!</v>
      </c>
      <c r="G334" s="1336" t="e">
        <f t="shared" si="194"/>
        <v>#REF!</v>
      </c>
      <c r="H334" s="1336" t="e">
        <f t="shared" si="195"/>
        <v>#REF!</v>
      </c>
      <c r="I334" s="1336" t="e">
        <f t="shared" si="196"/>
        <v>#REF!</v>
      </c>
      <c r="J334" s="1336" t="e">
        <f t="shared" si="197"/>
        <v>#REF!</v>
      </c>
      <c r="K334" s="1336" t="e">
        <f t="shared" si="198"/>
        <v>#REF!</v>
      </c>
      <c r="L334" s="1337"/>
      <c r="M334" s="1337"/>
      <c r="N334" s="1337"/>
      <c r="O334" s="1337"/>
      <c r="P334" s="1338" t="e">
        <f t="shared" si="199"/>
        <v>#REF!</v>
      </c>
      <c r="Q334" s="1338" t="e">
        <f t="shared" si="199"/>
        <v>#REF!</v>
      </c>
      <c r="R334" s="1338" t="e">
        <f t="shared" si="199"/>
        <v>#REF!</v>
      </c>
      <c r="S334" s="5357"/>
      <c r="T334" s="1363" t="s">
        <v>951</v>
      </c>
      <c r="U334" s="1339" t="e">
        <f>+'Compra -HOJA1'!#REF!</f>
        <v>#REF!</v>
      </c>
      <c r="V334" s="1339" t="e">
        <f>+'Compra -HOJA1'!#REF!</f>
        <v>#REF!</v>
      </c>
      <c r="W334" s="1339" t="e">
        <f>+'Compra -HOJA1'!#REF!</f>
        <v>#REF!</v>
      </c>
      <c r="X334" s="1339" t="e">
        <f>+'Compra -HOJA1'!#REF!</f>
        <v>#REF!</v>
      </c>
      <c r="Y334" s="1339" t="e">
        <f>+'Compra -HOJA1'!#REF!</f>
        <v>#REF!</v>
      </c>
      <c r="Z334" s="1339" t="e">
        <f>+'Compra -HOJA1'!#REF!</f>
        <v>#REF!</v>
      </c>
      <c r="AA334" s="1339" t="e">
        <f>+'Compra -HOJA1'!#REF!</f>
        <v>#REF!</v>
      </c>
      <c r="AB334" s="1340" t="e">
        <f>+'Compra -HOJA1'!#REF!</f>
        <v>#REF!</v>
      </c>
      <c r="AC334" s="1340" t="e">
        <f>+'Compra -HOJA1'!#REF!</f>
        <v>#REF!</v>
      </c>
    </row>
    <row r="335" spans="1:29" ht="37.5" customHeight="1" x14ac:dyDescent="0.35">
      <c r="A335" s="5605"/>
      <c r="B335" s="1349"/>
      <c r="C335" s="5002"/>
      <c r="D335" s="987" t="s">
        <v>637</v>
      </c>
      <c r="E335" s="1335">
        <f>+('Compra -HOJA1'!G362)</f>
        <v>0</v>
      </c>
      <c r="F335" s="1336">
        <f t="shared" si="193"/>
        <v>0</v>
      </c>
      <c r="G335" s="1336">
        <f t="shared" si="194"/>
        <v>0</v>
      </c>
      <c r="H335" s="1336">
        <f t="shared" si="195"/>
        <v>0</v>
      </c>
      <c r="I335" s="1336">
        <f t="shared" ca="1" si="196"/>
        <v>0</v>
      </c>
      <c r="J335" s="1336">
        <f t="shared" ca="1" si="197"/>
        <v>0</v>
      </c>
      <c r="K335" s="1336">
        <f t="shared" ca="1" si="198"/>
        <v>0</v>
      </c>
      <c r="L335" s="1337"/>
      <c r="M335" s="1337"/>
      <c r="N335" s="1337"/>
      <c r="O335" s="1337"/>
      <c r="P335" s="1338"/>
      <c r="Q335" s="1338"/>
      <c r="R335" s="1338"/>
      <c r="S335" s="5357"/>
      <c r="T335" s="1363" t="s">
        <v>637</v>
      </c>
      <c r="U335" s="1339">
        <f>+'Compra -HOJA1'!I362</f>
        <v>0</v>
      </c>
      <c r="V335" s="1339">
        <f>+'Compra -HOJA1'!J362</f>
        <v>0</v>
      </c>
      <c r="W335" s="1339">
        <f>+'Compra -HOJA1'!K362</f>
        <v>0</v>
      </c>
      <c r="X335" s="1339">
        <f ca="1">+'Compra -HOJA1'!L362</f>
        <v>0</v>
      </c>
      <c r="Y335" s="1339">
        <f ca="1">+'Compra -HOJA1'!M362</f>
        <v>0</v>
      </c>
      <c r="Z335" s="1339">
        <f ca="1">+'Compra -HOJA1'!N362</f>
        <v>0</v>
      </c>
      <c r="AA335" s="1339">
        <f ca="1">+'Compra -HOJA1'!O362</f>
        <v>0</v>
      </c>
      <c r="AB335" s="1340">
        <f ca="1">+'Compra -HOJA1'!P362</f>
        <v>0</v>
      </c>
      <c r="AC335" s="1340">
        <f ca="1">+'Compra -HOJA1'!Q362</f>
        <v>0</v>
      </c>
    </row>
    <row r="336" spans="1:29" ht="37.5" customHeight="1" x14ac:dyDescent="0.35">
      <c r="A336" s="5605"/>
      <c r="B336" s="1349"/>
      <c r="C336" s="5002"/>
      <c r="D336" s="987" t="s">
        <v>49</v>
      </c>
      <c r="E336" s="1335">
        <f>+('Compra -HOJA1'!G363)</f>
        <v>0</v>
      </c>
      <c r="F336" s="1336">
        <f t="shared" si="193"/>
        <v>0</v>
      </c>
      <c r="G336" s="1336">
        <f t="shared" si="194"/>
        <v>0</v>
      </c>
      <c r="H336" s="1336">
        <f t="shared" si="195"/>
        <v>0</v>
      </c>
      <c r="I336" s="1336">
        <f t="shared" ca="1" si="196"/>
        <v>0</v>
      </c>
      <c r="J336" s="1336">
        <f t="shared" ca="1" si="197"/>
        <v>0</v>
      </c>
      <c r="K336" s="1336">
        <f t="shared" ca="1" si="198"/>
        <v>0</v>
      </c>
      <c r="L336" s="1337"/>
      <c r="M336" s="1337"/>
      <c r="N336" s="1337"/>
      <c r="O336" s="1337"/>
      <c r="P336" s="1338"/>
      <c r="Q336" s="1338"/>
      <c r="R336" s="1338"/>
      <c r="S336" s="5357"/>
      <c r="T336" s="1363" t="s">
        <v>49</v>
      </c>
      <c r="U336" s="1339">
        <f>+'Compra -HOJA1'!I363</f>
        <v>0</v>
      </c>
      <c r="V336" s="1339">
        <f>+'Compra -HOJA1'!J363</f>
        <v>0</v>
      </c>
      <c r="W336" s="1339">
        <f>+'Compra -HOJA1'!K363</f>
        <v>0</v>
      </c>
      <c r="X336" s="1339">
        <f ca="1">+'Compra -HOJA1'!L363</f>
        <v>0</v>
      </c>
      <c r="Y336" s="1339">
        <f ca="1">+'Compra -HOJA1'!M363</f>
        <v>0</v>
      </c>
      <c r="Z336" s="1339">
        <f ca="1">+'Compra -HOJA1'!N363</f>
        <v>0</v>
      </c>
      <c r="AA336" s="1339">
        <f ca="1">+'Compra -HOJA1'!O363</f>
        <v>0</v>
      </c>
      <c r="AB336" s="1340">
        <f ca="1">+'Compra -HOJA1'!P363</f>
        <v>0</v>
      </c>
      <c r="AC336" s="1340">
        <f ca="1">+'Compra -HOJA1'!Q363</f>
        <v>0</v>
      </c>
    </row>
    <row r="337" spans="1:29" ht="37.5" customHeight="1" x14ac:dyDescent="0.35">
      <c r="A337" s="5605"/>
      <c r="B337" s="1351">
        <v>5570</v>
      </c>
      <c r="C337" s="5002"/>
      <c r="D337" s="987" t="s">
        <v>954</v>
      </c>
      <c r="E337" s="1335" t="e">
        <f>+('Compra -HOJA1'!#REF!)</f>
        <v>#REF!</v>
      </c>
      <c r="F337" s="1336" t="e">
        <f t="shared" si="193"/>
        <v>#REF!</v>
      </c>
      <c r="G337" s="1336" t="e">
        <f t="shared" si="194"/>
        <v>#REF!</v>
      </c>
      <c r="H337" s="1336" t="e">
        <f t="shared" si="195"/>
        <v>#REF!</v>
      </c>
      <c r="I337" s="1336" t="e">
        <f t="shared" si="196"/>
        <v>#REF!</v>
      </c>
      <c r="J337" s="1336" t="e">
        <f t="shared" si="197"/>
        <v>#REF!</v>
      </c>
      <c r="K337" s="1336" t="e">
        <f t="shared" si="198"/>
        <v>#REF!</v>
      </c>
      <c r="L337" s="1337"/>
      <c r="M337" s="1337"/>
      <c r="N337" s="1337"/>
      <c r="O337" s="1337"/>
      <c r="P337" s="1338"/>
      <c r="Q337" s="1338"/>
      <c r="R337" s="1338"/>
      <c r="S337" s="5357"/>
      <c r="T337" s="1363" t="s">
        <v>954</v>
      </c>
      <c r="U337" s="1339" t="e">
        <f>+'Compra -HOJA1'!#REF!</f>
        <v>#REF!</v>
      </c>
      <c r="V337" s="1339" t="e">
        <f>+'Compra -HOJA1'!#REF!</f>
        <v>#REF!</v>
      </c>
      <c r="W337" s="1339" t="e">
        <f>+'Compra -HOJA1'!#REF!</f>
        <v>#REF!</v>
      </c>
      <c r="X337" s="1339" t="e">
        <f>+'Compra -HOJA1'!#REF!</f>
        <v>#REF!</v>
      </c>
      <c r="Y337" s="1339" t="e">
        <f>+'Compra -HOJA1'!#REF!</f>
        <v>#REF!</v>
      </c>
      <c r="Z337" s="1339" t="e">
        <f>+'Compra -HOJA1'!#REF!</f>
        <v>#REF!</v>
      </c>
      <c r="AA337" s="1339" t="e">
        <f>+'Compra -HOJA1'!#REF!</f>
        <v>#REF!</v>
      </c>
      <c r="AB337" s="1340" t="e">
        <f>+'Compra -HOJA1'!#REF!</f>
        <v>#REF!</v>
      </c>
      <c r="AC337" s="1340" t="e">
        <f>+'Compra -HOJA1'!#REF!</f>
        <v>#REF!</v>
      </c>
    </row>
    <row r="338" spans="1:29" ht="37.5" customHeight="1" x14ac:dyDescent="0.35">
      <c r="A338" s="5605"/>
      <c r="B338" s="1351">
        <v>5580</v>
      </c>
      <c r="C338" s="5002"/>
      <c r="D338" s="987" t="s">
        <v>955</v>
      </c>
      <c r="E338" s="1335">
        <f>+('Compra -HOJA1'!G365)</f>
        <v>0</v>
      </c>
      <c r="F338" s="1336">
        <f t="shared" si="193"/>
        <v>0</v>
      </c>
      <c r="G338" s="1336">
        <f t="shared" si="194"/>
        <v>0</v>
      </c>
      <c r="H338" s="1336">
        <f t="shared" si="195"/>
        <v>0</v>
      </c>
      <c r="I338" s="1336">
        <f t="shared" ca="1" si="196"/>
        <v>0</v>
      </c>
      <c r="J338" s="1336">
        <f t="shared" ca="1" si="197"/>
        <v>0</v>
      </c>
      <c r="K338" s="1336">
        <f t="shared" ca="1" si="198"/>
        <v>0</v>
      </c>
      <c r="L338" s="1337"/>
      <c r="M338" s="1337"/>
      <c r="N338" s="1337"/>
      <c r="O338" s="1337"/>
      <c r="P338" s="1338">
        <f t="shared" ca="1" si="199"/>
        <v>0</v>
      </c>
      <c r="Q338" s="1338">
        <f t="shared" ca="1" si="199"/>
        <v>0</v>
      </c>
      <c r="R338" s="1338">
        <f t="shared" ca="1" si="199"/>
        <v>0</v>
      </c>
      <c r="S338" s="5357"/>
      <c r="T338" s="1363" t="s">
        <v>955</v>
      </c>
      <c r="U338" s="1339">
        <f>+'Compra -HOJA1'!I365</f>
        <v>0</v>
      </c>
      <c r="V338" s="1339">
        <f>+'Compra -HOJA1'!J365</f>
        <v>0</v>
      </c>
      <c r="W338" s="1339">
        <f>+'Compra -HOJA1'!K365</f>
        <v>0</v>
      </c>
      <c r="X338" s="1339">
        <f ca="1">+'Compra -HOJA1'!L365</f>
        <v>0</v>
      </c>
      <c r="Y338" s="1339">
        <f ca="1">+'Compra -HOJA1'!M365</f>
        <v>0</v>
      </c>
      <c r="Z338" s="1339">
        <f ca="1">+'Compra -HOJA1'!N365</f>
        <v>0</v>
      </c>
      <c r="AA338" s="1339">
        <f ca="1">+'Compra -HOJA1'!O365</f>
        <v>0</v>
      </c>
      <c r="AB338" s="1340">
        <f ca="1">+'Compra -HOJA1'!P365</f>
        <v>0</v>
      </c>
      <c r="AC338" s="1340">
        <f ca="1">+'Compra -HOJA1'!Q365</f>
        <v>0</v>
      </c>
    </row>
    <row r="339" spans="1:29" ht="37.5" customHeight="1" x14ac:dyDescent="0.35">
      <c r="A339" s="5605"/>
      <c r="B339" s="1344">
        <v>6000</v>
      </c>
      <c r="C339" s="1345" t="s">
        <v>66</v>
      </c>
      <c r="D339" s="1021" t="s">
        <v>934</v>
      </c>
      <c r="E339" s="1335">
        <f>+('Compra -HOJA1'!G366)</f>
        <v>0</v>
      </c>
      <c r="F339" s="1336">
        <f t="shared" si="193"/>
        <v>0</v>
      </c>
      <c r="G339" s="1336">
        <f t="shared" si="194"/>
        <v>0</v>
      </c>
      <c r="H339" s="1336">
        <f t="shared" si="195"/>
        <v>0</v>
      </c>
      <c r="I339" s="1336">
        <f t="shared" ca="1" si="196"/>
        <v>0</v>
      </c>
      <c r="J339" s="1336">
        <f t="shared" ca="1" si="197"/>
        <v>0</v>
      </c>
      <c r="K339" s="1336">
        <f t="shared" ca="1" si="198"/>
        <v>0</v>
      </c>
      <c r="L339" s="1337"/>
      <c r="M339" s="1337"/>
      <c r="N339" s="1337"/>
      <c r="O339" s="1337"/>
      <c r="P339" s="1338">
        <f t="shared" ca="1" si="199"/>
        <v>0</v>
      </c>
      <c r="Q339" s="1338">
        <f t="shared" ca="1" si="199"/>
        <v>0</v>
      </c>
      <c r="R339" s="1338">
        <f t="shared" ca="1" si="199"/>
        <v>0</v>
      </c>
      <c r="S339" s="5357"/>
      <c r="T339" s="873">
        <v>6000</v>
      </c>
      <c r="U339" s="1339">
        <f>+'Compra -HOJA1'!I366</f>
        <v>0</v>
      </c>
      <c r="V339" s="1339">
        <f>+'Compra -HOJA1'!J366</f>
        <v>0</v>
      </c>
      <c r="W339" s="1339">
        <f>+'Compra -HOJA1'!K366</f>
        <v>0</v>
      </c>
      <c r="X339" s="1339">
        <f ca="1">+'Compra -HOJA1'!L366</f>
        <v>0</v>
      </c>
      <c r="Y339" s="1339">
        <f ca="1">+'Compra -HOJA1'!M366</f>
        <v>0</v>
      </c>
      <c r="Z339" s="1339">
        <f ca="1">+'Compra -HOJA1'!N366</f>
        <v>0</v>
      </c>
      <c r="AA339" s="1339">
        <f ca="1">+'Compra -HOJA1'!O366</f>
        <v>0</v>
      </c>
      <c r="AB339" s="1340">
        <f ca="1">+'Compra -HOJA1'!P366</f>
        <v>0</v>
      </c>
      <c r="AC339" s="1340">
        <f ca="1">+'Compra -HOJA1'!Q366</f>
        <v>0</v>
      </c>
    </row>
    <row r="340" spans="1:29" ht="37.5" customHeight="1" x14ac:dyDescent="0.35">
      <c r="A340" s="5607" t="s">
        <v>67</v>
      </c>
      <c r="B340" s="1360">
        <v>5000</v>
      </c>
      <c r="C340" s="5608" t="s">
        <v>42</v>
      </c>
      <c r="D340" s="5609"/>
      <c r="E340" s="1335" t="e">
        <f>+('Compra -HOJA1'!#REF!)</f>
        <v>#REF!</v>
      </c>
      <c r="F340" s="1336" t="e">
        <f t="shared" si="193"/>
        <v>#REF!</v>
      </c>
      <c r="G340" s="1336" t="e">
        <f t="shared" si="194"/>
        <v>#REF!</v>
      </c>
      <c r="H340" s="1336" t="e">
        <f t="shared" si="195"/>
        <v>#REF!</v>
      </c>
      <c r="I340" s="1336" t="e">
        <f t="shared" si="196"/>
        <v>#REF!</v>
      </c>
      <c r="J340" s="1336" t="e">
        <f t="shared" si="197"/>
        <v>#REF!</v>
      </c>
      <c r="K340" s="1336" t="e">
        <f t="shared" si="198"/>
        <v>#REF!</v>
      </c>
      <c r="L340" s="1337"/>
      <c r="M340" s="1337"/>
      <c r="N340" s="1337"/>
      <c r="O340" s="1337"/>
      <c r="P340" s="1338" t="e">
        <f t="shared" si="199"/>
        <v>#REF!</v>
      </c>
      <c r="Q340" s="1338" t="e">
        <f t="shared" si="199"/>
        <v>#REF!</v>
      </c>
      <c r="R340" s="1338" t="e">
        <f t="shared" si="199"/>
        <v>#REF!</v>
      </c>
      <c r="S340" s="5357" t="s">
        <v>326</v>
      </c>
      <c r="T340" s="886">
        <v>5000</v>
      </c>
      <c r="U340" s="1339" t="e">
        <f>+'Compra -HOJA1'!#REF!</f>
        <v>#REF!</v>
      </c>
      <c r="V340" s="1339" t="e">
        <f>+'Compra -HOJA1'!#REF!</f>
        <v>#REF!</v>
      </c>
      <c r="W340" s="1339" t="e">
        <f>+'Compra -HOJA1'!#REF!</f>
        <v>#REF!</v>
      </c>
      <c r="X340" s="1339" t="e">
        <f>+'Compra -HOJA1'!#REF!</f>
        <v>#REF!</v>
      </c>
      <c r="Y340" s="1339" t="e">
        <f>+'Compra -HOJA1'!#REF!</f>
        <v>#REF!</v>
      </c>
      <c r="Z340" s="1339" t="e">
        <f>+'Compra -HOJA1'!#REF!</f>
        <v>#REF!</v>
      </c>
      <c r="AA340" s="1339" t="e">
        <f>+'Compra -HOJA1'!#REF!</f>
        <v>#REF!</v>
      </c>
      <c r="AB340" s="1340" t="e">
        <f>+'Compra -HOJA1'!#REF!</f>
        <v>#REF!</v>
      </c>
      <c r="AC340" s="1340" t="e">
        <f>+'Compra -HOJA1'!#REF!</f>
        <v>#REF!</v>
      </c>
    </row>
    <row r="341" spans="1:29" ht="37.5" customHeight="1" x14ac:dyDescent="0.35">
      <c r="A341" s="5607"/>
      <c r="B341" s="1361">
        <v>5020</v>
      </c>
      <c r="C341" s="1345" t="s">
        <v>43</v>
      </c>
      <c r="D341" s="1038" t="s">
        <v>44</v>
      </c>
      <c r="E341" s="1335">
        <f>+('Compra -HOJA1'!G368)</f>
        <v>0</v>
      </c>
      <c r="F341" s="1336">
        <f t="shared" si="193"/>
        <v>0</v>
      </c>
      <c r="G341" s="1336">
        <f t="shared" si="194"/>
        <v>0</v>
      </c>
      <c r="H341" s="1336">
        <f t="shared" si="195"/>
        <v>0</v>
      </c>
      <c r="I341" s="1336">
        <f t="shared" ca="1" si="196"/>
        <v>0</v>
      </c>
      <c r="J341" s="1336">
        <f t="shared" ca="1" si="197"/>
        <v>0</v>
      </c>
      <c r="K341" s="1336">
        <f t="shared" ca="1" si="198"/>
        <v>0</v>
      </c>
      <c r="L341" s="1337"/>
      <c r="M341" s="1337"/>
      <c r="N341" s="1337"/>
      <c r="O341" s="1337"/>
      <c r="P341" s="1338">
        <f t="shared" ca="1" si="199"/>
        <v>0</v>
      </c>
      <c r="Q341" s="1338">
        <f t="shared" ca="1" si="199"/>
        <v>0</v>
      </c>
      <c r="R341" s="1338">
        <f t="shared" ca="1" si="199"/>
        <v>0</v>
      </c>
      <c r="S341" s="5357"/>
      <c r="T341" s="889">
        <v>5020</v>
      </c>
      <c r="U341" s="1339">
        <f>+'Compra -HOJA1'!I368</f>
        <v>0</v>
      </c>
      <c r="V341" s="1339">
        <f>+'Compra -HOJA1'!J368</f>
        <v>0</v>
      </c>
      <c r="W341" s="1339">
        <f>+'Compra -HOJA1'!K368</f>
        <v>0</v>
      </c>
      <c r="X341" s="1339">
        <f ca="1">+'Compra -HOJA1'!L368</f>
        <v>0</v>
      </c>
      <c r="Y341" s="1339">
        <f ca="1">+'Compra -HOJA1'!M368</f>
        <v>0</v>
      </c>
      <c r="Z341" s="1339">
        <f ca="1">+'Compra -HOJA1'!N368</f>
        <v>0</v>
      </c>
      <c r="AA341" s="1339">
        <f ca="1">+'Compra -HOJA1'!O368</f>
        <v>0</v>
      </c>
      <c r="AB341" s="1340">
        <f ca="1">+'Compra -HOJA1'!P368</f>
        <v>0</v>
      </c>
      <c r="AC341" s="1340">
        <f ca="1">+'Compra -HOJA1'!Q368</f>
        <v>0</v>
      </c>
    </row>
    <row r="342" spans="1:29" ht="37.5" customHeight="1" x14ac:dyDescent="0.35">
      <c r="A342" s="5607"/>
      <c r="B342" s="1346">
        <v>5500</v>
      </c>
      <c r="C342" s="5002" t="s">
        <v>45</v>
      </c>
      <c r="D342" s="1228" t="s">
        <v>46</v>
      </c>
      <c r="E342" s="1335" t="e">
        <f>+('Compra -HOJA1'!#REF!)</f>
        <v>#REF!</v>
      </c>
      <c r="F342" s="1336" t="e">
        <f t="shared" si="193"/>
        <v>#REF!</v>
      </c>
      <c r="G342" s="1336" t="e">
        <f t="shared" si="194"/>
        <v>#REF!</v>
      </c>
      <c r="H342" s="1336" t="e">
        <f t="shared" si="195"/>
        <v>#REF!</v>
      </c>
      <c r="I342" s="1336" t="e">
        <f t="shared" si="196"/>
        <v>#REF!</v>
      </c>
      <c r="J342" s="1336" t="e">
        <f t="shared" si="197"/>
        <v>#REF!</v>
      </c>
      <c r="K342" s="1336" t="e">
        <f t="shared" si="198"/>
        <v>#REF!</v>
      </c>
      <c r="L342" s="1337"/>
      <c r="M342" s="1337"/>
      <c r="N342" s="1337"/>
      <c r="O342" s="1337"/>
      <c r="P342" s="1338" t="e">
        <f t="shared" si="199"/>
        <v>#REF!</v>
      </c>
      <c r="Q342" s="1338" t="e">
        <f t="shared" si="199"/>
        <v>#REF!</v>
      </c>
      <c r="R342" s="1338" t="e">
        <f t="shared" si="199"/>
        <v>#REF!</v>
      </c>
      <c r="S342" s="5357"/>
      <c r="T342" s="1364" t="s">
        <v>46</v>
      </c>
      <c r="U342" s="1339" t="e">
        <f>+'Compra -HOJA1'!#REF!</f>
        <v>#REF!</v>
      </c>
      <c r="V342" s="1339" t="e">
        <f>+'Compra -HOJA1'!#REF!</f>
        <v>#REF!</v>
      </c>
      <c r="W342" s="1339" t="e">
        <f>+'Compra -HOJA1'!#REF!</f>
        <v>#REF!</v>
      </c>
      <c r="X342" s="1339" t="e">
        <f>+'Compra -HOJA1'!#REF!</f>
        <v>#REF!</v>
      </c>
      <c r="Y342" s="1339" t="e">
        <f>+'Compra -HOJA1'!#REF!</f>
        <v>#REF!</v>
      </c>
      <c r="Z342" s="1339" t="e">
        <f>+'Compra -HOJA1'!#REF!</f>
        <v>#REF!</v>
      </c>
      <c r="AA342" s="1339" t="e">
        <f>+'Compra -HOJA1'!#REF!</f>
        <v>#REF!</v>
      </c>
      <c r="AB342" s="1340" t="e">
        <f>+'Compra -HOJA1'!#REF!</f>
        <v>#REF!</v>
      </c>
      <c r="AC342" s="1340" t="e">
        <f>+'Compra -HOJA1'!#REF!</f>
        <v>#REF!</v>
      </c>
    </row>
    <row r="343" spans="1:29" ht="23.25" customHeight="1" x14ac:dyDescent="0.35">
      <c r="A343" s="5607"/>
      <c r="B343" s="1348"/>
      <c r="C343" s="5002"/>
      <c r="D343" s="1228" t="s">
        <v>47</v>
      </c>
      <c r="E343" s="1335" t="e">
        <f>+('Compra -HOJA1'!#REF!)</f>
        <v>#REF!</v>
      </c>
      <c r="F343" s="1336" t="e">
        <f t="shared" si="193"/>
        <v>#REF!</v>
      </c>
      <c r="G343" s="1336" t="e">
        <f t="shared" si="194"/>
        <v>#REF!</v>
      </c>
      <c r="H343" s="1336" t="e">
        <f t="shared" si="195"/>
        <v>#REF!</v>
      </c>
      <c r="I343" s="1336" t="e">
        <f t="shared" si="196"/>
        <v>#REF!</v>
      </c>
      <c r="J343" s="1336" t="e">
        <f t="shared" si="197"/>
        <v>#REF!</v>
      </c>
      <c r="K343" s="1336" t="e">
        <f t="shared" si="198"/>
        <v>#REF!</v>
      </c>
      <c r="L343" s="1337"/>
      <c r="M343" s="1337"/>
      <c r="N343" s="1337"/>
      <c r="O343" s="1337"/>
      <c r="P343" s="1338" t="e">
        <f t="shared" si="199"/>
        <v>#REF!</v>
      </c>
      <c r="Q343" s="1338" t="e">
        <f t="shared" si="199"/>
        <v>#REF!</v>
      </c>
      <c r="R343" s="1338" t="e">
        <f t="shared" si="199"/>
        <v>#REF!</v>
      </c>
      <c r="S343" s="5357"/>
      <c r="T343" s="1365" t="s">
        <v>47</v>
      </c>
      <c r="U343" s="1339" t="e">
        <f>+'Compra -HOJA1'!#REF!</f>
        <v>#REF!</v>
      </c>
      <c r="V343" s="1339" t="e">
        <f>+'Compra -HOJA1'!#REF!</f>
        <v>#REF!</v>
      </c>
      <c r="W343" s="1339" t="e">
        <f>+'Compra -HOJA1'!#REF!</f>
        <v>#REF!</v>
      </c>
      <c r="X343" s="1339" t="e">
        <f>+'Compra -HOJA1'!#REF!</f>
        <v>#REF!</v>
      </c>
      <c r="Y343" s="1339" t="e">
        <f>+'Compra -HOJA1'!#REF!</f>
        <v>#REF!</v>
      </c>
      <c r="Z343" s="1339" t="e">
        <f>+'Compra -HOJA1'!#REF!</f>
        <v>#REF!</v>
      </c>
      <c r="AA343" s="1339" t="e">
        <f>+'Compra -HOJA1'!#REF!</f>
        <v>#REF!</v>
      </c>
      <c r="AB343" s="1340" t="e">
        <f>+'Compra -HOJA1'!#REF!</f>
        <v>#REF!</v>
      </c>
      <c r="AC343" s="1340" t="e">
        <f>+'Compra -HOJA1'!#REF!</f>
        <v>#REF!</v>
      </c>
    </row>
    <row r="344" spans="1:29" ht="23.25" customHeight="1" x14ac:dyDescent="0.35">
      <c r="A344" s="5607"/>
      <c r="B344" s="1349">
        <v>5550</v>
      </c>
      <c r="C344" s="5002"/>
      <c r="D344" s="1228" t="s">
        <v>950</v>
      </c>
      <c r="E344" s="1335" t="e">
        <f>+('Compra -HOJA1'!#REF!)</f>
        <v>#REF!</v>
      </c>
      <c r="F344" s="1336" t="e">
        <f t="shared" si="193"/>
        <v>#REF!</v>
      </c>
      <c r="G344" s="1336" t="e">
        <f t="shared" si="194"/>
        <v>#REF!</v>
      </c>
      <c r="H344" s="1336" t="e">
        <f t="shared" si="195"/>
        <v>#REF!</v>
      </c>
      <c r="I344" s="1336" t="e">
        <f t="shared" si="196"/>
        <v>#REF!</v>
      </c>
      <c r="J344" s="1336" t="e">
        <f t="shared" si="197"/>
        <v>#REF!</v>
      </c>
      <c r="K344" s="1336" t="e">
        <f t="shared" si="198"/>
        <v>#REF!</v>
      </c>
      <c r="L344" s="1337"/>
      <c r="M344" s="1337"/>
      <c r="N344" s="1337"/>
      <c r="O344" s="1337"/>
      <c r="P344" s="1338" t="e">
        <f t="shared" si="199"/>
        <v>#REF!</v>
      </c>
      <c r="Q344" s="1338" t="e">
        <f t="shared" si="199"/>
        <v>#REF!</v>
      </c>
      <c r="R344" s="1338" t="e">
        <f t="shared" si="199"/>
        <v>#REF!</v>
      </c>
      <c r="S344" s="5357"/>
      <c r="T344" s="1365" t="s">
        <v>950</v>
      </c>
      <c r="U344" s="1339" t="e">
        <f>+'Compra -HOJA1'!#REF!</f>
        <v>#REF!</v>
      </c>
      <c r="V344" s="1339" t="e">
        <f>+'Compra -HOJA1'!#REF!</f>
        <v>#REF!</v>
      </c>
      <c r="W344" s="1339" t="e">
        <f>+'Compra -HOJA1'!#REF!</f>
        <v>#REF!</v>
      </c>
      <c r="X344" s="1339" t="e">
        <f>+'Compra -HOJA1'!#REF!</f>
        <v>#REF!</v>
      </c>
      <c r="Y344" s="1339" t="e">
        <f>+'Compra -HOJA1'!#REF!</f>
        <v>#REF!</v>
      </c>
      <c r="Z344" s="1339" t="e">
        <f>+'Compra -HOJA1'!#REF!</f>
        <v>#REF!</v>
      </c>
      <c r="AA344" s="1339" t="e">
        <f>+'Compra -HOJA1'!#REF!</f>
        <v>#REF!</v>
      </c>
      <c r="AB344" s="1340" t="e">
        <f>+'Compra -HOJA1'!#REF!</f>
        <v>#REF!</v>
      </c>
      <c r="AC344" s="1340" t="e">
        <f>+'Compra -HOJA1'!#REF!</f>
        <v>#REF!</v>
      </c>
    </row>
    <row r="345" spans="1:29" ht="23.25" customHeight="1" x14ac:dyDescent="0.35">
      <c r="A345" s="5607"/>
      <c r="B345" s="1349">
        <v>5560</v>
      </c>
      <c r="C345" s="5002"/>
      <c r="D345" s="1228" t="s">
        <v>951</v>
      </c>
      <c r="E345" s="1335" t="e">
        <f>+('Compra -HOJA1'!#REF!)</f>
        <v>#REF!</v>
      </c>
      <c r="F345" s="1336" t="e">
        <f t="shared" si="193"/>
        <v>#REF!</v>
      </c>
      <c r="G345" s="1336" t="e">
        <f t="shared" si="194"/>
        <v>#REF!</v>
      </c>
      <c r="H345" s="1336" t="e">
        <f t="shared" si="195"/>
        <v>#REF!</v>
      </c>
      <c r="I345" s="1336" t="e">
        <f t="shared" si="196"/>
        <v>#REF!</v>
      </c>
      <c r="J345" s="1336" t="e">
        <f t="shared" si="197"/>
        <v>#REF!</v>
      </c>
      <c r="K345" s="1336" t="e">
        <f t="shared" si="198"/>
        <v>#REF!</v>
      </c>
      <c r="L345" s="1337"/>
      <c r="M345" s="1337"/>
      <c r="N345" s="1337"/>
      <c r="O345" s="1337"/>
      <c r="P345" s="1338"/>
      <c r="Q345" s="1338"/>
      <c r="R345" s="1338"/>
      <c r="S345" s="5357"/>
      <c r="T345" s="1366" t="s">
        <v>951</v>
      </c>
      <c r="U345" s="1339" t="e">
        <f>+'Compra -HOJA1'!#REF!</f>
        <v>#REF!</v>
      </c>
      <c r="V345" s="1339" t="e">
        <f>+'Compra -HOJA1'!#REF!</f>
        <v>#REF!</v>
      </c>
      <c r="W345" s="1339" t="e">
        <f>+'Compra -HOJA1'!#REF!</f>
        <v>#REF!</v>
      </c>
      <c r="X345" s="1339" t="e">
        <f>+'Compra -HOJA1'!#REF!</f>
        <v>#REF!</v>
      </c>
      <c r="Y345" s="1339" t="e">
        <f>+'Compra -HOJA1'!#REF!</f>
        <v>#REF!</v>
      </c>
      <c r="Z345" s="1339" t="e">
        <f>+'Compra -HOJA1'!#REF!</f>
        <v>#REF!</v>
      </c>
      <c r="AA345" s="1339" t="e">
        <f>+'Compra -HOJA1'!#REF!</f>
        <v>#REF!</v>
      </c>
      <c r="AB345" s="1340" t="e">
        <f>+'Compra -HOJA1'!#REF!</f>
        <v>#REF!</v>
      </c>
      <c r="AC345" s="1340" t="e">
        <f>+'Compra -HOJA1'!#REF!</f>
        <v>#REF!</v>
      </c>
    </row>
    <row r="346" spans="1:29" ht="23.25" customHeight="1" x14ac:dyDescent="0.35">
      <c r="A346" s="5607"/>
      <c r="B346" s="1349"/>
      <c r="C346" s="5002"/>
      <c r="D346" s="987" t="s">
        <v>637</v>
      </c>
      <c r="E346" s="1335" t="e">
        <f>+('Compra -HOJA1'!#REF!)</f>
        <v>#REF!</v>
      </c>
      <c r="F346" s="1336" t="e">
        <f t="shared" si="193"/>
        <v>#REF!</v>
      </c>
      <c r="G346" s="1336" t="e">
        <f t="shared" si="194"/>
        <v>#REF!</v>
      </c>
      <c r="H346" s="1336" t="e">
        <f t="shared" si="195"/>
        <v>#REF!</v>
      </c>
      <c r="I346" s="1336" t="e">
        <f t="shared" si="196"/>
        <v>#REF!</v>
      </c>
      <c r="J346" s="1336" t="e">
        <f t="shared" si="197"/>
        <v>#REF!</v>
      </c>
      <c r="K346" s="1336" t="e">
        <f t="shared" si="198"/>
        <v>#REF!</v>
      </c>
      <c r="L346" s="1337"/>
      <c r="M346" s="1337"/>
      <c r="N346" s="1337"/>
      <c r="O346" s="1337"/>
      <c r="P346" s="1338"/>
      <c r="Q346" s="1338"/>
      <c r="R346" s="1338"/>
      <c r="S346" s="5357"/>
      <c r="T346" s="1366" t="s">
        <v>637</v>
      </c>
      <c r="U346" s="1339" t="e">
        <f>+'Compra -HOJA1'!#REF!</f>
        <v>#REF!</v>
      </c>
      <c r="V346" s="1339" t="e">
        <f>+'Compra -HOJA1'!#REF!</f>
        <v>#REF!</v>
      </c>
      <c r="W346" s="1339" t="e">
        <f>+'Compra -HOJA1'!#REF!</f>
        <v>#REF!</v>
      </c>
      <c r="X346" s="1339" t="e">
        <f>+'Compra -HOJA1'!#REF!</f>
        <v>#REF!</v>
      </c>
      <c r="Y346" s="1339" t="e">
        <f>+'Compra -HOJA1'!#REF!</f>
        <v>#REF!</v>
      </c>
      <c r="Z346" s="1339" t="e">
        <f>+'Compra -HOJA1'!#REF!</f>
        <v>#REF!</v>
      </c>
      <c r="AA346" s="1339" t="e">
        <f>+'Compra -HOJA1'!#REF!</f>
        <v>#REF!</v>
      </c>
      <c r="AB346" s="1340" t="e">
        <f>+'Compra -HOJA1'!#REF!</f>
        <v>#REF!</v>
      </c>
      <c r="AC346" s="1340" t="e">
        <f>+'Compra -HOJA1'!#REF!</f>
        <v>#REF!</v>
      </c>
    </row>
    <row r="347" spans="1:29" ht="23.25" customHeight="1" x14ac:dyDescent="0.35">
      <c r="A347" s="5607"/>
      <c r="B347" s="1349"/>
      <c r="C347" s="5002"/>
      <c r="D347" s="987" t="s">
        <v>49</v>
      </c>
      <c r="E347" s="1335" t="e">
        <f>+('Compra -HOJA1'!#REF!)</f>
        <v>#REF!</v>
      </c>
      <c r="F347" s="1336" t="e">
        <f t="shared" si="193"/>
        <v>#REF!</v>
      </c>
      <c r="G347" s="1336" t="e">
        <f t="shared" si="194"/>
        <v>#REF!</v>
      </c>
      <c r="H347" s="1336" t="e">
        <f t="shared" si="195"/>
        <v>#REF!</v>
      </c>
      <c r="I347" s="1336" t="e">
        <f t="shared" si="196"/>
        <v>#REF!</v>
      </c>
      <c r="J347" s="1336" t="e">
        <f t="shared" si="197"/>
        <v>#REF!</v>
      </c>
      <c r="K347" s="1336" t="e">
        <f t="shared" si="198"/>
        <v>#REF!</v>
      </c>
      <c r="L347" s="1337"/>
      <c r="M347" s="1337"/>
      <c r="N347" s="1337"/>
      <c r="O347" s="1337"/>
      <c r="P347" s="1338"/>
      <c r="Q347" s="1338"/>
      <c r="R347" s="1338"/>
      <c r="S347" s="5357"/>
      <c r="T347" s="1366" t="s">
        <v>49</v>
      </c>
      <c r="U347" s="1339" t="e">
        <f>+'Compra -HOJA1'!#REF!</f>
        <v>#REF!</v>
      </c>
      <c r="V347" s="1339" t="e">
        <f>+'Compra -HOJA1'!#REF!</f>
        <v>#REF!</v>
      </c>
      <c r="W347" s="1339" t="e">
        <f>+'Compra -HOJA1'!#REF!</f>
        <v>#REF!</v>
      </c>
      <c r="X347" s="1339" t="e">
        <f>+'Compra -HOJA1'!#REF!</f>
        <v>#REF!</v>
      </c>
      <c r="Y347" s="1339" t="e">
        <f>+'Compra -HOJA1'!#REF!</f>
        <v>#REF!</v>
      </c>
      <c r="Z347" s="1339" t="e">
        <f>+'Compra -HOJA1'!#REF!</f>
        <v>#REF!</v>
      </c>
      <c r="AA347" s="1339" t="e">
        <f>+'Compra -HOJA1'!#REF!</f>
        <v>#REF!</v>
      </c>
      <c r="AB347" s="1340" t="e">
        <f>+'Compra -HOJA1'!#REF!</f>
        <v>#REF!</v>
      </c>
      <c r="AC347" s="1340" t="e">
        <f>+'Compra -HOJA1'!#REF!</f>
        <v>#REF!</v>
      </c>
    </row>
    <row r="348" spans="1:29" ht="23.25" customHeight="1" x14ac:dyDescent="0.35">
      <c r="A348" s="5607"/>
      <c r="B348" s="1351">
        <v>5570</v>
      </c>
      <c r="C348" s="5002"/>
      <c r="D348" s="987" t="s">
        <v>954</v>
      </c>
      <c r="E348" s="1335" t="e">
        <f>+('Compra -HOJA1'!#REF!)</f>
        <v>#REF!</v>
      </c>
      <c r="F348" s="1336" t="e">
        <f t="shared" si="193"/>
        <v>#REF!</v>
      </c>
      <c r="G348" s="1336" t="e">
        <f t="shared" si="194"/>
        <v>#REF!</v>
      </c>
      <c r="H348" s="1336" t="e">
        <f t="shared" si="195"/>
        <v>#REF!</v>
      </c>
      <c r="I348" s="1336" t="e">
        <f t="shared" si="196"/>
        <v>#REF!</v>
      </c>
      <c r="J348" s="1336" t="e">
        <f t="shared" si="197"/>
        <v>#REF!</v>
      </c>
      <c r="K348" s="1336" t="e">
        <f t="shared" si="198"/>
        <v>#REF!</v>
      </c>
      <c r="L348" s="1337"/>
      <c r="M348" s="1337"/>
      <c r="N348" s="1337"/>
      <c r="O348" s="1337"/>
      <c r="P348" s="1338"/>
      <c r="Q348" s="1338"/>
      <c r="R348" s="1338"/>
      <c r="S348" s="5357"/>
      <c r="T348" s="1366" t="s">
        <v>954</v>
      </c>
      <c r="U348" s="1339" t="e">
        <f>+'Compra -HOJA1'!#REF!</f>
        <v>#REF!</v>
      </c>
      <c r="V348" s="1339" t="e">
        <f>+'Compra -HOJA1'!#REF!</f>
        <v>#REF!</v>
      </c>
      <c r="W348" s="1339" t="e">
        <f>+'Compra -HOJA1'!#REF!</f>
        <v>#REF!</v>
      </c>
      <c r="X348" s="1339" t="e">
        <f>+'Compra -HOJA1'!#REF!</f>
        <v>#REF!</v>
      </c>
      <c r="Y348" s="1339" t="e">
        <f>+'Compra -HOJA1'!#REF!</f>
        <v>#REF!</v>
      </c>
      <c r="Z348" s="1339" t="e">
        <f>+'Compra -HOJA1'!#REF!</f>
        <v>#REF!</v>
      </c>
      <c r="AA348" s="1339" t="e">
        <f>+'Compra -HOJA1'!#REF!</f>
        <v>#REF!</v>
      </c>
      <c r="AB348" s="1340" t="e">
        <f>+'Compra -HOJA1'!#REF!</f>
        <v>#REF!</v>
      </c>
      <c r="AC348" s="1340" t="e">
        <f>+'Compra -HOJA1'!#REF!</f>
        <v>#REF!</v>
      </c>
    </row>
    <row r="349" spans="1:29" ht="23.25" customHeight="1" x14ac:dyDescent="0.35">
      <c r="A349" s="5607"/>
      <c r="B349" s="1351">
        <v>5580</v>
      </c>
      <c r="C349" s="5002"/>
      <c r="D349" s="987" t="s">
        <v>955</v>
      </c>
      <c r="E349" s="1335" t="e">
        <f>+('Compra -HOJA1'!#REF!)</f>
        <v>#REF!</v>
      </c>
      <c r="F349" s="1336" t="e">
        <f t="shared" si="193"/>
        <v>#REF!</v>
      </c>
      <c r="G349" s="1336" t="e">
        <f t="shared" si="194"/>
        <v>#REF!</v>
      </c>
      <c r="H349" s="1336" t="e">
        <f t="shared" si="195"/>
        <v>#REF!</v>
      </c>
      <c r="I349" s="1336" t="e">
        <f t="shared" si="196"/>
        <v>#REF!</v>
      </c>
      <c r="J349" s="1336" t="e">
        <f t="shared" si="197"/>
        <v>#REF!</v>
      </c>
      <c r="K349" s="1336" t="e">
        <f t="shared" si="198"/>
        <v>#REF!</v>
      </c>
      <c r="L349" s="1337"/>
      <c r="M349" s="1337"/>
      <c r="N349" s="1337"/>
      <c r="O349" s="1337"/>
      <c r="P349" s="1338"/>
      <c r="Q349" s="1338"/>
      <c r="R349" s="1338"/>
      <c r="S349" s="5357"/>
      <c r="T349" s="1366" t="s">
        <v>955</v>
      </c>
      <c r="U349" s="1339" t="e">
        <f>+'Compra -HOJA1'!#REF!</f>
        <v>#REF!</v>
      </c>
      <c r="V349" s="1339" t="e">
        <f>+'Compra -HOJA1'!#REF!</f>
        <v>#REF!</v>
      </c>
      <c r="W349" s="1339" t="e">
        <f>+'Compra -HOJA1'!#REF!</f>
        <v>#REF!</v>
      </c>
      <c r="X349" s="1339" t="e">
        <f>+'Compra -HOJA1'!#REF!</f>
        <v>#REF!</v>
      </c>
      <c r="Y349" s="1339" t="e">
        <f>+'Compra -HOJA1'!#REF!</f>
        <v>#REF!</v>
      </c>
      <c r="Z349" s="1339" t="e">
        <f>+'Compra -HOJA1'!#REF!</f>
        <v>#REF!</v>
      </c>
      <c r="AA349" s="1339" t="e">
        <f>+'Compra -HOJA1'!#REF!</f>
        <v>#REF!</v>
      </c>
      <c r="AB349" s="1340" t="e">
        <f>+'Compra -HOJA1'!#REF!</f>
        <v>#REF!</v>
      </c>
      <c r="AC349" s="1340" t="e">
        <f>+'Compra -HOJA1'!#REF!</f>
        <v>#REF!</v>
      </c>
    </row>
    <row r="350" spans="1:29" ht="23.25" customHeight="1" thickBot="1" x14ac:dyDescent="0.4">
      <c r="A350" s="5607"/>
      <c r="B350" s="1344">
        <v>6000</v>
      </c>
      <c r="C350" s="1345" t="s">
        <v>66</v>
      </c>
      <c r="D350" s="1021" t="s">
        <v>934</v>
      </c>
      <c r="E350" s="1335" t="e">
        <f>+('Compra -HOJA1'!#REF!)</f>
        <v>#REF!</v>
      </c>
      <c r="F350" s="1336" t="e">
        <f t="shared" si="193"/>
        <v>#REF!</v>
      </c>
      <c r="G350" s="1336" t="e">
        <f t="shared" si="194"/>
        <v>#REF!</v>
      </c>
      <c r="H350" s="1336" t="e">
        <f t="shared" si="195"/>
        <v>#REF!</v>
      </c>
      <c r="I350" s="1336" t="e">
        <f t="shared" si="196"/>
        <v>#REF!</v>
      </c>
      <c r="J350" s="1336" t="e">
        <f t="shared" si="197"/>
        <v>#REF!</v>
      </c>
      <c r="K350" s="1336" t="e">
        <f t="shared" si="198"/>
        <v>#REF!</v>
      </c>
      <c r="L350" s="1337"/>
      <c r="M350" s="1337"/>
      <c r="N350" s="1337"/>
      <c r="O350" s="1337"/>
      <c r="P350" s="1338"/>
      <c r="Q350" s="1338"/>
      <c r="R350" s="1338"/>
      <c r="S350" s="5357"/>
      <c r="T350" s="892">
        <v>6000</v>
      </c>
      <c r="U350" s="1339" t="e">
        <f>+'Compra -HOJA1'!#REF!</f>
        <v>#REF!</v>
      </c>
      <c r="V350" s="1339" t="e">
        <f>+'Compra -HOJA1'!#REF!</f>
        <v>#REF!</v>
      </c>
      <c r="W350" s="1339" t="e">
        <f>+'Compra -HOJA1'!#REF!</f>
        <v>#REF!</v>
      </c>
      <c r="X350" s="1339" t="e">
        <f>+'Compra -HOJA1'!#REF!</f>
        <v>#REF!</v>
      </c>
      <c r="Y350" s="1339" t="e">
        <f>+'Compra -HOJA1'!#REF!</f>
        <v>#REF!</v>
      </c>
      <c r="Z350" s="1339" t="e">
        <f>+'Compra -HOJA1'!#REF!</f>
        <v>#REF!</v>
      </c>
      <c r="AA350" s="1339" t="e">
        <f>+'Compra -HOJA1'!#REF!</f>
        <v>#REF!</v>
      </c>
      <c r="AB350" s="1340" t="e">
        <f>+'Compra -HOJA1'!#REF!</f>
        <v>#REF!</v>
      </c>
      <c r="AC350" s="1340" t="e">
        <f>+'Compra -HOJA1'!#REF!</f>
        <v>#REF!</v>
      </c>
    </row>
    <row r="351" spans="1:29" ht="23.25" customHeight="1" thickBot="1" x14ac:dyDescent="0.4">
      <c r="A351" s="247" t="s">
        <v>21</v>
      </c>
      <c r="B351" s="4592" t="s">
        <v>70</v>
      </c>
      <c r="C351" s="4593"/>
      <c r="D351" s="4645"/>
      <c r="E351" s="1335">
        <f>+('Compra -HOJA1'!G379)</f>
        <v>0</v>
      </c>
      <c r="F351" s="1336">
        <f t="shared" si="193"/>
        <v>0</v>
      </c>
      <c r="G351" s="1336">
        <f t="shared" si="194"/>
        <v>0</v>
      </c>
      <c r="H351" s="1336">
        <f t="shared" si="195"/>
        <v>0</v>
      </c>
      <c r="I351" s="1336">
        <f t="shared" ca="1" si="196"/>
        <v>0</v>
      </c>
      <c r="J351" s="1336">
        <f t="shared" ca="1" si="197"/>
        <v>0</v>
      </c>
      <c r="K351" s="1336">
        <f t="shared" ca="1" si="198"/>
        <v>0</v>
      </c>
      <c r="L351" s="1337"/>
      <c r="M351" s="1337"/>
      <c r="N351" s="1337"/>
      <c r="O351" s="1337"/>
      <c r="P351" s="1338"/>
      <c r="Q351" s="1338"/>
      <c r="R351" s="1338"/>
      <c r="T351" s="532" t="s">
        <v>21</v>
      </c>
      <c r="U351" s="1339">
        <f>+'Compra -HOJA1'!I379</f>
        <v>0</v>
      </c>
      <c r="V351" s="1339">
        <f>+'Compra -HOJA1'!J379</f>
        <v>0</v>
      </c>
      <c r="W351" s="1339">
        <f>+'Compra -HOJA1'!K379</f>
        <v>0</v>
      </c>
      <c r="X351" s="1339">
        <f ca="1">+'Compra -HOJA1'!L379</f>
        <v>0</v>
      </c>
      <c r="Y351" s="1339">
        <f ca="1">+'Compra -HOJA1'!M379</f>
        <v>0</v>
      </c>
      <c r="Z351" s="1339">
        <f ca="1">+'Compra -HOJA1'!N379</f>
        <v>0</v>
      </c>
      <c r="AA351" s="1339">
        <f ca="1">+'Compra -HOJA1'!O379</f>
        <v>0</v>
      </c>
      <c r="AB351" s="1340">
        <f ca="1">+'Compra -HOJA1'!P379</f>
        <v>0</v>
      </c>
      <c r="AC351" s="1340">
        <f ca="1">+'Compra -HOJA1'!Q379</f>
        <v>0</v>
      </c>
    </row>
    <row r="352" spans="1:29" ht="23.25" customHeight="1" thickBot="1" x14ac:dyDescent="0.4">
      <c r="A352" s="249" t="s">
        <v>71</v>
      </c>
      <c r="B352" s="3794" t="s">
        <v>72</v>
      </c>
      <c r="C352" s="3795"/>
      <c r="D352" s="3796"/>
      <c r="E352" s="1335">
        <f>+('Compra -HOJA1'!G381)</f>
        <v>0</v>
      </c>
      <c r="F352" s="1336">
        <f t="shared" si="193"/>
        <v>0</v>
      </c>
      <c r="G352" s="1336">
        <f t="shared" si="194"/>
        <v>0</v>
      </c>
      <c r="H352" s="1336">
        <f t="shared" si="195"/>
        <v>0</v>
      </c>
      <c r="I352" s="1336">
        <f t="shared" ca="1" si="196"/>
        <v>0</v>
      </c>
      <c r="J352" s="1336">
        <f t="shared" ca="1" si="197"/>
        <v>0</v>
      </c>
      <c r="K352" s="1336">
        <f t="shared" ca="1" si="198"/>
        <v>0</v>
      </c>
      <c r="L352" s="1337"/>
      <c r="M352" s="1337"/>
      <c r="N352" s="1337"/>
      <c r="O352" s="1337"/>
      <c r="P352" s="1338"/>
      <c r="Q352" s="1338"/>
      <c r="R352" s="1338"/>
      <c r="T352" s="533" t="s">
        <v>71</v>
      </c>
      <c r="U352" s="1339">
        <f>+'Compra -HOJA1'!I381</f>
        <v>0</v>
      </c>
      <c r="V352" s="1339">
        <f>+'Compra -HOJA1'!J381</f>
        <v>0</v>
      </c>
      <c r="W352" s="1339">
        <f>+'Compra -HOJA1'!K381</f>
        <v>0</v>
      </c>
      <c r="X352" s="1339">
        <f ca="1">+'Compra -HOJA1'!L381</f>
        <v>0</v>
      </c>
      <c r="Y352" s="1339">
        <f ca="1">+'Compra -HOJA1'!M381</f>
        <v>0</v>
      </c>
      <c r="Z352" s="1339">
        <f ca="1">+'Compra -HOJA1'!N381</f>
        <v>0</v>
      </c>
      <c r="AA352" s="1339">
        <f ca="1">+'Compra -HOJA1'!O381</f>
        <v>0</v>
      </c>
      <c r="AB352" s="1340">
        <f ca="1">+'Compra -HOJA1'!P381</f>
        <v>0</v>
      </c>
      <c r="AC352" s="1340">
        <f ca="1">+'Compra -HOJA1'!Q381</f>
        <v>0</v>
      </c>
    </row>
    <row r="353" spans="1:29" ht="23.25" customHeight="1" x14ac:dyDescent="0.35">
      <c r="A353" s="5592" t="s">
        <v>417</v>
      </c>
      <c r="B353" s="5593"/>
      <c r="C353" s="5593"/>
      <c r="D353" s="5594"/>
      <c r="E353" s="1335" t="e">
        <f>+'Compra -HOJA1'!#REF!</f>
        <v>#REF!</v>
      </c>
      <c r="F353" s="1336">
        <f>(U353)</f>
        <v>0</v>
      </c>
      <c r="G353" s="1336">
        <f>(W353)</f>
        <v>0</v>
      </c>
      <c r="H353" s="1336">
        <f>(V353)</f>
        <v>0</v>
      </c>
      <c r="I353" s="1336">
        <f>(X353)</f>
        <v>0</v>
      </c>
      <c r="J353" s="1336">
        <f>(Z353)</f>
        <v>0</v>
      </c>
      <c r="K353" s="1336">
        <f>(Y353)</f>
        <v>0</v>
      </c>
      <c r="L353" s="1337"/>
      <c r="M353" s="1337"/>
      <c r="N353" s="1337"/>
      <c r="O353" s="1337"/>
      <c r="P353" s="1338">
        <f t="shared" si="199"/>
        <v>0</v>
      </c>
      <c r="Q353" s="1338">
        <f t="shared" si="199"/>
        <v>0</v>
      </c>
      <c r="R353" s="1338">
        <f t="shared" si="199"/>
        <v>0</v>
      </c>
      <c r="T353" s="872" t="s">
        <v>470</v>
      </c>
      <c r="U353" s="1339">
        <f>+'Compra -HOJA1'!H67</f>
        <v>0</v>
      </c>
      <c r="V353" s="1339">
        <f>+'Compra -HOJA1'!I67</f>
        <v>0</v>
      </c>
      <c r="W353" s="1339">
        <f>+'Compra -HOJA1'!J67</f>
        <v>0</v>
      </c>
      <c r="X353" s="1339">
        <f>+'Compra -HOJA1'!K67</f>
        <v>0</v>
      </c>
      <c r="Y353" s="1339">
        <f>+'Compra -HOJA1'!L67</f>
        <v>0</v>
      </c>
      <c r="Z353" s="1339">
        <f>+'Compra -HOJA1'!M67</f>
        <v>0</v>
      </c>
      <c r="AA353" s="1339">
        <f>+'Compra -HOJA1'!N67</f>
        <v>0</v>
      </c>
      <c r="AB353" s="1339">
        <f>+'Compra -HOJA1'!O67</f>
        <v>0</v>
      </c>
      <c r="AC353" s="1339">
        <f>+'Compra -HOJA1'!P67</f>
        <v>0</v>
      </c>
    </row>
    <row r="354" spans="1:29" ht="23.25" customHeight="1" x14ac:dyDescent="0.35">
      <c r="T354" s="872"/>
      <c r="U354" s="1367"/>
      <c r="V354" s="1367"/>
      <c r="W354" s="1367"/>
      <c r="X354" s="1367"/>
      <c r="Y354" s="1367"/>
      <c r="Z354" s="1367"/>
      <c r="AA354" s="1367"/>
      <c r="AB354" s="800"/>
      <c r="AC354" s="800"/>
    </row>
    <row r="355" spans="1:29" ht="23.25" customHeight="1" x14ac:dyDescent="0.4">
      <c r="A355" s="5543" t="s">
        <v>471</v>
      </c>
      <c r="B355" s="5543"/>
      <c r="C355" s="5543"/>
      <c r="D355" s="5544"/>
      <c r="E355" s="1368"/>
      <c r="F355" s="1369" t="e">
        <f t="shared" ref="F355:K355" si="200">SUM(F300:F353)</f>
        <v>#REF!</v>
      </c>
      <c r="G355" s="1369" t="e">
        <f t="shared" si="200"/>
        <v>#REF!</v>
      </c>
      <c r="H355" s="1369" t="e">
        <f t="shared" si="200"/>
        <v>#REF!</v>
      </c>
      <c r="I355" s="1369" t="e">
        <f t="shared" ca="1" si="200"/>
        <v>#REF!</v>
      </c>
      <c r="J355" s="1369" t="e">
        <f t="shared" ca="1" si="200"/>
        <v>#REF!</v>
      </c>
      <c r="K355" s="1369" t="e">
        <f t="shared" ca="1" si="200"/>
        <v>#REF!</v>
      </c>
      <c r="L355" s="1369" t="e">
        <f>SUM(F355:H355)</f>
        <v>#REF!</v>
      </c>
      <c r="M355" s="1369" t="e">
        <f ca="1">SUM(I355:K355)</f>
        <v>#REF!</v>
      </c>
      <c r="N355" s="1369" t="e">
        <f ca="1">+M355+L355</f>
        <v>#REF!</v>
      </c>
      <c r="O355" s="1369"/>
      <c r="P355" s="1257" t="e">
        <f ca="1">SUM(P300:P353)</f>
        <v>#REF!</v>
      </c>
      <c r="Q355" s="1257" t="e">
        <f ca="1">SUM(Q300:Q353)</f>
        <v>#REF!</v>
      </c>
      <c r="R355" s="1257" t="e">
        <f ca="1">SUM(R300:R353)</f>
        <v>#REF!</v>
      </c>
      <c r="T355" s="1370" t="e">
        <f>SUM(U355:AC355)</f>
        <v>#REF!</v>
      </c>
      <c r="U355" s="1371" t="e">
        <f>SUM(U300:U354)</f>
        <v>#REF!</v>
      </c>
      <c r="V355" s="1371" t="e">
        <f t="shared" ref="V355:AC355" si="201">SUM(V300:V354)</f>
        <v>#REF!</v>
      </c>
      <c r="W355" s="1371" t="e">
        <f t="shared" si="201"/>
        <v>#REF!</v>
      </c>
      <c r="X355" s="1371" t="e">
        <f t="shared" ca="1" si="201"/>
        <v>#REF!</v>
      </c>
      <c r="Y355" s="1371" t="e">
        <f t="shared" ca="1" si="201"/>
        <v>#REF!</v>
      </c>
      <c r="Z355" s="1371" t="e">
        <f t="shared" ca="1" si="201"/>
        <v>#REF!</v>
      </c>
      <c r="AA355" s="1367" t="e">
        <f t="shared" ca="1" si="201"/>
        <v>#REF!</v>
      </c>
      <c r="AB355" s="814" t="e">
        <f t="shared" ca="1" si="201"/>
        <v>#REF!</v>
      </c>
      <c r="AC355" s="814" t="e">
        <f t="shared" ca="1" si="201"/>
        <v>#REF!</v>
      </c>
    </row>
    <row r="356" spans="1:29" s="606" customFormat="1" ht="23.25" customHeight="1" x14ac:dyDescent="0.4">
      <c r="A356" s="1372"/>
      <c r="B356" s="1373"/>
      <c r="C356" s="1372"/>
      <c r="D356" s="1374"/>
      <c r="E356" s="1375"/>
      <c r="F356" s="1376"/>
      <c r="G356" s="1376"/>
      <c r="H356" s="1376"/>
      <c r="I356" s="1376"/>
      <c r="J356" s="1376"/>
      <c r="K356" s="1376"/>
      <c r="L356" s="1376"/>
      <c r="M356" s="1376"/>
      <c r="N356" s="1376">
        <f>+'Compra -HOJA1'!F10</f>
        <v>0</v>
      </c>
      <c r="O356" s="1376"/>
      <c r="P356" s="1377"/>
      <c r="Q356" s="1378"/>
      <c r="R356" s="1379"/>
      <c r="U356" s="1380"/>
      <c r="V356" s="1380"/>
      <c r="W356" s="1380"/>
      <c r="X356" s="1380"/>
      <c r="Y356" s="1380"/>
      <c r="Z356" s="1380"/>
      <c r="AA356" s="1380"/>
      <c r="AB356" s="1380"/>
      <c r="AC356" s="1380"/>
    </row>
    <row r="357" spans="1:29" ht="23.25" customHeight="1" x14ac:dyDescent="0.35">
      <c r="F357" s="5366" t="s">
        <v>304</v>
      </c>
      <c r="G357" s="5367"/>
      <c r="H357" s="5368"/>
      <c r="I357" s="5366" t="s">
        <v>439</v>
      </c>
      <c r="J357" s="5367"/>
      <c r="K357" s="5368"/>
      <c r="L357" s="534"/>
      <c r="M357" s="534"/>
      <c r="N357" s="534"/>
      <c r="O357" s="396"/>
      <c r="P357" s="5362" t="s">
        <v>449</v>
      </c>
      <c r="Q357" s="5363"/>
      <c r="R357" s="5364"/>
      <c r="U357" s="800"/>
      <c r="V357" s="800"/>
      <c r="W357" s="800"/>
      <c r="X357" s="800"/>
      <c r="Y357" s="800"/>
      <c r="Z357" s="800"/>
      <c r="AA357" s="800"/>
      <c r="AB357" s="800"/>
      <c r="AC357" s="800"/>
    </row>
    <row r="358" spans="1:29" ht="23.25" customHeight="1" x14ac:dyDescent="0.35">
      <c r="A358" s="1198" t="s">
        <v>958</v>
      </c>
      <c r="B358" s="1199"/>
      <c r="C358" s="1200"/>
      <c r="D358" s="1262"/>
      <c r="E358" s="1261"/>
      <c r="F358" s="261" t="s">
        <v>287</v>
      </c>
      <c r="G358" s="261" t="s">
        <v>289</v>
      </c>
      <c r="H358" s="261" t="s">
        <v>288</v>
      </c>
      <c r="I358" s="261" t="s">
        <v>287</v>
      </c>
      <c r="J358" s="261" t="s">
        <v>289</v>
      </c>
      <c r="K358" s="261" t="s">
        <v>288</v>
      </c>
      <c r="L358" s="261"/>
      <c r="M358" s="261"/>
      <c r="N358" s="261"/>
      <c r="O358" s="400"/>
      <c r="P358" s="979" t="s">
        <v>287</v>
      </c>
      <c r="Q358" s="979" t="s">
        <v>289</v>
      </c>
      <c r="R358" s="979" t="s">
        <v>288</v>
      </c>
      <c r="U358" s="800"/>
      <c r="V358" s="800"/>
      <c r="W358" s="800"/>
      <c r="X358" s="800"/>
      <c r="Y358" s="800"/>
      <c r="Z358" s="800"/>
      <c r="AA358" s="800"/>
      <c r="AB358" s="800"/>
      <c r="AC358" s="800"/>
    </row>
    <row r="359" spans="1:29" ht="23.25" customHeight="1" x14ac:dyDescent="0.35">
      <c r="A359" s="1266" t="s">
        <v>445</v>
      </c>
      <c r="B359" s="1267"/>
      <c r="C359" s="1268"/>
      <c r="D359" s="1290" t="s">
        <v>446</v>
      </c>
      <c r="E359" s="1269"/>
      <c r="F359" s="1266" t="s">
        <v>447</v>
      </c>
      <c r="G359" s="5361" t="s">
        <v>304</v>
      </c>
      <c r="H359" s="5361"/>
      <c r="I359" s="5361"/>
      <c r="J359" s="5361" t="s">
        <v>448</v>
      </c>
      <c r="K359" s="5361"/>
      <c r="L359" s="5361"/>
      <c r="M359" s="5361"/>
      <c r="N359" s="5361"/>
      <c r="O359" s="5361"/>
      <c r="P359" s="5361"/>
      <c r="Q359" s="5365" t="s">
        <v>449</v>
      </c>
      <c r="R359" s="5365"/>
      <c r="S359" s="5365"/>
      <c r="U359" s="800"/>
      <c r="V359" s="800"/>
      <c r="W359" s="800"/>
      <c r="X359" s="800"/>
      <c r="Y359" s="800"/>
      <c r="Z359" s="800"/>
      <c r="AA359" s="800"/>
      <c r="AB359" s="800"/>
      <c r="AC359" s="800"/>
    </row>
    <row r="360" spans="1:29" ht="23.25" customHeight="1" x14ac:dyDescent="0.35">
      <c r="A360" s="1266"/>
      <c r="B360" s="1267"/>
      <c r="C360" s="1268"/>
      <c r="D360" s="1290"/>
      <c r="E360" s="1269"/>
      <c r="F360" s="1266"/>
      <c r="G360" s="1270" t="s">
        <v>287</v>
      </c>
      <c r="H360" s="1270" t="s">
        <v>450</v>
      </c>
      <c r="I360" s="1270" t="s">
        <v>288</v>
      </c>
      <c r="J360" s="1270" t="s">
        <v>287</v>
      </c>
      <c r="K360" s="1270" t="s">
        <v>450</v>
      </c>
      <c r="L360" s="1270"/>
      <c r="M360" s="1270"/>
      <c r="N360" s="1270"/>
      <c r="O360" s="1271"/>
      <c r="P360" s="1272" t="s">
        <v>288</v>
      </c>
      <c r="Q360" s="979" t="s">
        <v>287</v>
      </c>
      <c r="R360" s="979" t="s">
        <v>289</v>
      </c>
      <c r="S360" s="1273" t="s">
        <v>288</v>
      </c>
      <c r="U360" s="800"/>
      <c r="V360" s="800"/>
      <c r="W360" s="800"/>
      <c r="X360" s="800"/>
      <c r="Y360" s="800"/>
      <c r="Z360" s="800"/>
      <c r="AA360" s="800"/>
      <c r="AB360" s="800"/>
      <c r="AC360" s="800"/>
    </row>
    <row r="361" spans="1:29" ht="23.25" customHeight="1" thickBot="1" x14ac:dyDescent="0.4">
      <c r="A361" s="1274"/>
      <c r="B361" s="977"/>
      <c r="C361" s="1275"/>
      <c r="D361" s="1276"/>
      <c r="E361" s="1277"/>
      <c r="F361" s="1274"/>
      <c r="G361" s="1274"/>
      <c r="H361" s="1274"/>
      <c r="I361" s="1274"/>
      <c r="U361" s="800"/>
      <c r="V361" s="800"/>
      <c r="W361" s="800"/>
      <c r="X361" s="800"/>
      <c r="Y361" s="800"/>
      <c r="Z361" s="800"/>
      <c r="AA361" s="800"/>
      <c r="AB361" s="800"/>
      <c r="AC361" s="800"/>
    </row>
    <row r="362" spans="1:29" ht="23.25" customHeight="1" thickBot="1" x14ac:dyDescent="0.4">
      <c r="A362" s="1278" t="s">
        <v>23</v>
      </c>
      <c r="B362" s="1279" t="s">
        <v>454</v>
      </c>
      <c r="C362" s="1280"/>
      <c r="D362" s="1281">
        <f>'Compra -HOJA1'!K57</f>
        <v>0</v>
      </c>
      <c r="E362" s="1282"/>
      <c r="F362" s="1381">
        <f>IF('Compra -HOJA1'!J57=0,0,'Compra -HOJA1'!J57/D362)</f>
        <v>0</v>
      </c>
      <c r="G362" s="1311">
        <f>+(U362)</f>
        <v>0</v>
      </c>
      <c r="H362" s="1311">
        <f>+(W362)</f>
        <v>0</v>
      </c>
      <c r="I362" s="1311">
        <f>+(V362)</f>
        <v>0</v>
      </c>
      <c r="J362" s="1311">
        <f>+(X362)</f>
        <v>0</v>
      </c>
      <c r="K362" s="1311">
        <f>+(Z362)</f>
        <v>0</v>
      </c>
      <c r="L362" s="1310"/>
      <c r="M362" s="1310"/>
      <c r="N362" s="1310"/>
      <c r="O362" s="1311"/>
      <c r="P362" s="1312">
        <f>+(Y362)</f>
        <v>0</v>
      </c>
      <c r="Q362" s="1285">
        <f>+G362+J362</f>
        <v>0</v>
      </c>
      <c r="R362" s="1285">
        <f>+H362+K362</f>
        <v>0</v>
      </c>
      <c r="S362" s="1286">
        <f>+I362+P362</f>
        <v>0</v>
      </c>
      <c r="U362" s="1340">
        <f>'Compra -HOJA1'!G57</f>
        <v>0</v>
      </c>
      <c r="V362" s="1340">
        <f>'Compra -HOJA1'!H57</f>
        <v>0</v>
      </c>
      <c r="W362" s="1340">
        <f>'Compra -HOJA1'!I57</f>
        <v>0</v>
      </c>
      <c r="X362" s="1340">
        <f>+'Compra -HOJA1'!L57</f>
        <v>0</v>
      </c>
      <c r="Y362" s="1340">
        <f>+'Compra -HOJA1'!M57</f>
        <v>0</v>
      </c>
      <c r="Z362" s="1340">
        <f>+'Compra -HOJA1'!N57</f>
        <v>0</v>
      </c>
      <c r="AA362" s="1340">
        <f>+'Compra -HOJA1'!O57</f>
        <v>0</v>
      </c>
      <c r="AB362" s="1340">
        <f>+'Compra -HOJA1'!P57</f>
        <v>0</v>
      </c>
      <c r="AC362" s="1340">
        <f>+'Compra -HOJA1'!Q57</f>
        <v>0</v>
      </c>
    </row>
    <row r="363" spans="1:29" ht="23.25" customHeight="1" x14ac:dyDescent="0.35">
      <c r="A363" s="1278" t="s">
        <v>24</v>
      </c>
      <c r="B363" s="1279" t="s">
        <v>454</v>
      </c>
      <c r="C363" s="1280"/>
      <c r="D363" s="1281">
        <f>'Compra -HOJA1'!K58</f>
        <v>0</v>
      </c>
      <c r="E363" s="1282"/>
      <c r="F363" s="1381">
        <f>IF('Compra -HOJA1'!J58=0,0,'Compra -HOJA1'!J58/D363)</f>
        <v>0</v>
      </c>
      <c r="G363" s="1311">
        <f>+(U363)</f>
        <v>0</v>
      </c>
      <c r="H363" s="1311">
        <f>+(W363)</f>
        <v>0</v>
      </c>
      <c r="I363" s="1311">
        <f>+(V363)</f>
        <v>0</v>
      </c>
      <c r="J363" s="1311">
        <f>+(X363)</f>
        <v>0</v>
      </c>
      <c r="K363" s="1311">
        <f>+(Z363)</f>
        <v>0</v>
      </c>
      <c r="L363" s="1310"/>
      <c r="M363" s="1310"/>
      <c r="N363" s="1310"/>
      <c r="O363" s="1311"/>
      <c r="P363" s="1312">
        <f>+(Y363)</f>
        <v>0</v>
      </c>
      <c r="Q363" s="1285">
        <f>+G363+J363</f>
        <v>0</v>
      </c>
      <c r="R363" s="1285">
        <f>+H363+K363</f>
        <v>0</v>
      </c>
      <c r="S363" s="1286">
        <f>+I363+P363</f>
        <v>0</v>
      </c>
      <c r="T363" s="25"/>
      <c r="U363" s="1382">
        <f>'Compra -HOJA1'!G58</f>
        <v>0</v>
      </c>
      <c r="V363" s="1382">
        <f>'Compra -HOJA1'!H58</f>
        <v>0</v>
      </c>
      <c r="W363" s="1382">
        <f>'Compra -HOJA1'!I58</f>
        <v>0</v>
      </c>
      <c r="X363" s="1382">
        <f>+'Compra -HOJA1'!L58</f>
        <v>0</v>
      </c>
      <c r="Y363" s="1382">
        <f>+'Compra -HOJA1'!M58</f>
        <v>0</v>
      </c>
      <c r="Z363" s="1382">
        <f>+'Compra -HOJA1'!N58</f>
        <v>0</v>
      </c>
      <c r="AA363" s="1340">
        <f>+'Compra -HOJA1'!O58</f>
        <v>0</v>
      </c>
      <c r="AB363" s="1340">
        <f>+'Compra -HOJA1'!P58</f>
        <v>0</v>
      </c>
      <c r="AC363" s="1340">
        <f>+'Compra -HOJA1'!Q58</f>
        <v>0</v>
      </c>
    </row>
    <row r="364" spans="1:29" ht="23.25" customHeight="1" x14ac:dyDescent="0.35">
      <c r="A364" s="1383" t="s">
        <v>471</v>
      </c>
      <c r="B364" s="1384"/>
      <c r="C364" s="1385"/>
      <c r="D364" s="1386">
        <f>SUM(D362:D363)</f>
        <v>0</v>
      </c>
      <c r="E364" s="1387"/>
      <c r="F364" s="1299">
        <f t="shared" ref="F364:S364" si="202">SUM(F362:F363)</f>
        <v>0</v>
      </c>
      <c r="G364" s="1288">
        <f t="shared" si="202"/>
        <v>0</v>
      </c>
      <c r="H364" s="1288">
        <f t="shared" si="202"/>
        <v>0</v>
      </c>
      <c r="I364" s="1288">
        <f t="shared" si="202"/>
        <v>0</v>
      </c>
      <c r="J364" s="1288">
        <f t="shared" si="202"/>
        <v>0</v>
      </c>
      <c r="K364" s="1288">
        <f t="shared" si="202"/>
        <v>0</v>
      </c>
      <c r="L364" s="1288"/>
      <c r="M364" s="1288"/>
      <c r="N364" s="1288"/>
      <c r="O364" s="1288"/>
      <c r="P364" s="1289">
        <f t="shared" si="202"/>
        <v>0</v>
      </c>
      <c r="Q364" s="1289">
        <f t="shared" si="202"/>
        <v>0</v>
      </c>
      <c r="R364" s="1289">
        <f t="shared" si="202"/>
        <v>0</v>
      </c>
      <c r="S364" s="1288">
        <f t="shared" si="202"/>
        <v>0</v>
      </c>
      <c r="T364" s="457"/>
      <c r="U364" s="1367"/>
      <c r="V364" s="800"/>
      <c r="W364" s="800"/>
      <c r="X364" s="800"/>
      <c r="Y364" s="1367"/>
      <c r="Z364" s="1388"/>
      <c r="AA364" s="1388"/>
      <c r="AB364" s="800">
        <f>IF(Z364=0,0,Z364/AA364)</f>
        <v>0</v>
      </c>
      <c r="AC364" s="800"/>
    </row>
    <row r="365" spans="1:29" ht="23.25" customHeight="1" x14ac:dyDescent="0.35">
      <c r="G365" s="25">
        <f>+'Compra -HOJA1'!G46</f>
        <v>0</v>
      </c>
      <c r="H365" s="25">
        <f>+'Compra -HOJA1'!H46</f>
        <v>0</v>
      </c>
      <c r="I365" s="25">
        <f>+'Compra -HOJA1'!I46</f>
        <v>0</v>
      </c>
      <c r="J365" s="25">
        <f>+'Compra -HOJA1'!L46</f>
        <v>0</v>
      </c>
      <c r="K365" s="25">
        <f>+'Compra -HOJA1'!M46</f>
        <v>0</v>
      </c>
      <c r="L365" s="25"/>
      <c r="M365" s="25"/>
      <c r="N365" s="25"/>
      <c r="P365" s="1295">
        <f>+'Compra -HOJA1'!N46</f>
        <v>0</v>
      </c>
      <c r="U365" s="800"/>
      <c r="V365" s="800"/>
      <c r="W365" s="800"/>
      <c r="X365" s="800"/>
      <c r="Y365" s="800"/>
      <c r="Z365" s="800"/>
      <c r="AA365" s="800"/>
      <c r="AB365" s="800"/>
      <c r="AC365" s="800"/>
    </row>
    <row r="366" spans="1:29" ht="23.25" customHeight="1" x14ac:dyDescent="0.35">
      <c r="U366" s="800"/>
      <c r="V366" s="800"/>
      <c r="W366" s="800"/>
      <c r="X366" s="800"/>
      <c r="Y366" s="800"/>
      <c r="Z366" s="416"/>
      <c r="AA366" s="416"/>
      <c r="AB366" s="800"/>
      <c r="AC366" s="800"/>
    </row>
    <row r="367" spans="1:29" ht="23.25" customHeight="1" x14ac:dyDescent="0.35">
      <c r="U367" s="800"/>
      <c r="V367" s="800"/>
      <c r="W367" s="800"/>
      <c r="X367" s="800"/>
      <c r="Y367" s="800"/>
      <c r="Z367" s="416"/>
      <c r="AA367" s="416"/>
      <c r="AB367" s="800"/>
      <c r="AC367" s="800"/>
    </row>
    <row r="368" spans="1:29" ht="23.25" customHeight="1" x14ac:dyDescent="0.35">
      <c r="A368" s="1198" t="s">
        <v>956</v>
      </c>
      <c r="B368" s="1199"/>
      <c r="C368" s="1200"/>
      <c r="D368" s="1262"/>
      <c r="E368" s="1261"/>
      <c r="F368" s="1198"/>
      <c r="G368" s="1198"/>
      <c r="H368" s="1198"/>
      <c r="I368" s="1198"/>
      <c r="U368" s="800"/>
      <c r="V368" s="800"/>
      <c r="W368" s="800"/>
      <c r="X368" s="800"/>
      <c r="Y368" s="800"/>
      <c r="Z368" s="416"/>
      <c r="AA368" s="416"/>
      <c r="AB368" s="800"/>
      <c r="AC368" s="800"/>
    </row>
    <row r="369" spans="1:29" ht="23.25" customHeight="1" x14ac:dyDescent="0.35">
      <c r="A369" s="1266" t="s">
        <v>445</v>
      </c>
      <c r="B369" s="1267"/>
      <c r="C369" s="1268"/>
      <c r="D369" s="1290" t="s">
        <v>446</v>
      </c>
      <c r="E369" s="1269"/>
      <c r="F369" s="1266" t="s">
        <v>447</v>
      </c>
      <c r="G369" s="5379" t="s">
        <v>304</v>
      </c>
      <c r="H369" s="5379"/>
      <c r="I369" s="5379"/>
      <c r="J369" s="5379" t="s">
        <v>453</v>
      </c>
      <c r="K369" s="5379"/>
      <c r="L369" s="5379"/>
      <c r="M369" s="5379"/>
      <c r="N369" s="5379"/>
      <c r="O369" s="5379"/>
      <c r="P369" s="5379"/>
      <c r="Q369" s="5366" t="s">
        <v>449</v>
      </c>
      <c r="R369" s="5367"/>
      <c r="S369" s="5368"/>
      <c r="U369" s="800"/>
      <c r="V369" s="800"/>
      <c r="W369" s="800"/>
      <c r="X369" s="800"/>
      <c r="Y369" s="800"/>
      <c r="Z369" s="416"/>
      <c r="AA369" s="416"/>
      <c r="AB369" s="800"/>
      <c r="AC369" s="800"/>
    </row>
    <row r="370" spans="1:29" ht="23.25" customHeight="1" x14ac:dyDescent="0.35">
      <c r="A370" s="1266"/>
      <c r="B370" s="1267"/>
      <c r="C370" s="1268"/>
      <c r="D370" s="1290"/>
      <c r="E370" s="1269"/>
      <c r="F370" s="1266"/>
      <c r="G370" s="1291" t="s">
        <v>287</v>
      </c>
      <c r="H370" s="1291" t="s">
        <v>450</v>
      </c>
      <c r="I370" s="1291" t="s">
        <v>288</v>
      </c>
      <c r="J370" s="1291" t="s">
        <v>287</v>
      </c>
      <c r="K370" s="1291" t="s">
        <v>450</v>
      </c>
      <c r="L370" s="1291"/>
      <c r="M370" s="1291"/>
      <c r="N370" s="1291"/>
      <c r="O370" s="1292"/>
      <c r="P370" s="1267" t="s">
        <v>288</v>
      </c>
      <c r="Q370" s="979" t="s">
        <v>287</v>
      </c>
      <c r="R370" s="979" t="s">
        <v>289</v>
      </c>
      <c r="S370" s="261" t="s">
        <v>288</v>
      </c>
      <c r="U370" s="800"/>
      <c r="V370" s="800"/>
      <c r="W370" s="800"/>
      <c r="X370" s="800"/>
      <c r="Y370" s="800"/>
      <c r="Z370" s="416"/>
      <c r="AA370" s="416"/>
      <c r="AB370" s="800"/>
      <c r="AC370" s="800"/>
    </row>
    <row r="371" spans="1:29" ht="23.25" customHeight="1" x14ac:dyDescent="0.35">
      <c r="A371" s="1274"/>
      <c r="B371" s="977"/>
      <c r="C371" s="1275"/>
      <c r="D371" s="1276"/>
      <c r="E371" s="1277"/>
      <c r="F371" s="1274"/>
      <c r="G371" s="1274"/>
      <c r="H371" s="1274"/>
      <c r="I371" s="1274"/>
      <c r="U371" s="800"/>
      <c r="V371" s="800"/>
      <c r="W371" s="800"/>
      <c r="X371" s="800"/>
      <c r="Y371" s="800"/>
      <c r="Z371" s="416"/>
      <c r="AA371" s="416"/>
      <c r="AB371" s="800"/>
      <c r="AC371" s="800"/>
    </row>
    <row r="372" spans="1:29" ht="23.25" customHeight="1" x14ac:dyDescent="0.35">
      <c r="A372" s="1303" t="s">
        <v>24</v>
      </c>
      <c r="B372" s="1294" t="s">
        <v>454</v>
      </c>
      <c r="C372" s="1280"/>
      <c r="D372" s="1281">
        <f>'Compra -HOJA1'!K59</f>
        <v>0</v>
      </c>
      <c r="E372" s="1282"/>
      <c r="F372" s="1381">
        <f>IF('Compra -HOJA1'!J59=0,0,('Compra -HOJA1'!J59)/D372)</f>
        <v>0</v>
      </c>
      <c r="G372" s="1389">
        <f>+(U372)</f>
        <v>0</v>
      </c>
      <c r="H372" s="1389">
        <f>+(W372)</f>
        <v>0</v>
      </c>
      <c r="I372" s="1389">
        <f>+(V372)</f>
        <v>0</v>
      </c>
      <c r="J372" s="1389">
        <f>+(X372)</f>
        <v>0</v>
      </c>
      <c r="K372" s="1389">
        <f>+(Z372)</f>
        <v>0</v>
      </c>
      <c r="L372" s="1310"/>
      <c r="M372" s="1310"/>
      <c r="N372" s="1310"/>
      <c r="O372" s="1311"/>
      <c r="P372" s="1312">
        <f>+(Y372)</f>
        <v>0</v>
      </c>
      <c r="Q372" s="1295">
        <f>+G372+J372</f>
        <v>0</v>
      </c>
      <c r="R372" s="1295">
        <f>+H372+K372</f>
        <v>0</v>
      </c>
      <c r="S372" s="25">
        <f>+I372+P372</f>
        <v>0</v>
      </c>
      <c r="U372" s="1390">
        <f>'Compra -HOJA1'!G59</f>
        <v>0</v>
      </c>
      <c r="V372" s="1390">
        <f>'Compra -HOJA1'!H59</f>
        <v>0</v>
      </c>
      <c r="W372" s="1390">
        <f>'Compra -HOJA1'!I59</f>
        <v>0</v>
      </c>
      <c r="X372" s="1382">
        <f>+'Compra -HOJA1'!L59</f>
        <v>0</v>
      </c>
      <c r="Y372" s="1382">
        <f>+'Compra -HOJA1'!M59</f>
        <v>0</v>
      </c>
      <c r="Z372" s="1382">
        <f>+'Compra -HOJA1'!N59</f>
        <v>0</v>
      </c>
      <c r="AA372" s="1340">
        <f>+'Compra -HOJA1'!O59</f>
        <v>0</v>
      </c>
      <c r="AB372" s="800"/>
      <c r="AC372" s="800"/>
    </row>
    <row r="373" spans="1:29" ht="23.25" customHeight="1" x14ac:dyDescent="0.35">
      <c r="A373" s="98"/>
      <c r="B373" s="403"/>
      <c r="C373" s="240"/>
      <c r="D373" s="1296"/>
      <c r="E373" s="1297"/>
      <c r="F373" s="1298"/>
      <c r="G373" s="1298"/>
      <c r="H373" s="1298"/>
      <c r="I373" s="1298"/>
      <c r="U373" s="800"/>
      <c r="V373" s="800"/>
      <c r="W373" s="800"/>
      <c r="X373" s="800"/>
      <c r="Y373" s="800">
        <f>'Compra -HOJA1'!F44</f>
        <v>0</v>
      </c>
      <c r="Z373" s="416">
        <f>'Compra -HOJA1'!J44</f>
        <v>0</v>
      </c>
      <c r="AA373" s="416">
        <f>'Compra -HOJA1'!K44</f>
        <v>0</v>
      </c>
      <c r="AB373" s="800"/>
      <c r="AC373" s="800"/>
    </row>
    <row r="374" spans="1:29" ht="23.25" customHeight="1" x14ac:dyDescent="0.35">
      <c r="A374" s="1383" t="s">
        <v>471</v>
      </c>
      <c r="B374" s="1384"/>
      <c r="C374" s="1385"/>
      <c r="D374" s="1386">
        <f>SUM(D372:D373)</f>
        <v>0</v>
      </c>
      <c r="E374" s="1387"/>
      <c r="F374" s="1299">
        <f>SUM(F372:F373)</f>
        <v>0</v>
      </c>
      <c r="G374" s="1299">
        <f>SUM(G372:G372)</f>
        <v>0</v>
      </c>
      <c r="H374" s="1299">
        <f>SUM(H372:H372)</f>
        <v>0</v>
      </c>
      <c r="I374" s="1299">
        <f>SUM(I372:I372)</f>
        <v>0</v>
      </c>
      <c r="J374" s="1299">
        <f t="shared" ref="J374:S374" si="203">SUM(J372:J372)</f>
        <v>0</v>
      </c>
      <c r="K374" s="1299">
        <f t="shared" si="203"/>
        <v>0</v>
      </c>
      <c r="L374" s="1299"/>
      <c r="M374" s="1299"/>
      <c r="N374" s="1299"/>
      <c r="O374" s="1288"/>
      <c r="P374" s="1300">
        <f t="shared" si="203"/>
        <v>0</v>
      </c>
      <c r="Q374" s="1300">
        <f t="shared" si="203"/>
        <v>0</v>
      </c>
      <c r="R374" s="1300">
        <f t="shared" si="203"/>
        <v>0</v>
      </c>
      <c r="S374" s="1299">
        <f t="shared" si="203"/>
        <v>0</v>
      </c>
      <c r="U374" s="814"/>
      <c r="V374" s="800"/>
      <c r="W374" s="800"/>
      <c r="X374" s="800"/>
      <c r="Y374" s="800" t="e">
        <f>'Compra -HOJA1'!#REF!</f>
        <v>#REF!</v>
      </c>
      <c r="Z374" s="416" t="e">
        <f>'Compra -HOJA1'!#REF!</f>
        <v>#REF!</v>
      </c>
      <c r="AA374" s="416" t="e">
        <f>'Compra -HOJA1'!#REF!</f>
        <v>#REF!</v>
      </c>
      <c r="AB374" s="800"/>
      <c r="AC374" s="800"/>
    </row>
    <row r="375" spans="1:29" ht="23.25" customHeight="1" x14ac:dyDescent="0.35">
      <c r="G375" s="25">
        <f>+'Compra -HOJA1'!G53</f>
        <v>0</v>
      </c>
      <c r="H375" s="25">
        <f>+'Compra -HOJA1'!H53</f>
        <v>0</v>
      </c>
      <c r="I375" s="25">
        <f>+'Compra -HOJA1'!I53</f>
        <v>0</v>
      </c>
      <c r="J375" s="25">
        <f>+'Compra -HOJA1'!L53</f>
        <v>0</v>
      </c>
      <c r="K375" s="25">
        <f>+'Compra -HOJA1'!M53</f>
        <v>0</v>
      </c>
      <c r="L375" s="25"/>
      <c r="M375" s="25"/>
      <c r="N375" s="25"/>
      <c r="P375" s="1295">
        <f>+'Compra -HOJA1'!N53</f>
        <v>0</v>
      </c>
      <c r="U375" s="800"/>
      <c r="V375" s="800"/>
      <c r="W375" s="800"/>
      <c r="X375" s="800"/>
      <c r="Y375" s="800"/>
      <c r="Z375" s="800"/>
      <c r="AA375" s="800"/>
      <c r="AB375" s="800"/>
      <c r="AC375" s="800"/>
    </row>
    <row r="376" spans="1:29" ht="23.25" customHeight="1" x14ac:dyDescent="0.35">
      <c r="U376" s="800"/>
      <c r="V376" s="800"/>
      <c r="W376" s="800"/>
      <c r="X376" s="800"/>
      <c r="Y376" s="800"/>
      <c r="Z376" s="814"/>
      <c r="AA376" s="800"/>
      <c r="AB376" s="800"/>
      <c r="AC376" s="800"/>
    </row>
    <row r="377" spans="1:29" ht="23.25" customHeight="1" x14ac:dyDescent="0.35">
      <c r="U377" s="1367" t="e">
        <f t="shared" ref="U377:Z377" si="204">+U372+U363+U355</f>
        <v>#REF!</v>
      </c>
      <c r="V377" s="1367" t="e">
        <f t="shared" si="204"/>
        <v>#REF!</v>
      </c>
      <c r="W377" s="1367" t="e">
        <f t="shared" si="204"/>
        <v>#REF!</v>
      </c>
      <c r="X377" s="1367" t="e">
        <f t="shared" ca="1" si="204"/>
        <v>#REF!</v>
      </c>
      <c r="Y377" s="1367" t="e">
        <f t="shared" ca="1" si="204"/>
        <v>#REF!</v>
      </c>
      <c r="Z377" s="1367" t="e">
        <f t="shared" ca="1" si="204"/>
        <v>#REF!</v>
      </c>
      <c r="AA377" s="800"/>
      <c r="AB377" s="800"/>
      <c r="AC377" s="800"/>
    </row>
    <row r="378" spans="1:29" ht="23.25" customHeight="1" x14ac:dyDescent="0.35">
      <c r="A378" s="1198" t="s">
        <v>957</v>
      </c>
      <c r="B378" s="1199"/>
      <c r="C378" s="1200"/>
      <c r="D378" s="1262"/>
      <c r="E378" s="1261"/>
      <c r="F378" s="1198"/>
      <c r="G378" s="1198"/>
      <c r="H378" s="1198"/>
      <c r="I378" s="1198"/>
      <c r="J378" s="1198"/>
      <c r="K378" s="1198"/>
      <c r="L378" s="1198"/>
      <c r="M378" s="1198"/>
      <c r="N378" s="1198"/>
      <c r="O378" s="1301"/>
      <c r="P378" s="1302"/>
      <c r="Q378" s="1302"/>
      <c r="R378" s="1302"/>
      <c r="S378" s="1198"/>
      <c r="T378" s="1198"/>
      <c r="U378" s="1199"/>
      <c r="V378" s="800"/>
      <c r="W378" s="800"/>
      <c r="X378" s="800"/>
      <c r="Y378" s="800"/>
      <c r="Z378" s="800"/>
      <c r="AA378" s="800"/>
      <c r="AB378" s="800"/>
      <c r="AC378" s="800"/>
    </row>
    <row r="379" spans="1:29" ht="23.25" customHeight="1" x14ac:dyDescent="0.35">
      <c r="A379" s="1198"/>
      <c r="B379" s="1199"/>
      <c r="C379" s="1200"/>
      <c r="D379" s="1262"/>
      <c r="E379" s="1261"/>
      <c r="F379" s="1198"/>
      <c r="G379" s="1198"/>
      <c r="H379" s="1198"/>
      <c r="I379" s="1198"/>
      <c r="J379" s="1198"/>
      <c r="K379" s="1198"/>
      <c r="L379" s="1198"/>
      <c r="M379" s="1198"/>
      <c r="N379" s="1198"/>
      <c r="O379" s="1301"/>
      <c r="P379" s="1302"/>
      <c r="Q379" s="1302"/>
      <c r="R379" s="1302"/>
      <c r="S379" s="1198"/>
      <c r="T379" s="1198"/>
      <c r="U379" s="1391" t="e">
        <f ca="1">+U377+X377</f>
        <v>#REF!</v>
      </c>
      <c r="V379" s="1391" t="e">
        <f ca="1">+V377+Y377</f>
        <v>#REF!</v>
      </c>
      <c r="W379" s="1391" t="e">
        <f ca="1">+W377+Z377</f>
        <v>#REF!</v>
      </c>
      <c r="X379" s="800"/>
      <c r="Y379" s="800"/>
      <c r="Z379" s="800"/>
      <c r="AA379" s="800"/>
      <c r="AB379" s="800"/>
      <c r="AC379" s="800"/>
    </row>
    <row r="380" spans="1:29" ht="23.25" customHeight="1" x14ac:dyDescent="0.35">
      <c r="U380" s="814">
        <f>+'Compra -HOJA1'!G10</f>
        <v>0</v>
      </c>
      <c r="V380" s="814">
        <f>+'Compra -HOJA1'!H10</f>
        <v>0</v>
      </c>
      <c r="W380" s="814">
        <f>+'Compra -HOJA1'!I10</f>
        <v>0</v>
      </c>
      <c r="X380" s="800"/>
      <c r="Y380" s="800"/>
      <c r="Z380" s="800"/>
      <c r="AA380" s="800"/>
      <c r="AB380" s="800"/>
      <c r="AC380" s="800"/>
    </row>
    <row r="381" spans="1:29" ht="23.25" customHeight="1" x14ac:dyDescent="0.35">
      <c r="A381" s="1266" t="s">
        <v>457</v>
      </c>
      <c r="B381" s="1267"/>
      <c r="C381" s="1268"/>
      <c r="D381" s="1290" t="s">
        <v>26</v>
      </c>
      <c r="E381" s="1269"/>
      <c r="F381" s="1266" t="s">
        <v>458</v>
      </c>
      <c r="G381" s="5379" t="s">
        <v>304</v>
      </c>
      <c r="H381" s="5379"/>
      <c r="I381" s="5379"/>
      <c r="J381" s="5379" t="s">
        <v>453</v>
      </c>
      <c r="K381" s="5379"/>
      <c r="L381" s="5379"/>
      <c r="M381" s="5379"/>
      <c r="N381" s="5379"/>
      <c r="O381" s="5379"/>
      <c r="P381" s="5379"/>
      <c r="Q381" s="5366" t="s">
        <v>449</v>
      </c>
      <c r="R381" s="5367"/>
      <c r="S381" s="5368"/>
      <c r="U381" s="1367" t="e">
        <f ca="1">+U380-U379</f>
        <v>#REF!</v>
      </c>
      <c r="V381" s="1367" t="e">
        <f ca="1">+V380-V379</f>
        <v>#REF!</v>
      </c>
      <c r="W381" s="1367" t="e">
        <f ca="1">+W380-W379</f>
        <v>#REF!</v>
      </c>
      <c r="X381" s="800"/>
      <c r="Y381" s="800"/>
      <c r="Z381" s="800"/>
      <c r="AA381" s="800"/>
      <c r="AB381" s="800"/>
      <c r="AC381" s="800"/>
    </row>
    <row r="382" spans="1:29" ht="23.25" customHeight="1" x14ac:dyDescent="0.35">
      <c r="A382" s="1266"/>
      <c r="B382" s="1267"/>
      <c r="C382" s="1268"/>
      <c r="D382" s="1290"/>
      <c r="E382" s="1269"/>
      <c r="F382" s="1266"/>
      <c r="G382" s="1291" t="s">
        <v>287</v>
      </c>
      <c r="H382" s="1291" t="s">
        <v>450</v>
      </c>
      <c r="I382" s="1291" t="s">
        <v>288</v>
      </c>
      <c r="J382" s="1291" t="s">
        <v>287</v>
      </c>
      <c r="K382" s="1291" t="s">
        <v>450</v>
      </c>
      <c r="L382" s="1291"/>
      <c r="M382" s="1291"/>
      <c r="N382" s="1291"/>
      <c r="O382" s="1292"/>
      <c r="P382" s="1267" t="s">
        <v>288</v>
      </c>
      <c r="Q382" s="979" t="s">
        <v>287</v>
      </c>
      <c r="R382" s="979" t="s">
        <v>289</v>
      </c>
      <c r="S382" s="261" t="s">
        <v>288</v>
      </c>
      <c r="U382" s="800"/>
      <c r="V382" s="800"/>
      <c r="W382" s="800"/>
      <c r="X382" s="800"/>
      <c r="Y382" s="800"/>
      <c r="Z382" s="800"/>
      <c r="AA382" s="800"/>
      <c r="AB382" s="800"/>
      <c r="AC382" s="800"/>
    </row>
    <row r="383" spans="1:29" ht="23.25" customHeight="1" x14ac:dyDescent="0.35">
      <c r="U383" s="800"/>
      <c r="V383" s="800"/>
      <c r="W383" s="800"/>
      <c r="X383" s="800"/>
      <c r="Y383" s="800"/>
      <c r="Z383" s="800"/>
      <c r="AA383" s="800"/>
      <c r="AB383" s="800"/>
      <c r="AC383" s="800"/>
    </row>
    <row r="384" spans="1:29" ht="23.25" customHeight="1" x14ac:dyDescent="0.35">
      <c r="A384" s="1303" t="s">
        <v>23</v>
      </c>
      <c r="B384" s="1294"/>
      <c r="C384" s="1280"/>
      <c r="D384" s="1392">
        <f>'Compra -HOJA1'!K24</f>
        <v>0</v>
      </c>
      <c r="E384" s="1304"/>
      <c r="F384" s="33">
        <f ca="1">'Compra -HOJA1'!J24</f>
        <v>0</v>
      </c>
      <c r="G384" s="1310">
        <f ca="1">+(U384)</f>
        <v>0</v>
      </c>
      <c r="H384" s="1310">
        <f ca="1">+(W384)</f>
        <v>0</v>
      </c>
      <c r="I384" s="1310">
        <f ca="1">+(V384)</f>
        <v>0</v>
      </c>
      <c r="J384" s="1310">
        <f ca="1">+(X384)</f>
        <v>0</v>
      </c>
      <c r="K384" s="1310">
        <f ca="1">+(Z384)</f>
        <v>0</v>
      </c>
      <c r="L384" s="1310"/>
      <c r="M384" s="1310"/>
      <c r="N384" s="1310"/>
      <c r="O384" s="1311"/>
      <c r="P384" s="1312">
        <f ca="1">+(Y384)</f>
        <v>0</v>
      </c>
      <c r="Q384" s="1306">
        <f ca="1">+J384+G384</f>
        <v>0</v>
      </c>
      <c r="R384" s="1306">
        <f ca="1">+K384+H384</f>
        <v>0</v>
      </c>
      <c r="S384" s="1307">
        <f ca="1">+P384+I384</f>
        <v>0</v>
      </c>
      <c r="U384" s="800">
        <f ca="1">'Compra -HOJA1'!G24</f>
        <v>0</v>
      </c>
      <c r="V384" s="800">
        <f ca="1">'Compra -HOJA1'!H24</f>
        <v>0</v>
      </c>
      <c r="W384" s="800">
        <f ca="1">'Compra -HOJA1'!I24</f>
        <v>0</v>
      </c>
      <c r="X384" s="800">
        <f ca="1">+'Compra -HOJA1'!L24</f>
        <v>0</v>
      </c>
      <c r="Y384" s="800">
        <f ca="1">+'Compra -HOJA1'!M24</f>
        <v>0</v>
      </c>
      <c r="Z384" s="800">
        <f ca="1">+'Compra -HOJA1'!N24</f>
        <v>0</v>
      </c>
      <c r="AA384" s="800">
        <f ca="1">+'Compra -HOJA1'!O24</f>
        <v>0</v>
      </c>
      <c r="AB384" s="800">
        <f ca="1">+'Compra -HOJA1'!P24</f>
        <v>0</v>
      </c>
      <c r="AC384" s="800">
        <f ca="1">+'Compra -HOJA1'!Q24</f>
        <v>0</v>
      </c>
    </row>
    <row r="385" spans="1:29" ht="23.25" customHeight="1" x14ac:dyDescent="0.35">
      <c r="A385" s="1303" t="s">
        <v>24</v>
      </c>
      <c r="B385" s="1294"/>
      <c r="C385" s="1280"/>
      <c r="D385" s="1392">
        <f>'Compra -HOJA1'!K27</f>
        <v>0</v>
      </c>
      <c r="E385" s="1304"/>
      <c r="F385" s="33">
        <f ca="1">'Compra -HOJA1'!J27</f>
        <v>0</v>
      </c>
      <c r="G385" s="1310">
        <f ca="1">+(U385)</f>
        <v>0</v>
      </c>
      <c r="H385" s="1310">
        <f ca="1">+(W385)</f>
        <v>0</v>
      </c>
      <c r="I385" s="1310">
        <f ca="1">+(V385)</f>
        <v>0</v>
      </c>
      <c r="J385" s="1310">
        <f ca="1">+(X385)</f>
        <v>0</v>
      </c>
      <c r="K385" s="1310">
        <f ca="1">+(Z385)</f>
        <v>0</v>
      </c>
      <c r="L385" s="1310"/>
      <c r="M385" s="1310"/>
      <c r="N385" s="1310"/>
      <c r="O385" s="1311"/>
      <c r="P385" s="1312">
        <f ca="1">+(Y385)</f>
        <v>0</v>
      </c>
      <c r="Q385" s="1306">
        <f ca="1">+J385+G385</f>
        <v>0</v>
      </c>
      <c r="R385" s="1306">
        <f ca="1">+K385+H385</f>
        <v>0</v>
      </c>
      <c r="S385" s="1307">
        <f ca="1">+P385+I385</f>
        <v>0</v>
      </c>
      <c r="U385" s="800">
        <f ca="1">+'Compra -HOJA1'!G27</f>
        <v>0</v>
      </c>
      <c r="V385" s="800">
        <f ca="1">+'Compra -HOJA1'!H27</f>
        <v>0</v>
      </c>
      <c r="W385" s="800">
        <f ca="1">+'Compra -HOJA1'!I27</f>
        <v>0</v>
      </c>
      <c r="X385" s="800">
        <f ca="1">'Compra -HOJA1'!L27</f>
        <v>0</v>
      </c>
      <c r="Y385" s="800">
        <f ca="1">'Compra -HOJA1'!M27</f>
        <v>0</v>
      </c>
      <c r="Z385" s="800">
        <f ca="1">'Compra -HOJA1'!N27</f>
        <v>0</v>
      </c>
      <c r="AA385" s="800">
        <f ca="1">'Compra -HOJA1'!O27</f>
        <v>0</v>
      </c>
      <c r="AB385" s="800">
        <f ca="1">'Compra -HOJA1'!P27</f>
        <v>0</v>
      </c>
      <c r="AC385" s="800">
        <f ca="1">'Compra -HOJA1'!Q27</f>
        <v>0</v>
      </c>
    </row>
    <row r="386" spans="1:29" ht="23.25" customHeight="1" x14ac:dyDescent="0.4">
      <c r="A386" s="1393" t="s">
        <v>471</v>
      </c>
      <c r="B386" s="1394"/>
      <c r="C386" s="1395"/>
      <c r="D386" s="1396">
        <f>SUM(D384:D385)</f>
        <v>0</v>
      </c>
      <c r="E386" s="1397"/>
      <c r="F386" s="1308">
        <f t="shared" ref="F386:P386" ca="1" si="205">SUM(F384:F385)</f>
        <v>0</v>
      </c>
      <c r="G386" s="1308">
        <f t="shared" ca="1" si="205"/>
        <v>0</v>
      </c>
      <c r="H386" s="1308">
        <f t="shared" ca="1" si="205"/>
        <v>0</v>
      </c>
      <c r="I386" s="1308">
        <f t="shared" ca="1" si="205"/>
        <v>0</v>
      </c>
      <c r="J386" s="1308">
        <f t="shared" ca="1" si="205"/>
        <v>0</v>
      </c>
      <c r="K386" s="1308">
        <f t="shared" ca="1" si="205"/>
        <v>0</v>
      </c>
      <c r="L386" s="1308"/>
      <c r="M386" s="1308"/>
      <c r="N386" s="1308"/>
      <c r="O386" s="1256"/>
      <c r="P386" s="1309">
        <f t="shared" ca="1" si="205"/>
        <v>0</v>
      </c>
      <c r="Q386" s="1309">
        <f ca="1">SUM(Q384:Q385)</f>
        <v>0</v>
      </c>
      <c r="R386" s="1309">
        <f ca="1">SUM(R384:R385)</f>
        <v>0</v>
      </c>
      <c r="S386" s="1308">
        <f ca="1">SUM(S384:S385)</f>
        <v>0</v>
      </c>
      <c r="U386" s="814"/>
      <c r="V386" s="800"/>
      <c r="W386" s="800"/>
      <c r="X386" s="800"/>
      <c r="Y386" s="800"/>
      <c r="Z386" s="800"/>
      <c r="AA386" s="800"/>
      <c r="AB386" s="800"/>
      <c r="AC386" s="800"/>
    </row>
    <row r="387" spans="1:29" s="606" customFormat="1" ht="23.25" customHeight="1" x14ac:dyDescent="0.4">
      <c r="A387" s="1398"/>
      <c r="B387" s="1399"/>
      <c r="C387" s="1400"/>
      <c r="D387" s="1401"/>
      <c r="E387" s="1402"/>
      <c r="F387" s="1142"/>
      <c r="G387" s="1403">
        <f ca="1">+'Compra -HOJA1'!G29</f>
        <v>0</v>
      </c>
      <c r="H387" s="1403">
        <f ca="1">+'Compra -HOJA1'!H29</f>
        <v>0</v>
      </c>
      <c r="I387" s="1403">
        <f ca="1">+'Compra -HOJA1'!I29</f>
        <v>0</v>
      </c>
      <c r="J387" s="1403">
        <f ca="1">+'Compra -HOJA1'!L29</f>
        <v>0</v>
      </c>
      <c r="K387" s="1403">
        <f ca="1">+'Compra -HOJA1'!M29</f>
        <v>0</v>
      </c>
      <c r="L387" s="1403"/>
      <c r="M387" s="1403"/>
      <c r="N387" s="1403"/>
      <c r="O387" s="1404"/>
      <c r="P387" s="1405">
        <f ca="1">+'Compra -HOJA1'!N29</f>
        <v>0</v>
      </c>
      <c r="Q387" s="1405"/>
      <c r="R387" s="1405"/>
      <c r="S387" s="1403"/>
      <c r="U387" s="1406"/>
      <c r="V387" s="1380"/>
      <c r="W387" s="1380"/>
      <c r="X387" s="1380"/>
      <c r="Y387" s="1380"/>
      <c r="Z387" s="1380"/>
      <c r="AA387" s="1380"/>
      <c r="AB387" s="1380"/>
      <c r="AC387" s="1380"/>
    </row>
    <row r="388" spans="1:29" ht="23.25" customHeight="1" x14ac:dyDescent="0.4">
      <c r="B388" s="537" t="s">
        <v>429</v>
      </c>
      <c r="C388" s="908"/>
      <c r="G388" s="1310" t="e">
        <f>+(U388)</f>
        <v>#REF!</v>
      </c>
      <c r="H388" s="1310" t="e">
        <f>+(W388)</f>
        <v>#REF!</v>
      </c>
      <c r="I388" s="1310" t="e">
        <f>+(V388)</f>
        <v>#REF!</v>
      </c>
      <c r="J388" s="1310" t="e">
        <f>+(X388)</f>
        <v>#REF!</v>
      </c>
      <c r="K388" s="1310" t="e">
        <f>+(Z388)</f>
        <v>#REF!</v>
      </c>
      <c r="L388" s="1310"/>
      <c r="M388" s="1310"/>
      <c r="N388" s="1310"/>
      <c r="O388" s="1311"/>
      <c r="P388" s="1312" t="e">
        <f>+(Y388)</f>
        <v>#REF!</v>
      </c>
      <c r="Q388" s="1306" t="e">
        <f>+J388+G388</f>
        <v>#REF!</v>
      </c>
      <c r="R388" s="1306" t="e">
        <f>+K388+H388</f>
        <v>#REF!</v>
      </c>
      <c r="S388" s="1307" t="e">
        <f>+P388+I388</f>
        <v>#REF!</v>
      </c>
      <c r="U388" s="800" t="e">
        <f>+'Compra -HOJA1'!#REF!</f>
        <v>#REF!</v>
      </c>
      <c r="V388" s="800" t="e">
        <f>+'Compra -HOJA1'!#REF!</f>
        <v>#REF!</v>
      </c>
      <c r="W388" s="800" t="e">
        <f>+'Compra -HOJA1'!#REF!</f>
        <v>#REF!</v>
      </c>
      <c r="X388" s="800" t="e">
        <f>+'Compra -HOJA1'!#REF!</f>
        <v>#REF!</v>
      </c>
      <c r="Y388" s="800" t="e">
        <f>+'Compra -HOJA1'!#REF!</f>
        <v>#REF!</v>
      </c>
      <c r="Z388" s="800" t="e">
        <f>+'Compra -HOJA1'!#REF!</f>
        <v>#REF!</v>
      </c>
      <c r="AA388" s="800" t="e">
        <f>+'Compra -HOJA1'!#REF!</f>
        <v>#REF!</v>
      </c>
      <c r="AB388" s="800" t="e">
        <f>+'Compra -HOJA1'!#REF!</f>
        <v>#REF!</v>
      </c>
      <c r="AC388" s="800" t="e">
        <f>+'Compra -HOJA1'!#REF!</f>
        <v>#REF!</v>
      </c>
    </row>
    <row r="389" spans="1:29" ht="23.25" customHeight="1" x14ac:dyDescent="0.4">
      <c r="A389" s="966"/>
      <c r="B389" s="537" t="s">
        <v>430</v>
      </c>
      <c r="C389" s="963"/>
      <c r="D389" s="964"/>
      <c r="E389" s="965"/>
      <c r="F389" s="966"/>
      <c r="G389" s="1310">
        <f>+(U389)</f>
        <v>0</v>
      </c>
      <c r="H389" s="1310">
        <f>+(W389)</f>
        <v>0</v>
      </c>
      <c r="I389" s="1310">
        <f>+(V389)</f>
        <v>0</v>
      </c>
      <c r="J389" s="1310"/>
      <c r="K389" s="1310"/>
      <c r="L389" s="1310"/>
      <c r="M389" s="1310"/>
      <c r="N389" s="1310"/>
      <c r="O389" s="1311"/>
      <c r="P389" s="1312"/>
      <c r="Q389" s="1306">
        <f>+J389+G389</f>
        <v>0</v>
      </c>
      <c r="R389" s="1306">
        <f>+K389+H389</f>
        <v>0</v>
      </c>
      <c r="S389" s="1307">
        <f>+P389+I389</f>
        <v>0</v>
      </c>
      <c r="T389" s="966"/>
      <c r="U389" s="962">
        <f>'Compra -HOJA1'!G14</f>
        <v>0</v>
      </c>
      <c r="V389" s="962">
        <f>'Compra -HOJA1'!H14</f>
        <v>0</v>
      </c>
      <c r="W389" s="962">
        <f>'Compra -HOJA1'!I14</f>
        <v>0</v>
      </c>
      <c r="X389" s="800"/>
      <c r="Y389" s="800"/>
      <c r="Z389" s="800"/>
      <c r="AA389" s="800"/>
      <c r="AB389" s="800"/>
      <c r="AC389" s="800"/>
    </row>
    <row r="390" spans="1:29" ht="23.25" customHeight="1" x14ac:dyDescent="0.35">
      <c r="A390" s="1313"/>
      <c r="B390" s="5377" t="s">
        <v>460</v>
      </c>
      <c r="C390" s="5377"/>
      <c r="D390" s="5377"/>
      <c r="E390" s="5377"/>
      <c r="F390" s="5377"/>
      <c r="G390" s="1314" t="e">
        <f t="shared" ref="G390:P390" si="206">SUM(G388:G389)</f>
        <v>#REF!</v>
      </c>
      <c r="H390" s="1314" t="e">
        <f t="shared" si="206"/>
        <v>#REF!</v>
      </c>
      <c r="I390" s="1314" t="e">
        <f t="shared" si="206"/>
        <v>#REF!</v>
      </c>
      <c r="J390" s="1314" t="e">
        <f t="shared" si="206"/>
        <v>#REF!</v>
      </c>
      <c r="K390" s="1314" t="e">
        <f t="shared" si="206"/>
        <v>#REF!</v>
      </c>
      <c r="L390" s="1314"/>
      <c r="M390" s="1314"/>
      <c r="N390" s="1314"/>
      <c r="O390" s="1315"/>
      <c r="P390" s="1316" t="e">
        <f t="shared" si="206"/>
        <v>#REF!</v>
      </c>
      <c r="Q390" s="1316" t="e">
        <f>SUM(Q388:Q389)</f>
        <v>#REF!</v>
      </c>
      <c r="R390" s="1316" t="e">
        <f>SUM(R388:R389)</f>
        <v>#REF!</v>
      </c>
      <c r="S390" s="1314" t="e">
        <f>SUM(S388:S389)</f>
        <v>#REF!</v>
      </c>
      <c r="U390" s="800"/>
      <c r="V390" s="800"/>
      <c r="W390" s="800"/>
      <c r="X390" s="800"/>
      <c r="Y390" s="800"/>
      <c r="Z390" s="800"/>
      <c r="AA390" s="800"/>
      <c r="AB390" s="800"/>
      <c r="AC390" s="800"/>
    </row>
    <row r="391" spans="1:29" ht="23.25" customHeight="1" x14ac:dyDescent="0.35">
      <c r="A391" s="556"/>
      <c r="B391" s="1317"/>
      <c r="C391" s="1318"/>
      <c r="G391" s="5371" t="s">
        <v>304</v>
      </c>
      <c r="H391" s="5371"/>
      <c r="I391" s="5371"/>
      <c r="J391" s="5371" t="s">
        <v>453</v>
      </c>
      <c r="K391" s="5371"/>
      <c r="L391" s="5371"/>
      <c r="M391" s="5371"/>
      <c r="N391" s="5371"/>
      <c r="O391" s="5371"/>
      <c r="P391" s="5371"/>
      <c r="Q391" s="5376" t="s">
        <v>449</v>
      </c>
      <c r="R391" s="5376"/>
      <c r="S391" s="5376"/>
      <c r="U391" s="800"/>
      <c r="V391" s="800"/>
      <c r="W391" s="800"/>
      <c r="X391" s="800"/>
      <c r="Y391" s="800"/>
      <c r="Z391" s="800"/>
      <c r="AA391" s="800"/>
      <c r="AB391" s="800"/>
      <c r="AC391" s="800"/>
    </row>
    <row r="392" spans="1:29" ht="23.25" customHeight="1" x14ac:dyDescent="0.35">
      <c r="A392" s="556"/>
      <c r="B392" s="1317"/>
      <c r="C392" s="1318"/>
      <c r="G392" s="1320" t="s">
        <v>287</v>
      </c>
      <c r="H392" s="1320" t="s">
        <v>450</v>
      </c>
      <c r="I392" s="1320" t="s">
        <v>288</v>
      </c>
      <c r="J392" s="1319" t="s">
        <v>287</v>
      </c>
      <c r="K392" s="1319" t="s">
        <v>450</v>
      </c>
      <c r="L392" s="1319"/>
      <c r="M392" s="1319"/>
      <c r="N392" s="1319"/>
      <c r="O392" s="1321"/>
      <c r="P392" s="1272" t="s">
        <v>288</v>
      </c>
      <c r="Q392" s="979" t="s">
        <v>287</v>
      </c>
      <c r="R392" s="979" t="s">
        <v>289</v>
      </c>
      <c r="S392" s="261" t="s">
        <v>288</v>
      </c>
      <c r="U392" s="1367" t="e">
        <f t="shared" ref="U392:Z392" si="207">+U372+U363+U355</f>
        <v>#REF!</v>
      </c>
      <c r="V392" s="1367" t="e">
        <f t="shared" si="207"/>
        <v>#REF!</v>
      </c>
      <c r="W392" s="1367" t="e">
        <f t="shared" si="207"/>
        <v>#REF!</v>
      </c>
      <c r="X392" s="1367" t="e">
        <f t="shared" ca="1" si="207"/>
        <v>#REF!</v>
      </c>
      <c r="Y392" s="1367" t="e">
        <f t="shared" ca="1" si="207"/>
        <v>#REF!</v>
      </c>
      <c r="Z392" s="1367" t="e">
        <f t="shared" ca="1" si="207"/>
        <v>#REF!</v>
      </c>
      <c r="AA392" s="800"/>
      <c r="AB392" s="800"/>
      <c r="AC392" s="800"/>
    </row>
    <row r="393" spans="1:29" ht="23.25" customHeight="1" x14ac:dyDescent="0.35">
      <c r="A393" s="5372" t="s">
        <v>431</v>
      </c>
      <c r="B393" s="5372"/>
      <c r="C393" s="5372"/>
      <c r="D393" s="5372"/>
      <c r="E393" s="5372"/>
      <c r="F393" s="5378"/>
      <c r="G393" s="1322" t="e">
        <f ca="1">+F355+G364+G374+G386+G390</f>
        <v>#REF!</v>
      </c>
      <c r="H393" s="1322" t="e">
        <f ca="1">+G355+H364+H374+H386+H390</f>
        <v>#REF!</v>
      </c>
      <c r="I393" s="1322" t="e">
        <f ca="1">+H355+I364+I374+I386+I390</f>
        <v>#REF!</v>
      </c>
      <c r="J393" s="1322" t="e">
        <f ca="1">+I355+J364+J374+J386+J390</f>
        <v>#REF!</v>
      </c>
      <c r="K393" s="1322" t="e">
        <f ca="1">+J355+K364+K374+K386+K390</f>
        <v>#REF!</v>
      </c>
      <c r="L393" s="1322"/>
      <c r="M393" s="1322"/>
      <c r="N393" s="1322"/>
      <c r="O393" s="1323"/>
      <c r="P393" s="1322" t="e">
        <f ca="1">+K355+P364+P374+P386+P390</f>
        <v>#REF!</v>
      </c>
      <c r="Q393" s="1322" t="e">
        <f ca="1">+G393+J393</f>
        <v>#REF!</v>
      </c>
      <c r="R393" s="1322" t="e">
        <f ca="1">+H393+K393</f>
        <v>#REF!</v>
      </c>
      <c r="S393" s="1322" t="e">
        <f ca="1">+I393+P393</f>
        <v>#REF!</v>
      </c>
      <c r="U393" s="800"/>
      <c r="V393" s="800"/>
      <c r="W393" s="800"/>
      <c r="X393" s="800"/>
      <c r="Y393" s="800"/>
      <c r="Z393" s="800"/>
      <c r="AA393" s="800"/>
      <c r="AB393" s="800"/>
      <c r="AC393" s="800"/>
    </row>
    <row r="394" spans="1:29" ht="23.25" customHeight="1" x14ac:dyDescent="0.35">
      <c r="A394" s="1320"/>
      <c r="B394" s="1272"/>
      <c r="C394" s="1320"/>
      <c r="D394" s="1324"/>
      <c r="E394" s="1320"/>
      <c r="F394" s="1320"/>
      <c r="G394" s="5373" t="s">
        <v>449</v>
      </c>
      <c r="H394" s="5374"/>
      <c r="I394" s="5375"/>
      <c r="U394" s="1367" t="e">
        <f ca="1">+U392+X392</f>
        <v>#REF!</v>
      </c>
      <c r="V394" s="1367" t="e">
        <f ca="1">+V392+Y392</f>
        <v>#REF!</v>
      </c>
      <c r="W394" s="1367" t="e">
        <f ca="1">+W392+Z392</f>
        <v>#REF!</v>
      </c>
      <c r="X394" s="800"/>
      <c r="Y394" s="800"/>
      <c r="Z394" s="800"/>
      <c r="AA394" s="800"/>
      <c r="AB394" s="800"/>
      <c r="AC394" s="800"/>
    </row>
    <row r="395" spans="1:29" ht="23.25" customHeight="1" x14ac:dyDescent="0.35">
      <c r="A395" s="5372" t="s">
        <v>431</v>
      </c>
      <c r="B395" s="5372"/>
      <c r="C395" s="5372"/>
      <c r="D395" s="5372"/>
      <c r="E395" s="5372"/>
      <c r="F395" s="5372"/>
      <c r="G395" s="1325" t="e">
        <f ca="1">+G393+J393</f>
        <v>#REF!</v>
      </c>
      <c r="H395" s="1325" t="e">
        <f ca="1">+H393+K393</f>
        <v>#REF!</v>
      </c>
      <c r="I395" s="1325" t="e">
        <f ca="1">+I393+P393</f>
        <v>#REF!</v>
      </c>
      <c r="J395" s="1407" t="e">
        <f ca="1">+J393/G393</f>
        <v>#REF!</v>
      </c>
      <c r="K395" s="1407" t="e">
        <f ca="1">+K393/H393</f>
        <v>#REF!</v>
      </c>
      <c r="L395" s="25"/>
      <c r="M395" s="25"/>
      <c r="N395" s="25"/>
      <c r="P395" s="1295">
        <v>574588</v>
      </c>
      <c r="U395" s="814">
        <f>+'Compra -HOJA1'!G10</f>
        <v>0</v>
      </c>
      <c r="V395" s="814">
        <f>+'Compra -HOJA1'!H10</f>
        <v>0</v>
      </c>
      <c r="W395" s="814">
        <f>+'Compra -HOJA1'!I10</f>
        <v>0</v>
      </c>
      <c r="X395" s="800"/>
      <c r="Y395" s="800"/>
      <c r="Z395" s="800"/>
      <c r="AA395" s="800"/>
      <c r="AB395" s="800"/>
      <c r="AC395" s="800"/>
    </row>
    <row r="396" spans="1:29" ht="23.25" customHeight="1" x14ac:dyDescent="0.35">
      <c r="A396" s="5372" t="s">
        <v>433</v>
      </c>
      <c r="B396" s="5372"/>
      <c r="C396" s="5372"/>
      <c r="D396" s="5372"/>
      <c r="E396" s="5372"/>
      <c r="F396" s="5372"/>
      <c r="G396" s="1408">
        <f>+'Compra -HOJA1'!G10</f>
        <v>0</v>
      </c>
      <c r="H396" s="1408">
        <f>+'Compra -HOJA1'!I10</f>
        <v>0</v>
      </c>
      <c r="I396" s="1408">
        <f>+'Compra -HOJA1'!H10</f>
        <v>0</v>
      </c>
      <c r="J396" s="25"/>
      <c r="K396" s="25"/>
      <c r="L396" s="25"/>
      <c r="M396" s="25"/>
      <c r="N396" s="25"/>
      <c r="P396" s="1295" t="e">
        <f ca="1">+I395-P395</f>
        <v>#REF!</v>
      </c>
      <c r="U396" s="814" t="e">
        <f ca="1">+U394-U395</f>
        <v>#REF!</v>
      </c>
      <c r="V396" s="814" t="e">
        <f ca="1">+V394-V395</f>
        <v>#REF!</v>
      </c>
      <c r="W396" s="814" t="e">
        <f ca="1">+W394-W395</f>
        <v>#REF!</v>
      </c>
      <c r="X396" s="800"/>
      <c r="Y396" s="800"/>
      <c r="Z396" s="800"/>
      <c r="AA396" s="800"/>
      <c r="AB396" s="800"/>
      <c r="AC396" s="800"/>
    </row>
    <row r="397" spans="1:29" ht="23.25" customHeight="1" x14ac:dyDescent="0.35">
      <c r="A397" s="1327"/>
      <c r="B397" s="1328"/>
      <c r="C397" s="1329"/>
      <c r="U397" s="800"/>
      <c r="V397" s="800"/>
      <c r="W397" s="800"/>
      <c r="X397" s="800"/>
      <c r="Y397" s="800"/>
      <c r="Z397" s="800"/>
      <c r="AA397" s="800"/>
      <c r="AB397" s="800"/>
      <c r="AC397" s="800"/>
    </row>
    <row r="398" spans="1:29" ht="23.25" customHeight="1" x14ac:dyDescent="0.35">
      <c r="A398" s="1327"/>
      <c r="B398" s="1328"/>
      <c r="C398" s="1329"/>
      <c r="D398" s="542" t="s">
        <v>435</v>
      </c>
      <c r="G398" s="25" t="e">
        <f ca="1">IF((G396-G395)=0,"O.K.","VERIFICAR¨")</f>
        <v>#REF!</v>
      </c>
      <c r="H398" s="25" t="e">
        <f ca="1">IF((H396-H395)=0,"O.K.","VERIFICAR¨")</f>
        <v>#REF!</v>
      </c>
      <c r="I398" s="25" t="e">
        <f ca="1">IF((I396-I395)=0,"O.K.","VERIFICAR¨")</f>
        <v>#REF!</v>
      </c>
      <c r="U398" s="800"/>
      <c r="V398" s="800"/>
      <c r="W398" s="800"/>
      <c r="X398" s="800"/>
      <c r="Y398" s="800"/>
      <c r="Z398" s="800"/>
      <c r="AA398" s="800"/>
      <c r="AB398" s="800"/>
      <c r="AC398" s="800"/>
    </row>
    <row r="399" spans="1:29" ht="41.25" customHeight="1" x14ac:dyDescent="0.45">
      <c r="A399" s="1330"/>
      <c r="B399" s="1331"/>
      <c r="C399" s="1332"/>
      <c r="G399" s="1409" t="e">
        <f ca="1">+G396-G395</f>
        <v>#REF!</v>
      </c>
      <c r="H399" s="1409" t="e">
        <f ca="1">+H396-H395</f>
        <v>#REF!</v>
      </c>
      <c r="I399" s="1409" t="e">
        <f ca="1">+I396-I395</f>
        <v>#REF!</v>
      </c>
      <c r="T399" s="1410" t="s">
        <v>157</v>
      </c>
      <c r="U399" s="1411">
        <v>156746.49797894555</v>
      </c>
      <c r="V399" s="1411">
        <v>309925.00195551571</v>
      </c>
      <c r="W399" s="1411">
        <v>119409.50006553871</v>
      </c>
      <c r="X399" s="1412">
        <v>10627.412562972509</v>
      </c>
      <c r="Y399" s="1412">
        <v>21012.915132583963</v>
      </c>
      <c r="Z399" s="1412">
        <v>8095.9641044435248</v>
      </c>
      <c r="AA399" s="1411">
        <f>SUM(U399:Z399)</f>
        <v>625817.29180000001</v>
      </c>
      <c r="AB399" s="800">
        <v>330937.91708809964</v>
      </c>
      <c r="AC399" s="800">
        <v>127505.46416998224</v>
      </c>
    </row>
    <row r="400" spans="1:29" ht="35.1" customHeight="1" x14ac:dyDescent="0.45">
      <c r="A400" s="1330"/>
      <c r="B400" s="1331"/>
      <c r="C400" s="1332"/>
      <c r="G400" s="25"/>
      <c r="H400" s="25"/>
      <c r="I400" s="25"/>
      <c r="T400" s="1410" t="s">
        <v>158</v>
      </c>
      <c r="U400" s="1411">
        <v>132079.20000000001</v>
      </c>
      <c r="V400" s="1411">
        <v>48028.799999999996</v>
      </c>
      <c r="W400" s="1411">
        <v>220132.00000000003</v>
      </c>
      <c r="X400" s="1412">
        <v>8954.96976</v>
      </c>
      <c r="Y400" s="1412">
        <v>3256.3526399999996</v>
      </c>
      <c r="Z400" s="1412">
        <v>14924.949600000002</v>
      </c>
      <c r="AA400" s="1411">
        <f>SUM(U400:Z400)</f>
        <v>427376.272</v>
      </c>
      <c r="AB400" s="800">
        <v>51285.152639999993</v>
      </c>
      <c r="AC400" s="800">
        <v>235056.94960000002</v>
      </c>
    </row>
    <row r="401" spans="1:29" ht="23.25" customHeight="1" x14ac:dyDescent="0.45">
      <c r="A401" s="1330"/>
      <c r="B401" s="1331"/>
      <c r="C401" s="1332"/>
      <c r="G401" s="25"/>
      <c r="H401" s="25"/>
      <c r="I401" s="25"/>
      <c r="T401" s="1410" t="s">
        <v>21</v>
      </c>
      <c r="U401" s="1413">
        <f>+'Compra -HOJA1'!I379</f>
        <v>0</v>
      </c>
      <c r="V401" s="1413">
        <f>+'Compra -HOJA1'!J379</f>
        <v>0</v>
      </c>
      <c r="W401" s="1413">
        <f>+'Compra -HOJA1'!K379</f>
        <v>0</v>
      </c>
      <c r="X401" s="1414">
        <f ca="1">+'Compra -HOJA1'!L379</f>
        <v>0</v>
      </c>
      <c r="Y401" s="1414">
        <f ca="1">+'Compra -HOJA1'!M379</f>
        <v>0</v>
      </c>
      <c r="Z401" s="1414">
        <f ca="1">+'Compra -HOJA1'!N379</f>
        <v>0</v>
      </c>
      <c r="AA401" s="1411">
        <f ca="1">SUM(U401:Z401)</f>
        <v>0</v>
      </c>
      <c r="AB401" s="800"/>
      <c r="AC401" s="800"/>
    </row>
    <row r="402" spans="1:29" ht="23.25" customHeight="1" x14ac:dyDescent="0.45">
      <c r="D402" s="1415" t="s">
        <v>478</v>
      </c>
      <c r="E402" s="1416"/>
      <c r="F402" s="75"/>
      <c r="G402" s="75"/>
      <c r="H402" s="75"/>
      <c r="I402" s="75"/>
      <c r="T402" s="1410" t="s">
        <v>71</v>
      </c>
      <c r="U402" s="1413">
        <f>+'Compra -HOJA1'!I381</f>
        <v>0</v>
      </c>
      <c r="V402" s="1413">
        <f>+'Compra -HOJA1'!J381</f>
        <v>0</v>
      </c>
      <c r="W402" s="1413">
        <f>+'Compra -HOJA1'!K381</f>
        <v>0</v>
      </c>
      <c r="X402" s="1414">
        <f ca="1">+'Compra -HOJA1'!L381</f>
        <v>0</v>
      </c>
      <c r="Y402" s="1414">
        <f ca="1">+'Compra -HOJA1'!M381</f>
        <v>0</v>
      </c>
      <c r="Z402" s="1414">
        <f ca="1">+'Compra -HOJA1'!N381</f>
        <v>0</v>
      </c>
      <c r="AA402" s="1411">
        <f ca="1">SUM(U402:Z402)</f>
        <v>0</v>
      </c>
      <c r="AB402" s="800"/>
      <c r="AC402" s="800"/>
    </row>
    <row r="403" spans="1:29" ht="23.25" customHeight="1" x14ac:dyDescent="0.45">
      <c r="D403" s="1415"/>
      <c r="E403" s="1416"/>
      <c r="F403" s="75"/>
      <c r="G403" s="75"/>
      <c r="H403" s="75"/>
      <c r="I403" s="75"/>
      <c r="T403" s="1410">
        <v>5000</v>
      </c>
      <c r="U403" s="1413">
        <f>+SUM('Compra -HOJA1'!I290:I371)</f>
        <v>0</v>
      </c>
      <c r="V403" s="1413">
        <f>+SUM('Compra -HOJA1'!J290:J371)</f>
        <v>0</v>
      </c>
      <c r="W403" s="1413">
        <f>+SUM('Compra -HOJA1'!K290:K371)</f>
        <v>0</v>
      </c>
      <c r="X403" s="1414">
        <f ca="1">+SUM('Compra -HOJA1'!L290:L371)</f>
        <v>0</v>
      </c>
      <c r="Y403" s="1414">
        <f ca="1">+SUM('Compra -HOJA1'!M290:M371)</f>
        <v>0</v>
      </c>
      <c r="Z403" s="1414">
        <f ca="1">+SUM('Compra -HOJA1'!N290:N371)</f>
        <v>0</v>
      </c>
      <c r="AA403" s="1411">
        <f ca="1">SUM(U403:Z403)</f>
        <v>0</v>
      </c>
      <c r="AB403" s="800"/>
      <c r="AC403" s="800"/>
    </row>
    <row r="404" spans="1:29" ht="26.25" x14ac:dyDescent="0.4">
      <c r="A404" s="1327"/>
      <c r="B404" s="1328"/>
      <c r="C404" s="1329"/>
      <c r="D404" s="1415"/>
      <c r="E404" s="1416"/>
      <c r="F404" s="75"/>
      <c r="G404" s="75"/>
      <c r="H404" s="75"/>
      <c r="I404" s="75"/>
      <c r="AA404" s="1417">
        <f ca="1">SUM(AA399:AA403)</f>
        <v>1053193.5638000001</v>
      </c>
      <c r="AB404" s="814">
        <f>+'Compra -HOJA1'!F10</f>
        <v>0</v>
      </c>
      <c r="AC404" s="814">
        <f ca="1">+AA404-AB404</f>
        <v>1053193.5638000001</v>
      </c>
    </row>
    <row r="405" spans="1:29" x14ac:dyDescent="0.35">
      <c r="E405" s="9"/>
      <c r="AB405" s="800"/>
      <c r="AC405" s="800"/>
    </row>
    <row r="406" spans="1:29" ht="53.25" x14ac:dyDescent="0.35">
      <c r="A406" s="1291" t="s">
        <v>959</v>
      </c>
      <c r="B406" s="1267"/>
      <c r="C406" s="1268"/>
      <c r="E406" s="9"/>
      <c r="AB406" s="800"/>
      <c r="AC406" s="800"/>
    </row>
    <row r="407" spans="1:29" ht="33" x14ac:dyDescent="0.45">
      <c r="E407" s="9"/>
      <c r="T407" s="1410" t="s">
        <v>157</v>
      </c>
      <c r="U407" s="814">
        <f t="shared" ref="U407:Z407" si="208">+U363+U372</f>
        <v>0</v>
      </c>
      <c r="V407" s="814">
        <f t="shared" si="208"/>
        <v>0</v>
      </c>
      <c r="W407" s="814">
        <f t="shared" si="208"/>
        <v>0</v>
      </c>
      <c r="X407" s="1414">
        <f t="shared" si="208"/>
        <v>0</v>
      </c>
      <c r="Y407" s="1414">
        <f t="shared" si="208"/>
        <v>0</v>
      </c>
      <c r="Z407" s="1414">
        <f t="shared" si="208"/>
        <v>0</v>
      </c>
      <c r="AA407" s="833">
        <f>SUM(U407:Z407)</f>
        <v>0</v>
      </c>
    </row>
    <row r="408" spans="1:29" ht="33" x14ac:dyDescent="0.45">
      <c r="E408" s="9"/>
      <c r="T408" s="1410" t="s">
        <v>158</v>
      </c>
      <c r="U408" s="1367">
        <f t="shared" ref="U408:Z408" si="209">+U353</f>
        <v>0</v>
      </c>
      <c r="V408" s="1367">
        <f t="shared" si="209"/>
        <v>0</v>
      </c>
      <c r="W408" s="1367">
        <f t="shared" si="209"/>
        <v>0</v>
      </c>
      <c r="X408" s="1418">
        <f t="shared" si="209"/>
        <v>0</v>
      </c>
      <c r="Y408" s="1418">
        <f t="shared" si="209"/>
        <v>0</v>
      </c>
      <c r="Z408" s="1418">
        <f t="shared" si="209"/>
        <v>0</v>
      </c>
      <c r="AA408" s="833">
        <f>SUM(U408:Z408)</f>
        <v>0</v>
      </c>
    </row>
    <row r="409" spans="1:29" ht="33" x14ac:dyDescent="0.45">
      <c r="E409" s="9"/>
      <c r="T409" s="1410" t="s">
        <v>21</v>
      </c>
      <c r="U409" s="1419">
        <f t="shared" ref="U409:Z410" si="210">+U351</f>
        <v>0</v>
      </c>
      <c r="V409" s="1419">
        <f t="shared" si="210"/>
        <v>0</v>
      </c>
      <c r="W409" s="1419">
        <f t="shared" si="210"/>
        <v>0</v>
      </c>
      <c r="X409" s="1420">
        <f t="shared" ca="1" si="210"/>
        <v>0</v>
      </c>
      <c r="Y409" s="1420">
        <f t="shared" ca="1" si="210"/>
        <v>0</v>
      </c>
      <c r="Z409" s="1420">
        <f t="shared" ca="1" si="210"/>
        <v>0</v>
      </c>
      <c r="AA409" s="833">
        <f ca="1">SUM(U409:Z409)</f>
        <v>0</v>
      </c>
    </row>
    <row r="410" spans="1:29" ht="33" x14ac:dyDescent="0.45">
      <c r="E410" s="9"/>
      <c r="T410" s="1410" t="s">
        <v>71</v>
      </c>
      <c r="U410" s="1419">
        <f t="shared" si="210"/>
        <v>0</v>
      </c>
      <c r="V410" s="1419">
        <f t="shared" si="210"/>
        <v>0</v>
      </c>
      <c r="W410" s="1419">
        <f t="shared" si="210"/>
        <v>0</v>
      </c>
      <c r="X410" s="1420">
        <f t="shared" ca="1" si="210"/>
        <v>0</v>
      </c>
      <c r="Y410" s="1420">
        <f t="shared" ca="1" si="210"/>
        <v>0</v>
      </c>
      <c r="Z410" s="1420">
        <f t="shared" ca="1" si="210"/>
        <v>0</v>
      </c>
      <c r="AA410" s="833">
        <f ca="1">SUM(U410:Z410)</f>
        <v>0</v>
      </c>
    </row>
    <row r="411" spans="1:29" ht="33" x14ac:dyDescent="0.45">
      <c r="E411" s="9"/>
      <c r="T411" s="1410">
        <v>5000</v>
      </c>
      <c r="U411" s="1419" t="e">
        <f t="shared" ref="U411:Z411" si="211">+SUM(U300:U350)</f>
        <v>#REF!</v>
      </c>
      <c r="V411" s="1419" t="e">
        <f t="shared" si="211"/>
        <v>#REF!</v>
      </c>
      <c r="W411" s="1419" t="e">
        <f t="shared" si="211"/>
        <v>#REF!</v>
      </c>
      <c r="X411" s="1419" t="e">
        <f t="shared" ca="1" si="211"/>
        <v>#REF!</v>
      </c>
      <c r="Y411" s="1419" t="e">
        <f t="shared" ca="1" si="211"/>
        <v>#REF!</v>
      </c>
      <c r="Z411" s="1419" t="e">
        <f t="shared" ca="1" si="211"/>
        <v>#REF!</v>
      </c>
      <c r="AA411" s="833" t="e">
        <f>SUM(U411:Z411)</f>
        <v>#REF!</v>
      </c>
    </row>
    <row r="412" spans="1:29" ht="26.25" x14ac:dyDescent="0.4">
      <c r="E412" s="9"/>
      <c r="U412" s="1421" t="e">
        <f t="shared" ref="U412:Z412" si="212">SUM(U409:U411)</f>
        <v>#REF!</v>
      </c>
      <c r="V412" s="1421" t="e">
        <f t="shared" si="212"/>
        <v>#REF!</v>
      </c>
      <c r="W412" s="1421" t="e">
        <f t="shared" si="212"/>
        <v>#REF!</v>
      </c>
      <c r="X412" s="1421" t="e">
        <f t="shared" ca="1" si="212"/>
        <v>#REF!</v>
      </c>
      <c r="Y412" s="1421" t="e">
        <f t="shared" ca="1" si="212"/>
        <v>#REF!</v>
      </c>
      <c r="Z412" s="1421" t="e">
        <f t="shared" ca="1" si="212"/>
        <v>#REF!</v>
      </c>
      <c r="AA412" s="833" t="e">
        <f ca="1">SUM(AA407:AA411)</f>
        <v>#REF!</v>
      </c>
      <c r="AB412" s="814">
        <f>+AB404</f>
        <v>0</v>
      </c>
      <c r="AC412" s="814" t="e">
        <f ca="1">+AA412-AB412</f>
        <v>#REF!</v>
      </c>
    </row>
    <row r="413" spans="1:29" x14ac:dyDescent="0.35">
      <c r="E413" s="9"/>
    </row>
    <row r="414" spans="1:29" ht="30" x14ac:dyDescent="0.4">
      <c r="E414" s="9"/>
      <c r="T414" s="5356" t="s">
        <v>480</v>
      </c>
      <c r="U414" s="5356"/>
      <c r="V414" s="5356"/>
      <c r="W414" s="5356"/>
      <c r="X414" s="5356"/>
      <c r="Y414" s="5356"/>
      <c r="Z414" s="5356"/>
      <c r="AA414" s="5356"/>
    </row>
    <row r="415" spans="1:29" ht="27.75" x14ac:dyDescent="0.4">
      <c r="E415" s="9"/>
      <c r="T415" s="807" t="s">
        <v>157</v>
      </c>
      <c r="U415" s="814">
        <f>+'Compra -HOJA1'!H75</f>
        <v>0</v>
      </c>
      <c r="V415" s="814">
        <f>+'Compra -HOJA1'!I75</f>
        <v>0</v>
      </c>
      <c r="W415" s="814">
        <f>+'Compra -HOJA1'!J75</f>
        <v>0</v>
      </c>
      <c r="X415" s="814">
        <f>+'Compra -HOJA1'!K75</f>
        <v>0</v>
      </c>
      <c r="Y415" s="814">
        <f>+'Compra -HOJA1'!L75</f>
        <v>0</v>
      </c>
      <c r="Z415" s="814">
        <f>+'Compra -HOJA1'!M75</f>
        <v>0</v>
      </c>
    </row>
    <row r="416" spans="1:29" ht="27.75" x14ac:dyDescent="0.4">
      <c r="E416" s="9"/>
      <c r="T416" s="807" t="s">
        <v>158</v>
      </c>
      <c r="U416" s="814">
        <f>+'Compra -HOJA1'!H76</f>
        <v>0</v>
      </c>
      <c r="V416" s="814">
        <f>+'Compra -HOJA1'!I76</f>
        <v>0</v>
      </c>
      <c r="W416" s="814">
        <f>+'Compra -HOJA1'!J76</f>
        <v>0</v>
      </c>
      <c r="X416" s="814">
        <f>+'Compra -HOJA1'!K76</f>
        <v>0</v>
      </c>
      <c r="Y416" s="814">
        <f>+'Compra -HOJA1'!L76</f>
        <v>0</v>
      </c>
      <c r="Z416" s="814">
        <f>+'Compra -HOJA1'!M76</f>
        <v>0</v>
      </c>
    </row>
    <row r="417" spans="3:27" ht="27.75" x14ac:dyDescent="0.4">
      <c r="E417" s="9"/>
      <c r="T417" s="807" t="s">
        <v>481</v>
      </c>
      <c r="U417" s="814">
        <f ca="1">+'Compra -HOJA1'!I392</f>
        <v>0</v>
      </c>
      <c r="V417" s="814">
        <f ca="1">+'Compra -HOJA1'!J392</f>
        <v>0</v>
      </c>
      <c r="W417" s="814">
        <f ca="1">+'Compra -HOJA1'!K392</f>
        <v>0</v>
      </c>
      <c r="X417" s="814">
        <f ca="1">+'Compra -HOJA1'!L392</f>
        <v>0</v>
      </c>
      <c r="Y417" s="814">
        <f ca="1">+'Compra -HOJA1'!M392</f>
        <v>0</v>
      </c>
      <c r="Z417" s="814">
        <f ca="1">+'Compra -HOJA1'!N392</f>
        <v>0</v>
      </c>
    </row>
    <row r="418" spans="3:27" ht="30" x14ac:dyDescent="0.4">
      <c r="E418" s="9"/>
      <c r="U418" s="1422">
        <f t="shared" ref="U418:Z418" ca="1" si="213">SUM(U415:U417)</f>
        <v>0</v>
      </c>
      <c r="V418" s="1422">
        <f t="shared" ca="1" si="213"/>
        <v>0</v>
      </c>
      <c r="W418" s="1422">
        <f t="shared" ca="1" si="213"/>
        <v>0</v>
      </c>
      <c r="X418" s="1422">
        <f t="shared" ca="1" si="213"/>
        <v>0</v>
      </c>
      <c r="Y418" s="1422">
        <f t="shared" ca="1" si="213"/>
        <v>0</v>
      </c>
      <c r="Z418" s="1422">
        <f t="shared" ca="1" si="213"/>
        <v>0</v>
      </c>
    </row>
    <row r="419" spans="3:27" x14ac:dyDescent="0.35">
      <c r="E419" s="9"/>
    </row>
    <row r="420" spans="3:27" ht="30" x14ac:dyDescent="0.4">
      <c r="E420" s="9"/>
      <c r="U420" s="1423">
        <f ca="1">+U418+X418</f>
        <v>0</v>
      </c>
      <c r="V420" s="1423">
        <f ca="1">+V418+Y418</f>
        <v>0</v>
      </c>
      <c r="W420" s="1423">
        <f ca="1">+W418+Z418</f>
        <v>0</v>
      </c>
      <c r="X420" s="1424" t="e">
        <f ca="1">+X412-X417</f>
        <v>#REF!</v>
      </c>
      <c r="Y420" s="1424" t="e">
        <f ca="1">+Y412-Y417</f>
        <v>#REF!</v>
      </c>
      <c r="Z420" s="1424" t="e">
        <f ca="1">+Z412-Z417</f>
        <v>#REF!</v>
      </c>
      <c r="AA420" s="25" t="e">
        <f ca="1">SUM(X420:Z420)</f>
        <v>#REF!</v>
      </c>
    </row>
    <row r="421" spans="3:27" ht="27" x14ac:dyDescent="0.35">
      <c r="C421" s="9"/>
      <c r="E421" s="9"/>
      <c r="U421" s="1425">
        <f>+'Compra -HOJA1'!G10</f>
        <v>0</v>
      </c>
      <c r="V421" s="1425">
        <f>+'Compra -HOJA1'!H10</f>
        <v>0</v>
      </c>
      <c r="W421" s="1425">
        <f>+'Compra -HOJA1'!I10</f>
        <v>0</v>
      </c>
    </row>
    <row r="422" spans="3:27" x14ac:dyDescent="0.35">
      <c r="C422" s="9"/>
      <c r="E422" s="9"/>
    </row>
    <row r="423" spans="3:27" x14ac:dyDescent="0.35">
      <c r="C423" s="9"/>
      <c r="E423" s="9"/>
    </row>
    <row r="424" spans="3:27" x14ac:dyDescent="0.35">
      <c r="C424" s="9"/>
      <c r="E424" s="9"/>
    </row>
    <row r="425" spans="3:27" x14ac:dyDescent="0.35">
      <c r="C425" s="9"/>
      <c r="E425" s="9"/>
    </row>
    <row r="426" spans="3:27" x14ac:dyDescent="0.35">
      <c r="C426" s="9"/>
      <c r="E426" s="9"/>
    </row>
    <row r="427" spans="3:27" x14ac:dyDescent="0.35">
      <c r="C427" s="9"/>
      <c r="E427" s="9"/>
    </row>
    <row r="428" spans="3:27" x14ac:dyDescent="0.35">
      <c r="C428" s="9"/>
      <c r="E428" s="9"/>
    </row>
    <row r="429" spans="3:27" x14ac:dyDescent="0.35">
      <c r="C429" s="9"/>
      <c r="E429" s="9"/>
    </row>
    <row r="430" spans="3:27" x14ac:dyDescent="0.35">
      <c r="C430" s="9"/>
      <c r="E430" s="9"/>
    </row>
    <row r="431" spans="3:27" x14ac:dyDescent="0.35">
      <c r="C431" s="9"/>
      <c r="E431" s="9"/>
    </row>
    <row r="432" spans="3:27" x14ac:dyDescent="0.35">
      <c r="C432" s="9"/>
      <c r="E432" s="9"/>
    </row>
    <row r="433" spans="3:5" x14ac:dyDescent="0.35">
      <c r="C433" s="9"/>
      <c r="E433" s="9"/>
    </row>
    <row r="434" spans="3:5" x14ac:dyDescent="0.35">
      <c r="C434" s="9"/>
      <c r="E434" s="9"/>
    </row>
    <row r="435" spans="3:5" x14ac:dyDescent="0.35">
      <c r="C435" s="9"/>
      <c r="E435" s="9"/>
    </row>
    <row r="436" spans="3:5" x14ac:dyDescent="0.35">
      <c r="C436" s="9"/>
      <c r="E436" s="9"/>
    </row>
    <row r="437" spans="3:5" x14ac:dyDescent="0.35">
      <c r="C437" s="9"/>
      <c r="E437" s="9"/>
    </row>
    <row r="438" spans="3:5" x14ac:dyDescent="0.35">
      <c r="C438" s="9"/>
      <c r="E438" s="9"/>
    </row>
    <row r="439" spans="3:5" x14ac:dyDescent="0.35">
      <c r="C439" s="9"/>
      <c r="E439" s="9"/>
    </row>
    <row r="440" spans="3:5" x14ac:dyDescent="0.35">
      <c r="C440" s="9"/>
      <c r="E440" s="9"/>
    </row>
    <row r="441" spans="3:5" x14ac:dyDescent="0.35">
      <c r="C441" s="9"/>
      <c r="E441" s="9"/>
    </row>
    <row r="442" spans="3:5" x14ac:dyDescent="0.35">
      <c r="C442" s="9"/>
      <c r="E442" s="9"/>
    </row>
    <row r="443" spans="3:5" x14ac:dyDescent="0.35">
      <c r="C443" s="9"/>
      <c r="E443" s="9"/>
    </row>
    <row r="444" spans="3:5" x14ac:dyDescent="0.35">
      <c r="C444" s="9"/>
      <c r="E444" s="9"/>
    </row>
    <row r="445" spans="3:5" x14ac:dyDescent="0.35">
      <c r="C445" s="9"/>
      <c r="E445" s="9"/>
    </row>
    <row r="446" spans="3:5" x14ac:dyDescent="0.35">
      <c r="C446" s="9"/>
      <c r="E446" s="9"/>
    </row>
    <row r="447" spans="3:5" x14ac:dyDescent="0.35">
      <c r="C447" s="9"/>
      <c r="E447" s="9"/>
    </row>
    <row r="448" spans="3:5" x14ac:dyDescent="0.35">
      <c r="C448" s="9"/>
      <c r="E448" s="9"/>
    </row>
    <row r="449" spans="3:5" x14ac:dyDescent="0.35">
      <c r="C449" s="9"/>
      <c r="E449" s="9"/>
    </row>
    <row r="450" spans="3:5" x14ac:dyDescent="0.35">
      <c r="C450" s="9"/>
      <c r="E450" s="9"/>
    </row>
    <row r="451" spans="3:5" x14ac:dyDescent="0.35">
      <c r="C451" s="9"/>
      <c r="E451" s="9"/>
    </row>
    <row r="452" spans="3:5" x14ac:dyDescent="0.35">
      <c r="C452" s="9"/>
      <c r="E452" s="9"/>
    </row>
    <row r="453" spans="3:5" x14ac:dyDescent="0.35">
      <c r="C453" s="9"/>
      <c r="E453" s="9"/>
    </row>
    <row r="454" spans="3:5" x14ac:dyDescent="0.35">
      <c r="C454" s="9"/>
      <c r="E454" s="9"/>
    </row>
    <row r="455" spans="3:5" x14ac:dyDescent="0.35">
      <c r="C455" s="9"/>
      <c r="E455" s="9"/>
    </row>
    <row r="456" spans="3:5" x14ac:dyDescent="0.35">
      <c r="C456" s="9"/>
      <c r="E456" s="9"/>
    </row>
    <row r="457" spans="3:5" x14ac:dyDescent="0.35">
      <c r="C457" s="9"/>
      <c r="E457" s="9"/>
    </row>
    <row r="458" spans="3:5" x14ac:dyDescent="0.35">
      <c r="C458" s="9"/>
      <c r="E458" s="9"/>
    </row>
    <row r="459" spans="3:5" x14ac:dyDescent="0.35">
      <c r="C459" s="9"/>
      <c r="E459" s="9"/>
    </row>
    <row r="460" spans="3:5" x14ac:dyDescent="0.35">
      <c r="C460" s="9"/>
      <c r="E460" s="9"/>
    </row>
    <row r="461" spans="3:5" x14ac:dyDescent="0.35">
      <c r="C461" s="9"/>
      <c r="E461" s="9"/>
    </row>
    <row r="462" spans="3:5" x14ac:dyDescent="0.35">
      <c r="C462" s="9"/>
      <c r="E462" s="9"/>
    </row>
    <row r="463" spans="3:5" x14ac:dyDescent="0.35">
      <c r="C463" s="9"/>
      <c r="E463" s="9"/>
    </row>
    <row r="464" spans="3:5" x14ac:dyDescent="0.35">
      <c r="C464" s="9"/>
      <c r="E464" s="9"/>
    </row>
    <row r="465" spans="3:5" x14ac:dyDescent="0.35">
      <c r="C465" s="9"/>
      <c r="E465" s="9"/>
    </row>
    <row r="466" spans="3:5" x14ac:dyDescent="0.35">
      <c r="C466" s="9"/>
      <c r="E466" s="9"/>
    </row>
    <row r="467" spans="3:5" x14ac:dyDescent="0.35">
      <c r="C467" s="9"/>
      <c r="E467" s="9"/>
    </row>
    <row r="468" spans="3:5" x14ac:dyDescent="0.35">
      <c r="C468" s="9"/>
      <c r="E468" s="9"/>
    </row>
    <row r="469" spans="3:5" x14ac:dyDescent="0.35">
      <c r="C469" s="9"/>
      <c r="E469" s="9"/>
    </row>
    <row r="470" spans="3:5" x14ac:dyDescent="0.35">
      <c r="C470" s="9"/>
      <c r="E470" s="9"/>
    </row>
    <row r="471" spans="3:5" x14ac:dyDescent="0.35">
      <c r="C471" s="9"/>
      <c r="E471" s="9"/>
    </row>
    <row r="472" spans="3:5" x14ac:dyDescent="0.35">
      <c r="C472" s="9"/>
      <c r="E472" s="9"/>
    </row>
    <row r="473" spans="3:5" x14ac:dyDescent="0.35">
      <c r="C473" s="9"/>
      <c r="E473" s="9"/>
    </row>
    <row r="474" spans="3:5" x14ac:dyDescent="0.35">
      <c r="C474" s="9"/>
      <c r="E474" s="9"/>
    </row>
    <row r="475" spans="3:5" x14ac:dyDescent="0.35">
      <c r="C475" s="9"/>
      <c r="E475" s="9"/>
    </row>
    <row r="476" spans="3:5" x14ac:dyDescent="0.35">
      <c r="C476" s="9"/>
      <c r="E476" s="9"/>
    </row>
    <row r="477" spans="3:5" x14ac:dyDescent="0.35">
      <c r="C477" s="9"/>
      <c r="E477" s="9"/>
    </row>
    <row r="478" spans="3:5" x14ac:dyDescent="0.35">
      <c r="C478" s="9"/>
      <c r="E478" s="9"/>
    </row>
    <row r="479" spans="3:5" x14ac:dyDescent="0.35">
      <c r="C479" s="9"/>
      <c r="E479" s="9"/>
    </row>
    <row r="480" spans="3:5" x14ac:dyDescent="0.35">
      <c r="C480" s="9"/>
      <c r="E480" s="9"/>
    </row>
    <row r="481" spans="3:5" x14ac:dyDescent="0.35">
      <c r="C481" s="9"/>
      <c r="E481" s="9"/>
    </row>
    <row r="482" spans="3:5" x14ac:dyDescent="0.35">
      <c r="C482" s="9"/>
      <c r="E482" s="9"/>
    </row>
    <row r="483" spans="3:5" x14ac:dyDescent="0.35">
      <c r="C483" s="9"/>
      <c r="E483" s="9"/>
    </row>
    <row r="484" spans="3:5" x14ac:dyDescent="0.35">
      <c r="C484" s="9"/>
      <c r="E484" s="9"/>
    </row>
    <row r="485" spans="3:5" x14ac:dyDescent="0.35">
      <c r="C485" s="9"/>
      <c r="E485" s="9"/>
    </row>
    <row r="486" spans="3:5" x14ac:dyDescent="0.35">
      <c r="C486" s="9"/>
      <c r="E486" s="9"/>
    </row>
    <row r="487" spans="3:5" x14ac:dyDescent="0.35">
      <c r="C487" s="9"/>
      <c r="E487" s="9"/>
    </row>
    <row r="488" spans="3:5" x14ac:dyDescent="0.35">
      <c r="C488" s="9"/>
      <c r="E488" s="9"/>
    </row>
    <row r="489" spans="3:5" x14ac:dyDescent="0.35">
      <c r="C489" s="9"/>
      <c r="E489" s="9"/>
    </row>
    <row r="490" spans="3:5" x14ac:dyDescent="0.35">
      <c r="C490" s="9"/>
      <c r="E490" s="9"/>
    </row>
    <row r="491" spans="3:5" x14ac:dyDescent="0.35">
      <c r="C491" s="9"/>
      <c r="E491" s="9"/>
    </row>
    <row r="492" spans="3:5" x14ac:dyDescent="0.35">
      <c r="C492" s="9"/>
      <c r="E492" s="9"/>
    </row>
    <row r="493" spans="3:5" x14ac:dyDescent="0.35">
      <c r="C493" s="9"/>
      <c r="E493" s="9"/>
    </row>
    <row r="494" spans="3:5" x14ac:dyDescent="0.35">
      <c r="C494" s="9"/>
      <c r="E494" s="9"/>
    </row>
    <row r="495" spans="3:5" x14ac:dyDescent="0.35">
      <c r="C495" s="9"/>
      <c r="E495" s="9"/>
    </row>
    <row r="496" spans="3:5" x14ac:dyDescent="0.35">
      <c r="C496" s="9"/>
      <c r="E496" s="9"/>
    </row>
    <row r="497" spans="3:5" x14ac:dyDescent="0.35">
      <c r="C497" s="9"/>
      <c r="E497" s="9"/>
    </row>
    <row r="498" spans="3:5" x14ac:dyDescent="0.35">
      <c r="C498" s="9"/>
      <c r="E498" s="9"/>
    </row>
    <row r="499" spans="3:5" x14ac:dyDescent="0.35">
      <c r="C499" s="9"/>
      <c r="E499" s="9"/>
    </row>
    <row r="500" spans="3:5" x14ac:dyDescent="0.35">
      <c r="C500" s="9"/>
      <c r="E500" s="9"/>
    </row>
    <row r="501" spans="3:5" x14ac:dyDescent="0.35">
      <c r="C501" s="9"/>
      <c r="E501" s="9"/>
    </row>
    <row r="502" spans="3:5" x14ac:dyDescent="0.35">
      <c r="C502" s="9"/>
      <c r="E502" s="9"/>
    </row>
    <row r="503" spans="3:5" x14ac:dyDescent="0.35">
      <c r="C503" s="9"/>
      <c r="E503" s="9"/>
    </row>
    <row r="504" spans="3:5" x14ac:dyDescent="0.35">
      <c r="C504" s="9"/>
      <c r="E504" s="9"/>
    </row>
    <row r="505" spans="3:5" x14ac:dyDescent="0.35">
      <c r="C505" s="9"/>
      <c r="E505" s="9"/>
    </row>
    <row r="506" spans="3:5" x14ac:dyDescent="0.35">
      <c r="C506" s="9"/>
      <c r="E506" s="9"/>
    </row>
    <row r="507" spans="3:5" x14ac:dyDescent="0.35">
      <c r="C507" s="9"/>
      <c r="E507" s="9"/>
    </row>
    <row r="508" spans="3:5" x14ac:dyDescent="0.35">
      <c r="C508" s="9"/>
      <c r="E508" s="9"/>
    </row>
    <row r="509" spans="3:5" x14ac:dyDescent="0.35">
      <c r="C509" s="9"/>
      <c r="E509" s="9"/>
    </row>
    <row r="510" spans="3:5" x14ac:dyDescent="0.35">
      <c r="C510" s="9"/>
      <c r="E510" s="9"/>
    </row>
    <row r="511" spans="3:5" x14ac:dyDescent="0.35">
      <c r="C511" s="9"/>
      <c r="E511" s="9"/>
    </row>
    <row r="512" spans="3:5" x14ac:dyDescent="0.35">
      <c r="C512" s="9"/>
      <c r="E512" s="9"/>
    </row>
    <row r="513" spans="3:5" x14ac:dyDescent="0.35">
      <c r="C513" s="9"/>
      <c r="E513" s="9"/>
    </row>
    <row r="514" spans="3:5" x14ac:dyDescent="0.35">
      <c r="C514" s="9"/>
      <c r="E514" s="9"/>
    </row>
    <row r="515" spans="3:5" x14ac:dyDescent="0.35">
      <c r="C515" s="9"/>
      <c r="E515" s="9"/>
    </row>
    <row r="516" spans="3:5" x14ac:dyDescent="0.35">
      <c r="C516" s="9"/>
      <c r="E516" s="9"/>
    </row>
    <row r="517" spans="3:5" x14ac:dyDescent="0.35">
      <c r="C517" s="9"/>
      <c r="E517" s="9"/>
    </row>
    <row r="518" spans="3:5" x14ac:dyDescent="0.35">
      <c r="C518" s="9"/>
      <c r="E518" s="9"/>
    </row>
    <row r="519" spans="3:5" x14ac:dyDescent="0.35">
      <c r="C519" s="9"/>
      <c r="E519" s="9"/>
    </row>
    <row r="520" spans="3:5" x14ac:dyDescent="0.35">
      <c r="C520" s="9"/>
      <c r="E520" s="9"/>
    </row>
    <row r="521" spans="3:5" x14ac:dyDescent="0.35">
      <c r="C521" s="9"/>
      <c r="E521" s="9"/>
    </row>
    <row r="522" spans="3:5" x14ac:dyDescent="0.35">
      <c r="C522" s="9"/>
      <c r="E522" s="9"/>
    </row>
    <row r="523" spans="3:5" x14ac:dyDescent="0.35">
      <c r="C523" s="9"/>
      <c r="E523" s="9"/>
    </row>
    <row r="524" spans="3:5" x14ac:dyDescent="0.35">
      <c r="C524" s="9"/>
      <c r="E524" s="9"/>
    </row>
    <row r="525" spans="3:5" x14ac:dyDescent="0.35">
      <c r="C525" s="9"/>
      <c r="E525" s="9"/>
    </row>
    <row r="526" spans="3:5" x14ac:dyDescent="0.35">
      <c r="C526" s="9"/>
      <c r="E526" s="9"/>
    </row>
    <row r="527" spans="3:5" x14ac:dyDescent="0.35">
      <c r="C527" s="9"/>
      <c r="E527" s="9"/>
    </row>
    <row r="528" spans="3:5" x14ac:dyDescent="0.35">
      <c r="C528" s="9"/>
      <c r="E528" s="9"/>
    </row>
    <row r="529" spans="3:5" x14ac:dyDescent="0.35">
      <c r="C529" s="9"/>
      <c r="E529" s="9"/>
    </row>
    <row r="530" spans="3:5" x14ac:dyDescent="0.35">
      <c r="C530" s="9"/>
      <c r="E530" s="9"/>
    </row>
    <row r="531" spans="3:5" x14ac:dyDescent="0.35">
      <c r="C531" s="9"/>
      <c r="E531" s="9"/>
    </row>
    <row r="532" spans="3:5" x14ac:dyDescent="0.35">
      <c r="C532" s="9"/>
      <c r="E532" s="9"/>
    </row>
    <row r="533" spans="3:5" x14ac:dyDescent="0.35">
      <c r="C533" s="9"/>
      <c r="E533" s="9"/>
    </row>
    <row r="534" spans="3:5" x14ac:dyDescent="0.35">
      <c r="C534" s="9"/>
      <c r="E534" s="9"/>
    </row>
    <row r="535" spans="3:5" x14ac:dyDescent="0.35">
      <c r="C535" s="9"/>
      <c r="E535" s="9"/>
    </row>
    <row r="536" spans="3:5" x14ac:dyDescent="0.35">
      <c r="C536" s="9"/>
      <c r="E536" s="9"/>
    </row>
    <row r="537" spans="3:5" x14ac:dyDescent="0.35">
      <c r="C537" s="9"/>
      <c r="E537" s="9"/>
    </row>
    <row r="538" spans="3:5" x14ac:dyDescent="0.35">
      <c r="C538" s="9"/>
      <c r="E538" s="9"/>
    </row>
    <row r="539" spans="3:5" x14ac:dyDescent="0.35">
      <c r="C539" s="9"/>
      <c r="E539" s="9"/>
    </row>
    <row r="540" spans="3:5" x14ac:dyDescent="0.35">
      <c r="C540" s="9"/>
      <c r="E540" s="9"/>
    </row>
    <row r="541" spans="3:5" x14ac:dyDescent="0.35">
      <c r="C541" s="9"/>
      <c r="E541" s="9"/>
    </row>
    <row r="542" spans="3:5" x14ac:dyDescent="0.35">
      <c r="C542" s="9"/>
      <c r="E542" s="9"/>
    </row>
    <row r="543" spans="3:5" x14ac:dyDescent="0.35">
      <c r="C543" s="9"/>
      <c r="E543" s="9"/>
    </row>
    <row r="544" spans="3:5" x14ac:dyDescent="0.35">
      <c r="C544" s="9"/>
      <c r="E544" s="9"/>
    </row>
    <row r="545" spans="3:5" x14ac:dyDescent="0.35">
      <c r="C545" s="9"/>
      <c r="E545" s="9"/>
    </row>
    <row r="546" spans="3:5" x14ac:dyDescent="0.35">
      <c r="C546" s="9"/>
      <c r="E546" s="9"/>
    </row>
    <row r="547" spans="3:5" x14ac:dyDescent="0.35">
      <c r="C547" s="9"/>
      <c r="E547" s="9"/>
    </row>
    <row r="548" spans="3:5" x14ac:dyDescent="0.35">
      <c r="C548" s="9"/>
      <c r="E548" s="9"/>
    </row>
    <row r="549" spans="3:5" x14ac:dyDescent="0.35">
      <c r="C549" s="9"/>
      <c r="E549" s="9"/>
    </row>
    <row r="550" spans="3:5" x14ac:dyDescent="0.35">
      <c r="C550" s="9"/>
      <c r="E550" s="9"/>
    </row>
    <row r="551" spans="3:5" x14ac:dyDescent="0.35">
      <c r="C551" s="9"/>
      <c r="E551" s="9"/>
    </row>
    <row r="552" spans="3:5" x14ac:dyDescent="0.35">
      <c r="C552" s="9"/>
      <c r="E552" s="9"/>
    </row>
    <row r="553" spans="3:5" x14ac:dyDescent="0.35">
      <c r="C553" s="9"/>
      <c r="E553" s="9"/>
    </row>
    <row r="554" spans="3:5" x14ac:dyDescent="0.35">
      <c r="C554" s="9"/>
      <c r="E554" s="9"/>
    </row>
    <row r="555" spans="3:5" x14ac:dyDescent="0.35">
      <c r="C555" s="9"/>
      <c r="E555" s="9"/>
    </row>
  </sheetData>
  <mergeCells count="275">
    <mergeCell ref="A172:E177"/>
    <mergeCell ref="C193:D193"/>
    <mergeCell ref="G275:I275"/>
    <mergeCell ref="G284:I284"/>
    <mergeCell ref="P162:R162"/>
    <mergeCell ref="F179:H179"/>
    <mergeCell ref="Q275:S275"/>
    <mergeCell ref="Q253:S253"/>
    <mergeCell ref="J263:P263"/>
    <mergeCell ref="J253:P253"/>
    <mergeCell ref="Q263:S263"/>
    <mergeCell ref="G253:I253"/>
    <mergeCell ref="P249:R249"/>
    <mergeCell ref="Q284:S284"/>
    <mergeCell ref="A193:A199"/>
    <mergeCell ref="G263:I263"/>
    <mergeCell ref="F253:F254"/>
    <mergeCell ref="A183:E183"/>
    <mergeCell ref="C318:D318"/>
    <mergeCell ref="A289:F289"/>
    <mergeCell ref="F249:H249"/>
    <mergeCell ref="I249:K249"/>
    <mergeCell ref="J275:P275"/>
    <mergeCell ref="J284:P284"/>
    <mergeCell ref="G287:I287"/>
    <mergeCell ref="A286:F286"/>
    <mergeCell ref="B244:D244"/>
    <mergeCell ref="B245:D245"/>
    <mergeCell ref="B283:F283"/>
    <mergeCell ref="C59:D59"/>
    <mergeCell ref="B61:C68"/>
    <mergeCell ref="B77:C84"/>
    <mergeCell ref="A27:A37"/>
    <mergeCell ref="B38:D38"/>
    <mergeCell ref="A43:A53"/>
    <mergeCell ref="A73:D74"/>
    <mergeCell ref="A353:D353"/>
    <mergeCell ref="A246:D246"/>
    <mergeCell ref="C200:D200"/>
    <mergeCell ref="C211:D211"/>
    <mergeCell ref="C222:D222"/>
    <mergeCell ref="A233:A243"/>
    <mergeCell ref="C233:D233"/>
    <mergeCell ref="B351:D351"/>
    <mergeCell ref="B352:D352"/>
    <mergeCell ref="A307:A317"/>
    <mergeCell ref="A329:A339"/>
    <mergeCell ref="C329:D329"/>
    <mergeCell ref="C331:C338"/>
    <mergeCell ref="A340:A350"/>
    <mergeCell ref="C340:D340"/>
    <mergeCell ref="C342:C349"/>
    <mergeCell ref="A222:A232"/>
    <mergeCell ref="B45:C52"/>
    <mergeCell ref="A106:R106"/>
    <mergeCell ref="L191:N191"/>
    <mergeCell ref="F159:H159"/>
    <mergeCell ref="B141:E142"/>
    <mergeCell ref="I154:K154"/>
    <mergeCell ref="P191:R191"/>
    <mergeCell ref="I172:K172"/>
    <mergeCell ref="F168:H168"/>
    <mergeCell ref="F191:H191"/>
    <mergeCell ref="I191:K191"/>
    <mergeCell ref="P179:R179"/>
    <mergeCell ref="F172:H172"/>
    <mergeCell ref="A137:K137"/>
    <mergeCell ref="F138:H138"/>
    <mergeCell ref="B158:E160"/>
    <mergeCell ref="A153:K153"/>
    <mergeCell ref="I145:K145"/>
    <mergeCell ref="A154:A160"/>
    <mergeCell ref="F154:H154"/>
    <mergeCell ref="A59:A69"/>
    <mergeCell ref="B70:D70"/>
    <mergeCell ref="A75:A85"/>
    <mergeCell ref="B86:D86"/>
    <mergeCell ref="B149:E151"/>
    <mergeCell ref="A145:A151"/>
    <mergeCell ref="F130:H130"/>
    <mergeCell ref="I130:K130"/>
    <mergeCell ref="F162:H162"/>
    <mergeCell ref="F133:H133"/>
    <mergeCell ref="I138:K138"/>
    <mergeCell ref="E126:E128"/>
    <mergeCell ref="F126:H126"/>
    <mergeCell ref="A138:A142"/>
    <mergeCell ref="F145:H145"/>
    <mergeCell ref="I162:K162"/>
    <mergeCell ref="G381:I381"/>
    <mergeCell ref="J381:P381"/>
    <mergeCell ref="F165:H165"/>
    <mergeCell ref="A162:E166"/>
    <mergeCell ref="J359:P359"/>
    <mergeCell ref="G369:I369"/>
    <mergeCell ref="A355:D355"/>
    <mergeCell ref="P172:R172"/>
    <mergeCell ref="F175:H175"/>
    <mergeCell ref="Q381:S381"/>
    <mergeCell ref="A200:A210"/>
    <mergeCell ref="C213:C220"/>
    <mergeCell ref="C224:C231"/>
    <mergeCell ref="C235:C242"/>
    <mergeCell ref="A211:A221"/>
    <mergeCell ref="D253:D254"/>
    <mergeCell ref="S318:S328"/>
    <mergeCell ref="A248:D248"/>
    <mergeCell ref="A258:C258"/>
    <mergeCell ref="A268:C268"/>
    <mergeCell ref="S300:S306"/>
    <mergeCell ref="S307:S317"/>
    <mergeCell ref="A288:F288"/>
    <mergeCell ref="A318:A328"/>
    <mergeCell ref="P130:R130"/>
    <mergeCell ref="F150:H150"/>
    <mergeCell ref="A71:R72"/>
    <mergeCell ref="I73:K73"/>
    <mergeCell ref="A115:D120"/>
    <mergeCell ref="E115:E116"/>
    <mergeCell ref="F115:H115"/>
    <mergeCell ref="I115:K115"/>
    <mergeCell ref="A179:E181"/>
    <mergeCell ref="P123:R123"/>
    <mergeCell ref="F118:H118"/>
    <mergeCell ref="A121:R122"/>
    <mergeCell ref="A123:D128"/>
    <mergeCell ref="P115:R115"/>
    <mergeCell ref="E118:E120"/>
    <mergeCell ref="P138:R138"/>
    <mergeCell ref="F141:H141"/>
    <mergeCell ref="P154:R154"/>
    <mergeCell ref="L73:N73"/>
    <mergeCell ref="P145:R145"/>
    <mergeCell ref="E123:E124"/>
    <mergeCell ref="F123:H123"/>
    <mergeCell ref="I123:K123"/>
    <mergeCell ref="A130:D134"/>
    <mergeCell ref="I57:K57"/>
    <mergeCell ref="A57:D58"/>
    <mergeCell ref="B17:C20"/>
    <mergeCell ref="B29:C36"/>
    <mergeCell ref="B22:D22"/>
    <mergeCell ref="C43:D43"/>
    <mergeCell ref="X298:Z298"/>
    <mergeCell ref="AA298:AC298"/>
    <mergeCell ref="F298:H298"/>
    <mergeCell ref="I298:K298"/>
    <mergeCell ref="E89:E90"/>
    <mergeCell ref="P298:R298"/>
    <mergeCell ref="F107:H107"/>
    <mergeCell ref="U298:W298"/>
    <mergeCell ref="A113:R114"/>
    <mergeCell ref="C202:C209"/>
    <mergeCell ref="P89:R89"/>
    <mergeCell ref="L89:N89"/>
    <mergeCell ref="E107:E108"/>
    <mergeCell ref="F103:H103"/>
    <mergeCell ref="F89:H89"/>
    <mergeCell ref="C195:C198"/>
    <mergeCell ref="A144:K144"/>
    <mergeCell ref="A168:E170"/>
    <mergeCell ref="AC25:AE25"/>
    <mergeCell ref="A13:D14"/>
    <mergeCell ref="P13:R13"/>
    <mergeCell ref="A11:K12"/>
    <mergeCell ref="AI41:AK41"/>
    <mergeCell ref="AI25:AK25"/>
    <mergeCell ref="A1:K1"/>
    <mergeCell ref="F57:H57"/>
    <mergeCell ref="C15:D15"/>
    <mergeCell ref="C27:D27"/>
    <mergeCell ref="A25:D26"/>
    <mergeCell ref="A41:D42"/>
    <mergeCell ref="E13:E14"/>
    <mergeCell ref="F13:H13"/>
    <mergeCell ref="I25:K25"/>
    <mergeCell ref="A15:A21"/>
    <mergeCell ref="A23:R24"/>
    <mergeCell ref="A55:R56"/>
    <mergeCell ref="F41:H41"/>
    <mergeCell ref="L41:N41"/>
    <mergeCell ref="L57:N57"/>
    <mergeCell ref="P41:R41"/>
    <mergeCell ref="P57:R57"/>
    <mergeCell ref="E57:E58"/>
    <mergeCell ref="W57:Y57"/>
    <mergeCell ref="Z57:AB57"/>
    <mergeCell ref="AC57:AE57"/>
    <mergeCell ref="AF57:AH57"/>
    <mergeCell ref="AO57:AQ57"/>
    <mergeCell ref="AL57:AN57"/>
    <mergeCell ref="E25:E26"/>
    <mergeCell ref="AO25:AQ25"/>
    <mergeCell ref="A2:H2"/>
    <mergeCell ref="I13:K13"/>
    <mergeCell ref="L13:N13"/>
    <mergeCell ref="L25:N25"/>
    <mergeCell ref="A8:C8"/>
    <mergeCell ref="F25:H25"/>
    <mergeCell ref="AF41:AH41"/>
    <mergeCell ref="P25:R25"/>
    <mergeCell ref="AL25:AN25"/>
    <mergeCell ref="E41:E42"/>
    <mergeCell ref="I41:K41"/>
    <mergeCell ref="A9:C9"/>
    <mergeCell ref="D8:K8"/>
    <mergeCell ref="T25:V25"/>
    <mergeCell ref="W25:Y25"/>
    <mergeCell ref="Z25:AB25"/>
    <mergeCell ref="AF25:AH25"/>
    <mergeCell ref="T41:V41"/>
    <mergeCell ref="W41:Y41"/>
    <mergeCell ref="Z41:AB41"/>
    <mergeCell ref="AC41:AE41"/>
    <mergeCell ref="AI57:AK57"/>
    <mergeCell ref="AO73:AQ73"/>
    <mergeCell ref="T89:V89"/>
    <mergeCell ref="W89:Y89"/>
    <mergeCell ref="Z89:AB89"/>
    <mergeCell ref="AC89:AE89"/>
    <mergeCell ref="AF89:AH89"/>
    <mergeCell ref="AI89:AK89"/>
    <mergeCell ref="AL89:AN89"/>
    <mergeCell ref="AO89:AQ89"/>
    <mergeCell ref="W73:Y73"/>
    <mergeCell ref="AF73:AH73"/>
    <mergeCell ref="AI73:AK73"/>
    <mergeCell ref="AL73:AN73"/>
    <mergeCell ref="T73:V73"/>
    <mergeCell ref="AC73:AE73"/>
    <mergeCell ref="AL41:AN41"/>
    <mergeCell ref="AO41:AQ41"/>
    <mergeCell ref="T57:V57"/>
    <mergeCell ref="Z73:AB73"/>
    <mergeCell ref="I107:K107"/>
    <mergeCell ref="P107:R107"/>
    <mergeCell ref="F110:H110"/>
    <mergeCell ref="E110:E112"/>
    <mergeCell ref="F73:H73"/>
    <mergeCell ref="A87:R88"/>
    <mergeCell ref="A91:A101"/>
    <mergeCell ref="B93:C100"/>
    <mergeCell ref="A102:D102"/>
    <mergeCell ref="P73:R73"/>
    <mergeCell ref="C91:D91"/>
    <mergeCell ref="A107:D112"/>
    <mergeCell ref="E73:E74"/>
    <mergeCell ref="I89:K89"/>
    <mergeCell ref="A89:D90"/>
    <mergeCell ref="A103:E105"/>
    <mergeCell ref="C75:D75"/>
    <mergeCell ref="T414:AA414"/>
    <mergeCell ref="S329:S339"/>
    <mergeCell ref="S340:S350"/>
    <mergeCell ref="C302:C305"/>
    <mergeCell ref="C309:C316"/>
    <mergeCell ref="C320:C327"/>
    <mergeCell ref="G359:I359"/>
    <mergeCell ref="P357:R357"/>
    <mergeCell ref="Q359:S359"/>
    <mergeCell ref="Q369:S369"/>
    <mergeCell ref="C307:D307"/>
    <mergeCell ref="G391:I391"/>
    <mergeCell ref="J391:P391"/>
    <mergeCell ref="A395:F395"/>
    <mergeCell ref="G394:I394"/>
    <mergeCell ref="Q391:S391"/>
    <mergeCell ref="B390:F390"/>
    <mergeCell ref="A396:F396"/>
    <mergeCell ref="A393:F393"/>
    <mergeCell ref="F357:H357"/>
    <mergeCell ref="I357:K357"/>
    <mergeCell ref="J369:P369"/>
    <mergeCell ref="A300:A306"/>
    <mergeCell ref="C300:D300"/>
  </mergeCells>
  <phoneticPr fontId="7" type="noConversion"/>
  <pageMargins left="0.75" right="0.75" top="1" bottom="1" header="0" footer="0"/>
  <pageSetup paperSize="9" scale="10" orientation="portrait" horizontalDpi="360" verticalDpi="360" r:id="rId1"/>
  <headerFooter alignWithMargins="0"/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8"/>
  <dimension ref="A1:DQ427"/>
  <sheetViews>
    <sheetView topLeftCell="A282" zoomScale="21" zoomScaleNormal="21" workbookViewId="0">
      <selection activeCell="E300" sqref="E300"/>
    </sheetView>
  </sheetViews>
  <sheetFormatPr baseColWidth="10" defaultColWidth="24.42578125" defaultRowHeight="34.5" x14ac:dyDescent="0.45"/>
  <cols>
    <col min="1" max="1" width="24.42578125" style="1489"/>
    <col min="2" max="2" width="24.5703125" style="1489" bestFit="1" customWidth="1"/>
    <col min="3" max="3" width="27.5703125" style="1489" customWidth="1"/>
    <col min="4" max="4" width="70" style="1489" customWidth="1"/>
    <col min="5" max="5" width="33" style="1489" customWidth="1"/>
    <col min="6" max="6" width="43.42578125" style="1489" customWidth="1"/>
    <col min="7" max="7" width="40.5703125" style="1489" customWidth="1"/>
    <col min="8" max="8" width="40.85546875" style="1489" customWidth="1"/>
    <col min="9" max="11" width="28.42578125" style="1489" customWidth="1"/>
    <col min="12" max="14" width="31.140625" style="1489" hidden="1" customWidth="1"/>
    <col min="15" max="15" width="24.42578125" style="1490" hidden="1" customWidth="1"/>
    <col min="16" max="16" width="27.140625" style="1491" bestFit="1" customWidth="1"/>
    <col min="17" max="17" width="32.85546875" style="1491" customWidth="1"/>
    <col min="18" max="18" width="30.140625" style="1491" bestFit="1" customWidth="1"/>
    <col min="19" max="19" width="34.42578125" style="1489" hidden="1" customWidth="1"/>
    <col min="20" max="22" width="44.5703125" style="1489" hidden="1" customWidth="1"/>
    <col min="23" max="23" width="31.5703125" style="1489" hidden="1" customWidth="1"/>
    <col min="24" max="24" width="28.42578125" style="1489" hidden="1" customWidth="1"/>
    <col min="25" max="25" width="30.42578125" style="1489" hidden="1" customWidth="1"/>
    <col min="26" max="28" width="24.42578125" style="1489" hidden="1" customWidth="1"/>
    <col min="29" max="29" width="32.140625" style="1489" hidden="1" customWidth="1"/>
    <col min="30" max="30" width="33.140625" style="1489" hidden="1" customWidth="1"/>
    <col min="31" max="31" width="28.85546875" style="1489" hidden="1" customWidth="1"/>
    <col min="32" max="32" width="24.42578125" style="1489" hidden="1" customWidth="1"/>
    <col min="33" max="33" width="33.140625" style="1489" hidden="1" customWidth="1"/>
    <col min="34" max="34" width="26" style="1489" hidden="1" customWidth="1"/>
    <col min="35" max="114" width="24.42578125" style="1489" hidden="1" customWidth="1"/>
    <col min="115" max="116" width="24.42578125" style="1489"/>
    <col min="117" max="119" width="24.5703125" style="1489" bestFit="1" customWidth="1"/>
    <col min="120" max="120" width="24.42578125" style="1489"/>
    <col min="121" max="121" width="24.5703125" style="1489" bestFit="1" customWidth="1"/>
    <col min="122" max="16384" width="24.42578125" style="1489"/>
  </cols>
  <sheetData>
    <row r="1" spans="1:121" ht="149.25" customHeight="1" x14ac:dyDescent="0.45">
      <c r="A1" s="5299" t="s">
        <v>960</v>
      </c>
      <c r="B1" s="5300"/>
      <c r="C1" s="5300"/>
      <c r="D1" s="5300"/>
      <c r="E1" s="5300"/>
      <c r="F1" s="5300"/>
      <c r="G1" s="5300"/>
      <c r="H1" s="5300"/>
      <c r="I1" s="5300"/>
      <c r="J1" s="5300"/>
      <c r="K1" s="5300"/>
      <c r="L1" s="5300"/>
      <c r="M1" s="5300"/>
      <c r="N1" s="5300"/>
      <c r="O1" s="5300"/>
      <c r="P1" s="5300"/>
      <c r="Q1" s="5300"/>
      <c r="R1" s="5301"/>
    </row>
    <row r="2" spans="1:121" ht="27.75" customHeight="1" x14ac:dyDescent="0.45">
      <c r="A2" s="5302" t="s">
        <v>897</v>
      </c>
      <c r="B2" s="4376"/>
      <c r="C2" s="4376"/>
      <c r="D2" s="4376"/>
      <c r="E2" s="4376"/>
      <c r="F2" s="4376"/>
      <c r="G2" s="4376"/>
      <c r="H2" s="4376"/>
      <c r="R2" s="1492"/>
    </row>
    <row r="3" spans="1:121" ht="36" thickBot="1" x14ac:dyDescent="0.5">
      <c r="A3" s="1493"/>
      <c r="B3" s="1494"/>
      <c r="C3" s="1494"/>
      <c r="R3" s="1492"/>
    </row>
    <row r="4" spans="1:121" ht="32.85" customHeight="1" x14ac:dyDescent="0.5">
      <c r="A4" s="1495"/>
      <c r="B4" s="5295" t="s">
        <v>354</v>
      </c>
      <c r="C4" s="5296"/>
      <c r="D4" s="5296"/>
      <c r="E4" s="1984"/>
      <c r="R4" s="1492"/>
    </row>
    <row r="5" spans="1:121" ht="32.85" customHeight="1" x14ac:dyDescent="0.45">
      <c r="A5" s="1496"/>
      <c r="B5" s="5297" t="s">
        <v>358</v>
      </c>
      <c r="C5" s="5298"/>
      <c r="D5" s="5298"/>
      <c r="E5" s="1985"/>
      <c r="F5" s="1962"/>
      <c r="G5" s="1962"/>
      <c r="H5" s="1962"/>
      <c r="R5" s="1492"/>
    </row>
    <row r="6" spans="1:121" ht="32.85" customHeight="1" x14ac:dyDescent="0.5">
      <c r="A6" s="1497"/>
      <c r="B6" s="5291" t="s">
        <v>359</v>
      </c>
      <c r="C6" s="5292"/>
      <c r="D6" s="5292"/>
      <c r="E6" s="1985"/>
      <c r="R6" s="1492"/>
    </row>
    <row r="7" spans="1:121" ht="32.85" customHeight="1" x14ac:dyDescent="0.5">
      <c r="A7" s="1499"/>
      <c r="B7" s="5291" t="s">
        <v>360</v>
      </c>
      <c r="C7" s="5292"/>
      <c r="D7" s="5292"/>
      <c r="E7" s="1985"/>
      <c r="R7" s="1492"/>
    </row>
    <row r="8" spans="1:121" ht="32.85" customHeight="1" x14ac:dyDescent="0.5">
      <c r="A8" s="1499"/>
      <c r="B8" s="5291" t="s">
        <v>361</v>
      </c>
      <c r="C8" s="5292"/>
      <c r="D8" s="5292"/>
      <c r="E8" s="1985"/>
      <c r="R8" s="1492"/>
    </row>
    <row r="9" spans="1:121" ht="32.85" customHeight="1" thickBot="1" x14ac:dyDescent="0.55000000000000004">
      <c r="A9" s="1499"/>
      <c r="B9" s="5293" t="s">
        <v>362</v>
      </c>
      <c r="C9" s="5294"/>
      <c r="D9" s="5294"/>
      <c r="E9" s="1986"/>
      <c r="R9" s="1492"/>
    </row>
    <row r="10" spans="1:121" ht="45.6" customHeight="1" x14ac:dyDescent="0.45">
      <c r="A10" s="4196" t="s">
        <v>363</v>
      </c>
      <c r="B10" s="4197"/>
      <c r="C10" s="4197"/>
      <c r="D10" s="4377">
        <f>'Compra -HOJA1'!D2</f>
        <v>0</v>
      </c>
      <c r="E10" s="4377"/>
      <c r="F10" s="4377"/>
      <c r="G10" s="4377"/>
      <c r="H10" s="4377"/>
      <c r="I10" s="4377"/>
      <c r="J10" s="4377"/>
      <c r="K10" s="4377"/>
      <c r="L10" s="1500"/>
      <c r="M10" s="1500"/>
      <c r="N10" s="1500"/>
      <c r="O10" s="1501"/>
      <c r="R10" s="1492"/>
    </row>
    <row r="11" spans="1:121" ht="56.45" customHeight="1" x14ac:dyDescent="0.5">
      <c r="A11" s="4196" t="s">
        <v>364</v>
      </c>
      <c r="B11" s="4197"/>
      <c r="C11" s="4197"/>
      <c r="D11" s="1502">
        <f>'Compra -HOJA1'!F4</f>
        <v>45536</v>
      </c>
      <c r="E11" s="1502"/>
      <c r="F11" s="1503"/>
      <c r="G11" s="1503"/>
      <c r="H11" s="1503"/>
      <c r="L11" s="1504"/>
      <c r="R11" s="1492"/>
    </row>
    <row r="12" spans="1:121" ht="30.75" customHeight="1" x14ac:dyDescent="0.45">
      <c r="A12" s="1505"/>
      <c r="B12" s="1506"/>
      <c r="C12" s="1506"/>
      <c r="D12" s="1506"/>
      <c r="E12" s="1507"/>
      <c r="F12" s="1506"/>
      <c r="G12" s="1506"/>
      <c r="H12" s="1506"/>
      <c r="I12" s="1506"/>
      <c r="J12" s="1506"/>
      <c r="K12" s="1506"/>
      <c r="L12" s="1508"/>
      <c r="M12" s="1506"/>
      <c r="N12" s="1506"/>
      <c r="O12" s="1509"/>
      <c r="P12" s="1510"/>
      <c r="Q12" s="1510"/>
      <c r="R12" s="1511"/>
    </row>
    <row r="13" spans="1:121" ht="18" customHeight="1" x14ac:dyDescent="0.5">
      <c r="A13" s="4378" t="s">
        <v>366</v>
      </c>
      <c r="B13" s="4379"/>
      <c r="C13" s="4379"/>
      <c r="D13" s="4379"/>
      <c r="E13" s="4379"/>
      <c r="F13" s="4379"/>
      <c r="G13" s="4379"/>
      <c r="H13" s="4379"/>
      <c r="I13" s="4379"/>
      <c r="J13" s="4379"/>
      <c r="K13" s="4379"/>
      <c r="L13" s="1512"/>
      <c r="M13" s="1512"/>
      <c r="N13" s="1512"/>
      <c r="O13" s="1513"/>
      <c r="P13" s="1510"/>
      <c r="Q13" s="1510"/>
      <c r="R13" s="1511"/>
    </row>
    <row r="14" spans="1:121" ht="18" customHeight="1" thickBot="1" x14ac:dyDescent="0.55000000000000004">
      <c r="A14" s="4378"/>
      <c r="B14" s="4379"/>
      <c r="C14" s="4379"/>
      <c r="D14" s="4379"/>
      <c r="E14" s="4379"/>
      <c r="F14" s="4379"/>
      <c r="G14" s="4379"/>
      <c r="H14" s="4379"/>
      <c r="I14" s="4379"/>
      <c r="J14" s="4379"/>
      <c r="K14" s="4379"/>
      <c r="L14" s="1512"/>
      <c r="M14" s="1512"/>
      <c r="N14" s="1512"/>
      <c r="O14" s="1513"/>
      <c r="R14" s="1492"/>
    </row>
    <row r="15" spans="1:121" ht="78.95" customHeight="1" x14ac:dyDescent="0.5">
      <c r="A15" s="5209" t="s">
        <v>367</v>
      </c>
      <c r="B15" s="5189"/>
      <c r="C15" s="5189"/>
      <c r="D15" s="5189"/>
      <c r="E15" s="4243" t="s">
        <v>101</v>
      </c>
      <c r="F15" s="4234" t="s">
        <v>304</v>
      </c>
      <c r="G15" s="4235"/>
      <c r="H15" s="4244"/>
      <c r="I15" s="4234" t="s">
        <v>368</v>
      </c>
      <c r="J15" s="4235"/>
      <c r="K15" s="4244"/>
      <c r="L15" s="4234" t="s">
        <v>851</v>
      </c>
      <c r="M15" s="4235"/>
      <c r="N15" s="4236"/>
      <c r="O15" s="1514"/>
      <c r="P15" s="4510" t="s">
        <v>369</v>
      </c>
      <c r="Q15" s="4510"/>
      <c r="R15" s="5245"/>
      <c r="DM15" s="5628" t="s">
        <v>241</v>
      </c>
      <c r="DN15" s="5629"/>
      <c r="DO15" s="5629"/>
      <c r="DP15" s="5629"/>
      <c r="DQ15" s="5629"/>
    </row>
    <row r="16" spans="1:121" ht="54.95" customHeight="1" thickBot="1" x14ac:dyDescent="0.5">
      <c r="A16" s="5289"/>
      <c r="B16" s="5290"/>
      <c r="C16" s="5290"/>
      <c r="D16" s="5290"/>
      <c r="E16" s="4242"/>
      <c r="F16" s="1515" t="s">
        <v>287</v>
      </c>
      <c r="G16" s="1515" t="s">
        <v>289</v>
      </c>
      <c r="H16" s="1516" t="s">
        <v>288</v>
      </c>
      <c r="I16" s="1515" t="s">
        <v>287</v>
      </c>
      <c r="J16" s="1515" t="s">
        <v>289</v>
      </c>
      <c r="K16" s="1516" t="s">
        <v>288</v>
      </c>
      <c r="L16" s="1515" t="s">
        <v>287</v>
      </c>
      <c r="M16" s="1515" t="s">
        <v>289</v>
      </c>
      <c r="N16" s="1517" t="s">
        <v>288</v>
      </c>
      <c r="O16" s="1518" t="s">
        <v>905</v>
      </c>
      <c r="P16" s="1515" t="s">
        <v>287</v>
      </c>
      <c r="Q16" s="1515" t="s">
        <v>289</v>
      </c>
      <c r="R16" s="1517" t="s">
        <v>288</v>
      </c>
      <c r="DM16" s="980" t="s">
        <v>370</v>
      </c>
      <c r="DN16" s="980" t="s">
        <v>25</v>
      </c>
      <c r="DO16" s="980" t="s">
        <v>371</v>
      </c>
      <c r="DP16" s="980" t="s">
        <v>241</v>
      </c>
      <c r="DQ16" s="980"/>
    </row>
    <row r="17" spans="1:121" ht="49.5" customHeight="1" x14ac:dyDescent="0.45">
      <c r="A17" s="4100" t="s">
        <v>41</v>
      </c>
      <c r="B17" s="1947">
        <v>5030</v>
      </c>
      <c r="C17" s="4597" t="s">
        <v>164</v>
      </c>
      <c r="D17" s="4597"/>
      <c r="E17" s="1520">
        <f>+E187</f>
        <v>0</v>
      </c>
      <c r="F17" s="1520" t="e">
        <f ca="1">+F187+G292</f>
        <v>#REF!</v>
      </c>
      <c r="G17" s="1520" t="e">
        <f ca="1">+G187+H292</f>
        <v>#REF!</v>
      </c>
      <c r="H17" s="1520" t="e">
        <f ca="1">+H187+I292</f>
        <v>#REF!</v>
      </c>
      <c r="I17" s="1520">
        <f t="shared" ref="I17:K18" ca="1" si="0">+I187</f>
        <v>0</v>
      </c>
      <c r="J17" s="1520">
        <f t="shared" ca="1" si="0"/>
        <v>0</v>
      </c>
      <c r="K17" s="1520">
        <f t="shared" ca="1" si="0"/>
        <v>0</v>
      </c>
      <c r="L17" s="1521"/>
      <c r="M17" s="1521"/>
      <c r="N17" s="1522"/>
      <c r="O17" s="1523">
        <f>+IF(E17=0,0,SUM(F17:H17)/E17)</f>
        <v>0</v>
      </c>
      <c r="P17" s="1524" t="e">
        <f ca="1">+F17+I17</f>
        <v>#REF!</v>
      </c>
      <c r="Q17" s="1524" t="e">
        <f ca="1">+G17+J17</f>
        <v>#REF!</v>
      </c>
      <c r="R17" s="1524" t="e">
        <f ca="1">+H17+K17</f>
        <v>#REF!</v>
      </c>
      <c r="DM17" s="1525">
        <f>+IF(E17=0,0,DN17/DO17)</f>
        <v>0</v>
      </c>
      <c r="DN17" s="1526" t="e">
        <f ca="1">+SUM(F17:H17)</f>
        <v>#REF!</v>
      </c>
      <c r="DO17" s="1526">
        <f>+E17</f>
        <v>0</v>
      </c>
      <c r="DP17" s="1527" t="str">
        <f>+IF(DO17=0,"S.D.",IF((DN17/DO17)&lt;151,"O.K.","VERIFICAR"))</f>
        <v>S.D.</v>
      </c>
      <c r="DQ17" s="1525"/>
    </row>
    <row r="18" spans="1:121" ht="49.5" customHeight="1" x14ac:dyDescent="0.45">
      <c r="A18" s="4101"/>
      <c r="B18" s="1954">
        <v>5040</v>
      </c>
      <c r="C18" s="3743" t="s">
        <v>902</v>
      </c>
      <c r="D18" s="3744"/>
      <c r="E18" s="1520">
        <f t="shared" ref="E18:K24" si="1">+E188</f>
        <v>0</v>
      </c>
      <c r="F18" s="1520">
        <f>+F188</f>
        <v>0</v>
      </c>
      <c r="G18" s="1520">
        <f>+G188</f>
        <v>0</v>
      </c>
      <c r="H18" s="1520">
        <f>+H188</f>
        <v>0</v>
      </c>
      <c r="I18" s="1520">
        <f t="shared" ca="1" si="0"/>
        <v>0</v>
      </c>
      <c r="J18" s="1520">
        <f t="shared" ca="1" si="0"/>
        <v>0</v>
      </c>
      <c r="K18" s="1520">
        <f t="shared" ca="1" si="0"/>
        <v>0</v>
      </c>
      <c r="L18" s="1528"/>
      <c r="M18" s="1528"/>
      <c r="N18" s="1528"/>
      <c r="O18" s="1523">
        <f t="shared" ref="O18:O25" si="2">+IF(E18=0,0,SUM(F18:H18)/E18)</f>
        <v>0</v>
      </c>
      <c r="P18" s="1524">
        <f t="shared" ref="P18:R24" ca="1" si="3">+F18+I18</f>
        <v>0</v>
      </c>
      <c r="Q18" s="1524">
        <f t="shared" ca="1" si="3"/>
        <v>0</v>
      </c>
      <c r="R18" s="1524">
        <f t="shared" ca="1" si="3"/>
        <v>0</v>
      </c>
      <c r="DM18" s="1525">
        <f t="shared" ref="DM18:DM25" si="4">+IF(E18=0,0,DN18/DO18)</f>
        <v>0</v>
      </c>
      <c r="DN18" s="1526">
        <f t="shared" ref="DN18:DN25" si="5">+SUM(F18:H18)</f>
        <v>0</v>
      </c>
      <c r="DO18" s="1526">
        <f t="shared" ref="DO18:DO25" si="6">+E18</f>
        <v>0</v>
      </c>
      <c r="DP18" s="1529" t="str">
        <f>+IF(DO18=0,"S.D.",IF((DN18/DO18)&lt;151,"O.K.","VERIFICAR"))</f>
        <v>S.D.</v>
      </c>
      <c r="DQ18" s="1525"/>
    </row>
    <row r="19" spans="1:121" ht="49.5" customHeight="1" x14ac:dyDescent="0.45">
      <c r="A19" s="4101"/>
      <c r="B19" s="1955">
        <v>5050</v>
      </c>
      <c r="C19" s="3742" t="s">
        <v>903</v>
      </c>
      <c r="D19" s="3742"/>
      <c r="E19" s="1520">
        <f t="shared" si="1"/>
        <v>0</v>
      </c>
      <c r="F19" s="1520">
        <f t="shared" si="1"/>
        <v>0</v>
      </c>
      <c r="G19" s="1520">
        <f t="shared" si="1"/>
        <v>0</v>
      </c>
      <c r="H19" s="1520">
        <f t="shared" si="1"/>
        <v>0</v>
      </c>
      <c r="I19" s="1520">
        <f t="shared" ca="1" si="1"/>
        <v>0</v>
      </c>
      <c r="J19" s="1520">
        <f t="shared" ca="1" si="1"/>
        <v>0</v>
      </c>
      <c r="K19" s="1520">
        <f t="shared" ca="1" si="1"/>
        <v>0</v>
      </c>
      <c r="L19" s="1528"/>
      <c r="M19" s="1528"/>
      <c r="N19" s="1528"/>
      <c r="O19" s="1523"/>
      <c r="P19" s="1524">
        <f t="shared" ca="1" si="3"/>
        <v>0</v>
      </c>
      <c r="Q19" s="1524">
        <f t="shared" ca="1" si="3"/>
        <v>0</v>
      </c>
      <c r="R19" s="1524">
        <f t="shared" ca="1" si="3"/>
        <v>0</v>
      </c>
      <c r="DM19" s="1525">
        <f t="shared" si="4"/>
        <v>0</v>
      </c>
      <c r="DN19" s="1526">
        <f t="shared" si="5"/>
        <v>0</v>
      </c>
      <c r="DO19" s="1526">
        <f t="shared" si="6"/>
        <v>0</v>
      </c>
      <c r="DP19" s="1529" t="str">
        <f>+IF(DO19=0,"S.D.",IF((DN19/DO19)&lt;151,"O.K.","VERIFICAR"))</f>
        <v>S.D.</v>
      </c>
      <c r="DQ19" s="1525"/>
    </row>
    <row r="20" spans="1:121" ht="49.5" customHeight="1" x14ac:dyDescent="0.45">
      <c r="A20" s="4101"/>
      <c r="B20" s="1721">
        <v>5501</v>
      </c>
      <c r="C20" s="3751" t="s">
        <v>220</v>
      </c>
      <c r="D20" s="1721" t="s">
        <v>46</v>
      </c>
      <c r="E20" s="1520" t="e">
        <f t="shared" si="1"/>
        <v>#REF!</v>
      </c>
      <c r="F20" s="1520" t="e">
        <f t="shared" si="1"/>
        <v>#REF!</v>
      </c>
      <c r="G20" s="1520" t="e">
        <f t="shared" si="1"/>
        <v>#REF!</v>
      </c>
      <c r="H20" s="1520" t="e">
        <f t="shared" si="1"/>
        <v>#REF!</v>
      </c>
      <c r="I20" s="1520" t="e">
        <f t="shared" si="1"/>
        <v>#REF!</v>
      </c>
      <c r="J20" s="1520" t="e">
        <f t="shared" si="1"/>
        <v>#REF!</v>
      </c>
      <c r="K20" s="1520" t="e">
        <f t="shared" si="1"/>
        <v>#REF!</v>
      </c>
      <c r="L20" s="1530"/>
      <c r="M20" s="1530"/>
      <c r="N20" s="1530"/>
      <c r="O20" s="1523" t="e">
        <f t="shared" si="2"/>
        <v>#REF!</v>
      </c>
      <c r="P20" s="1524" t="e">
        <f t="shared" si="3"/>
        <v>#REF!</v>
      </c>
      <c r="Q20" s="1524" t="e">
        <f t="shared" si="3"/>
        <v>#REF!</v>
      </c>
      <c r="R20" s="1524" t="e">
        <f t="shared" si="3"/>
        <v>#REF!</v>
      </c>
      <c r="DM20" s="1525" t="e">
        <f t="shared" si="4"/>
        <v>#REF!</v>
      </c>
      <c r="DN20" s="1526" t="e">
        <f t="shared" si="5"/>
        <v>#REF!</v>
      </c>
      <c r="DO20" s="1526" t="e">
        <f t="shared" si="6"/>
        <v>#REF!</v>
      </c>
      <c r="DP20" s="1529" t="e">
        <f>+IF(DO20=0,"S.D.",IF((DN20/DO20)&lt;=120,"O.K.","VERIFICAR"))</f>
        <v>#REF!</v>
      </c>
      <c r="DQ20" s="1525"/>
    </row>
    <row r="21" spans="1:121" ht="49.5" customHeight="1" x14ac:dyDescent="0.45">
      <c r="A21" s="4101"/>
      <c r="B21" s="1721">
        <v>5502</v>
      </c>
      <c r="C21" s="3746"/>
      <c r="D21" s="1721" t="s">
        <v>47</v>
      </c>
      <c r="E21" s="1520">
        <f t="shared" si="1"/>
        <v>0</v>
      </c>
      <c r="F21" s="1520">
        <f t="shared" si="1"/>
        <v>0</v>
      </c>
      <c r="G21" s="1520">
        <f t="shared" si="1"/>
        <v>0</v>
      </c>
      <c r="H21" s="1520">
        <f t="shared" si="1"/>
        <v>0</v>
      </c>
      <c r="I21" s="1520">
        <f t="shared" ca="1" si="1"/>
        <v>0</v>
      </c>
      <c r="J21" s="1520">
        <f t="shared" ca="1" si="1"/>
        <v>0</v>
      </c>
      <c r="K21" s="1520">
        <f t="shared" ca="1" si="1"/>
        <v>0</v>
      </c>
      <c r="L21" s="1530"/>
      <c r="M21" s="1530"/>
      <c r="N21" s="1530"/>
      <c r="O21" s="1523">
        <f t="shared" si="2"/>
        <v>0</v>
      </c>
      <c r="P21" s="1524">
        <f t="shared" ca="1" si="3"/>
        <v>0</v>
      </c>
      <c r="Q21" s="1524">
        <f t="shared" ca="1" si="3"/>
        <v>0</v>
      </c>
      <c r="R21" s="1524">
        <f t="shared" ca="1" si="3"/>
        <v>0</v>
      </c>
      <c r="DM21" s="1525">
        <f t="shared" si="4"/>
        <v>0</v>
      </c>
      <c r="DN21" s="1526">
        <f t="shared" si="5"/>
        <v>0</v>
      </c>
      <c r="DO21" s="1526">
        <f t="shared" si="6"/>
        <v>0</v>
      </c>
      <c r="DP21" s="1529" t="str">
        <f>+IF(DO21=0,"S.D.",IF(AND((DN21/DO21)&gt;120,(DN21/DO21)&lt;=150),"O.K.","VERIFICAR"))</f>
        <v>S.D.</v>
      </c>
      <c r="DQ21" s="1525"/>
    </row>
    <row r="22" spans="1:121" ht="49.5" customHeight="1" x14ac:dyDescent="0.45">
      <c r="A22" s="4101"/>
      <c r="B22" s="1949">
        <v>5511</v>
      </c>
      <c r="C22" s="3746"/>
      <c r="D22" s="1949" t="s">
        <v>169</v>
      </c>
      <c r="E22" s="1520">
        <f t="shared" si="1"/>
        <v>0</v>
      </c>
      <c r="F22" s="1520">
        <f t="shared" si="1"/>
        <v>0</v>
      </c>
      <c r="G22" s="1520">
        <f t="shared" si="1"/>
        <v>0</v>
      </c>
      <c r="H22" s="1520">
        <f t="shared" si="1"/>
        <v>0</v>
      </c>
      <c r="I22" s="1520">
        <f t="shared" ca="1" si="1"/>
        <v>0</v>
      </c>
      <c r="J22" s="1520">
        <f t="shared" ca="1" si="1"/>
        <v>0</v>
      </c>
      <c r="K22" s="1520">
        <f t="shared" ca="1" si="1"/>
        <v>0</v>
      </c>
      <c r="L22" s="1530"/>
      <c r="M22" s="1530"/>
      <c r="N22" s="1530"/>
      <c r="O22" s="1523">
        <f t="shared" si="2"/>
        <v>0</v>
      </c>
      <c r="P22" s="1524">
        <f t="shared" ca="1" si="3"/>
        <v>0</v>
      </c>
      <c r="Q22" s="1524">
        <f t="shared" ca="1" si="3"/>
        <v>0</v>
      </c>
      <c r="R22" s="1524">
        <f t="shared" ca="1" si="3"/>
        <v>0</v>
      </c>
      <c r="DM22" s="1525">
        <f t="shared" si="4"/>
        <v>0</v>
      </c>
      <c r="DN22" s="1526">
        <f t="shared" si="5"/>
        <v>0</v>
      </c>
      <c r="DO22" s="1526">
        <f t="shared" si="6"/>
        <v>0</v>
      </c>
      <c r="DP22" s="1529" t="str">
        <f>+IF(DO22=0,"S.D.",IF((DN22/DO22)&lt;=120,"O.K.","VERIFICAR"))</f>
        <v>S.D.</v>
      </c>
      <c r="DQ22" s="1525"/>
    </row>
    <row r="23" spans="1:121" ht="49.5" customHeight="1" x14ac:dyDescent="0.45">
      <c r="A23" s="4101"/>
      <c r="B23" s="1949">
        <v>5512</v>
      </c>
      <c r="C23" s="3752"/>
      <c r="D23" s="1949" t="s">
        <v>49</v>
      </c>
      <c r="E23" s="1520">
        <f t="shared" si="1"/>
        <v>0</v>
      </c>
      <c r="F23" s="1520">
        <f t="shared" si="1"/>
        <v>0</v>
      </c>
      <c r="G23" s="1520">
        <f t="shared" si="1"/>
        <v>0</v>
      </c>
      <c r="H23" s="1520">
        <f t="shared" si="1"/>
        <v>0</v>
      </c>
      <c r="I23" s="1520">
        <f t="shared" ca="1" si="1"/>
        <v>0</v>
      </c>
      <c r="J23" s="1520">
        <f t="shared" ca="1" si="1"/>
        <v>0</v>
      </c>
      <c r="K23" s="1520">
        <f t="shared" ca="1" si="1"/>
        <v>0</v>
      </c>
      <c r="L23" s="1530"/>
      <c r="M23" s="1530"/>
      <c r="N23" s="1530"/>
      <c r="O23" s="1523">
        <f t="shared" si="2"/>
        <v>0</v>
      </c>
      <c r="P23" s="1524">
        <f t="shared" ca="1" si="3"/>
        <v>0</v>
      </c>
      <c r="Q23" s="1524">
        <f t="shared" ca="1" si="3"/>
        <v>0</v>
      </c>
      <c r="R23" s="1524">
        <f t="shared" ca="1" si="3"/>
        <v>0</v>
      </c>
      <c r="DM23" s="1525">
        <f t="shared" si="4"/>
        <v>0</v>
      </c>
      <c r="DN23" s="1526">
        <f t="shared" si="5"/>
        <v>0</v>
      </c>
      <c r="DO23" s="1526">
        <f t="shared" si="6"/>
        <v>0</v>
      </c>
      <c r="DP23" s="1529" t="str">
        <f>+IF(DO23=0,"S.D.",IF(AND((DN23/DO23)&gt;120,(DN23/DO23)&lt;=150),"O.K.","VERIFICAR"))</f>
        <v>S.D.</v>
      </c>
      <c r="DQ23" s="1525"/>
    </row>
    <row r="24" spans="1:121" ht="49.5" customHeight="1" x14ac:dyDescent="0.45">
      <c r="A24" s="4101"/>
      <c r="B24" s="1959">
        <v>6000</v>
      </c>
      <c r="C24" s="5630" t="s">
        <v>51</v>
      </c>
      <c r="D24" s="5631"/>
      <c r="E24" s="1520">
        <f t="shared" si="1"/>
        <v>0</v>
      </c>
      <c r="F24" s="1520">
        <f t="shared" si="1"/>
        <v>0</v>
      </c>
      <c r="G24" s="1520">
        <f t="shared" si="1"/>
        <v>0</v>
      </c>
      <c r="H24" s="1520">
        <f t="shared" si="1"/>
        <v>0</v>
      </c>
      <c r="I24" s="1520">
        <f t="shared" ca="1" si="1"/>
        <v>0</v>
      </c>
      <c r="J24" s="1520">
        <f t="shared" ca="1" si="1"/>
        <v>0</v>
      </c>
      <c r="K24" s="1520">
        <f t="shared" ca="1" si="1"/>
        <v>0</v>
      </c>
      <c r="L24" s="1528"/>
      <c r="M24" s="1528"/>
      <c r="N24" s="1528"/>
      <c r="O24" s="1523">
        <f t="shared" si="2"/>
        <v>0</v>
      </c>
      <c r="P24" s="1524">
        <f t="shared" ca="1" si="3"/>
        <v>0</v>
      </c>
      <c r="Q24" s="1524">
        <f t="shared" ca="1" si="3"/>
        <v>0</v>
      </c>
      <c r="R24" s="1524">
        <f t="shared" ca="1" si="3"/>
        <v>0</v>
      </c>
      <c r="DM24" s="1525">
        <f t="shared" si="4"/>
        <v>0</v>
      </c>
      <c r="DN24" s="1526">
        <f t="shared" si="5"/>
        <v>0</v>
      </c>
      <c r="DO24" s="1526">
        <f t="shared" si="6"/>
        <v>0</v>
      </c>
      <c r="DP24" s="1529" t="str">
        <f>+IF(DO24=0,"S.D.",IF((DN24/DO24)&lt;151,"O.K.","VERIFICAR"))</f>
        <v>S.D.</v>
      </c>
      <c r="DQ24" s="1525"/>
    </row>
    <row r="25" spans="1:121" ht="49.5" customHeight="1" thickBot="1" x14ac:dyDescent="0.5">
      <c r="A25" s="1533"/>
      <c r="B25" s="5200" t="s">
        <v>375</v>
      </c>
      <c r="C25" s="5201"/>
      <c r="D25" s="5202"/>
      <c r="E25" s="1534" t="e">
        <f t="shared" ref="E25:R25" si="7">SUM(E17:E24)</f>
        <v>#REF!</v>
      </c>
      <c r="F25" s="1534" t="e">
        <f t="shared" ca="1" si="7"/>
        <v>#REF!</v>
      </c>
      <c r="G25" s="1534" t="e">
        <f t="shared" ca="1" si="7"/>
        <v>#REF!</v>
      </c>
      <c r="H25" s="1534" t="e">
        <f t="shared" ca="1" si="7"/>
        <v>#REF!</v>
      </c>
      <c r="I25" s="1534" t="e">
        <f t="shared" ca="1" si="7"/>
        <v>#REF!</v>
      </c>
      <c r="J25" s="1534" t="e">
        <f t="shared" ca="1" si="7"/>
        <v>#REF!</v>
      </c>
      <c r="K25" s="1534" t="e">
        <f t="shared" ca="1" si="7"/>
        <v>#REF!</v>
      </c>
      <c r="L25" s="1535">
        <f t="shared" si="7"/>
        <v>0</v>
      </c>
      <c r="M25" s="1535">
        <f t="shared" si="7"/>
        <v>0</v>
      </c>
      <c r="N25" s="1536">
        <f t="shared" si="7"/>
        <v>0</v>
      </c>
      <c r="O25" s="1523" t="e">
        <f t="shared" si="2"/>
        <v>#REF!</v>
      </c>
      <c r="P25" s="1537" t="e">
        <f t="shared" ca="1" si="7"/>
        <v>#REF!</v>
      </c>
      <c r="Q25" s="1537" t="e">
        <f t="shared" ca="1" si="7"/>
        <v>#REF!</v>
      </c>
      <c r="R25" s="1538" t="e">
        <f t="shared" ca="1" si="7"/>
        <v>#REF!</v>
      </c>
      <c r="S25" s="1539" t="e">
        <f ca="1">SUM(P25:R25)</f>
        <v>#REF!</v>
      </c>
      <c r="DM25" s="1525" t="e">
        <f t="shared" si="4"/>
        <v>#REF!</v>
      </c>
      <c r="DN25" s="1526" t="e">
        <f t="shared" ca="1" si="5"/>
        <v>#REF!</v>
      </c>
      <c r="DO25" s="1526" t="e">
        <f t="shared" si="6"/>
        <v>#REF!</v>
      </c>
      <c r="DP25" s="1529"/>
      <c r="DQ25" s="1525"/>
    </row>
    <row r="26" spans="1:121" s="1540" customFormat="1" ht="49.5" customHeight="1" x14ac:dyDescent="0.45">
      <c r="A26" s="5203"/>
      <c r="B26" s="5204"/>
      <c r="C26" s="5204"/>
      <c r="D26" s="5204"/>
      <c r="E26" s="5204"/>
      <c r="F26" s="5204"/>
      <c r="G26" s="5204"/>
      <c r="H26" s="5204"/>
      <c r="I26" s="5204"/>
      <c r="J26" s="5204"/>
      <c r="K26" s="5204"/>
      <c r="L26" s="5204"/>
      <c r="M26" s="5204"/>
      <c r="N26" s="5204"/>
      <c r="O26" s="5204"/>
      <c r="P26" s="5204"/>
      <c r="Q26" s="5204"/>
      <c r="R26" s="5205"/>
      <c r="DM26" s="1541"/>
    </row>
    <row r="27" spans="1:121" s="1540" customFormat="1" ht="49.5" customHeight="1" thickBot="1" x14ac:dyDescent="0.5">
      <c r="A27" s="5206"/>
      <c r="B27" s="5207"/>
      <c r="C27" s="5207"/>
      <c r="D27" s="5207"/>
      <c r="E27" s="5207"/>
      <c r="F27" s="5207"/>
      <c r="G27" s="5207"/>
      <c r="H27" s="5207"/>
      <c r="I27" s="5207"/>
      <c r="J27" s="5207"/>
      <c r="K27" s="5207"/>
      <c r="L27" s="5207"/>
      <c r="M27" s="5207"/>
      <c r="N27" s="5207"/>
      <c r="O27" s="5207"/>
      <c r="P27" s="5207"/>
      <c r="Q27" s="5207"/>
      <c r="R27" s="5208"/>
      <c r="DM27" s="1541"/>
    </row>
    <row r="28" spans="1:121" ht="49.5" customHeight="1" x14ac:dyDescent="0.5">
      <c r="A28" s="5209" t="s">
        <v>376</v>
      </c>
      <c r="B28" s="5189"/>
      <c r="C28" s="5189"/>
      <c r="D28" s="5190"/>
      <c r="E28" s="5303" t="s">
        <v>101</v>
      </c>
      <c r="F28" s="4395" t="s">
        <v>304</v>
      </c>
      <c r="G28" s="4323"/>
      <c r="H28" s="4396"/>
      <c r="I28" s="4395" t="s">
        <v>368</v>
      </c>
      <c r="J28" s="4323"/>
      <c r="K28" s="4396"/>
      <c r="L28" s="4237" t="s">
        <v>851</v>
      </c>
      <c r="M28" s="4238"/>
      <c r="N28" s="4240"/>
      <c r="O28" s="1514"/>
      <c r="P28" s="5337" t="s">
        <v>377</v>
      </c>
      <c r="Q28" s="5337"/>
      <c r="R28" s="5627"/>
      <c r="T28" s="4395" t="s">
        <v>304</v>
      </c>
      <c r="U28" s="4323"/>
      <c r="V28" s="4323"/>
      <c r="W28" s="4323"/>
      <c r="X28" s="4396"/>
      <c r="Y28" s="4395" t="s">
        <v>368</v>
      </c>
      <c r="Z28" s="4323"/>
      <c r="AA28" s="4396"/>
      <c r="AB28" s="4510" t="s">
        <v>850</v>
      </c>
      <c r="AC28" s="4510"/>
      <c r="AD28" s="4510"/>
      <c r="AE28" s="4237" t="s">
        <v>851</v>
      </c>
      <c r="AF28" s="4238"/>
      <c r="AG28" s="4240"/>
      <c r="AH28" s="4237" t="s">
        <v>852</v>
      </c>
      <c r="AI28" s="4238"/>
      <c r="AJ28" s="4240"/>
      <c r="AK28" s="4237" t="s">
        <v>853</v>
      </c>
      <c r="AL28" s="4238"/>
      <c r="AM28" s="4240"/>
      <c r="AN28" s="4237" t="s">
        <v>377</v>
      </c>
      <c r="AO28" s="4238"/>
      <c r="AP28" s="4240"/>
      <c r="AQ28" s="4237" t="s">
        <v>241</v>
      </c>
      <c r="AR28" s="4238"/>
      <c r="AS28" s="4240"/>
      <c r="DM28" s="5177" t="s">
        <v>241</v>
      </c>
      <c r="DN28" s="4508"/>
      <c r="DO28" s="4508"/>
      <c r="DP28" s="4508"/>
      <c r="DQ28" s="4509"/>
    </row>
    <row r="29" spans="1:121" ht="49.5" customHeight="1" thickBot="1" x14ac:dyDescent="0.5">
      <c r="A29" s="5181"/>
      <c r="B29" s="5182"/>
      <c r="C29" s="5182"/>
      <c r="D29" s="5183"/>
      <c r="E29" s="4393"/>
      <c r="F29" s="1515" t="s">
        <v>287</v>
      </c>
      <c r="G29" s="1515" t="s">
        <v>289</v>
      </c>
      <c r="H29" s="1516" t="s">
        <v>288</v>
      </c>
      <c r="I29" s="1515" t="s">
        <v>287</v>
      </c>
      <c r="J29" s="1515" t="s">
        <v>289</v>
      </c>
      <c r="K29" s="1516" t="s">
        <v>288</v>
      </c>
      <c r="L29" s="1515" t="s">
        <v>287</v>
      </c>
      <c r="M29" s="1515" t="s">
        <v>289</v>
      </c>
      <c r="N29" s="1516" t="s">
        <v>288</v>
      </c>
      <c r="O29" s="1542" t="s">
        <v>905</v>
      </c>
      <c r="P29" s="1515" t="s">
        <v>287</v>
      </c>
      <c r="Q29" s="1515" t="s">
        <v>289</v>
      </c>
      <c r="R29" s="1517" t="s">
        <v>288</v>
      </c>
      <c r="T29" s="1515" t="s">
        <v>287</v>
      </c>
      <c r="U29" s="1515"/>
      <c r="V29" s="1515"/>
      <c r="W29" s="1515" t="s">
        <v>289</v>
      </c>
      <c r="X29" s="1516" t="s">
        <v>288</v>
      </c>
      <c r="Y29" s="1515" t="s">
        <v>287</v>
      </c>
      <c r="Z29" s="1515" t="s">
        <v>289</v>
      </c>
      <c r="AA29" s="1516" t="s">
        <v>288</v>
      </c>
      <c r="AB29" s="1515" t="s">
        <v>287</v>
      </c>
      <c r="AC29" s="1515" t="s">
        <v>289</v>
      </c>
      <c r="AD29" s="1516" t="s">
        <v>288</v>
      </c>
      <c r="AE29" s="1515" t="s">
        <v>287</v>
      </c>
      <c r="AF29" s="1515" t="s">
        <v>289</v>
      </c>
      <c r="AG29" s="1515" t="s">
        <v>288</v>
      </c>
      <c r="AH29" s="1515" t="s">
        <v>287</v>
      </c>
      <c r="AI29" s="1515" t="s">
        <v>289</v>
      </c>
      <c r="AJ29" s="1515" t="s">
        <v>288</v>
      </c>
      <c r="AK29" s="1515" t="s">
        <v>287</v>
      </c>
      <c r="AL29" s="1515" t="s">
        <v>289</v>
      </c>
      <c r="AM29" s="1515" t="s">
        <v>288</v>
      </c>
      <c r="AN29" s="1515" t="s">
        <v>287</v>
      </c>
      <c r="AO29" s="1515" t="s">
        <v>289</v>
      </c>
      <c r="AP29" s="1515" t="s">
        <v>288</v>
      </c>
      <c r="AQ29" s="1515" t="s">
        <v>287</v>
      </c>
      <c r="AR29" s="1515" t="s">
        <v>289</v>
      </c>
      <c r="AS29" s="1515" t="s">
        <v>288</v>
      </c>
      <c r="DM29" s="980" t="s">
        <v>370</v>
      </c>
      <c r="DN29" s="980" t="s">
        <v>25</v>
      </c>
      <c r="DO29" s="980" t="s">
        <v>371</v>
      </c>
      <c r="DP29" s="980" t="s">
        <v>241</v>
      </c>
      <c r="DQ29" s="980"/>
    </row>
    <row r="30" spans="1:121" ht="49.5" customHeight="1" x14ac:dyDescent="0.45">
      <c r="A30" s="4607" t="s">
        <v>52</v>
      </c>
      <c r="B30" s="1947">
        <v>5030</v>
      </c>
      <c r="C30" s="4597" t="s">
        <v>164</v>
      </c>
      <c r="D30" s="4597"/>
      <c r="E30" s="1543" t="e">
        <f>+E195</f>
        <v>#REF!</v>
      </c>
      <c r="F30" s="1543" t="e">
        <f t="shared" ref="F30:K30" si="8">+F195</f>
        <v>#REF!</v>
      </c>
      <c r="G30" s="1543" t="e">
        <f t="shared" si="8"/>
        <v>#REF!</v>
      </c>
      <c r="H30" s="1543" t="e">
        <f t="shared" si="8"/>
        <v>#REF!</v>
      </c>
      <c r="I30" s="1543" t="e">
        <f t="shared" si="8"/>
        <v>#REF!</v>
      </c>
      <c r="J30" s="1543" t="e">
        <f t="shared" si="8"/>
        <v>#REF!</v>
      </c>
      <c r="K30" s="1543" t="e">
        <f t="shared" si="8"/>
        <v>#REF!</v>
      </c>
      <c r="L30" s="1544"/>
      <c r="M30" s="1544"/>
      <c r="N30" s="1544"/>
      <c r="O30" s="1523" t="e">
        <f t="shared" ref="O30:O39" si="9">+IF(E30=0,0,SUM(F30:H30)/E30)</f>
        <v>#REF!</v>
      </c>
      <c r="P30" s="1524" t="e">
        <f>+F30+I30</f>
        <v>#REF!</v>
      </c>
      <c r="Q30" s="1524" t="e">
        <f>+G30+J30</f>
        <v>#REF!</v>
      </c>
      <c r="R30" s="1545" t="e">
        <f>+H30+K30</f>
        <v>#REF!</v>
      </c>
      <c r="S30" s="1546"/>
      <c r="T30" s="1544"/>
      <c r="U30" s="1544"/>
      <c r="V30" s="1544"/>
      <c r="W30" s="1544"/>
      <c r="X30" s="1544"/>
      <c r="Y30" s="1544"/>
      <c r="Z30" s="1544"/>
      <c r="AA30" s="1544"/>
      <c r="AE30" s="1547"/>
      <c r="AF30" s="1547"/>
      <c r="AG30" s="1547"/>
      <c r="AH30" s="1521"/>
      <c r="AI30" s="1521"/>
      <c r="AJ30" s="1521"/>
      <c r="AK30" s="1521"/>
      <c r="AL30" s="1521"/>
      <c r="AM30" s="1521"/>
      <c r="AN30" s="1521"/>
      <c r="AO30" s="1521"/>
      <c r="AP30" s="1521"/>
      <c r="AQ30" s="1548"/>
      <c r="AR30" s="1549"/>
      <c r="AS30" s="1549"/>
      <c r="DM30" s="1525" t="e">
        <f t="shared" ref="DM30:DM39" si="10">+IF(E30=0,0,DN30/DO30)</f>
        <v>#REF!</v>
      </c>
      <c r="DN30" s="1526" t="e">
        <f t="shared" ref="DN30:DN39" si="11">+SUM(F30:H30)</f>
        <v>#REF!</v>
      </c>
      <c r="DO30" s="1526" t="e">
        <f t="shared" ref="DO30:DO39" si="12">+E30</f>
        <v>#REF!</v>
      </c>
      <c r="DP30" s="1550" t="e">
        <f>+IF(DO30=0,"S.D.",IF(AND((DN30/DO30)&gt;150,(DN30/DO30)&lt;=500),"O.K.","VERIFICAR"))</f>
        <v>#REF!</v>
      </c>
      <c r="DQ30" s="1525"/>
    </row>
    <row r="31" spans="1:121" ht="49.5" customHeight="1" x14ac:dyDescent="0.45">
      <c r="A31" s="4608"/>
      <c r="B31" s="1954">
        <v>5040</v>
      </c>
      <c r="C31" s="3743" t="s">
        <v>902</v>
      </c>
      <c r="D31" s="3744"/>
      <c r="E31" s="1543">
        <f t="shared" ref="E31:K38" si="13">+E196</f>
        <v>0</v>
      </c>
      <c r="F31" s="1543">
        <f t="shared" si="13"/>
        <v>0</v>
      </c>
      <c r="G31" s="1543">
        <f t="shared" si="13"/>
        <v>0</v>
      </c>
      <c r="H31" s="1543">
        <f t="shared" si="13"/>
        <v>0</v>
      </c>
      <c r="I31" s="1543">
        <f t="shared" ca="1" si="13"/>
        <v>0</v>
      </c>
      <c r="J31" s="1543">
        <f t="shared" ca="1" si="13"/>
        <v>0</v>
      </c>
      <c r="K31" s="1543">
        <f t="shared" ca="1" si="13"/>
        <v>0</v>
      </c>
      <c r="L31" s="1544"/>
      <c r="M31" s="1544"/>
      <c r="N31" s="1544"/>
      <c r="O31" s="1523">
        <f t="shared" si="9"/>
        <v>0</v>
      </c>
      <c r="P31" s="1524">
        <f t="shared" ref="P31:R38" ca="1" si="14">+F31+I31</f>
        <v>0</v>
      </c>
      <c r="Q31" s="1524">
        <f t="shared" ca="1" si="14"/>
        <v>0</v>
      </c>
      <c r="R31" s="1545">
        <f t="shared" ca="1" si="14"/>
        <v>0</v>
      </c>
      <c r="S31" s="1546"/>
      <c r="T31" s="1544"/>
      <c r="U31" s="1544"/>
      <c r="V31" s="1544"/>
      <c r="W31" s="1544"/>
      <c r="X31" s="1544"/>
      <c r="Y31" s="1544"/>
      <c r="Z31" s="1544"/>
      <c r="AA31" s="1544"/>
      <c r="AE31" s="1547"/>
      <c r="AF31" s="1547"/>
      <c r="AG31" s="1547"/>
      <c r="AH31" s="1521"/>
      <c r="AI31" s="1521"/>
      <c r="AJ31" s="1521"/>
      <c r="AK31" s="1521"/>
      <c r="AL31" s="1521"/>
      <c r="AM31" s="1521"/>
      <c r="AN31" s="1521"/>
      <c r="AO31" s="1521"/>
      <c r="AP31" s="1521"/>
      <c r="AQ31" s="1548"/>
      <c r="AR31" s="1549"/>
      <c r="AS31" s="1549"/>
      <c r="DM31" s="1525">
        <f t="shared" si="10"/>
        <v>0</v>
      </c>
      <c r="DN31" s="1526">
        <f t="shared" si="11"/>
        <v>0</v>
      </c>
      <c r="DO31" s="1526">
        <f t="shared" si="12"/>
        <v>0</v>
      </c>
      <c r="DP31" s="1529" t="str">
        <f>+IF(DO31=0,"S.D.",IF(AND((DN31/DO31)&gt;150,(DN31/DO31)&lt;=500),"O.K.","VERIFICAR"))</f>
        <v>S.D.</v>
      </c>
      <c r="DQ31" s="1525"/>
    </row>
    <row r="32" spans="1:121" ht="49.5" customHeight="1" x14ac:dyDescent="0.45">
      <c r="A32" s="4608"/>
      <c r="B32" s="1955">
        <v>5050</v>
      </c>
      <c r="C32" s="3742" t="s">
        <v>903</v>
      </c>
      <c r="D32" s="3742"/>
      <c r="E32" s="1543">
        <f t="shared" si="13"/>
        <v>0</v>
      </c>
      <c r="F32" s="1543">
        <f t="shared" si="13"/>
        <v>0</v>
      </c>
      <c r="G32" s="1543">
        <f t="shared" si="13"/>
        <v>0</v>
      </c>
      <c r="H32" s="1543">
        <f t="shared" si="13"/>
        <v>0</v>
      </c>
      <c r="I32" s="1543">
        <f t="shared" ca="1" si="13"/>
        <v>0</v>
      </c>
      <c r="J32" s="1543">
        <f t="shared" ca="1" si="13"/>
        <v>0</v>
      </c>
      <c r="K32" s="1543">
        <f t="shared" ca="1" si="13"/>
        <v>0</v>
      </c>
      <c r="L32" s="1544"/>
      <c r="M32" s="1544"/>
      <c r="N32" s="1544"/>
      <c r="O32" s="1523"/>
      <c r="P32" s="1524">
        <f t="shared" ca="1" si="14"/>
        <v>0</v>
      </c>
      <c r="Q32" s="1524">
        <f t="shared" ca="1" si="14"/>
        <v>0</v>
      </c>
      <c r="R32" s="1545">
        <f t="shared" ca="1" si="14"/>
        <v>0</v>
      </c>
      <c r="S32" s="1546"/>
      <c r="T32" s="1544"/>
      <c r="U32" s="1544"/>
      <c r="V32" s="1544"/>
      <c r="W32" s="1544"/>
      <c r="X32" s="1544"/>
      <c r="Y32" s="1544"/>
      <c r="Z32" s="1544"/>
      <c r="AA32" s="1544"/>
      <c r="AE32" s="1547"/>
      <c r="AF32" s="1547"/>
      <c r="AG32" s="1547"/>
      <c r="AH32" s="1521"/>
      <c r="AI32" s="1521"/>
      <c r="AJ32" s="1521"/>
      <c r="AK32" s="1521"/>
      <c r="AL32" s="1521"/>
      <c r="AM32" s="1521"/>
      <c r="AN32" s="1521"/>
      <c r="AO32" s="1521"/>
      <c r="AP32" s="1521"/>
      <c r="AQ32" s="1548"/>
      <c r="AR32" s="1549"/>
      <c r="AS32" s="1549"/>
      <c r="DM32" s="1525">
        <f t="shared" si="10"/>
        <v>0</v>
      </c>
      <c r="DN32" s="1526">
        <f t="shared" si="11"/>
        <v>0</v>
      </c>
      <c r="DO32" s="1526">
        <f t="shared" si="12"/>
        <v>0</v>
      </c>
      <c r="DP32" s="1529" t="str">
        <f>+IF(DO32=0,"S.D.",IF(AND((DN32/DO32)&gt;150,(DN32/DO32)&lt;=400),"O.K.","VERIFICAR"))</f>
        <v>S.D.</v>
      </c>
      <c r="DQ32" s="1525"/>
    </row>
    <row r="33" spans="1:121" ht="49.5" customHeight="1" x14ac:dyDescent="0.45">
      <c r="A33" s="4608"/>
      <c r="B33" s="1955">
        <v>5055</v>
      </c>
      <c r="C33" s="3742" t="s">
        <v>904</v>
      </c>
      <c r="D33" s="3742"/>
      <c r="E33" s="1543">
        <f t="shared" si="13"/>
        <v>0</v>
      </c>
      <c r="F33" s="1543">
        <f t="shared" si="13"/>
        <v>0</v>
      </c>
      <c r="G33" s="1543">
        <f t="shared" si="13"/>
        <v>0</v>
      </c>
      <c r="H33" s="1543">
        <f t="shared" si="13"/>
        <v>0</v>
      </c>
      <c r="I33" s="1543">
        <f t="shared" ca="1" si="13"/>
        <v>0</v>
      </c>
      <c r="J33" s="1543">
        <f t="shared" ca="1" si="13"/>
        <v>0</v>
      </c>
      <c r="K33" s="1543">
        <f t="shared" ca="1" si="13"/>
        <v>0</v>
      </c>
      <c r="L33" s="1544"/>
      <c r="M33" s="1544"/>
      <c r="N33" s="1544"/>
      <c r="O33" s="1523"/>
      <c r="P33" s="1524">
        <f t="shared" ca="1" si="14"/>
        <v>0</v>
      </c>
      <c r="Q33" s="1524">
        <f t="shared" ca="1" si="14"/>
        <v>0</v>
      </c>
      <c r="R33" s="1545">
        <f t="shared" ca="1" si="14"/>
        <v>0</v>
      </c>
      <c r="S33" s="1546"/>
      <c r="T33" s="1544"/>
      <c r="U33" s="1544"/>
      <c r="V33" s="1544"/>
      <c r="W33" s="1544"/>
      <c r="X33" s="1544"/>
      <c r="Y33" s="1544"/>
      <c r="Z33" s="1544"/>
      <c r="AA33" s="1544"/>
      <c r="AE33" s="1547"/>
      <c r="AF33" s="1547"/>
      <c r="AG33" s="1547"/>
      <c r="AH33" s="1521"/>
      <c r="AI33" s="1521"/>
      <c r="AJ33" s="1521"/>
      <c r="AK33" s="1521"/>
      <c r="AL33" s="1521"/>
      <c r="AM33" s="1521"/>
      <c r="AN33" s="1521"/>
      <c r="AO33" s="1521"/>
      <c r="AP33" s="1521"/>
      <c r="AQ33" s="1548"/>
      <c r="AR33" s="1549"/>
      <c r="AS33" s="1549"/>
      <c r="DM33" s="1525">
        <f t="shared" si="10"/>
        <v>0</v>
      </c>
      <c r="DN33" s="1526">
        <f t="shared" si="11"/>
        <v>0</v>
      </c>
      <c r="DO33" s="1526">
        <f t="shared" si="12"/>
        <v>0</v>
      </c>
      <c r="DP33" s="1529" t="str">
        <f>+IF(DO33=0,"S.D.",IF(AND((DN33/DO33)&gt;400,(DN33/DO33)&lt;=500),"O.K.","VERIFICAR"))</f>
        <v>S.D.</v>
      </c>
      <c r="DQ33" s="1525"/>
    </row>
    <row r="34" spans="1:121" ht="49.5" customHeight="1" x14ac:dyDescent="0.45">
      <c r="A34" s="4608"/>
      <c r="B34" s="1948">
        <v>5503</v>
      </c>
      <c r="C34" s="3751" t="s">
        <v>223</v>
      </c>
      <c r="D34" s="1957" t="s">
        <v>53</v>
      </c>
      <c r="E34" s="1543">
        <f t="shared" si="13"/>
        <v>0</v>
      </c>
      <c r="F34" s="1543">
        <f t="shared" si="13"/>
        <v>0</v>
      </c>
      <c r="G34" s="1543">
        <f t="shared" si="13"/>
        <v>0</v>
      </c>
      <c r="H34" s="1543">
        <f t="shared" si="13"/>
        <v>0</v>
      </c>
      <c r="I34" s="1543">
        <f t="shared" ca="1" si="13"/>
        <v>0</v>
      </c>
      <c r="J34" s="1543">
        <f t="shared" ca="1" si="13"/>
        <v>0</v>
      </c>
      <c r="K34" s="1543">
        <f t="shared" ca="1" si="13"/>
        <v>0</v>
      </c>
      <c r="L34" s="1530"/>
      <c r="M34" s="1530"/>
      <c r="N34" s="1530"/>
      <c r="O34" s="1523">
        <f t="shared" si="9"/>
        <v>0</v>
      </c>
      <c r="P34" s="1524">
        <f t="shared" ca="1" si="14"/>
        <v>0</v>
      </c>
      <c r="Q34" s="1524">
        <f t="shared" ca="1" si="14"/>
        <v>0</v>
      </c>
      <c r="R34" s="1545">
        <f t="shared" ca="1" si="14"/>
        <v>0</v>
      </c>
      <c r="S34" s="1546"/>
      <c r="T34" s="1544"/>
      <c r="U34" s="1544"/>
      <c r="V34" s="1544"/>
      <c r="W34" s="1544"/>
      <c r="X34" s="1544"/>
      <c r="Y34" s="1544"/>
      <c r="Z34" s="1544"/>
      <c r="AA34" s="1544"/>
      <c r="AE34" s="1547"/>
      <c r="AF34" s="1547"/>
      <c r="AG34" s="1547"/>
      <c r="AH34" s="1521"/>
      <c r="AI34" s="1521"/>
      <c r="AJ34" s="1521"/>
      <c r="AK34" s="1521"/>
      <c r="AL34" s="1521"/>
      <c r="AM34" s="1521"/>
      <c r="AN34" s="1521"/>
      <c r="AO34" s="1521"/>
      <c r="AP34" s="1521"/>
      <c r="AQ34" s="1548"/>
      <c r="AR34" s="1549"/>
      <c r="AS34" s="1549"/>
      <c r="BR34" s="1489" t="e">
        <f>+SUM(F34:H34)/E34</f>
        <v>#DIV/0!</v>
      </c>
      <c r="DM34" s="1525">
        <f t="shared" si="10"/>
        <v>0</v>
      </c>
      <c r="DN34" s="1526">
        <f t="shared" si="11"/>
        <v>0</v>
      </c>
      <c r="DO34" s="1526">
        <f t="shared" si="12"/>
        <v>0</v>
      </c>
      <c r="DP34" s="1529" t="str">
        <f>+IF(DO34=0,"S.D.",IF(AND((DN34/DO34)&gt;150,(DN34/DO34)&lt;=300),"O.K.","VERIFICAR"))</f>
        <v>S.D.</v>
      </c>
      <c r="DQ34" s="1525"/>
    </row>
    <row r="35" spans="1:121" ht="49.5" customHeight="1" x14ac:dyDescent="0.45">
      <c r="A35" s="4608"/>
      <c r="B35" s="1948">
        <v>5504</v>
      </c>
      <c r="C35" s="3746"/>
      <c r="D35" s="1957" t="s">
        <v>54</v>
      </c>
      <c r="E35" s="1543">
        <f t="shared" si="13"/>
        <v>0</v>
      </c>
      <c r="F35" s="1543">
        <f t="shared" si="13"/>
        <v>0</v>
      </c>
      <c r="G35" s="1543">
        <f t="shared" si="13"/>
        <v>0</v>
      </c>
      <c r="H35" s="1543">
        <f t="shared" si="13"/>
        <v>0</v>
      </c>
      <c r="I35" s="1543">
        <f t="shared" ca="1" si="13"/>
        <v>0</v>
      </c>
      <c r="J35" s="1543">
        <f t="shared" ca="1" si="13"/>
        <v>0</v>
      </c>
      <c r="K35" s="1543">
        <f t="shared" ca="1" si="13"/>
        <v>0</v>
      </c>
      <c r="L35" s="1530"/>
      <c r="M35" s="1530"/>
      <c r="N35" s="1530"/>
      <c r="O35" s="1523">
        <f t="shared" si="9"/>
        <v>0</v>
      </c>
      <c r="P35" s="1524">
        <f t="shared" ca="1" si="14"/>
        <v>0</v>
      </c>
      <c r="Q35" s="1524">
        <f t="shared" ca="1" si="14"/>
        <v>0</v>
      </c>
      <c r="R35" s="1545">
        <f t="shared" ca="1" si="14"/>
        <v>0</v>
      </c>
      <c r="S35" s="1546"/>
      <c r="T35" s="1544"/>
      <c r="U35" s="1544"/>
      <c r="V35" s="1544"/>
      <c r="W35" s="1544"/>
      <c r="X35" s="1544"/>
      <c r="Y35" s="1544"/>
      <c r="Z35" s="1544"/>
      <c r="AA35" s="1544"/>
      <c r="AE35" s="1547"/>
      <c r="AF35" s="1547"/>
      <c r="AG35" s="1547"/>
      <c r="AH35" s="1521"/>
      <c r="AI35" s="1521"/>
      <c r="AJ35" s="1521"/>
      <c r="AK35" s="1521"/>
      <c r="AL35" s="1521"/>
      <c r="AM35" s="1521"/>
      <c r="AN35" s="1521"/>
      <c r="AO35" s="1521"/>
      <c r="AP35" s="1521"/>
      <c r="AQ35" s="1548"/>
      <c r="AR35" s="1549"/>
      <c r="AS35" s="1549"/>
      <c r="DM35" s="1525">
        <f t="shared" si="10"/>
        <v>0</v>
      </c>
      <c r="DN35" s="1526">
        <f t="shared" si="11"/>
        <v>0</v>
      </c>
      <c r="DO35" s="1526">
        <f t="shared" si="12"/>
        <v>0</v>
      </c>
      <c r="DP35" s="1529" t="str">
        <f>+IF(DO35=0,"S.D.",IF(AND((DN35/DO35)&gt;300,(DN35/DO35)&lt;=500),"O.K.","VERIFICAR"))</f>
        <v>S.D.</v>
      </c>
      <c r="DQ35" s="1525"/>
    </row>
    <row r="36" spans="1:121" ht="49.5" customHeight="1" x14ac:dyDescent="0.45">
      <c r="A36" s="4608"/>
      <c r="B36" s="1949">
        <v>5513</v>
      </c>
      <c r="C36" s="3746"/>
      <c r="D36" s="1958" t="s">
        <v>55</v>
      </c>
      <c r="E36" s="1543">
        <f t="shared" si="13"/>
        <v>0</v>
      </c>
      <c r="F36" s="1543">
        <f t="shared" si="13"/>
        <v>0</v>
      </c>
      <c r="G36" s="1543">
        <f t="shared" si="13"/>
        <v>0</v>
      </c>
      <c r="H36" s="1543">
        <f t="shared" si="13"/>
        <v>0</v>
      </c>
      <c r="I36" s="1543">
        <f t="shared" ca="1" si="13"/>
        <v>0</v>
      </c>
      <c r="J36" s="1543">
        <f t="shared" ca="1" si="13"/>
        <v>0</v>
      </c>
      <c r="K36" s="1543">
        <f t="shared" ca="1" si="13"/>
        <v>0</v>
      </c>
      <c r="L36" s="1528"/>
      <c r="M36" s="1528"/>
      <c r="N36" s="1528"/>
      <c r="O36" s="1523">
        <f t="shared" si="9"/>
        <v>0</v>
      </c>
      <c r="P36" s="1524">
        <f t="shared" ca="1" si="14"/>
        <v>0</v>
      </c>
      <c r="Q36" s="1524">
        <f t="shared" ca="1" si="14"/>
        <v>0</v>
      </c>
      <c r="R36" s="1545">
        <f t="shared" ca="1" si="14"/>
        <v>0</v>
      </c>
      <c r="S36" s="1546"/>
      <c r="T36" s="1544"/>
      <c r="U36" s="1544"/>
      <c r="V36" s="1544"/>
      <c r="W36" s="1544"/>
      <c r="X36" s="1544"/>
      <c r="Y36" s="1544"/>
      <c r="Z36" s="1544"/>
      <c r="AA36" s="1544"/>
      <c r="AE36" s="1547"/>
      <c r="AF36" s="1547"/>
      <c r="AG36" s="1547"/>
      <c r="AH36" s="1521"/>
      <c r="AI36" s="1521"/>
      <c r="AJ36" s="1521"/>
      <c r="AK36" s="1521"/>
      <c r="AL36" s="1521"/>
      <c r="AM36" s="1521"/>
      <c r="AN36" s="1521"/>
      <c r="AO36" s="1521"/>
      <c r="AP36" s="1521"/>
      <c r="AQ36" s="1548"/>
      <c r="AR36" s="1549"/>
      <c r="AS36" s="1549"/>
      <c r="DM36" s="1525">
        <f t="shared" si="10"/>
        <v>0</v>
      </c>
      <c r="DN36" s="1526">
        <f t="shared" si="11"/>
        <v>0</v>
      </c>
      <c r="DO36" s="1526">
        <f t="shared" si="12"/>
        <v>0</v>
      </c>
      <c r="DP36" s="1529" t="str">
        <f>+IF(DO36=0,"S.D.",IF(AND((DN36/DO36)&gt;150,(DN36/DO36)&lt;=300),"O.K.","VERIFICAR"))</f>
        <v>S.D.</v>
      </c>
      <c r="DQ36" s="1525"/>
    </row>
    <row r="37" spans="1:121" ht="49.5" customHeight="1" x14ac:dyDescent="0.5">
      <c r="A37" s="4608"/>
      <c r="B37" s="1949">
        <v>5514</v>
      </c>
      <c r="C37" s="3752"/>
      <c r="D37" s="1958" t="s">
        <v>56</v>
      </c>
      <c r="E37" s="1543">
        <f t="shared" si="13"/>
        <v>0</v>
      </c>
      <c r="F37" s="1543">
        <f t="shared" si="13"/>
        <v>0</v>
      </c>
      <c r="G37" s="1543">
        <f t="shared" si="13"/>
        <v>0</v>
      </c>
      <c r="H37" s="1543">
        <f t="shared" si="13"/>
        <v>0</v>
      </c>
      <c r="I37" s="1543">
        <f t="shared" ca="1" si="13"/>
        <v>0</v>
      </c>
      <c r="J37" s="1543">
        <f t="shared" ca="1" si="13"/>
        <v>0</v>
      </c>
      <c r="K37" s="1543">
        <f t="shared" ca="1" si="13"/>
        <v>0</v>
      </c>
      <c r="L37" s="1530"/>
      <c r="M37" s="1530"/>
      <c r="N37" s="1530"/>
      <c r="O37" s="1523">
        <f t="shared" si="9"/>
        <v>0</v>
      </c>
      <c r="P37" s="1524">
        <f t="shared" ca="1" si="14"/>
        <v>0</v>
      </c>
      <c r="Q37" s="1524">
        <f t="shared" ca="1" si="14"/>
        <v>0</v>
      </c>
      <c r="R37" s="1545">
        <f t="shared" ca="1" si="14"/>
        <v>0</v>
      </c>
      <c r="S37" s="1546"/>
      <c r="T37" s="1543">
        <f>+F37-L37</f>
        <v>0</v>
      </c>
      <c r="U37" s="1543"/>
      <c r="V37" s="1543"/>
      <c r="W37" s="1543">
        <f>+G37-M37</f>
        <v>0</v>
      </c>
      <c r="X37" s="1543">
        <f>+H37-N37</f>
        <v>0</v>
      </c>
      <c r="Y37" s="1543">
        <f ca="1">+IF( I37=0,0,(T37/F37)*I37)</f>
        <v>0</v>
      </c>
      <c r="Z37" s="1543">
        <f ca="1">+IF(J37=0,0,(W37/G37)*J37)</f>
        <v>0</v>
      </c>
      <c r="AA37" s="1543">
        <f ca="1">+IF(K37=0,0,(X37/H37)*K37)</f>
        <v>0</v>
      </c>
      <c r="AB37" s="1543">
        <f ca="1">+T37+Y37</f>
        <v>0</v>
      </c>
      <c r="AC37" s="1543">
        <f ca="1">+W37+Z37</f>
        <v>0</v>
      </c>
      <c r="AD37" s="1543">
        <f ca="1">+X37+AA37</f>
        <v>0</v>
      </c>
      <c r="AE37" s="1553">
        <f t="shared" ref="AE37:AG38" si="15">+L37</f>
        <v>0</v>
      </c>
      <c r="AF37" s="1553">
        <f t="shared" si="15"/>
        <v>0</v>
      </c>
      <c r="AG37" s="1553">
        <f t="shared" si="15"/>
        <v>0</v>
      </c>
      <c r="AH37" s="1553">
        <f t="shared" ref="AH37:AJ38" ca="1" si="16">+I37-Y37</f>
        <v>0</v>
      </c>
      <c r="AI37" s="1553">
        <f t="shared" ca="1" si="16"/>
        <v>0</v>
      </c>
      <c r="AJ37" s="1553">
        <f t="shared" ca="1" si="16"/>
        <v>0</v>
      </c>
      <c r="AK37" s="1553">
        <f t="shared" ref="AK37:AM38" ca="1" si="17">+AE37+AH37</f>
        <v>0</v>
      </c>
      <c r="AL37" s="1553">
        <f t="shared" ca="1" si="17"/>
        <v>0</v>
      </c>
      <c r="AM37" s="1553">
        <f t="shared" ca="1" si="17"/>
        <v>0</v>
      </c>
      <c r="AN37" s="1554">
        <f ca="1">+T37+Y37+AE37+AH37</f>
        <v>0</v>
      </c>
      <c r="AO37" s="1554">
        <f ca="1">+W37+Z37+AF37+AI37</f>
        <v>0</v>
      </c>
      <c r="AP37" s="1554">
        <f ca="1">+X37+AA37+AG37+AJ37</f>
        <v>0</v>
      </c>
      <c r="AQ37" s="1555">
        <f t="shared" ref="AQ37:AS38" ca="1" si="18">+P37-AN37</f>
        <v>0</v>
      </c>
      <c r="AR37" s="1555">
        <f t="shared" ca="1" si="18"/>
        <v>0</v>
      </c>
      <c r="AS37" s="1555">
        <f t="shared" ca="1" si="18"/>
        <v>0</v>
      </c>
      <c r="DM37" s="1525">
        <f t="shared" si="10"/>
        <v>0</v>
      </c>
      <c r="DN37" s="1526">
        <f t="shared" si="11"/>
        <v>0</v>
      </c>
      <c r="DO37" s="1526">
        <f t="shared" si="12"/>
        <v>0</v>
      </c>
      <c r="DP37" s="1529" t="str">
        <f>+IF(DO37=0,"S.D.",IF(AND((DN37/DO37)&gt;300,(DN37/DO37)&lt;=500),"O.K.","VERIFICAR"))</f>
        <v>S.D.</v>
      </c>
      <c r="DQ37" s="1525"/>
    </row>
    <row r="38" spans="1:121" ht="49.5" customHeight="1" thickBot="1" x14ac:dyDescent="0.55000000000000004">
      <c r="A38" s="4609"/>
      <c r="B38" s="1953">
        <v>6000</v>
      </c>
      <c r="C38" s="4590" t="s">
        <v>51</v>
      </c>
      <c r="D38" s="4591"/>
      <c r="E38" s="1543">
        <f t="shared" si="13"/>
        <v>0</v>
      </c>
      <c r="F38" s="1543">
        <f t="shared" si="13"/>
        <v>0</v>
      </c>
      <c r="G38" s="1543">
        <f t="shared" si="13"/>
        <v>0</v>
      </c>
      <c r="H38" s="1543">
        <f t="shared" si="13"/>
        <v>0</v>
      </c>
      <c r="I38" s="1543">
        <f t="shared" ca="1" si="13"/>
        <v>0</v>
      </c>
      <c r="J38" s="1543">
        <f t="shared" ca="1" si="13"/>
        <v>0</v>
      </c>
      <c r="K38" s="1543">
        <f t="shared" ca="1" si="13"/>
        <v>0</v>
      </c>
      <c r="L38" s="1528"/>
      <c r="M38" s="1528"/>
      <c r="N38" s="1528"/>
      <c r="O38" s="1523">
        <f t="shared" si="9"/>
        <v>0</v>
      </c>
      <c r="P38" s="1524">
        <f t="shared" ca="1" si="14"/>
        <v>0</v>
      </c>
      <c r="Q38" s="1524">
        <f t="shared" ca="1" si="14"/>
        <v>0</v>
      </c>
      <c r="R38" s="1545">
        <f t="shared" ca="1" si="14"/>
        <v>0</v>
      </c>
      <c r="S38" s="1546"/>
      <c r="T38" s="1543">
        <f>+F38-L38</f>
        <v>0</v>
      </c>
      <c r="U38" s="1543"/>
      <c r="V38" s="1543"/>
      <c r="W38" s="1543">
        <f>+G38-M38</f>
        <v>0</v>
      </c>
      <c r="X38" s="1543">
        <f>+H38-N38</f>
        <v>0</v>
      </c>
      <c r="Y38" s="1543">
        <f ca="1">+IF( I38=0,0,(T38/F38)*I38)</f>
        <v>0</v>
      </c>
      <c r="Z38" s="1543">
        <f ca="1">+IF(J38=0,0,(W38/G38)*J38)</f>
        <v>0</v>
      </c>
      <c r="AA38" s="1543">
        <f ca="1">+IF(K38=0,0,(X38/H38)*K38)</f>
        <v>0</v>
      </c>
      <c r="AB38" s="1543">
        <f ca="1">+T38+Y38</f>
        <v>0</v>
      </c>
      <c r="AC38" s="1543">
        <f ca="1">+W38+Z38</f>
        <v>0</v>
      </c>
      <c r="AD38" s="1543">
        <f ca="1">+X38+AA38</f>
        <v>0</v>
      </c>
      <c r="AE38" s="1553">
        <f t="shared" si="15"/>
        <v>0</v>
      </c>
      <c r="AF38" s="1553">
        <f t="shared" si="15"/>
        <v>0</v>
      </c>
      <c r="AG38" s="1553">
        <f t="shared" si="15"/>
        <v>0</v>
      </c>
      <c r="AH38" s="1553">
        <f t="shared" ca="1" si="16"/>
        <v>0</v>
      </c>
      <c r="AI38" s="1553">
        <f t="shared" ca="1" si="16"/>
        <v>0</v>
      </c>
      <c r="AJ38" s="1553">
        <f t="shared" ca="1" si="16"/>
        <v>0</v>
      </c>
      <c r="AK38" s="1553">
        <f t="shared" ca="1" si="17"/>
        <v>0</v>
      </c>
      <c r="AL38" s="1553">
        <f t="shared" ca="1" si="17"/>
        <v>0</v>
      </c>
      <c r="AM38" s="1553">
        <f t="shared" ca="1" si="17"/>
        <v>0</v>
      </c>
      <c r="AN38" s="1554">
        <f ca="1">+T38+Y38+AE38+AH38</f>
        <v>0</v>
      </c>
      <c r="AO38" s="1554">
        <f ca="1">+W38+Z38+AF38+AI38</f>
        <v>0</v>
      </c>
      <c r="AP38" s="1554">
        <f ca="1">+X38+AA38+AG38+AJ38</f>
        <v>0</v>
      </c>
      <c r="AQ38" s="1555">
        <f t="shared" ca="1" si="18"/>
        <v>0</v>
      </c>
      <c r="AR38" s="1555">
        <f t="shared" ca="1" si="18"/>
        <v>0</v>
      </c>
      <c r="AS38" s="1555">
        <f t="shared" ca="1" si="18"/>
        <v>0</v>
      </c>
      <c r="DM38" s="1525">
        <f t="shared" si="10"/>
        <v>0</v>
      </c>
      <c r="DN38" s="1526">
        <f t="shared" si="11"/>
        <v>0</v>
      </c>
      <c r="DO38" s="1526">
        <f t="shared" si="12"/>
        <v>0</v>
      </c>
      <c r="DP38" s="1529" t="str">
        <f>+IF(DO38=0,"S.D.",IF(AND((DN38/DO38)&gt;150,(DN38/DO38)&lt;=500),"O.K.","VERIFICAR"))</f>
        <v>S.D.</v>
      </c>
      <c r="DQ38" s="1525"/>
    </row>
    <row r="39" spans="1:121" ht="49.5" customHeight="1" x14ac:dyDescent="0.45">
      <c r="A39" s="1556"/>
      <c r="B39" s="5304" t="s">
        <v>392</v>
      </c>
      <c r="C39" s="4249"/>
      <c r="D39" s="5305"/>
      <c r="E39" s="1557" t="e">
        <f t="shared" ref="E39:N39" si="19">SUM(E30:E38)</f>
        <v>#REF!</v>
      </c>
      <c r="F39" s="1557" t="e">
        <f t="shared" si="19"/>
        <v>#REF!</v>
      </c>
      <c r="G39" s="1557" t="e">
        <f t="shared" si="19"/>
        <v>#REF!</v>
      </c>
      <c r="H39" s="1557" t="e">
        <f t="shared" si="19"/>
        <v>#REF!</v>
      </c>
      <c r="I39" s="1557" t="e">
        <f t="shared" si="19"/>
        <v>#REF!</v>
      </c>
      <c r="J39" s="1557" t="e">
        <f t="shared" si="19"/>
        <v>#REF!</v>
      </c>
      <c r="K39" s="1557" t="e">
        <f t="shared" si="19"/>
        <v>#REF!</v>
      </c>
      <c r="L39" s="1557">
        <f t="shared" si="19"/>
        <v>0</v>
      </c>
      <c r="M39" s="1557">
        <f t="shared" si="19"/>
        <v>0</v>
      </c>
      <c r="N39" s="1557">
        <f t="shared" si="19"/>
        <v>0</v>
      </c>
      <c r="O39" s="1523" t="e">
        <f t="shared" si="9"/>
        <v>#REF!</v>
      </c>
      <c r="P39" s="1558" t="e">
        <f>SUM(P30:P38)</f>
        <v>#REF!</v>
      </c>
      <c r="Q39" s="1558" t="e">
        <f>SUM(Q30:Q38)</f>
        <v>#REF!</v>
      </c>
      <c r="R39" s="1559" t="e">
        <f>SUM(R30:R38)</f>
        <v>#REF!</v>
      </c>
      <c r="S39" s="1560" t="e">
        <f>SUM(P39:R39)</f>
        <v>#REF!</v>
      </c>
      <c r="T39" s="1557">
        <f>SUM(T30:T38)</f>
        <v>0</v>
      </c>
      <c r="U39" s="1557"/>
      <c r="V39" s="1557"/>
      <c r="W39" s="1557">
        <f t="shared" ref="W39:AP39" si="20">SUM(W30:W38)</f>
        <v>0</v>
      </c>
      <c r="X39" s="1557">
        <f t="shared" si="20"/>
        <v>0</v>
      </c>
      <c r="Y39" s="1557">
        <f t="shared" ca="1" si="20"/>
        <v>0</v>
      </c>
      <c r="Z39" s="1557">
        <f t="shared" ca="1" si="20"/>
        <v>0</v>
      </c>
      <c r="AA39" s="1557">
        <f t="shared" ca="1" si="20"/>
        <v>0</v>
      </c>
      <c r="AB39" s="1557">
        <f t="shared" ca="1" si="20"/>
        <v>0</v>
      </c>
      <c r="AC39" s="1557">
        <f t="shared" ca="1" si="20"/>
        <v>0</v>
      </c>
      <c r="AD39" s="1557">
        <f t="shared" ca="1" si="20"/>
        <v>0</v>
      </c>
      <c r="AE39" s="1557">
        <f t="shared" si="20"/>
        <v>0</v>
      </c>
      <c r="AF39" s="1557">
        <f t="shared" si="20"/>
        <v>0</v>
      </c>
      <c r="AG39" s="1557">
        <f t="shared" si="20"/>
        <v>0</v>
      </c>
      <c r="AH39" s="1557">
        <f t="shared" ca="1" si="20"/>
        <v>0</v>
      </c>
      <c r="AI39" s="1557">
        <f t="shared" ca="1" si="20"/>
        <v>0</v>
      </c>
      <c r="AJ39" s="1557">
        <f t="shared" ca="1" si="20"/>
        <v>0</v>
      </c>
      <c r="AK39" s="1557">
        <f t="shared" ca="1" si="20"/>
        <v>0</v>
      </c>
      <c r="AL39" s="1557">
        <f t="shared" ca="1" si="20"/>
        <v>0</v>
      </c>
      <c r="AM39" s="1557">
        <f t="shared" ca="1" si="20"/>
        <v>0</v>
      </c>
      <c r="AN39" s="1557">
        <f t="shared" ca="1" si="20"/>
        <v>0</v>
      </c>
      <c r="AO39" s="1557">
        <f t="shared" ca="1" si="20"/>
        <v>0</v>
      </c>
      <c r="AP39" s="1557">
        <f t="shared" ca="1" si="20"/>
        <v>0</v>
      </c>
      <c r="AQ39" s="1549"/>
      <c r="AR39" s="1549"/>
      <c r="AS39" s="1549"/>
      <c r="DM39" s="1659" t="e">
        <f t="shared" si="10"/>
        <v>#REF!</v>
      </c>
      <c r="DN39" s="1937" t="e">
        <f t="shared" si="11"/>
        <v>#REF!</v>
      </c>
      <c r="DO39" s="1938" t="e">
        <f t="shared" si="12"/>
        <v>#REF!</v>
      </c>
      <c r="DP39" s="1491"/>
    </row>
    <row r="40" spans="1:121" s="1540" customFormat="1" ht="49.5" customHeight="1" x14ac:dyDescent="0.45">
      <c r="A40" s="1561"/>
      <c r="B40" s="1562"/>
      <c r="C40" s="1562"/>
      <c r="D40" s="1562"/>
      <c r="E40" s="1562"/>
      <c r="F40" s="1562"/>
      <c r="G40" s="1562"/>
      <c r="H40" s="1562"/>
      <c r="I40" s="1562"/>
      <c r="J40" s="1562"/>
      <c r="K40" s="1562"/>
      <c r="L40" s="1562"/>
      <c r="M40" s="1562"/>
      <c r="N40" s="1562"/>
      <c r="O40" s="1562"/>
      <c r="P40" s="1562"/>
      <c r="Q40" s="1562"/>
      <c r="R40" s="1563"/>
      <c r="Y40" s="1564"/>
      <c r="Z40" s="1564"/>
      <c r="AA40" s="1564"/>
      <c r="DM40" s="1541"/>
    </row>
    <row r="41" spans="1:121" s="1540" customFormat="1" ht="49.5" customHeight="1" thickBot="1" x14ac:dyDescent="0.5">
      <c r="A41" s="1565"/>
      <c r="B41" s="1566"/>
      <c r="C41" s="1566"/>
      <c r="D41" s="1566"/>
      <c r="E41" s="1566"/>
      <c r="F41" s="1566"/>
      <c r="G41" s="1566"/>
      <c r="H41" s="1566"/>
      <c r="I41" s="1566"/>
      <c r="J41" s="1566"/>
      <c r="K41" s="1566"/>
      <c r="L41" s="1566"/>
      <c r="M41" s="1566"/>
      <c r="N41" s="1566"/>
      <c r="O41" s="1566"/>
      <c r="P41" s="1566"/>
      <c r="Q41" s="1566"/>
      <c r="R41" s="1567"/>
      <c r="DM41" s="1541"/>
    </row>
    <row r="42" spans="1:121" ht="49.5" customHeight="1" x14ac:dyDescent="0.5">
      <c r="A42" s="5178" t="s">
        <v>393</v>
      </c>
      <c r="B42" s="5179"/>
      <c r="C42" s="5179"/>
      <c r="D42" s="5180"/>
      <c r="E42" s="5306" t="s">
        <v>101</v>
      </c>
      <c r="F42" s="4237" t="s">
        <v>304</v>
      </c>
      <c r="G42" s="4238"/>
      <c r="H42" s="4240"/>
      <c r="I42" s="4237" t="s">
        <v>368</v>
      </c>
      <c r="J42" s="4238"/>
      <c r="K42" s="4240"/>
      <c r="L42" s="4237" t="s">
        <v>851</v>
      </c>
      <c r="M42" s="4238"/>
      <c r="N42" s="4240"/>
      <c r="O42" s="1514"/>
      <c r="P42" s="4510" t="s">
        <v>377</v>
      </c>
      <c r="Q42" s="4510"/>
      <c r="R42" s="5245"/>
      <c r="T42" s="4395" t="s">
        <v>304</v>
      </c>
      <c r="U42" s="4323"/>
      <c r="V42" s="4323"/>
      <c r="W42" s="4323"/>
      <c r="X42" s="4396"/>
      <c r="Y42" s="4395" t="s">
        <v>368</v>
      </c>
      <c r="Z42" s="4323"/>
      <c r="AA42" s="4396"/>
      <c r="AB42" s="4510" t="s">
        <v>850</v>
      </c>
      <c r="AC42" s="4510"/>
      <c r="AD42" s="4510"/>
      <c r="AE42" s="4237" t="s">
        <v>851</v>
      </c>
      <c r="AF42" s="4238"/>
      <c r="AG42" s="4240"/>
      <c r="AH42" s="4237" t="s">
        <v>852</v>
      </c>
      <c r="AI42" s="4238"/>
      <c r="AJ42" s="4240"/>
      <c r="AK42" s="4237" t="s">
        <v>853</v>
      </c>
      <c r="AL42" s="4238"/>
      <c r="AM42" s="4240"/>
      <c r="AN42" s="4237" t="s">
        <v>377</v>
      </c>
      <c r="AO42" s="4238"/>
      <c r="AP42" s="4240"/>
      <c r="AQ42" s="4237" t="s">
        <v>241</v>
      </c>
      <c r="AR42" s="4238"/>
      <c r="AS42" s="4240"/>
      <c r="DM42" s="5177" t="s">
        <v>241</v>
      </c>
      <c r="DN42" s="4508"/>
      <c r="DO42" s="4508"/>
      <c r="DP42" s="4508"/>
      <c r="DQ42" s="4509"/>
    </row>
    <row r="43" spans="1:121" ht="49.5" customHeight="1" thickBot="1" x14ac:dyDescent="0.5">
      <c r="A43" s="5181"/>
      <c r="B43" s="5182"/>
      <c r="C43" s="5182"/>
      <c r="D43" s="5183"/>
      <c r="E43" s="5307"/>
      <c r="F43" s="1515" t="s">
        <v>287</v>
      </c>
      <c r="G43" s="1515" t="s">
        <v>289</v>
      </c>
      <c r="H43" s="1516" t="s">
        <v>288</v>
      </c>
      <c r="I43" s="1515" t="s">
        <v>287</v>
      </c>
      <c r="J43" s="1515" t="s">
        <v>289</v>
      </c>
      <c r="K43" s="1516" t="s">
        <v>288</v>
      </c>
      <c r="L43" s="1515" t="s">
        <v>287</v>
      </c>
      <c r="M43" s="1515" t="s">
        <v>289</v>
      </c>
      <c r="N43" s="1516" t="s">
        <v>288</v>
      </c>
      <c r="O43" s="1542" t="s">
        <v>905</v>
      </c>
      <c r="P43" s="1515" t="s">
        <v>287</v>
      </c>
      <c r="Q43" s="1515" t="s">
        <v>289</v>
      </c>
      <c r="R43" s="1517" t="s">
        <v>288</v>
      </c>
      <c r="T43" s="1515" t="s">
        <v>287</v>
      </c>
      <c r="U43" s="1515"/>
      <c r="V43" s="1515"/>
      <c r="W43" s="1515" t="s">
        <v>289</v>
      </c>
      <c r="X43" s="1516" t="s">
        <v>288</v>
      </c>
      <c r="Y43" s="1515" t="s">
        <v>287</v>
      </c>
      <c r="Z43" s="1515" t="s">
        <v>289</v>
      </c>
      <c r="AA43" s="1516" t="s">
        <v>288</v>
      </c>
      <c r="AB43" s="1515" t="s">
        <v>287</v>
      </c>
      <c r="AC43" s="1515" t="s">
        <v>289</v>
      </c>
      <c r="AD43" s="1516" t="s">
        <v>288</v>
      </c>
      <c r="AE43" s="1515" t="s">
        <v>287</v>
      </c>
      <c r="AF43" s="1515" t="s">
        <v>289</v>
      </c>
      <c r="AG43" s="1515" t="s">
        <v>288</v>
      </c>
      <c r="AH43" s="1515" t="s">
        <v>287</v>
      </c>
      <c r="AI43" s="1515" t="s">
        <v>289</v>
      </c>
      <c r="AJ43" s="1515" t="s">
        <v>288</v>
      </c>
      <c r="AK43" s="1515" t="s">
        <v>287</v>
      </c>
      <c r="AL43" s="1515" t="s">
        <v>289</v>
      </c>
      <c r="AM43" s="1515" t="s">
        <v>288</v>
      </c>
      <c r="AN43" s="1515" t="s">
        <v>287</v>
      </c>
      <c r="AO43" s="1515" t="s">
        <v>289</v>
      </c>
      <c r="AP43" s="1515" t="s">
        <v>288</v>
      </c>
      <c r="AQ43" s="1515" t="s">
        <v>287</v>
      </c>
      <c r="AR43" s="1515" t="s">
        <v>289</v>
      </c>
      <c r="AS43" s="1515" t="s">
        <v>288</v>
      </c>
      <c r="DM43" s="980" t="s">
        <v>370</v>
      </c>
      <c r="DN43" s="980" t="s">
        <v>25</v>
      </c>
      <c r="DO43" s="980" t="s">
        <v>371</v>
      </c>
      <c r="DP43" s="980" t="s">
        <v>241</v>
      </c>
      <c r="DQ43" s="980"/>
    </row>
    <row r="44" spans="1:121" ht="49.5" customHeight="1" x14ac:dyDescent="0.45">
      <c r="A44" s="5343" t="s">
        <v>57</v>
      </c>
      <c r="B44" s="1947">
        <v>5030</v>
      </c>
      <c r="C44" s="4597" t="s">
        <v>164</v>
      </c>
      <c r="D44" s="4597"/>
      <c r="E44" s="1543" t="e">
        <f>+E204</f>
        <v>#REF!</v>
      </c>
      <c r="F44" s="1543" t="e">
        <f t="shared" ref="F44:K44" si="21">+F204</f>
        <v>#REF!</v>
      </c>
      <c r="G44" s="1543" t="e">
        <f t="shared" si="21"/>
        <v>#REF!</v>
      </c>
      <c r="H44" s="1543" t="e">
        <f t="shared" si="21"/>
        <v>#REF!</v>
      </c>
      <c r="I44" s="1543" t="e">
        <f t="shared" si="21"/>
        <v>#REF!</v>
      </c>
      <c r="J44" s="1543" t="e">
        <f t="shared" si="21"/>
        <v>#REF!</v>
      </c>
      <c r="K44" s="1543" t="e">
        <f t="shared" si="21"/>
        <v>#REF!</v>
      </c>
      <c r="L44" s="1544"/>
      <c r="M44" s="1544"/>
      <c r="N44" s="1544"/>
      <c r="O44" s="1523" t="e">
        <f t="shared" ref="O44:O50" si="22">+IF(E44=0,0,SUM(F44:H44)/E44)</f>
        <v>#REF!</v>
      </c>
      <c r="P44" s="1524" t="e">
        <f t="shared" ref="P44:R49" si="23">+F44+I44</f>
        <v>#REF!</v>
      </c>
      <c r="Q44" s="1524" t="e">
        <f t="shared" si="23"/>
        <v>#REF!</v>
      </c>
      <c r="R44" s="1545" t="e">
        <f t="shared" si="23"/>
        <v>#REF!</v>
      </c>
      <c r="S44" s="1568" t="s">
        <v>394</v>
      </c>
      <c r="T44" s="1544"/>
      <c r="U44" s="1544"/>
      <c r="V44" s="1544"/>
      <c r="W44" s="1544"/>
      <c r="X44" s="1544"/>
      <c r="Y44" s="1544"/>
      <c r="Z44" s="1544"/>
      <c r="AA44" s="1544"/>
      <c r="AE44" s="1547"/>
      <c r="AF44" s="1547"/>
      <c r="AG44" s="1547"/>
      <c r="AH44" s="1521"/>
      <c r="AI44" s="1521"/>
      <c r="AJ44" s="1521"/>
      <c r="AK44" s="1521"/>
      <c r="AL44" s="1521"/>
      <c r="AM44" s="1521"/>
      <c r="AN44" s="1521"/>
      <c r="AO44" s="1521"/>
      <c r="AP44" s="1521"/>
      <c r="AQ44" s="1548"/>
      <c r="AR44" s="1549"/>
      <c r="AS44" s="1549"/>
      <c r="DM44" s="1525" t="e">
        <f t="shared" ref="DM44:DM50" si="24">+IF(E44=0,0,DN44/DO44)</f>
        <v>#REF!</v>
      </c>
      <c r="DN44" s="1526" t="e">
        <f t="shared" ref="DN44:DN50" si="25">+SUM(F44:H44)</f>
        <v>#REF!</v>
      </c>
      <c r="DO44" s="1526" t="e">
        <f t="shared" ref="DO44:DO50" si="26">+E44</f>
        <v>#REF!</v>
      </c>
      <c r="DP44" s="1569" t="e">
        <f t="shared" ref="DP44:DP49" si="27">IF(DO44=0,"S.D.",+IF(AND((DN44/DO44)&gt;500,(DN44/DO44)&lt;=700),"O.K.","VERIFICAR"))</f>
        <v>#REF!</v>
      </c>
      <c r="DQ44" s="1525"/>
    </row>
    <row r="45" spans="1:121" ht="49.5" customHeight="1" x14ac:dyDescent="0.45">
      <c r="A45" s="5344"/>
      <c r="B45" s="1954">
        <v>5040</v>
      </c>
      <c r="C45" s="3743" t="s">
        <v>902</v>
      </c>
      <c r="D45" s="3744"/>
      <c r="E45" s="1543">
        <f t="shared" ref="E45:K49" si="28">+E205</f>
        <v>0</v>
      </c>
      <c r="F45" s="1543">
        <f t="shared" si="28"/>
        <v>0</v>
      </c>
      <c r="G45" s="1543">
        <f t="shared" si="28"/>
        <v>0</v>
      </c>
      <c r="H45" s="1543">
        <f t="shared" si="28"/>
        <v>0</v>
      </c>
      <c r="I45" s="1543">
        <f t="shared" ca="1" si="28"/>
        <v>0</v>
      </c>
      <c r="J45" s="1543">
        <f t="shared" ca="1" si="28"/>
        <v>0</v>
      </c>
      <c r="K45" s="1543">
        <f t="shared" ca="1" si="28"/>
        <v>0</v>
      </c>
      <c r="L45" s="1544"/>
      <c r="M45" s="1544"/>
      <c r="N45" s="1544"/>
      <c r="O45" s="1523">
        <f t="shared" si="22"/>
        <v>0</v>
      </c>
      <c r="P45" s="1524">
        <f t="shared" ca="1" si="23"/>
        <v>0</v>
      </c>
      <c r="Q45" s="1524">
        <f t="shared" ca="1" si="23"/>
        <v>0</v>
      </c>
      <c r="R45" s="1545">
        <f t="shared" ca="1" si="23"/>
        <v>0</v>
      </c>
      <c r="S45" s="1570"/>
      <c r="T45" s="1544"/>
      <c r="U45" s="1544"/>
      <c r="V45" s="1544"/>
      <c r="W45" s="1544"/>
      <c r="X45" s="1544"/>
      <c r="Y45" s="1544"/>
      <c r="Z45" s="1544"/>
      <c r="AA45" s="1544"/>
      <c r="AE45" s="1547"/>
      <c r="AF45" s="1547"/>
      <c r="AG45" s="1547"/>
      <c r="AH45" s="1521"/>
      <c r="AI45" s="1521"/>
      <c r="AJ45" s="1521"/>
      <c r="AK45" s="1521"/>
      <c r="AL45" s="1521"/>
      <c r="AM45" s="1521"/>
      <c r="AN45" s="1521"/>
      <c r="AO45" s="1521"/>
      <c r="AP45" s="1521"/>
      <c r="AQ45" s="1548"/>
      <c r="AR45" s="1549"/>
      <c r="AS45" s="1549"/>
      <c r="DM45" s="1525">
        <f t="shared" si="24"/>
        <v>0</v>
      </c>
      <c r="DN45" s="1526">
        <f t="shared" si="25"/>
        <v>0</v>
      </c>
      <c r="DO45" s="1526">
        <f t="shared" si="26"/>
        <v>0</v>
      </c>
      <c r="DP45" s="1569" t="str">
        <f t="shared" si="27"/>
        <v>S.D.</v>
      </c>
      <c r="DQ45" s="1525"/>
    </row>
    <row r="46" spans="1:121" ht="49.5" customHeight="1" x14ac:dyDescent="0.45">
      <c r="A46" s="5344"/>
      <c r="B46" s="1955">
        <v>5055</v>
      </c>
      <c r="C46" s="3742" t="s">
        <v>904</v>
      </c>
      <c r="D46" s="3742"/>
      <c r="E46" s="1543">
        <f t="shared" si="28"/>
        <v>0</v>
      </c>
      <c r="F46" s="1543">
        <f t="shared" si="28"/>
        <v>0</v>
      </c>
      <c r="G46" s="1543">
        <f t="shared" si="28"/>
        <v>0</v>
      </c>
      <c r="H46" s="1543">
        <f t="shared" si="28"/>
        <v>0</v>
      </c>
      <c r="I46" s="1543">
        <f t="shared" ca="1" si="28"/>
        <v>0</v>
      </c>
      <c r="J46" s="1543">
        <f t="shared" ca="1" si="28"/>
        <v>0</v>
      </c>
      <c r="K46" s="1543">
        <f t="shared" ca="1" si="28"/>
        <v>0</v>
      </c>
      <c r="L46" s="1544"/>
      <c r="M46" s="1544"/>
      <c r="N46" s="1544"/>
      <c r="O46" s="1523"/>
      <c r="P46" s="1524">
        <f t="shared" ca="1" si="23"/>
        <v>0</v>
      </c>
      <c r="Q46" s="1524">
        <f t="shared" ca="1" si="23"/>
        <v>0</v>
      </c>
      <c r="R46" s="1545">
        <f t="shared" ca="1" si="23"/>
        <v>0</v>
      </c>
      <c r="S46" s="1570"/>
      <c r="T46" s="1544"/>
      <c r="U46" s="1544"/>
      <c r="V46" s="1544"/>
      <c r="W46" s="1544"/>
      <c r="X46" s="1544"/>
      <c r="Y46" s="1544"/>
      <c r="Z46" s="1544"/>
      <c r="AA46" s="1544"/>
      <c r="AE46" s="1547"/>
      <c r="AF46" s="1547"/>
      <c r="AG46" s="1547"/>
      <c r="AH46" s="1521"/>
      <c r="AI46" s="1521"/>
      <c r="AJ46" s="1521"/>
      <c r="AK46" s="1521"/>
      <c r="AL46" s="1521"/>
      <c r="AM46" s="1521"/>
      <c r="AN46" s="1521"/>
      <c r="AO46" s="1521"/>
      <c r="AP46" s="1521"/>
      <c r="AQ46" s="1548"/>
      <c r="AR46" s="1549"/>
      <c r="AS46" s="1549"/>
      <c r="DM46" s="1525">
        <f t="shared" si="24"/>
        <v>0</v>
      </c>
      <c r="DN46" s="1526">
        <f t="shared" si="25"/>
        <v>0</v>
      </c>
      <c r="DO46" s="1526">
        <f t="shared" si="26"/>
        <v>0</v>
      </c>
      <c r="DP46" s="1569" t="str">
        <f t="shared" si="27"/>
        <v>S.D.</v>
      </c>
      <c r="DQ46" s="1525"/>
    </row>
    <row r="47" spans="1:121" ht="49.5" customHeight="1" x14ac:dyDescent="0.45">
      <c r="A47" s="5344"/>
      <c r="B47" s="1948">
        <v>5505</v>
      </c>
      <c r="C47" s="3751" t="s">
        <v>220</v>
      </c>
      <c r="D47" s="1957" t="s">
        <v>59</v>
      </c>
      <c r="E47" s="1543">
        <f t="shared" si="28"/>
        <v>0</v>
      </c>
      <c r="F47" s="1543">
        <f t="shared" si="28"/>
        <v>0</v>
      </c>
      <c r="G47" s="1543">
        <f t="shared" si="28"/>
        <v>0</v>
      </c>
      <c r="H47" s="1543">
        <f t="shared" si="28"/>
        <v>0</v>
      </c>
      <c r="I47" s="1543">
        <f t="shared" ca="1" si="28"/>
        <v>0</v>
      </c>
      <c r="J47" s="1543">
        <f t="shared" ca="1" si="28"/>
        <v>0</v>
      </c>
      <c r="K47" s="1543">
        <f t="shared" ca="1" si="28"/>
        <v>0</v>
      </c>
      <c r="L47" s="1571"/>
      <c r="M47" s="1571"/>
      <c r="N47" s="1571"/>
      <c r="O47" s="1523">
        <f t="shared" si="22"/>
        <v>0</v>
      </c>
      <c r="P47" s="1524">
        <f t="shared" ca="1" si="23"/>
        <v>0</v>
      </c>
      <c r="Q47" s="1524">
        <f t="shared" ca="1" si="23"/>
        <v>0</v>
      </c>
      <c r="R47" s="1545">
        <f t="shared" ca="1" si="23"/>
        <v>0</v>
      </c>
      <c r="S47" s="1570"/>
      <c r="T47" s="1544"/>
      <c r="U47" s="1544"/>
      <c r="V47" s="1544"/>
      <c r="W47" s="1544"/>
      <c r="X47" s="1544"/>
      <c r="Y47" s="1544"/>
      <c r="Z47" s="1544"/>
      <c r="AA47" s="1544"/>
      <c r="AE47" s="1547"/>
      <c r="AF47" s="1547"/>
      <c r="AG47" s="1547"/>
      <c r="AH47" s="1521"/>
      <c r="AI47" s="1521"/>
      <c r="AJ47" s="1521"/>
      <c r="AK47" s="1521"/>
      <c r="AL47" s="1521"/>
      <c r="AM47" s="1521"/>
      <c r="AN47" s="1521"/>
      <c r="AO47" s="1521"/>
      <c r="AP47" s="1521"/>
      <c r="AQ47" s="1548"/>
      <c r="AR47" s="1549"/>
      <c r="AS47" s="1549"/>
      <c r="DM47" s="1525">
        <f t="shared" si="24"/>
        <v>0</v>
      </c>
      <c r="DN47" s="1526">
        <f t="shared" si="25"/>
        <v>0</v>
      </c>
      <c r="DO47" s="1526">
        <f t="shared" si="26"/>
        <v>0</v>
      </c>
      <c r="DP47" s="1569" t="str">
        <f t="shared" si="27"/>
        <v>S.D.</v>
      </c>
      <c r="DQ47" s="1525"/>
    </row>
    <row r="48" spans="1:121" ht="49.5" customHeight="1" x14ac:dyDescent="0.45">
      <c r="A48" s="5344"/>
      <c r="B48" s="1949">
        <v>5515</v>
      </c>
      <c r="C48" s="3752"/>
      <c r="D48" s="1958" t="s">
        <v>60</v>
      </c>
      <c r="E48" s="1543">
        <f t="shared" si="28"/>
        <v>0</v>
      </c>
      <c r="F48" s="1543">
        <f t="shared" si="28"/>
        <v>0</v>
      </c>
      <c r="G48" s="1543">
        <f t="shared" si="28"/>
        <v>0</v>
      </c>
      <c r="H48" s="1543">
        <f t="shared" si="28"/>
        <v>0</v>
      </c>
      <c r="I48" s="1543">
        <f t="shared" ca="1" si="28"/>
        <v>0</v>
      </c>
      <c r="J48" s="1543">
        <f t="shared" ca="1" si="28"/>
        <v>0</v>
      </c>
      <c r="K48" s="1543">
        <f t="shared" ca="1" si="28"/>
        <v>0</v>
      </c>
      <c r="L48" s="1543"/>
      <c r="M48" s="1543"/>
      <c r="N48" s="1543"/>
      <c r="O48" s="1523">
        <f t="shared" si="22"/>
        <v>0</v>
      </c>
      <c r="P48" s="1524">
        <f t="shared" ca="1" si="23"/>
        <v>0</v>
      </c>
      <c r="Q48" s="1524">
        <f t="shared" ca="1" si="23"/>
        <v>0</v>
      </c>
      <c r="R48" s="1545">
        <f t="shared" ca="1" si="23"/>
        <v>0</v>
      </c>
      <c r="S48" s="1570"/>
      <c r="T48" s="1544"/>
      <c r="U48" s="1544"/>
      <c r="V48" s="1544"/>
      <c r="W48" s="1544"/>
      <c r="X48" s="1544"/>
      <c r="Y48" s="1544"/>
      <c r="Z48" s="1544"/>
      <c r="AA48" s="1544"/>
      <c r="AE48" s="1547"/>
      <c r="AF48" s="1547"/>
      <c r="AG48" s="1547"/>
      <c r="AH48" s="1521"/>
      <c r="AI48" s="1521"/>
      <c r="AJ48" s="1521"/>
      <c r="AK48" s="1521"/>
      <c r="AL48" s="1521"/>
      <c r="AM48" s="1521"/>
      <c r="AN48" s="1521"/>
      <c r="AO48" s="1521"/>
      <c r="AP48" s="1521"/>
      <c r="AQ48" s="1548"/>
      <c r="AR48" s="1549"/>
      <c r="AS48" s="1549"/>
      <c r="DM48" s="1525">
        <f t="shared" si="24"/>
        <v>0</v>
      </c>
      <c r="DN48" s="1526">
        <f t="shared" si="25"/>
        <v>0</v>
      </c>
      <c r="DO48" s="1526">
        <f t="shared" si="26"/>
        <v>0</v>
      </c>
      <c r="DP48" s="1569" t="str">
        <f t="shared" si="27"/>
        <v>S.D.</v>
      </c>
      <c r="DQ48" s="1525"/>
    </row>
    <row r="49" spans="1:121" ht="49.5" customHeight="1" x14ac:dyDescent="0.45">
      <c r="A49" s="5344"/>
      <c r="B49" s="1953">
        <v>6000</v>
      </c>
      <c r="C49" s="4590" t="s">
        <v>51</v>
      </c>
      <c r="D49" s="4591"/>
      <c r="E49" s="1543">
        <f t="shared" si="28"/>
        <v>0</v>
      </c>
      <c r="F49" s="1543">
        <f t="shared" si="28"/>
        <v>0</v>
      </c>
      <c r="G49" s="1543">
        <f t="shared" si="28"/>
        <v>0</v>
      </c>
      <c r="H49" s="1543">
        <f t="shared" si="28"/>
        <v>0</v>
      </c>
      <c r="I49" s="1543">
        <f t="shared" ca="1" si="28"/>
        <v>0</v>
      </c>
      <c r="J49" s="1543">
        <f t="shared" ca="1" si="28"/>
        <v>0</v>
      </c>
      <c r="K49" s="1543">
        <f t="shared" ca="1" si="28"/>
        <v>0</v>
      </c>
      <c r="L49" s="1543"/>
      <c r="M49" s="1543"/>
      <c r="N49" s="1543"/>
      <c r="O49" s="1523">
        <f t="shared" si="22"/>
        <v>0</v>
      </c>
      <c r="P49" s="1524">
        <f t="shared" ca="1" si="23"/>
        <v>0</v>
      </c>
      <c r="Q49" s="1524">
        <f t="shared" ca="1" si="23"/>
        <v>0</v>
      </c>
      <c r="R49" s="1545">
        <f t="shared" ca="1" si="23"/>
        <v>0</v>
      </c>
      <c r="S49" s="1570"/>
      <c r="T49" s="1543">
        <f>+F49-L49</f>
        <v>0</v>
      </c>
      <c r="U49" s="1543"/>
      <c r="V49" s="1543"/>
      <c r="W49" s="1543">
        <f>+G49-M49</f>
        <v>0</v>
      </c>
      <c r="X49" s="1543">
        <f>+H49-N49</f>
        <v>0</v>
      </c>
      <c r="Y49" s="1543">
        <f ca="1">+IF( I49=0,0,(T49/F49)*I49)</f>
        <v>0</v>
      </c>
      <c r="Z49" s="1543">
        <f ca="1">+IF(J49=0,0,(W49/G49)*J49)</f>
        <v>0</v>
      </c>
      <c r="AA49" s="1543">
        <f ca="1">+IF(K49=0,0,(X49/H49)*K49)</f>
        <v>0</v>
      </c>
      <c r="AB49" s="1543">
        <f ca="1">+T49+Y49</f>
        <v>0</v>
      </c>
      <c r="AC49" s="1543">
        <f ca="1">+W49+Z49</f>
        <v>0</v>
      </c>
      <c r="AD49" s="1543">
        <f ca="1">+X49+AA49</f>
        <v>0</v>
      </c>
      <c r="AE49" s="1553">
        <f>+L49</f>
        <v>0</v>
      </c>
      <c r="AF49" s="1553">
        <f>+M49</f>
        <v>0</v>
      </c>
      <c r="AG49" s="1553">
        <f>+N49</f>
        <v>0</v>
      </c>
      <c r="AH49" s="1553">
        <f ca="1">+I49-Y49</f>
        <v>0</v>
      </c>
      <c r="AI49" s="1553">
        <f ca="1">+J49-Z49</f>
        <v>0</v>
      </c>
      <c r="AJ49" s="1553">
        <f ca="1">+K49-AA49</f>
        <v>0</v>
      </c>
      <c r="AK49" s="1553">
        <f ca="1">+AE49+AH49</f>
        <v>0</v>
      </c>
      <c r="AL49" s="1553">
        <f ca="1">+AF49+AI49</f>
        <v>0</v>
      </c>
      <c r="AM49" s="1553">
        <f ca="1">+AG49+AJ49</f>
        <v>0</v>
      </c>
      <c r="AN49" s="1554">
        <f ca="1">+T49+Y49+AE49+AH49</f>
        <v>0</v>
      </c>
      <c r="AO49" s="1554">
        <f ca="1">+W49+Z49+AF49+AI49</f>
        <v>0</v>
      </c>
      <c r="AP49" s="1554">
        <f ca="1">+X49+AA49+AG49+AJ49</f>
        <v>0</v>
      </c>
      <c r="AQ49" s="1554">
        <f ca="1">+Y49+AB49+AH49+AK49</f>
        <v>0</v>
      </c>
      <c r="AR49" s="1554">
        <f ca="1">+Z49+AC49+AI49+AL49</f>
        <v>0</v>
      </c>
      <c r="AS49" s="1554">
        <f ca="1">+AA49+AD49+AJ49+AM49</f>
        <v>0</v>
      </c>
      <c r="DM49" s="1525">
        <f t="shared" si="24"/>
        <v>0</v>
      </c>
      <c r="DN49" s="1526">
        <f t="shared" si="25"/>
        <v>0</v>
      </c>
      <c r="DO49" s="1526">
        <f t="shared" si="26"/>
        <v>0</v>
      </c>
      <c r="DP49" s="1569" t="str">
        <f t="shared" si="27"/>
        <v>S.D.</v>
      </c>
      <c r="DQ49" s="1525"/>
    </row>
    <row r="50" spans="1:121" ht="49.5" customHeight="1" x14ac:dyDescent="0.45">
      <c r="A50" s="1572"/>
      <c r="B50" s="5308" t="s">
        <v>395</v>
      </c>
      <c r="C50" s="5309"/>
      <c r="D50" s="5310"/>
      <c r="E50" s="1557" t="e">
        <f t="shared" ref="E50:N50" si="29">SUM(E44:E49)</f>
        <v>#REF!</v>
      </c>
      <c r="F50" s="1557" t="e">
        <f t="shared" si="29"/>
        <v>#REF!</v>
      </c>
      <c r="G50" s="1557" t="e">
        <f t="shared" si="29"/>
        <v>#REF!</v>
      </c>
      <c r="H50" s="1557" t="e">
        <f t="shared" si="29"/>
        <v>#REF!</v>
      </c>
      <c r="I50" s="1557" t="e">
        <f t="shared" si="29"/>
        <v>#REF!</v>
      </c>
      <c r="J50" s="1557" t="e">
        <f t="shared" si="29"/>
        <v>#REF!</v>
      </c>
      <c r="K50" s="1557" t="e">
        <f t="shared" si="29"/>
        <v>#REF!</v>
      </c>
      <c r="L50" s="1557">
        <f t="shared" si="29"/>
        <v>0</v>
      </c>
      <c r="M50" s="1557">
        <f t="shared" si="29"/>
        <v>0</v>
      </c>
      <c r="N50" s="1557">
        <f t="shared" si="29"/>
        <v>0</v>
      </c>
      <c r="O50" s="1523" t="e">
        <f t="shared" si="22"/>
        <v>#REF!</v>
      </c>
      <c r="P50" s="1558" t="e">
        <f>SUM(P44:P49)</f>
        <v>#REF!</v>
      </c>
      <c r="Q50" s="1558" t="e">
        <f>SUM(Q44:Q49)</f>
        <v>#REF!</v>
      </c>
      <c r="R50" s="1559" t="e">
        <f>SUM(R44:R49)</f>
        <v>#REF!</v>
      </c>
      <c r="S50" s="1560" t="e">
        <f>SUM(P50:R50)</f>
        <v>#REF!</v>
      </c>
      <c r="T50" s="1557">
        <f>SUM(T44:T49)</f>
        <v>0</v>
      </c>
      <c r="U50" s="1557"/>
      <c r="V50" s="1557"/>
      <c r="W50" s="1557">
        <f t="shared" ref="W50:AS50" si="30">SUM(W44:W49)</f>
        <v>0</v>
      </c>
      <c r="X50" s="1557">
        <f t="shared" si="30"/>
        <v>0</v>
      </c>
      <c r="Y50" s="1557">
        <f t="shared" ca="1" si="30"/>
        <v>0</v>
      </c>
      <c r="Z50" s="1557">
        <f t="shared" ca="1" si="30"/>
        <v>0</v>
      </c>
      <c r="AA50" s="1557">
        <f t="shared" ca="1" si="30"/>
        <v>0</v>
      </c>
      <c r="AB50" s="1557">
        <f t="shared" ca="1" si="30"/>
        <v>0</v>
      </c>
      <c r="AC50" s="1557">
        <f t="shared" ca="1" si="30"/>
        <v>0</v>
      </c>
      <c r="AD50" s="1557">
        <f t="shared" ca="1" si="30"/>
        <v>0</v>
      </c>
      <c r="AE50" s="1557">
        <f t="shared" si="30"/>
        <v>0</v>
      </c>
      <c r="AF50" s="1557">
        <f t="shared" si="30"/>
        <v>0</v>
      </c>
      <c r="AG50" s="1557">
        <f t="shared" si="30"/>
        <v>0</v>
      </c>
      <c r="AH50" s="1557">
        <f t="shared" ca="1" si="30"/>
        <v>0</v>
      </c>
      <c r="AI50" s="1557">
        <f t="shared" ca="1" si="30"/>
        <v>0</v>
      </c>
      <c r="AJ50" s="1557">
        <f t="shared" ca="1" si="30"/>
        <v>0</v>
      </c>
      <c r="AK50" s="1557">
        <f t="shared" ca="1" si="30"/>
        <v>0</v>
      </c>
      <c r="AL50" s="1557">
        <f t="shared" ca="1" si="30"/>
        <v>0</v>
      </c>
      <c r="AM50" s="1557">
        <f t="shared" ca="1" si="30"/>
        <v>0</v>
      </c>
      <c r="AN50" s="1557">
        <f t="shared" ca="1" si="30"/>
        <v>0</v>
      </c>
      <c r="AO50" s="1557">
        <f t="shared" ca="1" si="30"/>
        <v>0</v>
      </c>
      <c r="AP50" s="1557">
        <f t="shared" ca="1" si="30"/>
        <v>0</v>
      </c>
      <c r="AQ50" s="1557">
        <f t="shared" ca="1" si="30"/>
        <v>0</v>
      </c>
      <c r="AR50" s="1557">
        <f t="shared" ca="1" si="30"/>
        <v>0</v>
      </c>
      <c r="AS50" s="1557">
        <f t="shared" ca="1" si="30"/>
        <v>0</v>
      </c>
      <c r="DM50" s="1659" t="e">
        <f t="shared" si="24"/>
        <v>#REF!</v>
      </c>
      <c r="DN50" s="1937" t="e">
        <f t="shared" si="25"/>
        <v>#REF!</v>
      </c>
      <c r="DO50" s="1938" t="e">
        <f t="shared" si="26"/>
        <v>#REF!</v>
      </c>
    </row>
    <row r="51" spans="1:121" ht="49.5" customHeight="1" x14ac:dyDescent="0.45">
      <c r="A51" s="5039"/>
      <c r="B51" s="5040"/>
      <c r="C51" s="5040"/>
      <c r="D51" s="5040"/>
      <c r="E51" s="5040"/>
      <c r="F51" s="5040"/>
      <c r="G51" s="5040"/>
      <c r="H51" s="5040"/>
      <c r="I51" s="5040"/>
      <c r="J51" s="5040"/>
      <c r="K51" s="5040"/>
      <c r="L51" s="5040"/>
      <c r="M51" s="5040"/>
      <c r="N51" s="5040"/>
      <c r="O51" s="5040"/>
      <c r="P51" s="5040"/>
      <c r="Q51" s="5040"/>
      <c r="R51" s="5041"/>
      <c r="S51" s="1573"/>
      <c r="T51" s="1573"/>
      <c r="U51" s="1573"/>
      <c r="V51" s="1573"/>
      <c r="DM51" s="1490"/>
    </row>
    <row r="52" spans="1:121" ht="49.5" customHeight="1" thickBot="1" x14ac:dyDescent="0.5">
      <c r="A52" s="5166"/>
      <c r="B52" s="5167"/>
      <c r="C52" s="5167"/>
      <c r="D52" s="5167"/>
      <c r="E52" s="5167"/>
      <c r="F52" s="5167"/>
      <c r="G52" s="5167"/>
      <c r="H52" s="5167"/>
      <c r="I52" s="5167"/>
      <c r="J52" s="5167"/>
      <c r="K52" s="5167"/>
      <c r="L52" s="5167"/>
      <c r="M52" s="5167"/>
      <c r="N52" s="5167"/>
      <c r="O52" s="5167"/>
      <c r="P52" s="5167"/>
      <c r="Q52" s="5167"/>
      <c r="R52" s="5288"/>
      <c r="S52" s="1573"/>
      <c r="T52" s="1573"/>
      <c r="U52" s="1573"/>
      <c r="V52" s="1573"/>
      <c r="DM52" s="1490"/>
    </row>
    <row r="53" spans="1:121" s="1540" customFormat="1" ht="49.5" customHeight="1" x14ac:dyDescent="0.5">
      <c r="A53" s="5178" t="s">
        <v>396</v>
      </c>
      <c r="B53" s="5179"/>
      <c r="C53" s="5179"/>
      <c r="D53" s="5180"/>
      <c r="E53" s="4397" t="s">
        <v>101</v>
      </c>
      <c r="F53" s="4258" t="s">
        <v>304</v>
      </c>
      <c r="G53" s="4259"/>
      <c r="H53" s="4260"/>
      <c r="I53" s="4258" t="s">
        <v>368</v>
      </c>
      <c r="J53" s="4259"/>
      <c r="K53" s="4260"/>
      <c r="L53" s="4237" t="s">
        <v>851</v>
      </c>
      <c r="M53" s="4238"/>
      <c r="N53" s="4240"/>
      <c r="O53" s="1514"/>
      <c r="P53" s="4510" t="s">
        <v>377</v>
      </c>
      <c r="Q53" s="4510"/>
      <c r="R53" s="5245"/>
      <c r="S53" s="1574"/>
      <c r="T53" s="4395" t="s">
        <v>304</v>
      </c>
      <c r="U53" s="4323"/>
      <c r="V53" s="4323"/>
      <c r="W53" s="4323"/>
      <c r="X53" s="4396"/>
      <c r="Y53" s="4395" t="s">
        <v>368</v>
      </c>
      <c r="Z53" s="4323"/>
      <c r="AA53" s="4396"/>
      <c r="AB53" s="4510" t="s">
        <v>850</v>
      </c>
      <c r="AC53" s="4510"/>
      <c r="AD53" s="4510"/>
      <c r="AE53" s="4237" t="s">
        <v>851</v>
      </c>
      <c r="AF53" s="4238"/>
      <c r="AG53" s="4240"/>
      <c r="AH53" s="4237" t="s">
        <v>852</v>
      </c>
      <c r="AI53" s="4238"/>
      <c r="AJ53" s="4240"/>
      <c r="AK53" s="4237" t="s">
        <v>853</v>
      </c>
      <c r="AL53" s="4238"/>
      <c r="AM53" s="4240"/>
      <c r="AN53" s="4237" t="s">
        <v>377</v>
      </c>
      <c r="AO53" s="4238"/>
      <c r="AP53" s="4240"/>
      <c r="AQ53" s="4237" t="s">
        <v>241</v>
      </c>
      <c r="AR53" s="4238"/>
      <c r="AS53" s="4240"/>
      <c r="DM53" s="5177" t="s">
        <v>241</v>
      </c>
      <c r="DN53" s="4508"/>
      <c r="DO53" s="4508"/>
      <c r="DP53" s="4508"/>
      <c r="DQ53" s="4509"/>
    </row>
    <row r="54" spans="1:121" s="1540" customFormat="1" ht="49.5" customHeight="1" thickBot="1" x14ac:dyDescent="0.5">
      <c r="A54" s="5181"/>
      <c r="B54" s="5182"/>
      <c r="C54" s="5182"/>
      <c r="D54" s="5183"/>
      <c r="E54" s="5284"/>
      <c r="F54" s="1575" t="s">
        <v>287</v>
      </c>
      <c r="G54" s="1575" t="s">
        <v>289</v>
      </c>
      <c r="H54" s="1576" t="s">
        <v>288</v>
      </c>
      <c r="I54" s="1575" t="s">
        <v>287</v>
      </c>
      <c r="J54" s="1575" t="s">
        <v>289</v>
      </c>
      <c r="K54" s="1576" t="s">
        <v>288</v>
      </c>
      <c r="L54" s="1515" t="s">
        <v>287</v>
      </c>
      <c r="M54" s="1515" t="s">
        <v>289</v>
      </c>
      <c r="N54" s="1516" t="s">
        <v>288</v>
      </c>
      <c r="O54" s="1542" t="s">
        <v>4</v>
      </c>
      <c r="P54" s="1515" t="s">
        <v>287</v>
      </c>
      <c r="Q54" s="1515" t="s">
        <v>289</v>
      </c>
      <c r="R54" s="1517" t="s">
        <v>288</v>
      </c>
      <c r="S54" s="1574"/>
      <c r="T54" s="1515" t="s">
        <v>287</v>
      </c>
      <c r="U54" s="1515"/>
      <c r="V54" s="1515"/>
      <c r="W54" s="1515" t="s">
        <v>289</v>
      </c>
      <c r="X54" s="1516" t="s">
        <v>288</v>
      </c>
      <c r="Y54" s="1515" t="s">
        <v>287</v>
      </c>
      <c r="Z54" s="1515" t="s">
        <v>289</v>
      </c>
      <c r="AA54" s="1516" t="s">
        <v>288</v>
      </c>
      <c r="AB54" s="1515" t="s">
        <v>287</v>
      </c>
      <c r="AC54" s="1515" t="s">
        <v>289</v>
      </c>
      <c r="AD54" s="1516" t="s">
        <v>288</v>
      </c>
      <c r="AE54" s="1515" t="s">
        <v>287</v>
      </c>
      <c r="AF54" s="1515" t="s">
        <v>289</v>
      </c>
      <c r="AG54" s="1515" t="s">
        <v>288</v>
      </c>
      <c r="AH54" s="1515" t="s">
        <v>287</v>
      </c>
      <c r="AI54" s="1515" t="s">
        <v>289</v>
      </c>
      <c r="AJ54" s="1515" t="s">
        <v>288</v>
      </c>
      <c r="AK54" s="1515" t="s">
        <v>287</v>
      </c>
      <c r="AL54" s="1515" t="s">
        <v>289</v>
      </c>
      <c r="AM54" s="1515" t="s">
        <v>288</v>
      </c>
      <c r="AN54" s="1515" t="s">
        <v>287</v>
      </c>
      <c r="AO54" s="1515" t="s">
        <v>289</v>
      </c>
      <c r="AP54" s="1515" t="s">
        <v>288</v>
      </c>
      <c r="AQ54" s="1515" t="s">
        <v>287</v>
      </c>
      <c r="AR54" s="1515" t="s">
        <v>289</v>
      </c>
      <c r="AS54" s="1515" t="s">
        <v>288</v>
      </c>
      <c r="DM54" s="980" t="s">
        <v>370</v>
      </c>
      <c r="DN54" s="980" t="s">
        <v>25</v>
      </c>
      <c r="DO54" s="980" t="s">
        <v>371</v>
      </c>
      <c r="DP54" s="980" t="s">
        <v>241</v>
      </c>
      <c r="DQ54" s="980"/>
    </row>
    <row r="55" spans="1:121" ht="49.5" customHeight="1" x14ac:dyDescent="0.45">
      <c r="A55" s="5255" t="s">
        <v>62</v>
      </c>
      <c r="B55" s="1947">
        <v>5030</v>
      </c>
      <c r="C55" s="4597" t="s">
        <v>164</v>
      </c>
      <c r="D55" s="4597"/>
      <c r="E55" s="1543">
        <f>+E210</f>
        <v>0</v>
      </c>
      <c r="F55" s="1543">
        <f t="shared" ref="F55:K55" si="31">+F210</f>
        <v>0</v>
      </c>
      <c r="G55" s="1543">
        <f t="shared" si="31"/>
        <v>0</v>
      </c>
      <c r="H55" s="1543">
        <f t="shared" si="31"/>
        <v>0</v>
      </c>
      <c r="I55" s="1543">
        <f t="shared" ca="1" si="31"/>
        <v>0</v>
      </c>
      <c r="J55" s="1543">
        <f t="shared" ca="1" si="31"/>
        <v>0</v>
      </c>
      <c r="K55" s="1543">
        <f t="shared" ca="1" si="31"/>
        <v>0</v>
      </c>
      <c r="L55" s="1544"/>
      <c r="M55" s="1544"/>
      <c r="N55" s="1544"/>
      <c r="O55" s="1523">
        <f t="shared" ref="O55:O61" si="32">+IF(E55=0,0,SUM(F55:H55)/E55)</f>
        <v>0</v>
      </c>
      <c r="P55" s="1524">
        <f t="shared" ref="P55:R60" ca="1" si="33">+F55+I55</f>
        <v>0</v>
      </c>
      <c r="Q55" s="1524">
        <f t="shared" ca="1" si="33"/>
        <v>0</v>
      </c>
      <c r="R55" s="1545">
        <f t="shared" ca="1" si="33"/>
        <v>0</v>
      </c>
      <c r="S55" s="1577" t="s">
        <v>396</v>
      </c>
      <c r="T55" s="1544"/>
      <c r="U55" s="1544"/>
      <c r="V55" s="1544"/>
      <c r="W55" s="1544"/>
      <c r="X55" s="1544"/>
      <c r="Y55" s="1544"/>
      <c r="Z55" s="1544"/>
      <c r="AA55" s="1544"/>
      <c r="AE55" s="1547"/>
      <c r="AF55" s="1547"/>
      <c r="AG55" s="1547"/>
      <c r="AH55" s="1521"/>
      <c r="AI55" s="1521"/>
      <c r="AJ55" s="1521"/>
      <c r="AK55" s="1521"/>
      <c r="AL55" s="1521"/>
      <c r="AM55" s="1521"/>
      <c r="AN55" s="1521"/>
      <c r="AO55" s="1521"/>
      <c r="AP55" s="1521"/>
      <c r="AQ55" s="1548"/>
      <c r="AR55" s="1549"/>
      <c r="AS55" s="1549"/>
      <c r="DM55" s="1525">
        <f t="shared" ref="DM55:DM61" si="34">+IF(E55=0,0,DN55/DO55)</f>
        <v>0</v>
      </c>
      <c r="DN55" s="1526">
        <f t="shared" ref="DN55:DN61" si="35">+SUM(F55:H55)</f>
        <v>0</v>
      </c>
      <c r="DO55" s="1526">
        <f t="shared" ref="DO55:DO61" si="36">+E55</f>
        <v>0</v>
      </c>
      <c r="DP55" s="1569" t="str">
        <f t="shared" ref="DP55:DP60" si="37">IF(DO55=0,"S.D.",+IF(AND((DN55/DO55)&gt;700,(DN55/DO55)&lt;=1400),"O.K.","VERIFICAR"))</f>
        <v>S.D.</v>
      </c>
      <c r="DQ55" s="1525"/>
    </row>
    <row r="56" spans="1:121" ht="49.5" customHeight="1" x14ac:dyDescent="0.45">
      <c r="A56" s="5256"/>
      <c r="B56" s="1954">
        <v>5040</v>
      </c>
      <c r="C56" s="3743" t="s">
        <v>902</v>
      </c>
      <c r="D56" s="3744"/>
      <c r="E56" s="1543" t="e">
        <f t="shared" ref="E56:K60" si="38">+E211</f>
        <v>#REF!</v>
      </c>
      <c r="F56" s="1543" t="e">
        <f t="shared" si="38"/>
        <v>#REF!</v>
      </c>
      <c r="G56" s="1543" t="e">
        <f t="shared" si="38"/>
        <v>#REF!</v>
      </c>
      <c r="H56" s="1543" t="e">
        <f t="shared" si="38"/>
        <v>#REF!</v>
      </c>
      <c r="I56" s="1543" t="e">
        <f t="shared" si="38"/>
        <v>#REF!</v>
      </c>
      <c r="J56" s="1543" t="e">
        <f t="shared" si="38"/>
        <v>#REF!</v>
      </c>
      <c r="K56" s="1543" t="e">
        <f t="shared" si="38"/>
        <v>#REF!</v>
      </c>
      <c r="L56" s="1544"/>
      <c r="M56" s="1544"/>
      <c r="N56" s="1544"/>
      <c r="O56" s="1523" t="e">
        <f t="shared" si="32"/>
        <v>#REF!</v>
      </c>
      <c r="P56" s="1524" t="e">
        <f t="shared" si="33"/>
        <v>#REF!</v>
      </c>
      <c r="Q56" s="1524" t="e">
        <f t="shared" si="33"/>
        <v>#REF!</v>
      </c>
      <c r="R56" s="1545" t="e">
        <f t="shared" si="33"/>
        <v>#REF!</v>
      </c>
      <c r="S56" s="1579"/>
      <c r="T56" s="1544"/>
      <c r="U56" s="1544"/>
      <c r="V56" s="1544"/>
      <c r="W56" s="1544"/>
      <c r="X56" s="1544"/>
      <c r="Y56" s="1544"/>
      <c r="Z56" s="1544"/>
      <c r="AA56" s="1544"/>
      <c r="AE56" s="1547"/>
      <c r="AF56" s="1547"/>
      <c r="AG56" s="1547"/>
      <c r="AH56" s="1521"/>
      <c r="AI56" s="1521"/>
      <c r="AJ56" s="1521"/>
      <c r="AK56" s="1521"/>
      <c r="AL56" s="1521"/>
      <c r="AM56" s="1521"/>
      <c r="AN56" s="1521"/>
      <c r="AO56" s="1521"/>
      <c r="AP56" s="1521"/>
      <c r="AQ56" s="1548"/>
      <c r="AR56" s="1549"/>
      <c r="AS56" s="1549"/>
      <c r="DM56" s="1525" t="e">
        <f t="shared" si="34"/>
        <v>#REF!</v>
      </c>
      <c r="DN56" s="1526" t="e">
        <f t="shared" si="35"/>
        <v>#REF!</v>
      </c>
      <c r="DO56" s="1526" t="e">
        <f t="shared" si="36"/>
        <v>#REF!</v>
      </c>
      <c r="DP56" s="1569" t="e">
        <f t="shared" si="37"/>
        <v>#REF!</v>
      </c>
      <c r="DQ56" s="1525"/>
    </row>
    <row r="57" spans="1:121" ht="49.5" customHeight="1" x14ac:dyDescent="0.45">
      <c r="A57" s="5256"/>
      <c r="B57" s="1955">
        <v>5055</v>
      </c>
      <c r="C57" s="3742" t="s">
        <v>904</v>
      </c>
      <c r="D57" s="3742"/>
      <c r="E57" s="1543">
        <f t="shared" si="38"/>
        <v>0</v>
      </c>
      <c r="F57" s="1543">
        <f t="shared" si="38"/>
        <v>0</v>
      </c>
      <c r="G57" s="1543">
        <f t="shared" si="38"/>
        <v>0</v>
      </c>
      <c r="H57" s="1543">
        <f t="shared" si="38"/>
        <v>0</v>
      </c>
      <c r="I57" s="1543">
        <f t="shared" ca="1" si="38"/>
        <v>0</v>
      </c>
      <c r="J57" s="1543">
        <f t="shared" ca="1" si="38"/>
        <v>0</v>
      </c>
      <c r="K57" s="1543">
        <f t="shared" ca="1" si="38"/>
        <v>0</v>
      </c>
      <c r="L57" s="1544"/>
      <c r="M57" s="1544"/>
      <c r="N57" s="1544"/>
      <c r="O57" s="1523"/>
      <c r="P57" s="1524">
        <f t="shared" ca="1" si="33"/>
        <v>0</v>
      </c>
      <c r="Q57" s="1524">
        <f t="shared" ca="1" si="33"/>
        <v>0</v>
      </c>
      <c r="R57" s="1545">
        <f t="shared" ca="1" si="33"/>
        <v>0</v>
      </c>
      <c r="S57" s="1579"/>
      <c r="T57" s="1544"/>
      <c r="U57" s="1544"/>
      <c r="V57" s="1544"/>
      <c r="W57" s="1544"/>
      <c r="X57" s="1544"/>
      <c r="Y57" s="1544"/>
      <c r="Z57" s="1544"/>
      <c r="AA57" s="1544"/>
      <c r="AE57" s="1547"/>
      <c r="AF57" s="1547"/>
      <c r="AG57" s="1547"/>
      <c r="AH57" s="1521"/>
      <c r="AI57" s="1521"/>
      <c r="AJ57" s="1521"/>
      <c r="AK57" s="1521"/>
      <c r="AL57" s="1521"/>
      <c r="AM57" s="1521"/>
      <c r="AN57" s="1521"/>
      <c r="AO57" s="1521"/>
      <c r="AP57" s="1521"/>
      <c r="AQ57" s="1548"/>
      <c r="AR57" s="1549"/>
      <c r="AS57" s="1549"/>
      <c r="DM57" s="1525">
        <f t="shared" si="34"/>
        <v>0</v>
      </c>
      <c r="DN57" s="1526">
        <f t="shared" si="35"/>
        <v>0</v>
      </c>
      <c r="DO57" s="1526">
        <f t="shared" si="36"/>
        <v>0</v>
      </c>
      <c r="DP57" s="1569" t="str">
        <f t="shared" si="37"/>
        <v>S.D.</v>
      </c>
      <c r="DQ57" s="1525"/>
    </row>
    <row r="58" spans="1:121" ht="49.5" customHeight="1" x14ac:dyDescent="0.45">
      <c r="A58" s="5256"/>
      <c r="B58" s="1948">
        <v>5506</v>
      </c>
      <c r="C58" s="4074" t="s">
        <v>220</v>
      </c>
      <c r="D58" s="1957" t="s">
        <v>64</v>
      </c>
      <c r="E58" s="1543">
        <f t="shared" si="38"/>
        <v>0</v>
      </c>
      <c r="F58" s="1543">
        <f t="shared" si="38"/>
        <v>0</v>
      </c>
      <c r="G58" s="1543">
        <f t="shared" si="38"/>
        <v>0</v>
      </c>
      <c r="H58" s="1543">
        <f t="shared" si="38"/>
        <v>0</v>
      </c>
      <c r="I58" s="1543">
        <f t="shared" ca="1" si="38"/>
        <v>0</v>
      </c>
      <c r="J58" s="1543">
        <f t="shared" ca="1" si="38"/>
        <v>0</v>
      </c>
      <c r="K58" s="1543">
        <f t="shared" ca="1" si="38"/>
        <v>0</v>
      </c>
      <c r="L58" s="1530"/>
      <c r="M58" s="1530"/>
      <c r="N58" s="1530"/>
      <c r="O58" s="1523">
        <f t="shared" si="32"/>
        <v>0</v>
      </c>
      <c r="P58" s="1524">
        <f t="shared" ca="1" si="33"/>
        <v>0</v>
      </c>
      <c r="Q58" s="1524">
        <f t="shared" ca="1" si="33"/>
        <v>0</v>
      </c>
      <c r="R58" s="1545">
        <f t="shared" ca="1" si="33"/>
        <v>0</v>
      </c>
      <c r="S58" s="1579"/>
      <c r="T58" s="1544"/>
      <c r="U58" s="1544"/>
      <c r="V58" s="1544"/>
      <c r="W58" s="1544"/>
      <c r="X58" s="1544"/>
      <c r="Y58" s="1544"/>
      <c r="Z58" s="1544"/>
      <c r="AA58" s="1544"/>
      <c r="AE58" s="1547"/>
      <c r="AF58" s="1547"/>
      <c r="AG58" s="1547"/>
      <c r="AH58" s="1521"/>
      <c r="AI58" s="1521"/>
      <c r="AJ58" s="1521"/>
      <c r="AK58" s="1521"/>
      <c r="AL58" s="1521"/>
      <c r="AM58" s="1521"/>
      <c r="AN58" s="1521"/>
      <c r="AO58" s="1521"/>
      <c r="AP58" s="1521"/>
      <c r="AQ58" s="1548"/>
      <c r="AR58" s="1549"/>
      <c r="AS58" s="1549"/>
      <c r="DM58" s="1525">
        <f t="shared" si="34"/>
        <v>0</v>
      </c>
      <c r="DN58" s="1526">
        <f t="shared" si="35"/>
        <v>0</v>
      </c>
      <c r="DO58" s="1526">
        <f t="shared" si="36"/>
        <v>0</v>
      </c>
      <c r="DP58" s="1569" t="str">
        <f t="shared" si="37"/>
        <v>S.D.</v>
      </c>
      <c r="DQ58" s="1525"/>
    </row>
    <row r="59" spans="1:121" ht="49.5" customHeight="1" x14ac:dyDescent="0.45">
      <c r="A59" s="5256"/>
      <c r="B59" s="1949">
        <v>5516</v>
      </c>
      <c r="C59" s="4074"/>
      <c r="D59" s="1958" t="s">
        <v>65</v>
      </c>
      <c r="E59" s="1543">
        <f t="shared" si="38"/>
        <v>0</v>
      </c>
      <c r="F59" s="1543">
        <f t="shared" si="38"/>
        <v>0</v>
      </c>
      <c r="G59" s="1543">
        <f t="shared" si="38"/>
        <v>0</v>
      </c>
      <c r="H59" s="1543">
        <f t="shared" si="38"/>
        <v>0</v>
      </c>
      <c r="I59" s="1543">
        <f t="shared" ca="1" si="38"/>
        <v>0</v>
      </c>
      <c r="J59" s="1543">
        <f t="shared" ca="1" si="38"/>
        <v>0</v>
      </c>
      <c r="K59" s="1543">
        <f t="shared" ca="1" si="38"/>
        <v>0</v>
      </c>
      <c r="L59" s="1530"/>
      <c r="M59" s="1530"/>
      <c r="N59" s="1530"/>
      <c r="O59" s="1523">
        <f t="shared" si="32"/>
        <v>0</v>
      </c>
      <c r="P59" s="1524">
        <f t="shared" ca="1" si="33"/>
        <v>0</v>
      </c>
      <c r="Q59" s="1524">
        <f t="shared" ca="1" si="33"/>
        <v>0</v>
      </c>
      <c r="R59" s="1545">
        <f t="shared" ca="1" si="33"/>
        <v>0</v>
      </c>
      <c r="S59" s="1579"/>
      <c r="T59" s="1544"/>
      <c r="U59" s="1544"/>
      <c r="V59" s="1544"/>
      <c r="W59" s="1544"/>
      <c r="X59" s="1544"/>
      <c r="Y59" s="1544"/>
      <c r="Z59" s="1544"/>
      <c r="AA59" s="1544"/>
      <c r="AE59" s="1547"/>
      <c r="AF59" s="1547"/>
      <c r="AG59" s="1547"/>
      <c r="AH59" s="1521"/>
      <c r="AI59" s="1521"/>
      <c r="AJ59" s="1521"/>
      <c r="AK59" s="1521"/>
      <c r="AL59" s="1521"/>
      <c r="AM59" s="1521"/>
      <c r="AN59" s="1521"/>
      <c r="AO59" s="1521"/>
      <c r="AP59" s="1521"/>
      <c r="AQ59" s="1548"/>
      <c r="AR59" s="1549"/>
      <c r="AS59" s="1549"/>
      <c r="DM59" s="1525">
        <f t="shared" si="34"/>
        <v>0</v>
      </c>
      <c r="DN59" s="1526">
        <f t="shared" si="35"/>
        <v>0</v>
      </c>
      <c r="DO59" s="1526">
        <f t="shared" si="36"/>
        <v>0</v>
      </c>
      <c r="DP59" s="1569" t="str">
        <f t="shared" si="37"/>
        <v>S.D.</v>
      </c>
      <c r="DQ59" s="1525"/>
    </row>
    <row r="60" spans="1:121" ht="49.5" customHeight="1" x14ac:dyDescent="0.5">
      <c r="A60" s="5256"/>
      <c r="B60" s="1946">
        <v>6000</v>
      </c>
      <c r="C60" s="5630" t="s">
        <v>51</v>
      </c>
      <c r="D60" s="5631"/>
      <c r="E60" s="1543" t="e">
        <f t="shared" si="38"/>
        <v>#REF!</v>
      </c>
      <c r="F60" s="1543" t="e">
        <f t="shared" si="38"/>
        <v>#REF!</v>
      </c>
      <c r="G60" s="1543" t="e">
        <f t="shared" si="38"/>
        <v>#REF!</v>
      </c>
      <c r="H60" s="1543" t="e">
        <f t="shared" si="38"/>
        <v>#REF!</v>
      </c>
      <c r="I60" s="1543" t="e">
        <f t="shared" si="38"/>
        <v>#REF!</v>
      </c>
      <c r="J60" s="1543" t="e">
        <f t="shared" si="38"/>
        <v>#REF!</v>
      </c>
      <c r="K60" s="1543" t="e">
        <f t="shared" si="38"/>
        <v>#REF!</v>
      </c>
      <c r="L60" s="1528"/>
      <c r="M60" s="1528"/>
      <c r="N60" s="1528"/>
      <c r="O60" s="1523" t="e">
        <f t="shared" si="32"/>
        <v>#REF!</v>
      </c>
      <c r="P60" s="1524" t="e">
        <f t="shared" si="33"/>
        <v>#REF!</v>
      </c>
      <c r="Q60" s="1524" t="e">
        <f t="shared" si="33"/>
        <v>#REF!</v>
      </c>
      <c r="R60" s="1545" t="e">
        <f t="shared" si="33"/>
        <v>#REF!</v>
      </c>
      <c r="S60" s="1579"/>
      <c r="T60" s="1543" t="e">
        <f>+F60-L60</f>
        <v>#REF!</v>
      </c>
      <c r="U60" s="1543"/>
      <c r="V60" s="1543"/>
      <c r="W60" s="1543" t="e">
        <f>+G60-M60</f>
        <v>#REF!</v>
      </c>
      <c r="X60" s="1543" t="e">
        <f>+H60-N60</f>
        <v>#REF!</v>
      </c>
      <c r="Y60" s="1543" t="e">
        <f>+IF( I60=0,0,(T60/F60)*I60)</f>
        <v>#REF!</v>
      </c>
      <c r="Z60" s="1543" t="e">
        <f>+IF(J60=0,0,(W60/G60)*J60)</f>
        <v>#REF!</v>
      </c>
      <c r="AA60" s="1543" t="e">
        <f>+IF(K60=0,0,(X60/H60)*K60)</f>
        <v>#REF!</v>
      </c>
      <c r="AB60" s="1543" t="e">
        <f>+T60+Y60</f>
        <v>#REF!</v>
      </c>
      <c r="AC60" s="1543" t="e">
        <f>+W60+Z60</f>
        <v>#REF!</v>
      </c>
      <c r="AD60" s="1543" t="e">
        <f>+X60+AA60</f>
        <v>#REF!</v>
      </c>
      <c r="AE60" s="1553">
        <f>+L60</f>
        <v>0</v>
      </c>
      <c r="AF60" s="1553">
        <f>+M60</f>
        <v>0</v>
      </c>
      <c r="AG60" s="1553">
        <f>+N60</f>
        <v>0</v>
      </c>
      <c r="AH60" s="1553" t="e">
        <f>+I60-Y60</f>
        <v>#REF!</v>
      </c>
      <c r="AI60" s="1553" t="e">
        <f>+J60-Z60</f>
        <v>#REF!</v>
      </c>
      <c r="AJ60" s="1553" t="e">
        <f>+K60-AA60</f>
        <v>#REF!</v>
      </c>
      <c r="AK60" s="1553" t="e">
        <f>+AE60+AH60</f>
        <v>#REF!</v>
      </c>
      <c r="AL60" s="1553" t="e">
        <f>+AF60+AI60</f>
        <v>#REF!</v>
      </c>
      <c r="AM60" s="1553" t="e">
        <f>+AG60+AJ60</f>
        <v>#REF!</v>
      </c>
      <c r="AN60" s="1554" t="e">
        <f>+T60+Y60+AE60+AH60</f>
        <v>#REF!</v>
      </c>
      <c r="AO60" s="1554" t="e">
        <f>+W60+Z60+AF60+AI60</f>
        <v>#REF!</v>
      </c>
      <c r="AP60" s="1554" t="e">
        <f>+X60+AA60+AG60+AJ60</f>
        <v>#REF!</v>
      </c>
      <c r="AQ60" s="1555" t="e">
        <f>+P60-AN60</f>
        <v>#REF!</v>
      </c>
      <c r="AR60" s="1555" t="e">
        <f>+Q60-AO60</f>
        <v>#REF!</v>
      </c>
      <c r="AS60" s="1555" t="e">
        <f>+R60-AP60</f>
        <v>#REF!</v>
      </c>
      <c r="DM60" s="1525" t="e">
        <f t="shared" si="34"/>
        <v>#REF!</v>
      </c>
      <c r="DN60" s="1526" t="e">
        <f t="shared" si="35"/>
        <v>#REF!</v>
      </c>
      <c r="DO60" s="1526" t="e">
        <f t="shared" si="36"/>
        <v>#REF!</v>
      </c>
      <c r="DP60" s="1569" t="e">
        <f t="shared" si="37"/>
        <v>#REF!</v>
      </c>
      <c r="DQ60" s="1525"/>
    </row>
    <row r="61" spans="1:121" ht="49.5" customHeight="1" x14ac:dyDescent="0.45">
      <c r="A61" s="1580"/>
      <c r="B61" s="5036" t="s">
        <v>400</v>
      </c>
      <c r="C61" s="5037"/>
      <c r="D61" s="5038"/>
      <c r="E61" s="1557" t="e">
        <f t="shared" ref="E61:N61" si="39">SUM(E55:E60)</f>
        <v>#REF!</v>
      </c>
      <c r="F61" s="1557" t="e">
        <f t="shared" si="39"/>
        <v>#REF!</v>
      </c>
      <c r="G61" s="1557" t="e">
        <f t="shared" si="39"/>
        <v>#REF!</v>
      </c>
      <c r="H61" s="1557" t="e">
        <f t="shared" si="39"/>
        <v>#REF!</v>
      </c>
      <c r="I61" s="1557" t="e">
        <f t="shared" ca="1" si="39"/>
        <v>#REF!</v>
      </c>
      <c r="J61" s="1557" t="e">
        <f t="shared" ca="1" si="39"/>
        <v>#REF!</v>
      </c>
      <c r="K61" s="1557" t="e">
        <f t="shared" ca="1" si="39"/>
        <v>#REF!</v>
      </c>
      <c r="L61" s="1557">
        <f t="shared" si="39"/>
        <v>0</v>
      </c>
      <c r="M61" s="1557">
        <f t="shared" si="39"/>
        <v>0</v>
      </c>
      <c r="N61" s="1557">
        <f t="shared" si="39"/>
        <v>0</v>
      </c>
      <c r="O61" s="1523" t="e">
        <f t="shared" si="32"/>
        <v>#REF!</v>
      </c>
      <c r="P61" s="1558" t="e">
        <f ca="1">SUM(P55:P60)</f>
        <v>#REF!</v>
      </c>
      <c r="Q61" s="1558" t="e">
        <f ca="1">SUM(Q55:Q60)</f>
        <v>#REF!</v>
      </c>
      <c r="R61" s="1559" t="e">
        <f ca="1">SUM(R55:R60)</f>
        <v>#REF!</v>
      </c>
      <c r="S61" s="1560" t="e">
        <f ca="1">SUM(P61:R61)</f>
        <v>#REF!</v>
      </c>
      <c r="T61" s="1557" t="e">
        <f>SUM(T55:T60)</f>
        <v>#REF!</v>
      </c>
      <c r="U61" s="1557"/>
      <c r="V61" s="1557"/>
      <c r="W61" s="1557" t="e">
        <f t="shared" ref="W61:AS61" si="40">SUM(W55:W60)</f>
        <v>#REF!</v>
      </c>
      <c r="X61" s="1557" t="e">
        <f t="shared" si="40"/>
        <v>#REF!</v>
      </c>
      <c r="Y61" s="1557" t="e">
        <f t="shared" si="40"/>
        <v>#REF!</v>
      </c>
      <c r="Z61" s="1557" t="e">
        <f t="shared" si="40"/>
        <v>#REF!</v>
      </c>
      <c r="AA61" s="1557" t="e">
        <f t="shared" si="40"/>
        <v>#REF!</v>
      </c>
      <c r="AB61" s="1557" t="e">
        <f t="shared" si="40"/>
        <v>#REF!</v>
      </c>
      <c r="AC61" s="1557" t="e">
        <f t="shared" si="40"/>
        <v>#REF!</v>
      </c>
      <c r="AD61" s="1557" t="e">
        <f t="shared" si="40"/>
        <v>#REF!</v>
      </c>
      <c r="AE61" s="1557">
        <f t="shared" si="40"/>
        <v>0</v>
      </c>
      <c r="AF61" s="1557">
        <f t="shared" si="40"/>
        <v>0</v>
      </c>
      <c r="AG61" s="1557">
        <f t="shared" si="40"/>
        <v>0</v>
      </c>
      <c r="AH61" s="1557" t="e">
        <f t="shared" si="40"/>
        <v>#REF!</v>
      </c>
      <c r="AI61" s="1557" t="e">
        <f t="shared" si="40"/>
        <v>#REF!</v>
      </c>
      <c r="AJ61" s="1557" t="e">
        <f t="shared" si="40"/>
        <v>#REF!</v>
      </c>
      <c r="AK61" s="1557" t="e">
        <f t="shared" si="40"/>
        <v>#REF!</v>
      </c>
      <c r="AL61" s="1557" t="e">
        <f t="shared" si="40"/>
        <v>#REF!</v>
      </c>
      <c r="AM61" s="1557" t="e">
        <f t="shared" si="40"/>
        <v>#REF!</v>
      </c>
      <c r="AN61" s="1557" t="e">
        <f t="shared" si="40"/>
        <v>#REF!</v>
      </c>
      <c r="AO61" s="1557" t="e">
        <f t="shared" si="40"/>
        <v>#REF!</v>
      </c>
      <c r="AP61" s="1557" t="e">
        <f t="shared" si="40"/>
        <v>#REF!</v>
      </c>
      <c r="AQ61" s="1557" t="e">
        <f t="shared" si="40"/>
        <v>#REF!</v>
      </c>
      <c r="AR61" s="1557" t="e">
        <f t="shared" si="40"/>
        <v>#REF!</v>
      </c>
      <c r="AS61" s="1557" t="e">
        <f t="shared" si="40"/>
        <v>#REF!</v>
      </c>
      <c r="DM61" s="1659" t="e">
        <f t="shared" si="34"/>
        <v>#REF!</v>
      </c>
      <c r="DN61" s="1937" t="e">
        <f t="shared" si="35"/>
        <v>#REF!</v>
      </c>
      <c r="DO61" s="1938" t="e">
        <f t="shared" si="36"/>
        <v>#REF!</v>
      </c>
    </row>
    <row r="62" spans="1:121" ht="49.5" customHeight="1" x14ac:dyDescent="0.45">
      <c r="A62" s="5039"/>
      <c r="B62" s="5040"/>
      <c r="C62" s="5040"/>
      <c r="D62" s="5040"/>
      <c r="E62" s="5040"/>
      <c r="F62" s="5040"/>
      <c r="G62" s="5040"/>
      <c r="H62" s="5040"/>
      <c r="I62" s="5040"/>
      <c r="J62" s="5040"/>
      <c r="K62" s="5040"/>
      <c r="L62" s="5040"/>
      <c r="M62" s="5040"/>
      <c r="N62" s="5040"/>
      <c r="O62" s="5040"/>
      <c r="P62" s="5040"/>
      <c r="Q62" s="5040"/>
      <c r="R62" s="5041"/>
      <c r="W62" s="1503"/>
      <c r="X62" s="1503"/>
      <c r="DM62" s="1490"/>
    </row>
    <row r="63" spans="1:121" ht="49.5" customHeight="1" thickBot="1" x14ac:dyDescent="0.5">
      <c r="A63" s="5166"/>
      <c r="B63" s="5167"/>
      <c r="C63" s="5167"/>
      <c r="D63" s="5167"/>
      <c r="E63" s="5167"/>
      <c r="F63" s="5167"/>
      <c r="G63" s="5167"/>
      <c r="H63" s="5167"/>
      <c r="I63" s="5167"/>
      <c r="J63" s="5167"/>
      <c r="K63" s="5167"/>
      <c r="L63" s="5167"/>
      <c r="M63" s="5167"/>
      <c r="N63" s="5167"/>
      <c r="O63" s="5167"/>
      <c r="P63" s="5167"/>
      <c r="Q63" s="5167"/>
      <c r="R63" s="5288"/>
      <c r="W63" s="1503"/>
      <c r="X63" s="1503"/>
      <c r="DM63" s="1490"/>
    </row>
    <row r="64" spans="1:121" s="1540" customFormat="1" ht="49.5" customHeight="1" x14ac:dyDescent="0.5">
      <c r="A64" s="5178" t="s">
        <v>401</v>
      </c>
      <c r="B64" s="5179"/>
      <c r="C64" s="5179"/>
      <c r="D64" s="5180"/>
      <c r="E64" s="4397" t="s">
        <v>101</v>
      </c>
      <c r="F64" s="5285" t="s">
        <v>304</v>
      </c>
      <c r="G64" s="5285"/>
      <c r="H64" s="5285"/>
      <c r="I64" s="5285" t="s">
        <v>368</v>
      </c>
      <c r="J64" s="5285"/>
      <c r="K64" s="5285"/>
      <c r="L64" s="4237" t="s">
        <v>851</v>
      </c>
      <c r="M64" s="4238"/>
      <c r="N64" s="4240"/>
      <c r="O64" s="1514"/>
      <c r="P64" s="4510" t="s">
        <v>377</v>
      </c>
      <c r="Q64" s="4510"/>
      <c r="R64" s="5245"/>
      <c r="T64" s="4395" t="s">
        <v>304</v>
      </c>
      <c r="U64" s="4323"/>
      <c r="V64" s="4323"/>
      <c r="W64" s="4323"/>
      <c r="X64" s="4396"/>
      <c r="Y64" s="4395" t="s">
        <v>368</v>
      </c>
      <c r="Z64" s="4323"/>
      <c r="AA64" s="4396"/>
      <c r="AB64" s="4510" t="s">
        <v>850</v>
      </c>
      <c r="AC64" s="4510"/>
      <c r="AD64" s="4510"/>
      <c r="AE64" s="4237" t="s">
        <v>851</v>
      </c>
      <c r="AF64" s="4238"/>
      <c r="AG64" s="4240"/>
      <c r="AH64" s="4237" t="s">
        <v>852</v>
      </c>
      <c r="AI64" s="4238"/>
      <c r="AJ64" s="4240"/>
      <c r="AK64" s="4237" t="s">
        <v>853</v>
      </c>
      <c r="AL64" s="4238"/>
      <c r="AM64" s="4240"/>
      <c r="AN64" s="4237" t="s">
        <v>377</v>
      </c>
      <c r="AO64" s="4238"/>
      <c r="AP64" s="4240"/>
      <c r="AQ64" s="4237" t="s">
        <v>241</v>
      </c>
      <c r="AR64" s="4238"/>
      <c r="AS64" s="4240"/>
      <c r="DM64" s="5177" t="s">
        <v>241</v>
      </c>
      <c r="DN64" s="4508"/>
      <c r="DO64" s="4508"/>
      <c r="DP64" s="4508"/>
      <c r="DQ64" s="4509"/>
    </row>
    <row r="65" spans="1:121" s="1540" customFormat="1" ht="49.5" customHeight="1" thickBot="1" x14ac:dyDescent="0.5">
      <c r="A65" s="5181"/>
      <c r="B65" s="5182"/>
      <c r="C65" s="5182"/>
      <c r="D65" s="5183"/>
      <c r="E65" s="5284"/>
      <c r="F65" s="1575" t="s">
        <v>287</v>
      </c>
      <c r="G65" s="1575" t="s">
        <v>289</v>
      </c>
      <c r="H65" s="1575" t="s">
        <v>288</v>
      </c>
      <c r="I65" s="1575" t="s">
        <v>287</v>
      </c>
      <c r="J65" s="1575" t="s">
        <v>289</v>
      </c>
      <c r="K65" s="1575" t="s">
        <v>288</v>
      </c>
      <c r="L65" s="1515" t="s">
        <v>287</v>
      </c>
      <c r="M65" s="1515" t="s">
        <v>289</v>
      </c>
      <c r="N65" s="1515" t="s">
        <v>288</v>
      </c>
      <c r="O65" s="1581" t="s">
        <v>905</v>
      </c>
      <c r="P65" s="1582" t="s">
        <v>287</v>
      </c>
      <c r="Q65" s="1515" t="s">
        <v>289</v>
      </c>
      <c r="R65" s="1517" t="s">
        <v>288</v>
      </c>
      <c r="T65" s="1515" t="s">
        <v>287</v>
      </c>
      <c r="U65" s="1515"/>
      <c r="V65" s="1515"/>
      <c r="W65" s="1515" t="s">
        <v>289</v>
      </c>
      <c r="X65" s="1516" t="s">
        <v>288</v>
      </c>
      <c r="Y65" s="1515" t="s">
        <v>287</v>
      </c>
      <c r="Z65" s="1515" t="s">
        <v>289</v>
      </c>
      <c r="AA65" s="1516" t="s">
        <v>288</v>
      </c>
      <c r="AB65" s="1515" t="s">
        <v>287</v>
      </c>
      <c r="AC65" s="1515" t="s">
        <v>289</v>
      </c>
      <c r="AD65" s="1516" t="s">
        <v>288</v>
      </c>
      <c r="AE65" s="1515" t="s">
        <v>287</v>
      </c>
      <c r="AF65" s="1515" t="s">
        <v>289</v>
      </c>
      <c r="AG65" s="1515" t="s">
        <v>288</v>
      </c>
      <c r="AH65" s="1515" t="s">
        <v>287</v>
      </c>
      <c r="AI65" s="1515" t="s">
        <v>289</v>
      </c>
      <c r="AJ65" s="1515" t="s">
        <v>288</v>
      </c>
      <c r="AK65" s="1515" t="s">
        <v>287</v>
      </c>
      <c r="AL65" s="1515" t="s">
        <v>289</v>
      </c>
      <c r="AM65" s="1515" t="s">
        <v>288</v>
      </c>
      <c r="AN65" s="1515" t="s">
        <v>287</v>
      </c>
      <c r="AO65" s="1515" t="s">
        <v>289</v>
      </c>
      <c r="AP65" s="1515" t="s">
        <v>288</v>
      </c>
      <c r="AQ65" s="1515" t="s">
        <v>287</v>
      </c>
      <c r="AR65" s="1515" t="s">
        <v>289</v>
      </c>
      <c r="AS65" s="1515" t="s">
        <v>288</v>
      </c>
      <c r="DM65" s="980" t="s">
        <v>370</v>
      </c>
      <c r="DN65" s="980" t="s">
        <v>25</v>
      </c>
      <c r="DO65" s="980" t="s">
        <v>371</v>
      </c>
      <c r="DP65" s="980" t="s">
        <v>241</v>
      </c>
      <c r="DQ65" s="980"/>
    </row>
    <row r="66" spans="1:121" ht="49.5" customHeight="1" x14ac:dyDescent="0.45">
      <c r="A66" s="5324" t="s">
        <v>67</v>
      </c>
      <c r="B66" s="1947">
        <v>5030</v>
      </c>
      <c r="C66" s="4597" t="s">
        <v>164</v>
      </c>
      <c r="D66" s="4597"/>
      <c r="E66" s="1543">
        <f>+E216</f>
        <v>0</v>
      </c>
      <c r="F66" s="1543">
        <f t="shared" ref="F66:K66" si="41">+F216</f>
        <v>0</v>
      </c>
      <c r="G66" s="1543">
        <f t="shared" si="41"/>
        <v>0</v>
      </c>
      <c r="H66" s="1543">
        <f t="shared" si="41"/>
        <v>0</v>
      </c>
      <c r="I66" s="1543">
        <f t="shared" ca="1" si="41"/>
        <v>0</v>
      </c>
      <c r="J66" s="1543">
        <f t="shared" ca="1" si="41"/>
        <v>0</v>
      </c>
      <c r="K66" s="1543">
        <f t="shared" ca="1" si="41"/>
        <v>0</v>
      </c>
      <c r="L66" s="1547"/>
      <c r="M66" s="1547"/>
      <c r="N66" s="1547"/>
      <c r="O66" s="1523">
        <f t="shared" ref="O66:O72" si="42">+IF(E66=0,0,SUM(F66:H66)/E66)</f>
        <v>0</v>
      </c>
      <c r="P66" s="1583">
        <f t="shared" ref="P66:R71" ca="1" si="43">+F66+I66</f>
        <v>0</v>
      </c>
      <c r="Q66" s="1524">
        <f t="shared" ca="1" si="43"/>
        <v>0</v>
      </c>
      <c r="R66" s="1545">
        <f t="shared" ca="1" si="43"/>
        <v>0</v>
      </c>
      <c r="S66" s="1584" t="s">
        <v>402</v>
      </c>
      <c r="T66" s="1544"/>
      <c r="U66" s="1544"/>
      <c r="V66" s="1544"/>
      <c r="W66" s="1544"/>
      <c r="X66" s="1544"/>
      <c r="Y66" s="1544"/>
      <c r="Z66" s="1544"/>
      <c r="AA66" s="1544"/>
      <c r="AE66" s="1547"/>
      <c r="AF66" s="1547"/>
      <c r="AG66" s="1547"/>
      <c r="AH66" s="1521"/>
      <c r="AI66" s="1521"/>
      <c r="AJ66" s="1521"/>
      <c r="AK66" s="1521"/>
      <c r="AL66" s="1521"/>
      <c r="AM66" s="1521"/>
      <c r="AN66" s="1521"/>
      <c r="AO66" s="1521"/>
      <c r="AP66" s="1521"/>
      <c r="AQ66" s="1548"/>
      <c r="AR66" s="1549"/>
      <c r="AS66" s="1549"/>
      <c r="DM66" s="1525">
        <f t="shared" ref="DM66:DM72" si="44">+IF(E66=0,0,DN66/DO66)</f>
        <v>0</v>
      </c>
      <c r="DN66" s="1526">
        <f t="shared" ref="DN66:DN72" si="45">+SUM(F66:H66)</f>
        <v>0</v>
      </c>
      <c r="DO66" s="1526">
        <f t="shared" ref="DO66:DO72" si="46">+E66</f>
        <v>0</v>
      </c>
      <c r="DP66" s="1569" t="str">
        <f t="shared" ref="DP66:DP71" si="47">IF(DO66=0,"S.D.",+IF(AND((DN66/DO66)&gt;1400,(DN66/DO66)&lt;=2999),"O.K.","VERIFICAR"))</f>
        <v>S.D.</v>
      </c>
      <c r="DQ66" s="1525"/>
    </row>
    <row r="67" spans="1:121" ht="49.5" customHeight="1" x14ac:dyDescent="0.45">
      <c r="A67" s="5324"/>
      <c r="B67" s="1954">
        <v>5040</v>
      </c>
      <c r="C67" s="3743" t="s">
        <v>902</v>
      </c>
      <c r="D67" s="3744"/>
      <c r="E67" s="1543">
        <f t="shared" ref="E67:K71" si="48">+E217</f>
        <v>0</v>
      </c>
      <c r="F67" s="1543">
        <f t="shared" si="48"/>
        <v>0</v>
      </c>
      <c r="G67" s="1543">
        <f t="shared" si="48"/>
        <v>0</v>
      </c>
      <c r="H67" s="1543">
        <f t="shared" si="48"/>
        <v>0</v>
      </c>
      <c r="I67" s="1543">
        <f t="shared" ca="1" si="48"/>
        <v>0</v>
      </c>
      <c r="J67" s="1543">
        <f t="shared" ca="1" si="48"/>
        <v>0</v>
      </c>
      <c r="K67" s="1543">
        <f t="shared" ca="1" si="48"/>
        <v>0</v>
      </c>
      <c r="L67" s="1547"/>
      <c r="M67" s="1547"/>
      <c r="N67" s="1547"/>
      <c r="O67" s="1523">
        <f t="shared" si="42"/>
        <v>0</v>
      </c>
      <c r="P67" s="1583">
        <f t="shared" ca="1" si="43"/>
        <v>0</v>
      </c>
      <c r="Q67" s="1524">
        <f t="shared" ca="1" si="43"/>
        <v>0</v>
      </c>
      <c r="R67" s="1545">
        <f t="shared" ca="1" si="43"/>
        <v>0</v>
      </c>
      <c r="S67" s="1585"/>
      <c r="T67" s="1544"/>
      <c r="U67" s="1544"/>
      <c r="V67" s="1544"/>
      <c r="W67" s="1544"/>
      <c r="X67" s="1544"/>
      <c r="Y67" s="1544"/>
      <c r="Z67" s="1544"/>
      <c r="AA67" s="1544"/>
      <c r="AE67" s="1547"/>
      <c r="AF67" s="1547"/>
      <c r="AG67" s="1547"/>
      <c r="AH67" s="1521"/>
      <c r="AI67" s="1521"/>
      <c r="AJ67" s="1521"/>
      <c r="AK67" s="1521"/>
      <c r="AL67" s="1521"/>
      <c r="AM67" s="1521"/>
      <c r="AN67" s="1521"/>
      <c r="AO67" s="1521"/>
      <c r="AP67" s="1521"/>
      <c r="AQ67" s="1548"/>
      <c r="AR67" s="1549"/>
      <c r="AS67" s="1549"/>
      <c r="DM67" s="1525">
        <f t="shared" si="44"/>
        <v>0</v>
      </c>
      <c r="DN67" s="1526">
        <f t="shared" si="45"/>
        <v>0</v>
      </c>
      <c r="DO67" s="1526">
        <f t="shared" si="46"/>
        <v>0</v>
      </c>
      <c r="DP67" s="1569" t="str">
        <f t="shared" si="47"/>
        <v>S.D.</v>
      </c>
      <c r="DQ67" s="1525"/>
    </row>
    <row r="68" spans="1:121" ht="49.5" customHeight="1" x14ac:dyDescent="0.45">
      <c r="A68" s="5324"/>
      <c r="B68" s="1955">
        <v>5055</v>
      </c>
      <c r="C68" s="3742" t="s">
        <v>904</v>
      </c>
      <c r="D68" s="3742"/>
      <c r="E68" s="1543" t="e">
        <f t="shared" si="48"/>
        <v>#REF!</v>
      </c>
      <c r="F68" s="1543" t="e">
        <f t="shared" si="48"/>
        <v>#REF!</v>
      </c>
      <c r="G68" s="1543" t="e">
        <f t="shared" si="48"/>
        <v>#REF!</v>
      </c>
      <c r="H68" s="1543" t="e">
        <f t="shared" si="48"/>
        <v>#REF!</v>
      </c>
      <c r="I68" s="1543" t="e">
        <f t="shared" si="48"/>
        <v>#REF!</v>
      </c>
      <c r="J68" s="1543" t="e">
        <f t="shared" si="48"/>
        <v>#REF!</v>
      </c>
      <c r="K68" s="1543" t="e">
        <f t="shared" si="48"/>
        <v>#REF!</v>
      </c>
      <c r="L68" s="1547"/>
      <c r="M68" s="1547"/>
      <c r="N68" s="1547"/>
      <c r="O68" s="1523"/>
      <c r="P68" s="1583" t="e">
        <f t="shared" si="43"/>
        <v>#REF!</v>
      </c>
      <c r="Q68" s="1524" t="e">
        <f t="shared" si="43"/>
        <v>#REF!</v>
      </c>
      <c r="R68" s="1545" t="e">
        <f t="shared" si="43"/>
        <v>#REF!</v>
      </c>
      <c r="S68" s="1585"/>
      <c r="T68" s="1544"/>
      <c r="U68" s="1544"/>
      <c r="V68" s="1544"/>
      <c r="W68" s="1544"/>
      <c r="X68" s="1544"/>
      <c r="Y68" s="1544"/>
      <c r="Z68" s="1544"/>
      <c r="AA68" s="1544"/>
      <c r="AE68" s="1547"/>
      <c r="AF68" s="1547"/>
      <c r="AG68" s="1547"/>
      <c r="AH68" s="1521"/>
      <c r="AI68" s="1521"/>
      <c r="AJ68" s="1521"/>
      <c r="AK68" s="1521"/>
      <c r="AL68" s="1521"/>
      <c r="AM68" s="1521"/>
      <c r="AN68" s="1521"/>
      <c r="AO68" s="1521"/>
      <c r="AP68" s="1521"/>
      <c r="AQ68" s="1548"/>
      <c r="AR68" s="1549"/>
      <c r="AS68" s="1549"/>
      <c r="DM68" s="1525" t="e">
        <f t="shared" si="44"/>
        <v>#REF!</v>
      </c>
      <c r="DN68" s="1526" t="e">
        <f t="shared" si="45"/>
        <v>#REF!</v>
      </c>
      <c r="DO68" s="1526" t="e">
        <f t="shared" si="46"/>
        <v>#REF!</v>
      </c>
      <c r="DP68" s="1569" t="e">
        <f t="shared" si="47"/>
        <v>#REF!</v>
      </c>
      <c r="DQ68" s="1525"/>
    </row>
    <row r="69" spans="1:121" ht="49.5" customHeight="1" x14ac:dyDescent="0.45">
      <c r="A69" s="5324"/>
      <c r="B69" s="1957">
        <v>5507</v>
      </c>
      <c r="C69" s="4074" t="s">
        <v>220</v>
      </c>
      <c r="D69" s="1957" t="s">
        <v>68</v>
      </c>
      <c r="E69" s="1543">
        <f t="shared" si="48"/>
        <v>0</v>
      </c>
      <c r="F69" s="1543">
        <f t="shared" si="48"/>
        <v>0</v>
      </c>
      <c r="G69" s="1543">
        <f t="shared" si="48"/>
        <v>0</v>
      </c>
      <c r="H69" s="1543">
        <f t="shared" si="48"/>
        <v>0</v>
      </c>
      <c r="I69" s="1543">
        <f t="shared" ca="1" si="48"/>
        <v>0</v>
      </c>
      <c r="J69" s="1543">
        <f t="shared" ca="1" si="48"/>
        <v>0</v>
      </c>
      <c r="K69" s="1543">
        <f t="shared" ca="1" si="48"/>
        <v>0</v>
      </c>
      <c r="L69" s="1530"/>
      <c r="M69" s="1530"/>
      <c r="N69" s="1530"/>
      <c r="O69" s="1523">
        <f t="shared" si="42"/>
        <v>0</v>
      </c>
      <c r="P69" s="1583">
        <f t="shared" ca="1" si="43"/>
        <v>0</v>
      </c>
      <c r="Q69" s="1524">
        <f t="shared" ca="1" si="43"/>
        <v>0</v>
      </c>
      <c r="R69" s="1545">
        <f t="shared" ca="1" si="43"/>
        <v>0</v>
      </c>
      <c r="S69" s="1585"/>
      <c r="T69" s="1544"/>
      <c r="U69" s="1544"/>
      <c r="V69" s="1544"/>
      <c r="W69" s="1544"/>
      <c r="X69" s="1544"/>
      <c r="Y69" s="1544"/>
      <c r="Z69" s="1544"/>
      <c r="AA69" s="1544"/>
      <c r="AE69" s="1547"/>
      <c r="AF69" s="1547"/>
      <c r="AG69" s="1547"/>
      <c r="AH69" s="1521"/>
      <c r="AI69" s="1521"/>
      <c r="AJ69" s="1521"/>
      <c r="AK69" s="1521"/>
      <c r="AL69" s="1521"/>
      <c r="AM69" s="1521"/>
      <c r="AN69" s="1521"/>
      <c r="AO69" s="1521"/>
      <c r="AP69" s="1521"/>
      <c r="AQ69" s="1548"/>
      <c r="AR69" s="1549"/>
      <c r="AS69" s="1549"/>
      <c r="DM69" s="1525">
        <f t="shared" si="44"/>
        <v>0</v>
      </c>
      <c r="DN69" s="1526">
        <f t="shared" si="45"/>
        <v>0</v>
      </c>
      <c r="DO69" s="1526">
        <f t="shared" si="46"/>
        <v>0</v>
      </c>
      <c r="DP69" s="1569" t="str">
        <f t="shared" si="47"/>
        <v>S.D.</v>
      </c>
      <c r="DQ69" s="1525"/>
    </row>
    <row r="70" spans="1:121" ht="49.5" customHeight="1" x14ac:dyDescent="0.45">
      <c r="A70" s="5324"/>
      <c r="B70" s="1958">
        <v>5517</v>
      </c>
      <c r="C70" s="4074"/>
      <c r="D70" s="1958" t="s">
        <v>69</v>
      </c>
      <c r="E70" s="1543">
        <f t="shared" si="48"/>
        <v>0</v>
      </c>
      <c r="F70" s="1543">
        <f t="shared" si="48"/>
        <v>0</v>
      </c>
      <c r="G70" s="1543">
        <f t="shared" si="48"/>
        <v>0</v>
      </c>
      <c r="H70" s="1543">
        <f t="shared" si="48"/>
        <v>0</v>
      </c>
      <c r="I70" s="1543">
        <f t="shared" ca="1" si="48"/>
        <v>0</v>
      </c>
      <c r="J70" s="1543">
        <f t="shared" ca="1" si="48"/>
        <v>0</v>
      </c>
      <c r="K70" s="1543">
        <f t="shared" ca="1" si="48"/>
        <v>0</v>
      </c>
      <c r="L70" s="1530"/>
      <c r="M70" s="1530"/>
      <c r="N70" s="1530"/>
      <c r="O70" s="1523">
        <f t="shared" si="42"/>
        <v>0</v>
      </c>
      <c r="P70" s="1583">
        <f t="shared" ca="1" si="43"/>
        <v>0</v>
      </c>
      <c r="Q70" s="1524">
        <f t="shared" ca="1" si="43"/>
        <v>0</v>
      </c>
      <c r="R70" s="1545">
        <f t="shared" ca="1" si="43"/>
        <v>0</v>
      </c>
      <c r="S70" s="1585"/>
      <c r="T70" s="1544"/>
      <c r="U70" s="1544"/>
      <c r="V70" s="1544"/>
      <c r="W70" s="1544"/>
      <c r="X70" s="1544"/>
      <c r="Y70" s="1544"/>
      <c r="Z70" s="1544"/>
      <c r="AA70" s="1544"/>
      <c r="AE70" s="1547"/>
      <c r="AF70" s="1547"/>
      <c r="AG70" s="1547"/>
      <c r="AH70" s="1521"/>
      <c r="AI70" s="1521"/>
      <c r="AJ70" s="1521"/>
      <c r="AK70" s="1521"/>
      <c r="AL70" s="1521"/>
      <c r="AM70" s="1521"/>
      <c r="AN70" s="1521"/>
      <c r="AO70" s="1521"/>
      <c r="AP70" s="1521"/>
      <c r="AQ70" s="1548"/>
      <c r="AR70" s="1549"/>
      <c r="AS70" s="1549"/>
      <c r="DM70" s="1525">
        <f t="shared" si="44"/>
        <v>0</v>
      </c>
      <c r="DN70" s="1526">
        <f t="shared" si="45"/>
        <v>0</v>
      </c>
      <c r="DO70" s="1526">
        <f t="shared" si="46"/>
        <v>0</v>
      </c>
      <c r="DP70" s="1569" t="str">
        <f t="shared" si="47"/>
        <v>S.D.</v>
      </c>
      <c r="DQ70" s="1525"/>
    </row>
    <row r="71" spans="1:121" ht="49.5" customHeight="1" x14ac:dyDescent="0.5">
      <c r="A71" s="5324"/>
      <c r="B71" s="1960">
        <v>6000</v>
      </c>
      <c r="C71" s="4590" t="s">
        <v>51</v>
      </c>
      <c r="D71" s="4591"/>
      <c r="E71" s="1543">
        <f t="shared" si="48"/>
        <v>0</v>
      </c>
      <c r="F71" s="1543">
        <f t="shared" si="48"/>
        <v>0</v>
      </c>
      <c r="G71" s="1543">
        <f t="shared" si="48"/>
        <v>0</v>
      </c>
      <c r="H71" s="1543">
        <f t="shared" si="48"/>
        <v>0</v>
      </c>
      <c r="I71" s="1543">
        <f t="shared" ca="1" si="48"/>
        <v>0</v>
      </c>
      <c r="J71" s="1543">
        <f t="shared" ca="1" si="48"/>
        <v>0</v>
      </c>
      <c r="K71" s="1543">
        <f t="shared" ca="1" si="48"/>
        <v>0</v>
      </c>
      <c r="L71" s="1528"/>
      <c r="M71" s="1528"/>
      <c r="N71" s="1528"/>
      <c r="O71" s="1523">
        <f t="shared" si="42"/>
        <v>0</v>
      </c>
      <c r="P71" s="1583">
        <f t="shared" ca="1" si="43"/>
        <v>0</v>
      </c>
      <c r="Q71" s="1524">
        <f t="shared" ca="1" si="43"/>
        <v>0</v>
      </c>
      <c r="R71" s="1545">
        <f t="shared" ca="1" si="43"/>
        <v>0</v>
      </c>
      <c r="S71" s="1585"/>
      <c r="T71" s="1543">
        <f>+F71-L71</f>
        <v>0</v>
      </c>
      <c r="U71" s="1543"/>
      <c r="V71" s="1543"/>
      <c r="W71" s="1543">
        <f>+G71-M71</f>
        <v>0</v>
      </c>
      <c r="X71" s="1543">
        <f>+H71-N71</f>
        <v>0</v>
      </c>
      <c r="Y71" s="1543">
        <f ca="1">+IF( I71=0,0,(T71/F71)*I71)</f>
        <v>0</v>
      </c>
      <c r="Z71" s="1543">
        <f ca="1">+IF(J71=0,0,(W71/G71)*J71)</f>
        <v>0</v>
      </c>
      <c r="AA71" s="1543">
        <f ca="1">+IF(K71=0,0,(X71/H71)*K71)</f>
        <v>0</v>
      </c>
      <c r="AB71" s="1543">
        <f ca="1">+T71+Y71</f>
        <v>0</v>
      </c>
      <c r="AC71" s="1543">
        <f ca="1">+W71+Z71</f>
        <v>0</v>
      </c>
      <c r="AD71" s="1543">
        <f ca="1">+X71+AA71</f>
        <v>0</v>
      </c>
      <c r="AE71" s="1553">
        <f>+L71</f>
        <v>0</v>
      </c>
      <c r="AF71" s="1553">
        <f>+M71</f>
        <v>0</v>
      </c>
      <c r="AG71" s="1553">
        <f>+N71</f>
        <v>0</v>
      </c>
      <c r="AH71" s="1553">
        <f ca="1">+I71-Y71</f>
        <v>0</v>
      </c>
      <c r="AI71" s="1553">
        <f ca="1">+J71-Z71</f>
        <v>0</v>
      </c>
      <c r="AJ71" s="1553">
        <f ca="1">+K71-AA71</f>
        <v>0</v>
      </c>
      <c r="AK71" s="1553">
        <f ca="1">+AE71+AH71</f>
        <v>0</v>
      </c>
      <c r="AL71" s="1553">
        <f ca="1">+AF71+AI71</f>
        <v>0</v>
      </c>
      <c r="AM71" s="1553">
        <f ca="1">+AG71+AJ71</f>
        <v>0</v>
      </c>
      <c r="AN71" s="1554">
        <f ca="1">+T71+Y71+AE71+AH71</f>
        <v>0</v>
      </c>
      <c r="AO71" s="1554">
        <f ca="1">+W71+Z71+AF71+AI71</f>
        <v>0</v>
      </c>
      <c r="AP71" s="1554">
        <f ca="1">+X71+AA71+AG71+AJ71</f>
        <v>0</v>
      </c>
      <c r="AQ71" s="1555">
        <f ca="1">+P71-AN71</f>
        <v>0</v>
      </c>
      <c r="AR71" s="1555">
        <f ca="1">+Q71-AO71</f>
        <v>0</v>
      </c>
      <c r="AS71" s="1555">
        <f ca="1">+R71-AP71</f>
        <v>0</v>
      </c>
      <c r="DM71" s="1525">
        <f t="shared" si="44"/>
        <v>0</v>
      </c>
      <c r="DN71" s="1526">
        <f t="shared" si="45"/>
        <v>0</v>
      </c>
      <c r="DO71" s="1526">
        <f t="shared" si="46"/>
        <v>0</v>
      </c>
      <c r="DP71" s="1569" t="str">
        <f t="shared" si="47"/>
        <v>S.D.</v>
      </c>
      <c r="DQ71" s="1525"/>
    </row>
    <row r="72" spans="1:121" ht="49.5" customHeight="1" x14ac:dyDescent="0.45">
      <c r="A72" s="1586"/>
      <c r="B72" s="5164" t="s">
        <v>403</v>
      </c>
      <c r="C72" s="5164"/>
      <c r="D72" s="5165"/>
      <c r="E72" s="1557" t="e">
        <f t="shared" ref="E72:N72" si="49">SUM(E66:E71)</f>
        <v>#REF!</v>
      </c>
      <c r="F72" s="1557" t="e">
        <f t="shared" si="49"/>
        <v>#REF!</v>
      </c>
      <c r="G72" s="1557" t="e">
        <f t="shared" si="49"/>
        <v>#REF!</v>
      </c>
      <c r="H72" s="1557" t="e">
        <f t="shared" si="49"/>
        <v>#REF!</v>
      </c>
      <c r="I72" s="1557" t="e">
        <f t="shared" ca="1" si="49"/>
        <v>#REF!</v>
      </c>
      <c r="J72" s="1557" t="e">
        <f t="shared" ca="1" si="49"/>
        <v>#REF!</v>
      </c>
      <c r="K72" s="1557" t="e">
        <f t="shared" ca="1" si="49"/>
        <v>#REF!</v>
      </c>
      <c r="L72" s="1557">
        <f t="shared" si="49"/>
        <v>0</v>
      </c>
      <c r="M72" s="1557">
        <f t="shared" si="49"/>
        <v>0</v>
      </c>
      <c r="N72" s="1557">
        <f t="shared" si="49"/>
        <v>0</v>
      </c>
      <c r="O72" s="1523" t="e">
        <f t="shared" si="42"/>
        <v>#REF!</v>
      </c>
      <c r="P72" s="1558" t="e">
        <f ca="1">SUM(P66:P71)</f>
        <v>#REF!</v>
      </c>
      <c r="Q72" s="1558" t="e">
        <f ca="1">SUM(Q66:Q71)</f>
        <v>#REF!</v>
      </c>
      <c r="R72" s="1559" t="e">
        <f ca="1">SUM(R66:R71)</f>
        <v>#REF!</v>
      </c>
      <c r="S72" s="1587" t="e">
        <f ca="1">SUM(P72:R72)</f>
        <v>#REF!</v>
      </c>
      <c r="T72" s="1557">
        <f>SUM(T66:T71)</f>
        <v>0</v>
      </c>
      <c r="U72" s="1557"/>
      <c r="V72" s="1557"/>
      <c r="W72" s="1557">
        <f t="shared" ref="W72:AS72" si="50">SUM(W66:W71)</f>
        <v>0</v>
      </c>
      <c r="X72" s="1557">
        <f t="shared" si="50"/>
        <v>0</v>
      </c>
      <c r="Y72" s="1557">
        <f t="shared" ca="1" si="50"/>
        <v>0</v>
      </c>
      <c r="Z72" s="1557">
        <f t="shared" ca="1" si="50"/>
        <v>0</v>
      </c>
      <c r="AA72" s="1557">
        <f t="shared" ca="1" si="50"/>
        <v>0</v>
      </c>
      <c r="AB72" s="1557">
        <f t="shared" ca="1" si="50"/>
        <v>0</v>
      </c>
      <c r="AC72" s="1557">
        <f t="shared" ca="1" si="50"/>
        <v>0</v>
      </c>
      <c r="AD72" s="1557">
        <f t="shared" ca="1" si="50"/>
        <v>0</v>
      </c>
      <c r="AE72" s="1557">
        <f t="shared" si="50"/>
        <v>0</v>
      </c>
      <c r="AF72" s="1557">
        <f t="shared" si="50"/>
        <v>0</v>
      </c>
      <c r="AG72" s="1557">
        <f t="shared" si="50"/>
        <v>0</v>
      </c>
      <c r="AH72" s="1557">
        <f t="shared" ca="1" si="50"/>
        <v>0</v>
      </c>
      <c r="AI72" s="1557">
        <f t="shared" ca="1" si="50"/>
        <v>0</v>
      </c>
      <c r="AJ72" s="1557">
        <f t="shared" ca="1" si="50"/>
        <v>0</v>
      </c>
      <c r="AK72" s="1557">
        <f t="shared" ca="1" si="50"/>
        <v>0</v>
      </c>
      <c r="AL72" s="1557">
        <f t="shared" ca="1" si="50"/>
        <v>0</v>
      </c>
      <c r="AM72" s="1557">
        <f t="shared" ca="1" si="50"/>
        <v>0</v>
      </c>
      <c r="AN72" s="1557">
        <f t="shared" ca="1" si="50"/>
        <v>0</v>
      </c>
      <c r="AO72" s="1557">
        <f t="shared" ca="1" si="50"/>
        <v>0</v>
      </c>
      <c r="AP72" s="1557">
        <f t="shared" ca="1" si="50"/>
        <v>0</v>
      </c>
      <c r="AQ72" s="1557">
        <f t="shared" ca="1" si="50"/>
        <v>0</v>
      </c>
      <c r="AR72" s="1557">
        <f t="shared" ca="1" si="50"/>
        <v>0</v>
      </c>
      <c r="AS72" s="1557">
        <f t="shared" ca="1" si="50"/>
        <v>0</v>
      </c>
      <c r="DM72" s="1525" t="e">
        <f t="shared" si="44"/>
        <v>#REF!</v>
      </c>
      <c r="DN72" s="1526" t="e">
        <f t="shared" si="45"/>
        <v>#REF!</v>
      </c>
      <c r="DO72" s="1938" t="e">
        <f t="shared" si="46"/>
        <v>#REF!</v>
      </c>
    </row>
    <row r="73" spans="1:121" ht="49.5" customHeight="1" x14ac:dyDescent="0.45">
      <c r="A73" s="4399"/>
      <c r="B73" s="4400"/>
      <c r="C73" s="4400"/>
      <c r="D73" s="4400"/>
      <c r="E73" s="4400"/>
      <c r="F73" s="4400"/>
      <c r="G73" s="4400"/>
      <c r="H73" s="4400"/>
      <c r="I73" s="4400"/>
      <c r="J73" s="4400"/>
      <c r="K73" s="4400"/>
      <c r="L73" s="4400"/>
      <c r="M73" s="4400"/>
      <c r="N73" s="4400"/>
      <c r="O73" s="4400"/>
      <c r="P73" s="4400"/>
      <c r="Q73" s="4400"/>
      <c r="R73" s="5042"/>
      <c r="W73" s="1503"/>
      <c r="X73" s="1503"/>
      <c r="DM73" s="1490"/>
    </row>
    <row r="74" spans="1:121" ht="49.5" customHeight="1" x14ac:dyDescent="0.45">
      <c r="A74" s="4399"/>
      <c r="B74" s="4400"/>
      <c r="C74" s="4400"/>
      <c r="D74" s="4400"/>
      <c r="E74" s="4400"/>
      <c r="F74" s="4400"/>
      <c r="G74" s="4400"/>
      <c r="H74" s="4400"/>
      <c r="I74" s="4400"/>
      <c r="J74" s="4400"/>
      <c r="K74" s="4400"/>
      <c r="L74" s="4400"/>
      <c r="M74" s="4400"/>
      <c r="N74" s="4400"/>
      <c r="O74" s="4400"/>
      <c r="P74" s="4400"/>
      <c r="Q74" s="4400"/>
      <c r="R74" s="5042"/>
      <c r="W74" s="1503"/>
      <c r="X74" s="1503"/>
      <c r="DM74" s="1490"/>
    </row>
    <row r="75" spans="1:121" s="1540" customFormat="1" ht="49.5" customHeight="1" x14ac:dyDescent="0.45">
      <c r="A75" s="4399"/>
      <c r="B75" s="4400"/>
      <c r="C75" s="4400"/>
      <c r="D75" s="4401"/>
      <c r="E75" s="4397" t="s">
        <v>101</v>
      </c>
      <c r="F75" s="5285" t="s">
        <v>304</v>
      </c>
      <c r="G75" s="5285"/>
      <c r="H75" s="5285"/>
      <c r="I75" s="5285" t="s">
        <v>368</v>
      </c>
      <c r="J75" s="5285"/>
      <c r="K75" s="5285"/>
      <c r="L75" s="4237" t="s">
        <v>851</v>
      </c>
      <c r="M75" s="4238"/>
      <c r="N75" s="4240"/>
      <c r="O75" s="1514"/>
      <c r="P75" s="4510" t="s">
        <v>377</v>
      </c>
      <c r="Q75" s="4510"/>
      <c r="R75" s="5245"/>
      <c r="T75" s="4395" t="s">
        <v>304</v>
      </c>
      <c r="U75" s="4323"/>
      <c r="V75" s="4323"/>
      <c r="W75" s="4323"/>
      <c r="X75" s="4396"/>
      <c r="Y75" s="4395" t="s">
        <v>368</v>
      </c>
      <c r="Z75" s="4323"/>
      <c r="AA75" s="4396"/>
      <c r="AB75" s="4510" t="s">
        <v>850</v>
      </c>
      <c r="AC75" s="4510"/>
      <c r="AD75" s="4510"/>
      <c r="AE75" s="4237" t="s">
        <v>851</v>
      </c>
      <c r="AF75" s="4238"/>
      <c r="AG75" s="4240"/>
      <c r="AH75" s="4237" t="s">
        <v>852</v>
      </c>
      <c r="AI75" s="4238"/>
      <c r="AJ75" s="4240"/>
      <c r="AK75" s="4237" t="s">
        <v>853</v>
      </c>
      <c r="AL75" s="4238"/>
      <c r="AM75" s="4240"/>
      <c r="AN75" s="4237" t="s">
        <v>377</v>
      </c>
      <c r="AO75" s="4238"/>
      <c r="AP75" s="4240"/>
      <c r="AQ75" s="4237" t="s">
        <v>241</v>
      </c>
      <c r="AR75" s="4238"/>
      <c r="AS75" s="4240"/>
      <c r="DM75" s="1541"/>
    </row>
    <row r="76" spans="1:121" s="1540" customFormat="1" ht="49.5" customHeight="1" x14ac:dyDescent="0.45">
      <c r="A76" s="5166"/>
      <c r="B76" s="5167"/>
      <c r="C76" s="5167"/>
      <c r="D76" s="5168"/>
      <c r="E76" s="5284"/>
      <c r="F76" s="1575" t="s">
        <v>287</v>
      </c>
      <c r="G76" s="1575" t="s">
        <v>289</v>
      </c>
      <c r="H76" s="1575" t="s">
        <v>288</v>
      </c>
      <c r="I76" s="1575" t="s">
        <v>287</v>
      </c>
      <c r="J76" s="1575" t="s">
        <v>289</v>
      </c>
      <c r="K76" s="1575" t="s">
        <v>288</v>
      </c>
      <c r="L76" s="1515" t="s">
        <v>287</v>
      </c>
      <c r="M76" s="1515" t="s">
        <v>289</v>
      </c>
      <c r="N76" s="1516" t="s">
        <v>288</v>
      </c>
      <c r="O76" s="1542" t="s">
        <v>905</v>
      </c>
      <c r="P76" s="1515" t="s">
        <v>287</v>
      </c>
      <c r="Q76" s="1515" t="s">
        <v>289</v>
      </c>
      <c r="R76" s="1517" t="s">
        <v>288</v>
      </c>
      <c r="T76" s="1515" t="s">
        <v>287</v>
      </c>
      <c r="U76" s="1515"/>
      <c r="V76" s="1515"/>
      <c r="W76" s="1515" t="s">
        <v>289</v>
      </c>
      <c r="X76" s="1516" t="s">
        <v>288</v>
      </c>
      <c r="Y76" s="1515" t="s">
        <v>287</v>
      </c>
      <c r="Z76" s="1515" t="s">
        <v>289</v>
      </c>
      <c r="AA76" s="1516" t="s">
        <v>288</v>
      </c>
      <c r="AB76" s="1515" t="s">
        <v>287</v>
      </c>
      <c r="AC76" s="1515" t="s">
        <v>289</v>
      </c>
      <c r="AD76" s="1516" t="s">
        <v>288</v>
      </c>
      <c r="AE76" s="1515" t="s">
        <v>287</v>
      </c>
      <c r="AF76" s="1515" t="s">
        <v>289</v>
      </c>
      <c r="AG76" s="1515" t="s">
        <v>288</v>
      </c>
      <c r="AH76" s="1515" t="s">
        <v>287</v>
      </c>
      <c r="AI76" s="1515" t="s">
        <v>289</v>
      </c>
      <c r="AJ76" s="1515" t="s">
        <v>288</v>
      </c>
      <c r="AK76" s="1515" t="s">
        <v>287</v>
      </c>
      <c r="AL76" s="1515" t="s">
        <v>289</v>
      </c>
      <c r="AM76" s="1515" t="s">
        <v>288</v>
      </c>
      <c r="AN76" s="1515" t="s">
        <v>287</v>
      </c>
      <c r="AO76" s="1515" t="s">
        <v>289</v>
      </c>
      <c r="AP76" s="1515" t="s">
        <v>288</v>
      </c>
      <c r="AQ76" s="1515" t="s">
        <v>287</v>
      </c>
      <c r="AR76" s="1515" t="s">
        <v>289</v>
      </c>
      <c r="AS76" s="1515" t="s">
        <v>288</v>
      </c>
      <c r="DM76" s="1541"/>
    </row>
    <row r="77" spans="1:121" s="1540" customFormat="1" ht="49.5" customHeight="1" x14ac:dyDescent="0.45">
      <c r="A77" s="5171" t="s">
        <v>404</v>
      </c>
      <c r="B77" s="1947">
        <v>5030</v>
      </c>
      <c r="C77" s="4597" t="s">
        <v>164</v>
      </c>
      <c r="D77" s="4597"/>
      <c r="E77" s="1521" t="e">
        <f>+E17+E30+E44+E55+E66</f>
        <v>#REF!</v>
      </c>
      <c r="F77" s="1521" t="e">
        <f t="shared" ref="F77:K78" ca="1" si="51">+F17+F30+F44+F55+F66</f>
        <v>#REF!</v>
      </c>
      <c r="G77" s="1521" t="e">
        <f t="shared" ca="1" si="51"/>
        <v>#REF!</v>
      </c>
      <c r="H77" s="1521" t="e">
        <f t="shared" ca="1" si="51"/>
        <v>#REF!</v>
      </c>
      <c r="I77" s="1521" t="e">
        <f t="shared" ca="1" si="51"/>
        <v>#REF!</v>
      </c>
      <c r="J77" s="1521" t="e">
        <f t="shared" ca="1" si="51"/>
        <v>#REF!</v>
      </c>
      <c r="K77" s="1521" t="e">
        <f t="shared" ca="1" si="51"/>
        <v>#REF!</v>
      </c>
      <c r="L77" s="1521"/>
      <c r="M77" s="1521"/>
      <c r="N77" s="1521"/>
      <c r="O77" s="1523" t="e">
        <f t="shared" ref="O77:O96" si="52">+IF(E77=0,0,SUM(F77:H77)/E77)</f>
        <v>#REF!</v>
      </c>
      <c r="P77" s="1524" t="e">
        <f ca="1">+F77+I77</f>
        <v>#REF!</v>
      </c>
      <c r="Q77" s="1524" t="e">
        <f ca="1">+G77+J77</f>
        <v>#REF!</v>
      </c>
      <c r="R77" s="1545" t="e">
        <f ca="1">+H77+K77</f>
        <v>#REF!</v>
      </c>
      <c r="T77" s="1544"/>
      <c r="U77" s="1544"/>
      <c r="V77" s="1544"/>
      <c r="W77" s="1544"/>
      <c r="X77" s="1544"/>
      <c r="Y77" s="1544"/>
      <c r="Z77" s="1544"/>
      <c r="AA77" s="1544"/>
      <c r="AB77" s="1489"/>
      <c r="AC77" s="1489"/>
      <c r="AD77" s="1489"/>
      <c r="AE77" s="1547"/>
      <c r="AF77" s="1547"/>
      <c r="AG77" s="1547"/>
      <c r="AH77" s="1521"/>
      <c r="AI77" s="1521"/>
      <c r="AJ77" s="1521"/>
      <c r="AK77" s="1521"/>
      <c r="AL77" s="1521"/>
      <c r="AM77" s="1521"/>
      <c r="AN77" s="1521"/>
      <c r="AO77" s="1521"/>
      <c r="AP77" s="1521"/>
      <c r="AQ77" s="1548"/>
      <c r="AR77" s="1549"/>
      <c r="AS77" s="1549"/>
      <c r="DM77" s="1541"/>
    </row>
    <row r="78" spans="1:121" s="1540" customFormat="1" ht="49.5" customHeight="1" x14ac:dyDescent="0.45">
      <c r="A78" s="5172"/>
      <c r="B78" s="1954">
        <v>5040</v>
      </c>
      <c r="C78" s="3743" t="s">
        <v>902</v>
      </c>
      <c r="D78" s="3744"/>
      <c r="E78" s="1521" t="e">
        <f>+E18+E31+E45+E56+E67</f>
        <v>#REF!</v>
      </c>
      <c r="F78" s="1521" t="e">
        <f t="shared" si="51"/>
        <v>#REF!</v>
      </c>
      <c r="G78" s="1521" t="e">
        <f t="shared" si="51"/>
        <v>#REF!</v>
      </c>
      <c r="H78" s="1521" t="e">
        <f t="shared" si="51"/>
        <v>#REF!</v>
      </c>
      <c r="I78" s="1521" t="e">
        <f t="shared" ca="1" si="51"/>
        <v>#REF!</v>
      </c>
      <c r="J78" s="1521" t="e">
        <f t="shared" ca="1" si="51"/>
        <v>#REF!</v>
      </c>
      <c r="K78" s="1521" t="e">
        <f t="shared" ca="1" si="51"/>
        <v>#REF!</v>
      </c>
      <c r="L78" s="1521"/>
      <c r="M78" s="1521"/>
      <c r="N78" s="1521"/>
      <c r="O78" s="1523" t="e">
        <f t="shared" si="52"/>
        <v>#REF!</v>
      </c>
      <c r="P78" s="1524" t="e">
        <f t="shared" ref="P78:R93" ca="1" si="53">+F78+I78</f>
        <v>#REF!</v>
      </c>
      <c r="Q78" s="1524" t="e">
        <f t="shared" ca="1" si="53"/>
        <v>#REF!</v>
      </c>
      <c r="R78" s="1545" t="e">
        <f t="shared" ca="1" si="53"/>
        <v>#REF!</v>
      </c>
      <c r="T78" s="1544"/>
      <c r="U78" s="1544"/>
      <c r="V78" s="1544"/>
      <c r="W78" s="1544"/>
      <c r="X78" s="1544"/>
      <c r="Y78" s="1544"/>
      <c r="Z78" s="1544"/>
      <c r="AA78" s="1544"/>
      <c r="AB78" s="1489"/>
      <c r="AC78" s="1489"/>
      <c r="AD78" s="1489"/>
      <c r="AE78" s="1547"/>
      <c r="AF78" s="1547"/>
      <c r="AG78" s="1547"/>
      <c r="AH78" s="1521"/>
      <c r="AI78" s="1521"/>
      <c r="AJ78" s="1521"/>
      <c r="AK78" s="1521"/>
      <c r="AL78" s="1521"/>
      <c r="AM78" s="1521"/>
      <c r="AN78" s="1521"/>
      <c r="AO78" s="1521"/>
      <c r="AP78" s="1521"/>
      <c r="AQ78" s="1548"/>
      <c r="AR78" s="1549"/>
      <c r="AS78" s="1549"/>
      <c r="DM78" s="1541"/>
    </row>
    <row r="79" spans="1:121" s="1540" customFormat="1" ht="49.5" customHeight="1" x14ac:dyDescent="0.45">
      <c r="A79" s="5172"/>
      <c r="B79" s="1955">
        <v>5050</v>
      </c>
      <c r="C79" s="3742" t="s">
        <v>903</v>
      </c>
      <c r="D79" s="3742"/>
      <c r="E79" s="1521">
        <f>+E19+E32</f>
        <v>0</v>
      </c>
      <c r="F79" s="1521">
        <f t="shared" ref="F79:K79" si="54">+F19+F32</f>
        <v>0</v>
      </c>
      <c r="G79" s="1521">
        <f t="shared" si="54"/>
        <v>0</v>
      </c>
      <c r="H79" s="1521">
        <f t="shared" si="54"/>
        <v>0</v>
      </c>
      <c r="I79" s="1521">
        <f t="shared" ca="1" si="54"/>
        <v>0</v>
      </c>
      <c r="J79" s="1521">
        <f t="shared" ca="1" si="54"/>
        <v>0</v>
      </c>
      <c r="K79" s="1521">
        <f t="shared" ca="1" si="54"/>
        <v>0</v>
      </c>
      <c r="L79" s="1521"/>
      <c r="M79" s="1521"/>
      <c r="N79" s="1521"/>
      <c r="O79" s="1523">
        <f t="shared" si="52"/>
        <v>0</v>
      </c>
      <c r="P79" s="1524">
        <f t="shared" ca="1" si="53"/>
        <v>0</v>
      </c>
      <c r="Q79" s="1524">
        <f t="shared" ca="1" si="53"/>
        <v>0</v>
      </c>
      <c r="R79" s="1545">
        <f t="shared" ca="1" si="53"/>
        <v>0</v>
      </c>
      <c r="T79" s="1544"/>
      <c r="U79" s="1544"/>
      <c r="V79" s="1544"/>
      <c r="W79" s="1544"/>
      <c r="X79" s="1544"/>
      <c r="Y79" s="1544"/>
      <c r="Z79" s="1544"/>
      <c r="AA79" s="1544"/>
      <c r="AB79" s="1489"/>
      <c r="AC79" s="1489"/>
      <c r="AD79" s="1489"/>
      <c r="AE79" s="1547"/>
      <c r="AF79" s="1547"/>
      <c r="AG79" s="1547"/>
      <c r="AH79" s="1521"/>
      <c r="AI79" s="1521"/>
      <c r="AJ79" s="1521"/>
      <c r="AK79" s="1521"/>
      <c r="AL79" s="1521"/>
      <c r="AM79" s="1521"/>
      <c r="AN79" s="1521"/>
      <c r="AO79" s="1521"/>
      <c r="AP79" s="1521"/>
      <c r="AQ79" s="1548"/>
      <c r="AR79" s="1549"/>
      <c r="AS79" s="1549"/>
      <c r="DM79" s="1541"/>
    </row>
    <row r="80" spans="1:121" s="1540" customFormat="1" ht="49.5" customHeight="1" x14ac:dyDescent="0.45">
      <c r="A80" s="5172"/>
      <c r="B80" s="1955">
        <v>5055</v>
      </c>
      <c r="C80" s="3742" t="s">
        <v>904</v>
      </c>
      <c r="D80" s="3742"/>
      <c r="E80" s="1521" t="e">
        <f>+E68+E57+E46+E33</f>
        <v>#REF!</v>
      </c>
      <c r="F80" s="1521" t="e">
        <f t="shared" ref="F80:K80" si="55">+F68+F57+F46+F33</f>
        <v>#REF!</v>
      </c>
      <c r="G80" s="1521" t="e">
        <f t="shared" si="55"/>
        <v>#REF!</v>
      </c>
      <c r="H80" s="1521" t="e">
        <f t="shared" si="55"/>
        <v>#REF!</v>
      </c>
      <c r="I80" s="1521" t="e">
        <f t="shared" ca="1" si="55"/>
        <v>#REF!</v>
      </c>
      <c r="J80" s="1521" t="e">
        <f t="shared" ca="1" si="55"/>
        <v>#REF!</v>
      </c>
      <c r="K80" s="1521" t="e">
        <f t="shared" ca="1" si="55"/>
        <v>#REF!</v>
      </c>
      <c r="L80" s="1521"/>
      <c r="M80" s="1521"/>
      <c r="N80" s="1521"/>
      <c r="O80" s="1523" t="e">
        <f t="shared" si="52"/>
        <v>#REF!</v>
      </c>
      <c r="P80" s="1524" t="e">
        <f t="shared" ca="1" si="53"/>
        <v>#REF!</v>
      </c>
      <c r="Q80" s="1524" t="e">
        <f t="shared" ca="1" si="53"/>
        <v>#REF!</v>
      </c>
      <c r="R80" s="1545" t="e">
        <f t="shared" ca="1" si="53"/>
        <v>#REF!</v>
      </c>
      <c r="T80" s="1544"/>
      <c r="U80" s="1544"/>
      <c r="V80" s="1544"/>
      <c r="W80" s="1544"/>
      <c r="X80" s="1544"/>
      <c r="Y80" s="1544"/>
      <c r="Z80" s="1544"/>
      <c r="AA80" s="1544"/>
      <c r="AB80" s="1489"/>
      <c r="AC80" s="1489"/>
      <c r="AD80" s="1489"/>
      <c r="AE80" s="1547"/>
      <c r="AF80" s="1547"/>
      <c r="AG80" s="1547"/>
      <c r="AH80" s="1521"/>
      <c r="AI80" s="1521"/>
      <c r="AJ80" s="1521"/>
      <c r="AK80" s="1521"/>
      <c r="AL80" s="1521"/>
      <c r="AM80" s="1521"/>
      <c r="AN80" s="1521"/>
      <c r="AO80" s="1521"/>
      <c r="AP80" s="1521"/>
      <c r="AQ80" s="1548"/>
      <c r="AR80" s="1549"/>
      <c r="AS80" s="1549"/>
      <c r="DM80" s="1541"/>
    </row>
    <row r="81" spans="1:117" s="1540" customFormat="1" ht="49.5" customHeight="1" x14ac:dyDescent="0.45">
      <c r="A81" s="5172"/>
      <c r="B81" s="1721">
        <v>5501</v>
      </c>
      <c r="C81" s="3751" t="s">
        <v>891</v>
      </c>
      <c r="D81" s="1721" t="s">
        <v>46</v>
      </c>
      <c r="E81" s="1521" t="e">
        <f>+E20</f>
        <v>#REF!</v>
      </c>
      <c r="F81" s="1521" t="e">
        <f t="shared" ref="F81:K82" si="56">+F20</f>
        <v>#REF!</v>
      </c>
      <c r="G81" s="1521" t="e">
        <f t="shared" si="56"/>
        <v>#REF!</v>
      </c>
      <c r="H81" s="1521" t="e">
        <f t="shared" si="56"/>
        <v>#REF!</v>
      </c>
      <c r="I81" s="1521" t="e">
        <f t="shared" si="56"/>
        <v>#REF!</v>
      </c>
      <c r="J81" s="1521" t="e">
        <f t="shared" si="56"/>
        <v>#REF!</v>
      </c>
      <c r="K81" s="1521" t="e">
        <f t="shared" si="56"/>
        <v>#REF!</v>
      </c>
      <c r="L81" s="1521"/>
      <c r="M81" s="1521"/>
      <c r="N81" s="1521"/>
      <c r="O81" s="1523" t="e">
        <f t="shared" si="52"/>
        <v>#REF!</v>
      </c>
      <c r="P81" s="1524" t="e">
        <f t="shared" si="53"/>
        <v>#REF!</v>
      </c>
      <c r="Q81" s="1524" t="e">
        <f t="shared" si="53"/>
        <v>#REF!</v>
      </c>
      <c r="R81" s="1545" t="e">
        <f t="shared" si="53"/>
        <v>#REF!</v>
      </c>
      <c r="T81" s="1544"/>
      <c r="U81" s="1544"/>
      <c r="V81" s="1544"/>
      <c r="W81" s="1544"/>
      <c r="X81" s="1544"/>
      <c r="Y81" s="1544"/>
      <c r="Z81" s="1544"/>
      <c r="AA81" s="1544"/>
      <c r="AB81" s="1489"/>
      <c r="AC81" s="1489"/>
      <c r="AD81" s="1489"/>
      <c r="AE81" s="1547"/>
      <c r="AF81" s="1547"/>
      <c r="AG81" s="1547"/>
      <c r="AH81" s="1521"/>
      <c r="AI81" s="1521"/>
      <c r="AJ81" s="1521"/>
      <c r="AK81" s="1521"/>
      <c r="AL81" s="1521"/>
      <c r="AM81" s="1521"/>
      <c r="AN81" s="1521"/>
      <c r="AO81" s="1521"/>
      <c r="AP81" s="1521"/>
      <c r="AQ81" s="1548"/>
      <c r="AR81" s="1549"/>
      <c r="AS81" s="1549"/>
      <c r="DM81" s="1541"/>
    </row>
    <row r="82" spans="1:117" s="1540" customFormat="1" ht="49.5" customHeight="1" x14ac:dyDescent="0.45">
      <c r="A82" s="5172"/>
      <c r="B82" s="1721">
        <v>5502</v>
      </c>
      <c r="C82" s="3746"/>
      <c r="D82" s="1721" t="s">
        <v>47</v>
      </c>
      <c r="E82" s="1521">
        <f>+E21</f>
        <v>0</v>
      </c>
      <c r="F82" s="1521">
        <f t="shared" si="56"/>
        <v>0</v>
      </c>
      <c r="G82" s="1521">
        <f t="shared" si="56"/>
        <v>0</v>
      </c>
      <c r="H82" s="1521">
        <f t="shared" si="56"/>
        <v>0</v>
      </c>
      <c r="I82" s="1521">
        <f t="shared" ca="1" si="56"/>
        <v>0</v>
      </c>
      <c r="J82" s="1521">
        <f t="shared" ca="1" si="56"/>
        <v>0</v>
      </c>
      <c r="K82" s="1521">
        <f t="shared" ca="1" si="56"/>
        <v>0</v>
      </c>
      <c r="L82" s="1521"/>
      <c r="M82" s="1521"/>
      <c r="N82" s="1521"/>
      <c r="O82" s="1523">
        <f t="shared" si="52"/>
        <v>0</v>
      </c>
      <c r="P82" s="1524">
        <f t="shared" ca="1" si="53"/>
        <v>0</v>
      </c>
      <c r="Q82" s="1524">
        <f t="shared" ca="1" si="53"/>
        <v>0</v>
      </c>
      <c r="R82" s="1545">
        <f t="shared" ca="1" si="53"/>
        <v>0</v>
      </c>
      <c r="T82" s="1544"/>
      <c r="U82" s="1544"/>
      <c r="V82" s="1544"/>
      <c r="W82" s="1544"/>
      <c r="X82" s="1544"/>
      <c r="Y82" s="1544"/>
      <c r="Z82" s="1544"/>
      <c r="AA82" s="1544"/>
      <c r="AB82" s="1489"/>
      <c r="AC82" s="1489"/>
      <c r="AD82" s="1489"/>
      <c r="AE82" s="1547"/>
      <c r="AF82" s="1547"/>
      <c r="AG82" s="1547"/>
      <c r="AH82" s="1521"/>
      <c r="AI82" s="1521"/>
      <c r="AJ82" s="1521"/>
      <c r="AK82" s="1521"/>
      <c r="AL82" s="1521"/>
      <c r="AM82" s="1521"/>
      <c r="AN82" s="1521"/>
      <c r="AO82" s="1521"/>
      <c r="AP82" s="1521"/>
      <c r="AQ82" s="1548"/>
      <c r="AR82" s="1549"/>
      <c r="AS82" s="1549"/>
      <c r="DM82" s="1541"/>
    </row>
    <row r="83" spans="1:117" s="1540" customFormat="1" ht="49.5" customHeight="1" x14ac:dyDescent="0.5">
      <c r="A83" s="5172"/>
      <c r="B83" s="1721">
        <v>5503</v>
      </c>
      <c r="C83" s="3746"/>
      <c r="D83" s="1721" t="s">
        <v>906</v>
      </c>
      <c r="E83" s="1521">
        <f>+E34</f>
        <v>0</v>
      </c>
      <c r="F83" s="1521">
        <f t="shared" ref="F83:K84" si="57">+F34</f>
        <v>0</v>
      </c>
      <c r="G83" s="1521">
        <f t="shared" si="57"/>
        <v>0</v>
      </c>
      <c r="H83" s="1521">
        <f t="shared" si="57"/>
        <v>0</v>
      </c>
      <c r="I83" s="1521">
        <f t="shared" ca="1" si="57"/>
        <v>0</v>
      </c>
      <c r="J83" s="1521">
        <f t="shared" ca="1" si="57"/>
        <v>0</v>
      </c>
      <c r="K83" s="1521">
        <f t="shared" ca="1" si="57"/>
        <v>0</v>
      </c>
      <c r="L83" s="1521"/>
      <c r="M83" s="1521"/>
      <c r="N83" s="1521"/>
      <c r="O83" s="1523">
        <f t="shared" si="52"/>
        <v>0</v>
      </c>
      <c r="P83" s="1524">
        <f t="shared" ca="1" si="53"/>
        <v>0</v>
      </c>
      <c r="Q83" s="1524">
        <f t="shared" ca="1" si="53"/>
        <v>0</v>
      </c>
      <c r="R83" s="1545">
        <f t="shared" ca="1" si="53"/>
        <v>0</v>
      </c>
      <c r="T83" s="1543">
        <f>+F83-L83</f>
        <v>0</v>
      </c>
      <c r="U83" s="1543"/>
      <c r="V83" s="1543"/>
      <c r="W83" s="1543">
        <f>+G83-M83</f>
        <v>0</v>
      </c>
      <c r="X83" s="1543">
        <f>+H83-N83</f>
        <v>0</v>
      </c>
      <c r="Y83" s="1543">
        <f ca="1">+IF( I83=0,0,(T83/F83)*I83)</f>
        <v>0</v>
      </c>
      <c r="Z83" s="1543">
        <f ca="1">+IF(J83=0,0,(W83/G83)*J83)</f>
        <v>0</v>
      </c>
      <c r="AA83" s="1543">
        <f ca="1">+IF(K83=0,0,(X83/H83)*K83)</f>
        <v>0</v>
      </c>
      <c r="AB83" s="1543">
        <f ca="1">+T83+Y83</f>
        <v>0</v>
      </c>
      <c r="AC83" s="1543">
        <f ca="1">+W83+Z83</f>
        <v>0</v>
      </c>
      <c r="AD83" s="1543">
        <f ca="1">+X83+AA83</f>
        <v>0</v>
      </c>
      <c r="AE83" s="1553">
        <f t="shared" ref="AE83:AG84" si="58">+L83</f>
        <v>0</v>
      </c>
      <c r="AF83" s="1553">
        <f t="shared" si="58"/>
        <v>0</v>
      </c>
      <c r="AG83" s="1553">
        <f t="shared" si="58"/>
        <v>0</v>
      </c>
      <c r="AH83" s="1553">
        <f t="shared" ref="AH83:AJ84" ca="1" si="59">+I83-Y83</f>
        <v>0</v>
      </c>
      <c r="AI83" s="1553">
        <f t="shared" ca="1" si="59"/>
        <v>0</v>
      </c>
      <c r="AJ83" s="1553">
        <f t="shared" ca="1" si="59"/>
        <v>0</v>
      </c>
      <c r="AK83" s="1553">
        <f t="shared" ref="AK83:AM84" ca="1" si="60">+AE83+AH83</f>
        <v>0</v>
      </c>
      <c r="AL83" s="1553">
        <f t="shared" ca="1" si="60"/>
        <v>0</v>
      </c>
      <c r="AM83" s="1553">
        <f t="shared" ca="1" si="60"/>
        <v>0</v>
      </c>
      <c r="AN83" s="1554">
        <f ca="1">+T83+Y83+AE83+AH83</f>
        <v>0</v>
      </c>
      <c r="AO83" s="1554">
        <f ca="1">+W83+Z83+AF83+AI83</f>
        <v>0</v>
      </c>
      <c r="AP83" s="1554">
        <f ca="1">+X83+AA83+AG83+AJ83</f>
        <v>0</v>
      </c>
      <c r="AQ83" s="1555">
        <f t="shared" ref="AQ83:AS84" ca="1" si="61">+P83-AN83</f>
        <v>0</v>
      </c>
      <c r="AR83" s="1555">
        <f t="shared" ca="1" si="61"/>
        <v>0</v>
      </c>
      <c r="AS83" s="1555">
        <f t="shared" ca="1" si="61"/>
        <v>0</v>
      </c>
      <c r="DM83" s="1541"/>
    </row>
    <row r="84" spans="1:117" s="1540" customFormat="1" ht="49.5" customHeight="1" x14ac:dyDescent="0.5">
      <c r="A84" s="5172"/>
      <c r="B84" s="1721">
        <v>5504</v>
      </c>
      <c r="C84" s="3746"/>
      <c r="D84" s="1721" t="s">
        <v>907</v>
      </c>
      <c r="E84" s="1521">
        <f>+E35</f>
        <v>0</v>
      </c>
      <c r="F84" s="1521">
        <f t="shared" si="57"/>
        <v>0</v>
      </c>
      <c r="G84" s="1521">
        <f t="shared" si="57"/>
        <v>0</v>
      </c>
      <c r="H84" s="1521">
        <f t="shared" si="57"/>
        <v>0</v>
      </c>
      <c r="I84" s="1521">
        <f t="shared" ca="1" si="57"/>
        <v>0</v>
      </c>
      <c r="J84" s="1521">
        <f t="shared" ca="1" si="57"/>
        <v>0</v>
      </c>
      <c r="K84" s="1521">
        <f t="shared" ca="1" si="57"/>
        <v>0</v>
      </c>
      <c r="L84" s="1521"/>
      <c r="M84" s="1521"/>
      <c r="N84" s="1521"/>
      <c r="O84" s="1523">
        <f t="shared" si="52"/>
        <v>0</v>
      </c>
      <c r="P84" s="1524">
        <f t="shared" ca="1" si="53"/>
        <v>0</v>
      </c>
      <c r="Q84" s="1524">
        <f t="shared" ca="1" si="53"/>
        <v>0</v>
      </c>
      <c r="R84" s="1545">
        <f t="shared" ca="1" si="53"/>
        <v>0</v>
      </c>
      <c r="T84" s="1543">
        <f>+F84-L84</f>
        <v>0</v>
      </c>
      <c r="U84" s="1543"/>
      <c r="V84" s="1543"/>
      <c r="W84" s="1543">
        <f>+G84-M84</f>
        <v>0</v>
      </c>
      <c r="X84" s="1543">
        <f>+H84-N84</f>
        <v>0</v>
      </c>
      <c r="Y84" s="1543">
        <f ca="1">+IF( I84=0,0,(T84/F84)*I84)</f>
        <v>0</v>
      </c>
      <c r="Z84" s="1543">
        <f ca="1">+IF(J84=0,0,(W84/G84)*J84)</f>
        <v>0</v>
      </c>
      <c r="AA84" s="1543">
        <f ca="1">+IF(K84=0,0,(X84/H84)*K84)</f>
        <v>0</v>
      </c>
      <c r="AB84" s="1543">
        <f ca="1">+T84+Y84</f>
        <v>0</v>
      </c>
      <c r="AC84" s="1543">
        <f ca="1">+W84+Z84</f>
        <v>0</v>
      </c>
      <c r="AD84" s="1543">
        <f ca="1">+X84+AA84</f>
        <v>0</v>
      </c>
      <c r="AE84" s="1553">
        <f t="shared" si="58"/>
        <v>0</v>
      </c>
      <c r="AF84" s="1553">
        <f t="shared" si="58"/>
        <v>0</v>
      </c>
      <c r="AG84" s="1553">
        <f t="shared" si="58"/>
        <v>0</v>
      </c>
      <c r="AH84" s="1553">
        <f t="shared" ca="1" si="59"/>
        <v>0</v>
      </c>
      <c r="AI84" s="1553">
        <f t="shared" ca="1" si="59"/>
        <v>0</v>
      </c>
      <c r="AJ84" s="1553">
        <f t="shared" ca="1" si="59"/>
        <v>0</v>
      </c>
      <c r="AK84" s="1553">
        <f t="shared" ca="1" si="60"/>
        <v>0</v>
      </c>
      <c r="AL84" s="1553">
        <f t="shared" ca="1" si="60"/>
        <v>0</v>
      </c>
      <c r="AM84" s="1553">
        <f t="shared" ca="1" si="60"/>
        <v>0</v>
      </c>
      <c r="AN84" s="1554">
        <f ca="1">+T84+Y84+AE84+AH84</f>
        <v>0</v>
      </c>
      <c r="AO84" s="1554">
        <f ca="1">+W84+Z84+AF84+AI84</f>
        <v>0</v>
      </c>
      <c r="AP84" s="1554">
        <f ca="1">+X84+AA84+AG84+AJ84</f>
        <v>0</v>
      </c>
      <c r="AQ84" s="1555">
        <f t="shared" ca="1" si="61"/>
        <v>0</v>
      </c>
      <c r="AR84" s="1555">
        <f t="shared" ca="1" si="61"/>
        <v>0</v>
      </c>
      <c r="AS84" s="1555">
        <f t="shared" ca="1" si="61"/>
        <v>0</v>
      </c>
      <c r="DM84" s="1541"/>
    </row>
    <row r="85" spans="1:117" s="1540" customFormat="1" ht="49.5" customHeight="1" x14ac:dyDescent="0.5">
      <c r="A85" s="5172"/>
      <c r="B85" s="1721">
        <v>5505</v>
      </c>
      <c r="C85" s="3746"/>
      <c r="D85" s="1721" t="s">
        <v>908</v>
      </c>
      <c r="E85" s="1521">
        <f>+E47</f>
        <v>0</v>
      </c>
      <c r="F85" s="1521">
        <f t="shared" ref="F85:K85" si="62">+F47</f>
        <v>0</v>
      </c>
      <c r="G85" s="1521">
        <f t="shared" si="62"/>
        <v>0</v>
      </c>
      <c r="H85" s="1521">
        <f t="shared" si="62"/>
        <v>0</v>
      </c>
      <c r="I85" s="1521">
        <f t="shared" ca="1" si="62"/>
        <v>0</v>
      </c>
      <c r="J85" s="1521">
        <f t="shared" ca="1" si="62"/>
        <v>0</v>
      </c>
      <c r="K85" s="1521">
        <f t="shared" ca="1" si="62"/>
        <v>0</v>
      </c>
      <c r="L85" s="1521"/>
      <c r="M85" s="1521"/>
      <c r="N85" s="1521"/>
      <c r="O85" s="1523">
        <f t="shared" si="52"/>
        <v>0</v>
      </c>
      <c r="P85" s="1524">
        <f t="shared" ca="1" si="53"/>
        <v>0</v>
      </c>
      <c r="Q85" s="1524">
        <f t="shared" ca="1" si="53"/>
        <v>0</v>
      </c>
      <c r="R85" s="1545">
        <f t="shared" ca="1" si="53"/>
        <v>0</v>
      </c>
      <c r="T85" s="1543"/>
      <c r="U85" s="1543"/>
      <c r="V85" s="1543"/>
      <c r="W85" s="1543"/>
      <c r="X85" s="1543"/>
      <c r="Y85" s="1543"/>
      <c r="Z85" s="1543"/>
      <c r="AA85" s="1543"/>
      <c r="AB85" s="1543"/>
      <c r="AC85" s="1543"/>
      <c r="AD85" s="1543"/>
      <c r="AE85" s="1553"/>
      <c r="AF85" s="1553"/>
      <c r="AG85" s="1553"/>
      <c r="AH85" s="1553"/>
      <c r="AI85" s="1553"/>
      <c r="AJ85" s="1553"/>
      <c r="AK85" s="1553"/>
      <c r="AL85" s="1553"/>
      <c r="AM85" s="1553"/>
      <c r="AN85" s="1554"/>
      <c r="AO85" s="1554"/>
      <c r="AP85" s="1554"/>
      <c r="AQ85" s="1555"/>
      <c r="AR85" s="1555"/>
      <c r="AS85" s="1555"/>
      <c r="DM85" s="1541"/>
    </row>
    <row r="86" spans="1:117" s="1540" customFormat="1" ht="49.5" customHeight="1" x14ac:dyDescent="0.5">
      <c r="A86" s="5172"/>
      <c r="B86" s="1721">
        <v>5506</v>
      </c>
      <c r="C86" s="3746"/>
      <c r="D86" s="1721" t="s">
        <v>909</v>
      </c>
      <c r="E86" s="1521">
        <f>+E58</f>
        <v>0</v>
      </c>
      <c r="F86" s="1521">
        <f t="shared" ref="F86:K86" si="63">+F58</f>
        <v>0</v>
      </c>
      <c r="G86" s="1521">
        <f t="shared" si="63"/>
        <v>0</v>
      </c>
      <c r="H86" s="1521">
        <f t="shared" si="63"/>
        <v>0</v>
      </c>
      <c r="I86" s="1521">
        <f t="shared" ca="1" si="63"/>
        <v>0</v>
      </c>
      <c r="J86" s="1521">
        <f t="shared" ca="1" si="63"/>
        <v>0</v>
      </c>
      <c r="K86" s="1521">
        <f t="shared" ca="1" si="63"/>
        <v>0</v>
      </c>
      <c r="L86" s="1521"/>
      <c r="M86" s="1521"/>
      <c r="N86" s="1521"/>
      <c r="O86" s="1523">
        <f t="shared" si="52"/>
        <v>0</v>
      </c>
      <c r="P86" s="1524">
        <f t="shared" ca="1" si="53"/>
        <v>0</v>
      </c>
      <c r="Q86" s="1524">
        <f t="shared" ca="1" si="53"/>
        <v>0</v>
      </c>
      <c r="R86" s="1545">
        <f t="shared" ca="1" si="53"/>
        <v>0</v>
      </c>
      <c r="T86" s="1543"/>
      <c r="U86" s="1543"/>
      <c r="V86" s="1543"/>
      <c r="W86" s="1543"/>
      <c r="X86" s="1543"/>
      <c r="Y86" s="1543"/>
      <c r="Z86" s="1543"/>
      <c r="AA86" s="1543"/>
      <c r="AB86" s="1543"/>
      <c r="AC86" s="1543"/>
      <c r="AD86" s="1543"/>
      <c r="AE86" s="1553"/>
      <c r="AF86" s="1553"/>
      <c r="AG86" s="1553"/>
      <c r="AH86" s="1553"/>
      <c r="AI86" s="1553"/>
      <c r="AJ86" s="1553"/>
      <c r="AK86" s="1553"/>
      <c r="AL86" s="1553"/>
      <c r="AM86" s="1553"/>
      <c r="AN86" s="1554"/>
      <c r="AO86" s="1554"/>
      <c r="AP86" s="1554"/>
      <c r="AQ86" s="1555"/>
      <c r="AR86" s="1555"/>
      <c r="AS86" s="1555"/>
      <c r="DM86" s="1541"/>
    </row>
    <row r="87" spans="1:117" s="1540" customFormat="1" ht="49.5" customHeight="1" x14ac:dyDescent="0.5">
      <c r="A87" s="5172"/>
      <c r="B87" s="1721">
        <v>5507</v>
      </c>
      <c r="C87" s="3746"/>
      <c r="D87" s="1721" t="s">
        <v>910</v>
      </c>
      <c r="E87" s="1521">
        <f>+E69</f>
        <v>0</v>
      </c>
      <c r="F87" s="1521">
        <f t="shared" ref="F87:K87" si="64">+F69</f>
        <v>0</v>
      </c>
      <c r="G87" s="1521">
        <f t="shared" si="64"/>
        <v>0</v>
      </c>
      <c r="H87" s="1521">
        <f t="shared" si="64"/>
        <v>0</v>
      </c>
      <c r="I87" s="1521">
        <f t="shared" ca="1" si="64"/>
        <v>0</v>
      </c>
      <c r="J87" s="1521">
        <f t="shared" ca="1" si="64"/>
        <v>0</v>
      </c>
      <c r="K87" s="1521">
        <f t="shared" ca="1" si="64"/>
        <v>0</v>
      </c>
      <c r="L87" s="1521"/>
      <c r="M87" s="1521"/>
      <c r="N87" s="1521"/>
      <c r="O87" s="1523">
        <f t="shared" si="52"/>
        <v>0</v>
      </c>
      <c r="P87" s="1524">
        <f t="shared" ca="1" si="53"/>
        <v>0</v>
      </c>
      <c r="Q87" s="1524">
        <f t="shared" ca="1" si="53"/>
        <v>0</v>
      </c>
      <c r="R87" s="1545">
        <f t="shared" ca="1" si="53"/>
        <v>0</v>
      </c>
      <c r="T87" s="1543"/>
      <c r="U87" s="1543"/>
      <c r="V87" s="1543"/>
      <c r="W87" s="1543"/>
      <c r="X87" s="1543"/>
      <c r="Y87" s="1543"/>
      <c r="Z87" s="1543"/>
      <c r="AA87" s="1543"/>
      <c r="AB87" s="1543"/>
      <c r="AC87" s="1543"/>
      <c r="AD87" s="1543"/>
      <c r="AE87" s="1553"/>
      <c r="AF87" s="1553"/>
      <c r="AG87" s="1553"/>
      <c r="AH87" s="1553"/>
      <c r="AI87" s="1553"/>
      <c r="AJ87" s="1553"/>
      <c r="AK87" s="1553"/>
      <c r="AL87" s="1553"/>
      <c r="AM87" s="1553"/>
      <c r="AN87" s="1554"/>
      <c r="AO87" s="1554"/>
      <c r="AP87" s="1554"/>
      <c r="AQ87" s="1555"/>
      <c r="AR87" s="1555"/>
      <c r="AS87" s="1555"/>
      <c r="DM87" s="1541"/>
    </row>
    <row r="88" spans="1:117" s="1540" customFormat="1" ht="49.5" customHeight="1" x14ac:dyDescent="0.5">
      <c r="A88" s="5172"/>
      <c r="B88" s="1949">
        <v>5511</v>
      </c>
      <c r="C88" s="3746"/>
      <c r="D88" s="1722" t="s">
        <v>911</v>
      </c>
      <c r="E88" s="1521">
        <f>+E22</f>
        <v>0</v>
      </c>
      <c r="F88" s="1521">
        <f t="shared" ref="F88:K89" si="65">+F22</f>
        <v>0</v>
      </c>
      <c r="G88" s="1521">
        <f t="shared" si="65"/>
        <v>0</v>
      </c>
      <c r="H88" s="1521">
        <f t="shared" si="65"/>
        <v>0</v>
      </c>
      <c r="I88" s="1521">
        <f t="shared" ca="1" si="65"/>
        <v>0</v>
      </c>
      <c r="J88" s="1521">
        <f t="shared" ca="1" si="65"/>
        <v>0</v>
      </c>
      <c r="K88" s="1521">
        <f t="shared" ca="1" si="65"/>
        <v>0</v>
      </c>
      <c r="L88" s="1521"/>
      <c r="M88" s="1521"/>
      <c r="N88" s="1521"/>
      <c r="O88" s="1523">
        <f t="shared" si="52"/>
        <v>0</v>
      </c>
      <c r="P88" s="1524">
        <f t="shared" ca="1" si="53"/>
        <v>0</v>
      </c>
      <c r="Q88" s="1524">
        <f t="shared" ca="1" si="53"/>
        <v>0</v>
      </c>
      <c r="R88" s="1545">
        <f t="shared" ca="1" si="53"/>
        <v>0</v>
      </c>
      <c r="T88" s="1543"/>
      <c r="U88" s="1543"/>
      <c r="V88" s="1543"/>
      <c r="W88" s="1543"/>
      <c r="X88" s="1543"/>
      <c r="Y88" s="1543"/>
      <c r="Z88" s="1543"/>
      <c r="AA88" s="1543"/>
      <c r="AB88" s="1543"/>
      <c r="AC88" s="1543"/>
      <c r="AD88" s="1543"/>
      <c r="AE88" s="1553"/>
      <c r="AF88" s="1553"/>
      <c r="AG88" s="1553"/>
      <c r="AH88" s="1553"/>
      <c r="AI88" s="1553"/>
      <c r="AJ88" s="1553"/>
      <c r="AK88" s="1553"/>
      <c r="AL88" s="1553"/>
      <c r="AM88" s="1553"/>
      <c r="AN88" s="1554"/>
      <c r="AO88" s="1554"/>
      <c r="AP88" s="1554"/>
      <c r="AQ88" s="1555"/>
      <c r="AR88" s="1555"/>
      <c r="AS88" s="1555"/>
      <c r="DM88" s="1541"/>
    </row>
    <row r="89" spans="1:117" s="1540" customFormat="1" ht="49.5" customHeight="1" x14ac:dyDescent="0.5">
      <c r="A89" s="5172"/>
      <c r="B89" s="1949">
        <v>5512</v>
      </c>
      <c r="C89" s="3746"/>
      <c r="D89" s="1722" t="s">
        <v>912</v>
      </c>
      <c r="E89" s="1521">
        <f>+E23</f>
        <v>0</v>
      </c>
      <c r="F89" s="1521">
        <f t="shared" si="65"/>
        <v>0</v>
      </c>
      <c r="G89" s="1521">
        <f t="shared" si="65"/>
        <v>0</v>
      </c>
      <c r="H89" s="1521">
        <f t="shared" si="65"/>
        <v>0</v>
      </c>
      <c r="I89" s="1521">
        <f t="shared" ca="1" si="65"/>
        <v>0</v>
      </c>
      <c r="J89" s="1521">
        <f t="shared" ca="1" si="65"/>
        <v>0</v>
      </c>
      <c r="K89" s="1521">
        <f t="shared" ca="1" si="65"/>
        <v>0</v>
      </c>
      <c r="L89" s="1521"/>
      <c r="M89" s="1521"/>
      <c r="N89" s="1521"/>
      <c r="O89" s="1523">
        <f t="shared" si="52"/>
        <v>0</v>
      </c>
      <c r="P89" s="1524">
        <f t="shared" ca="1" si="53"/>
        <v>0</v>
      </c>
      <c r="Q89" s="1524">
        <f t="shared" ca="1" si="53"/>
        <v>0</v>
      </c>
      <c r="R89" s="1545">
        <f t="shared" ca="1" si="53"/>
        <v>0</v>
      </c>
      <c r="T89" s="1543"/>
      <c r="U89" s="1543"/>
      <c r="V89" s="1543"/>
      <c r="W89" s="1543"/>
      <c r="X89" s="1543"/>
      <c r="Y89" s="1543"/>
      <c r="Z89" s="1543"/>
      <c r="AA89" s="1543"/>
      <c r="AB89" s="1543"/>
      <c r="AC89" s="1543"/>
      <c r="AD89" s="1543"/>
      <c r="AE89" s="1553"/>
      <c r="AF89" s="1553"/>
      <c r="AG89" s="1553"/>
      <c r="AH89" s="1553"/>
      <c r="AI89" s="1553"/>
      <c r="AJ89" s="1553"/>
      <c r="AK89" s="1553"/>
      <c r="AL89" s="1553"/>
      <c r="AM89" s="1553"/>
      <c r="AN89" s="1554"/>
      <c r="AO89" s="1554"/>
      <c r="AP89" s="1554"/>
      <c r="AQ89" s="1555"/>
      <c r="AR89" s="1555"/>
      <c r="AS89" s="1555"/>
      <c r="DM89" s="1541"/>
    </row>
    <row r="90" spans="1:117" s="1540" customFormat="1" ht="49.5" customHeight="1" x14ac:dyDescent="0.5">
      <c r="A90" s="5172"/>
      <c r="B90" s="1949">
        <v>5513</v>
      </c>
      <c r="C90" s="3746"/>
      <c r="D90" s="1722" t="s">
        <v>913</v>
      </c>
      <c r="E90" s="1521">
        <f>+E36</f>
        <v>0</v>
      </c>
      <c r="F90" s="1521">
        <f t="shared" ref="F90:K91" si="66">+F36</f>
        <v>0</v>
      </c>
      <c r="G90" s="1521">
        <f t="shared" si="66"/>
        <v>0</v>
      </c>
      <c r="H90" s="1521">
        <f t="shared" si="66"/>
        <v>0</v>
      </c>
      <c r="I90" s="1521">
        <f t="shared" ca="1" si="66"/>
        <v>0</v>
      </c>
      <c r="J90" s="1521">
        <f t="shared" ca="1" si="66"/>
        <v>0</v>
      </c>
      <c r="K90" s="1521">
        <f t="shared" ca="1" si="66"/>
        <v>0</v>
      </c>
      <c r="L90" s="1521"/>
      <c r="M90" s="1521"/>
      <c r="N90" s="1521"/>
      <c r="O90" s="1523">
        <f t="shared" si="52"/>
        <v>0</v>
      </c>
      <c r="P90" s="1524">
        <f t="shared" ca="1" si="53"/>
        <v>0</v>
      </c>
      <c r="Q90" s="1524">
        <f t="shared" ca="1" si="53"/>
        <v>0</v>
      </c>
      <c r="R90" s="1545">
        <f t="shared" ca="1" si="53"/>
        <v>0</v>
      </c>
      <c r="T90" s="1543"/>
      <c r="U90" s="1543"/>
      <c r="V90" s="1543"/>
      <c r="W90" s="1543"/>
      <c r="X90" s="1543"/>
      <c r="Y90" s="1543"/>
      <c r="Z90" s="1543"/>
      <c r="AA90" s="1543"/>
      <c r="AB90" s="1543"/>
      <c r="AC90" s="1543"/>
      <c r="AD90" s="1543"/>
      <c r="AE90" s="1553"/>
      <c r="AF90" s="1553"/>
      <c r="AG90" s="1553"/>
      <c r="AH90" s="1553"/>
      <c r="AI90" s="1553"/>
      <c r="AJ90" s="1553"/>
      <c r="AK90" s="1553"/>
      <c r="AL90" s="1553"/>
      <c r="AM90" s="1553"/>
      <c r="AN90" s="1554"/>
      <c r="AO90" s="1554"/>
      <c r="AP90" s="1554"/>
      <c r="AQ90" s="1555"/>
      <c r="AR90" s="1555"/>
      <c r="AS90" s="1555"/>
      <c r="DM90" s="1541"/>
    </row>
    <row r="91" spans="1:117" s="1540" customFormat="1" ht="49.5" customHeight="1" x14ac:dyDescent="0.5">
      <c r="A91" s="5172"/>
      <c r="B91" s="1949">
        <v>5514</v>
      </c>
      <c r="C91" s="3746"/>
      <c r="D91" s="1722" t="s">
        <v>914</v>
      </c>
      <c r="E91" s="1521">
        <f>+E37</f>
        <v>0</v>
      </c>
      <c r="F91" s="1521">
        <f t="shared" si="66"/>
        <v>0</v>
      </c>
      <c r="G91" s="1521">
        <f t="shared" si="66"/>
        <v>0</v>
      </c>
      <c r="H91" s="1521">
        <f t="shared" si="66"/>
        <v>0</v>
      </c>
      <c r="I91" s="1521">
        <f t="shared" ca="1" si="66"/>
        <v>0</v>
      </c>
      <c r="J91" s="1521">
        <f t="shared" ca="1" si="66"/>
        <v>0</v>
      </c>
      <c r="K91" s="1521">
        <f t="shared" ca="1" si="66"/>
        <v>0</v>
      </c>
      <c r="L91" s="1521"/>
      <c r="M91" s="1521"/>
      <c r="N91" s="1521"/>
      <c r="O91" s="1523">
        <f t="shared" si="52"/>
        <v>0</v>
      </c>
      <c r="P91" s="1524">
        <f t="shared" ca="1" si="53"/>
        <v>0</v>
      </c>
      <c r="Q91" s="1524">
        <f t="shared" ca="1" si="53"/>
        <v>0</v>
      </c>
      <c r="R91" s="1545">
        <f t="shared" ca="1" si="53"/>
        <v>0</v>
      </c>
      <c r="T91" s="1543"/>
      <c r="U91" s="1543"/>
      <c r="V91" s="1543"/>
      <c r="W91" s="1543"/>
      <c r="X91" s="1543"/>
      <c r="Y91" s="1543"/>
      <c r="Z91" s="1543"/>
      <c r="AA91" s="1543"/>
      <c r="AB91" s="1543"/>
      <c r="AC91" s="1543"/>
      <c r="AD91" s="1543"/>
      <c r="AE91" s="1553"/>
      <c r="AF91" s="1553"/>
      <c r="AG91" s="1553"/>
      <c r="AH91" s="1553"/>
      <c r="AI91" s="1553"/>
      <c r="AJ91" s="1553"/>
      <c r="AK91" s="1553"/>
      <c r="AL91" s="1553"/>
      <c r="AM91" s="1553"/>
      <c r="AN91" s="1554"/>
      <c r="AO91" s="1554"/>
      <c r="AP91" s="1554"/>
      <c r="AQ91" s="1555"/>
      <c r="AR91" s="1555"/>
      <c r="AS91" s="1555"/>
      <c r="DM91" s="1541"/>
    </row>
    <row r="92" spans="1:117" s="1540" customFormat="1" ht="49.5" customHeight="1" x14ac:dyDescent="0.5">
      <c r="A92" s="5172"/>
      <c r="B92" s="1949">
        <v>5515</v>
      </c>
      <c r="C92" s="3746"/>
      <c r="D92" s="1722" t="s">
        <v>915</v>
      </c>
      <c r="E92" s="1521">
        <f>+E48</f>
        <v>0</v>
      </c>
      <c r="F92" s="1521">
        <f t="shared" ref="F92:K92" si="67">+F48</f>
        <v>0</v>
      </c>
      <c r="G92" s="1521">
        <f t="shared" si="67"/>
        <v>0</v>
      </c>
      <c r="H92" s="1521">
        <f t="shared" si="67"/>
        <v>0</v>
      </c>
      <c r="I92" s="1521">
        <f t="shared" ca="1" si="67"/>
        <v>0</v>
      </c>
      <c r="J92" s="1521">
        <f t="shared" ca="1" si="67"/>
        <v>0</v>
      </c>
      <c r="K92" s="1521">
        <f t="shared" ca="1" si="67"/>
        <v>0</v>
      </c>
      <c r="L92" s="1521"/>
      <c r="M92" s="1521"/>
      <c r="N92" s="1521"/>
      <c r="O92" s="1523">
        <f t="shared" si="52"/>
        <v>0</v>
      </c>
      <c r="P92" s="1524">
        <f t="shared" ca="1" si="53"/>
        <v>0</v>
      </c>
      <c r="Q92" s="1524">
        <f t="shared" ca="1" si="53"/>
        <v>0</v>
      </c>
      <c r="R92" s="1545">
        <f t="shared" ca="1" si="53"/>
        <v>0</v>
      </c>
      <c r="T92" s="1543"/>
      <c r="U92" s="1543"/>
      <c r="V92" s="1543"/>
      <c r="W92" s="1543"/>
      <c r="X92" s="1543"/>
      <c r="Y92" s="1543"/>
      <c r="Z92" s="1543"/>
      <c r="AA92" s="1543"/>
      <c r="AB92" s="1543"/>
      <c r="AC92" s="1543"/>
      <c r="AD92" s="1543"/>
      <c r="AE92" s="1553"/>
      <c r="AF92" s="1553"/>
      <c r="AG92" s="1553"/>
      <c r="AH92" s="1553"/>
      <c r="AI92" s="1553"/>
      <c r="AJ92" s="1553"/>
      <c r="AK92" s="1553"/>
      <c r="AL92" s="1553"/>
      <c r="AM92" s="1553"/>
      <c r="AN92" s="1554"/>
      <c r="AO92" s="1554"/>
      <c r="AP92" s="1554"/>
      <c r="AQ92" s="1555"/>
      <c r="AR92" s="1555"/>
      <c r="AS92" s="1555"/>
      <c r="DM92" s="1541"/>
    </row>
    <row r="93" spans="1:117" s="1540" customFormat="1" ht="49.5" customHeight="1" x14ac:dyDescent="0.5">
      <c r="A93" s="5172"/>
      <c r="B93" s="1949">
        <v>5516</v>
      </c>
      <c r="C93" s="3746"/>
      <c r="D93" s="1722" t="s">
        <v>916</v>
      </c>
      <c r="E93" s="1521">
        <f>+E59</f>
        <v>0</v>
      </c>
      <c r="F93" s="1521">
        <f t="shared" ref="F93:K93" si="68">+F59</f>
        <v>0</v>
      </c>
      <c r="G93" s="1521">
        <f t="shared" si="68"/>
        <v>0</v>
      </c>
      <c r="H93" s="1521">
        <f t="shared" si="68"/>
        <v>0</v>
      </c>
      <c r="I93" s="1521">
        <f t="shared" ca="1" si="68"/>
        <v>0</v>
      </c>
      <c r="J93" s="1521">
        <f t="shared" ca="1" si="68"/>
        <v>0</v>
      </c>
      <c r="K93" s="1521">
        <f t="shared" ca="1" si="68"/>
        <v>0</v>
      </c>
      <c r="L93" s="1521"/>
      <c r="M93" s="1521"/>
      <c r="N93" s="1521"/>
      <c r="O93" s="1523">
        <f t="shared" si="52"/>
        <v>0</v>
      </c>
      <c r="P93" s="1524">
        <f t="shared" ca="1" si="53"/>
        <v>0</v>
      </c>
      <c r="Q93" s="1524">
        <f t="shared" ca="1" si="53"/>
        <v>0</v>
      </c>
      <c r="R93" s="1545">
        <f t="shared" ca="1" si="53"/>
        <v>0</v>
      </c>
      <c r="T93" s="1543"/>
      <c r="U93" s="1543"/>
      <c r="V93" s="1543"/>
      <c r="W93" s="1543"/>
      <c r="X93" s="1543"/>
      <c r="Y93" s="1543"/>
      <c r="Z93" s="1543"/>
      <c r="AA93" s="1543"/>
      <c r="AB93" s="1543"/>
      <c r="AC93" s="1543"/>
      <c r="AD93" s="1543"/>
      <c r="AE93" s="1553"/>
      <c r="AF93" s="1553"/>
      <c r="AG93" s="1553"/>
      <c r="AH93" s="1553"/>
      <c r="AI93" s="1553"/>
      <c r="AJ93" s="1553"/>
      <c r="AK93" s="1553"/>
      <c r="AL93" s="1553"/>
      <c r="AM93" s="1553"/>
      <c r="AN93" s="1554"/>
      <c r="AO93" s="1554"/>
      <c r="AP93" s="1554"/>
      <c r="AQ93" s="1555"/>
      <c r="AR93" s="1555"/>
      <c r="AS93" s="1555"/>
      <c r="DM93" s="1541"/>
    </row>
    <row r="94" spans="1:117" s="1540" customFormat="1" ht="49.5" customHeight="1" x14ac:dyDescent="0.5">
      <c r="A94" s="5172"/>
      <c r="B94" s="1949">
        <v>5517</v>
      </c>
      <c r="C94" s="3752"/>
      <c r="D94" s="1722" t="s">
        <v>917</v>
      </c>
      <c r="E94" s="1521">
        <f>+E70</f>
        <v>0</v>
      </c>
      <c r="F94" s="1521">
        <f t="shared" ref="F94:K94" si="69">+F70</f>
        <v>0</v>
      </c>
      <c r="G94" s="1521">
        <f t="shared" si="69"/>
        <v>0</v>
      </c>
      <c r="H94" s="1521">
        <f t="shared" si="69"/>
        <v>0</v>
      </c>
      <c r="I94" s="1521">
        <f t="shared" ca="1" si="69"/>
        <v>0</v>
      </c>
      <c r="J94" s="1521">
        <f t="shared" ca="1" si="69"/>
        <v>0</v>
      </c>
      <c r="K94" s="1521">
        <f t="shared" ca="1" si="69"/>
        <v>0</v>
      </c>
      <c r="L94" s="1521"/>
      <c r="M94" s="1521"/>
      <c r="N94" s="1521"/>
      <c r="O94" s="1523">
        <f t="shared" si="52"/>
        <v>0</v>
      </c>
      <c r="P94" s="1524">
        <f t="shared" ref="P94:R95" ca="1" si="70">+F94+I94</f>
        <v>0</v>
      </c>
      <c r="Q94" s="1524">
        <f t="shared" ca="1" si="70"/>
        <v>0</v>
      </c>
      <c r="R94" s="1545">
        <f t="shared" ca="1" si="70"/>
        <v>0</v>
      </c>
      <c r="T94" s="1543"/>
      <c r="U94" s="1543"/>
      <c r="V94" s="1543"/>
      <c r="W94" s="1543"/>
      <c r="X94" s="1543"/>
      <c r="Y94" s="1543"/>
      <c r="Z94" s="1543"/>
      <c r="AA94" s="1543"/>
      <c r="AB94" s="1543"/>
      <c r="AC94" s="1543"/>
      <c r="AD94" s="1543"/>
      <c r="AE94" s="1553"/>
      <c r="AF94" s="1553"/>
      <c r="AG94" s="1553"/>
      <c r="AH94" s="1553"/>
      <c r="AI94" s="1553"/>
      <c r="AJ94" s="1553"/>
      <c r="AK94" s="1553"/>
      <c r="AL94" s="1553"/>
      <c r="AM94" s="1553"/>
      <c r="AN94" s="1554"/>
      <c r="AO94" s="1554"/>
      <c r="AP94" s="1554"/>
      <c r="AQ94" s="1555"/>
      <c r="AR94" s="1555"/>
      <c r="AS94" s="1555"/>
      <c r="DM94" s="1541"/>
    </row>
    <row r="95" spans="1:117" s="1540" customFormat="1" ht="49.5" customHeight="1" x14ac:dyDescent="0.5">
      <c r="A95" s="5173"/>
      <c r="B95" s="1959">
        <v>6000</v>
      </c>
      <c r="C95" s="1901" t="s">
        <v>66</v>
      </c>
      <c r="D95" s="1961" t="s">
        <v>934</v>
      </c>
      <c r="E95" s="1521" t="e">
        <f>+E24+E38+E49+E60+E71</f>
        <v>#REF!</v>
      </c>
      <c r="F95" s="1521" t="e">
        <f t="shared" ref="F95:K95" si="71">+F24+F38+F49+F60+F71</f>
        <v>#REF!</v>
      </c>
      <c r="G95" s="1521" t="e">
        <f t="shared" si="71"/>
        <v>#REF!</v>
      </c>
      <c r="H95" s="1521" t="e">
        <f t="shared" si="71"/>
        <v>#REF!</v>
      </c>
      <c r="I95" s="1521" t="e">
        <f t="shared" ca="1" si="71"/>
        <v>#REF!</v>
      </c>
      <c r="J95" s="1521" t="e">
        <f t="shared" ca="1" si="71"/>
        <v>#REF!</v>
      </c>
      <c r="K95" s="1521" t="e">
        <f t="shared" ca="1" si="71"/>
        <v>#REF!</v>
      </c>
      <c r="L95" s="1521"/>
      <c r="M95" s="1521"/>
      <c r="N95" s="1521"/>
      <c r="O95" s="1523" t="e">
        <f t="shared" si="52"/>
        <v>#REF!</v>
      </c>
      <c r="P95" s="1524" t="e">
        <f t="shared" ca="1" si="70"/>
        <v>#REF!</v>
      </c>
      <c r="Q95" s="1524" t="e">
        <f t="shared" ca="1" si="70"/>
        <v>#REF!</v>
      </c>
      <c r="R95" s="1545" t="e">
        <f t="shared" ca="1" si="70"/>
        <v>#REF!</v>
      </c>
      <c r="T95" s="1543"/>
      <c r="U95" s="1543"/>
      <c r="V95" s="1543"/>
      <c r="W95" s="1543"/>
      <c r="X95" s="1543"/>
      <c r="Y95" s="1543"/>
      <c r="Z95" s="1543"/>
      <c r="AA95" s="1543"/>
      <c r="AB95" s="1543"/>
      <c r="AC95" s="1543"/>
      <c r="AD95" s="1543"/>
      <c r="AE95" s="1553"/>
      <c r="AF95" s="1553"/>
      <c r="AG95" s="1553"/>
      <c r="AH95" s="1553"/>
      <c r="AI95" s="1553"/>
      <c r="AJ95" s="1553"/>
      <c r="AK95" s="1553"/>
      <c r="AL95" s="1553"/>
      <c r="AM95" s="1553"/>
      <c r="AN95" s="1554"/>
      <c r="AO95" s="1554"/>
      <c r="AP95" s="1554"/>
      <c r="AQ95" s="1555"/>
      <c r="AR95" s="1555"/>
      <c r="AS95" s="1555"/>
      <c r="DM95" s="1541"/>
    </row>
    <row r="96" spans="1:117" s="1540" customFormat="1" ht="80.45" customHeight="1" thickBot="1" x14ac:dyDescent="0.5">
      <c r="A96" s="5278" t="s">
        <v>409</v>
      </c>
      <c r="B96" s="5279"/>
      <c r="C96" s="5279"/>
      <c r="D96" s="5279"/>
      <c r="E96" s="1557" t="e">
        <f t="shared" ref="E96:N96" si="72">SUM(E77:E95)</f>
        <v>#REF!</v>
      </c>
      <c r="F96" s="1557" t="e">
        <f t="shared" ca="1" si="72"/>
        <v>#REF!</v>
      </c>
      <c r="G96" s="1557" t="e">
        <f t="shared" ca="1" si="72"/>
        <v>#REF!</v>
      </c>
      <c r="H96" s="1557" t="e">
        <f t="shared" ca="1" si="72"/>
        <v>#REF!</v>
      </c>
      <c r="I96" s="1557" t="e">
        <f t="shared" ca="1" si="72"/>
        <v>#REF!</v>
      </c>
      <c r="J96" s="1557" t="e">
        <f t="shared" ca="1" si="72"/>
        <v>#REF!</v>
      </c>
      <c r="K96" s="1557" t="e">
        <f t="shared" ca="1" si="72"/>
        <v>#REF!</v>
      </c>
      <c r="L96" s="1557">
        <f t="shared" si="72"/>
        <v>0</v>
      </c>
      <c r="M96" s="1557">
        <f t="shared" si="72"/>
        <v>0</v>
      </c>
      <c r="N96" s="1557">
        <f t="shared" si="72"/>
        <v>0</v>
      </c>
      <c r="O96" s="1523" t="e">
        <f t="shared" si="52"/>
        <v>#REF!</v>
      </c>
      <c r="P96" s="1558" t="e">
        <f ca="1">SUM(P77:P95)</f>
        <v>#REF!</v>
      </c>
      <c r="Q96" s="1558" t="e">
        <f ca="1">SUM(Q77:Q95)</f>
        <v>#REF!</v>
      </c>
      <c r="R96" s="1559" t="e">
        <f ca="1">SUM(R77:R95)</f>
        <v>#REF!</v>
      </c>
      <c r="S96" s="1592" t="e">
        <f ca="1">SUM(P96:R96)</f>
        <v>#REF!</v>
      </c>
      <c r="T96" s="1557">
        <f>SUM(T77:T84)</f>
        <v>0</v>
      </c>
      <c r="U96" s="1557"/>
      <c r="V96" s="1557"/>
      <c r="W96" s="1557">
        <f t="shared" ref="W96:AP96" si="73">SUM(W77:W84)</f>
        <v>0</v>
      </c>
      <c r="X96" s="1557">
        <f t="shared" si="73"/>
        <v>0</v>
      </c>
      <c r="Y96" s="1557">
        <f t="shared" ca="1" si="73"/>
        <v>0</v>
      </c>
      <c r="Z96" s="1557">
        <f t="shared" ca="1" si="73"/>
        <v>0</v>
      </c>
      <c r="AA96" s="1557">
        <f t="shared" ca="1" si="73"/>
        <v>0</v>
      </c>
      <c r="AB96" s="1557">
        <f t="shared" ca="1" si="73"/>
        <v>0</v>
      </c>
      <c r="AC96" s="1557">
        <f t="shared" ca="1" si="73"/>
        <v>0</v>
      </c>
      <c r="AD96" s="1557">
        <f t="shared" ca="1" si="73"/>
        <v>0</v>
      </c>
      <c r="AE96" s="1557">
        <f t="shared" si="73"/>
        <v>0</v>
      </c>
      <c r="AF96" s="1557">
        <f t="shared" si="73"/>
        <v>0</v>
      </c>
      <c r="AG96" s="1557">
        <f t="shared" si="73"/>
        <v>0</v>
      </c>
      <c r="AH96" s="1557">
        <f t="shared" ca="1" si="73"/>
        <v>0</v>
      </c>
      <c r="AI96" s="1557">
        <f t="shared" ca="1" si="73"/>
        <v>0</v>
      </c>
      <c r="AJ96" s="1557">
        <f t="shared" ca="1" si="73"/>
        <v>0</v>
      </c>
      <c r="AK96" s="1557">
        <f t="shared" ca="1" si="73"/>
        <v>0</v>
      </c>
      <c r="AL96" s="1557">
        <f t="shared" ca="1" si="73"/>
        <v>0</v>
      </c>
      <c r="AM96" s="1557">
        <f t="shared" ca="1" si="73"/>
        <v>0</v>
      </c>
      <c r="AN96" s="1557">
        <f t="shared" ca="1" si="73"/>
        <v>0</v>
      </c>
      <c r="AO96" s="1557">
        <f t="shared" ca="1" si="73"/>
        <v>0</v>
      </c>
      <c r="AP96" s="1557">
        <f t="shared" ca="1" si="73"/>
        <v>0</v>
      </c>
      <c r="AQ96" s="1549"/>
      <c r="AR96" s="1549"/>
      <c r="AS96" s="1549"/>
      <c r="BR96" s="1574" t="e">
        <f ca="1">SUM(P96:R96)</f>
        <v>#REF!</v>
      </c>
      <c r="DM96" s="1541"/>
    </row>
    <row r="97" spans="1:121" s="1724" customFormat="1" ht="24" customHeight="1" x14ac:dyDescent="0.4">
      <c r="A97" s="5158" t="s">
        <v>409</v>
      </c>
      <c r="B97" s="5159"/>
      <c r="C97" s="5159"/>
      <c r="D97" s="5159"/>
      <c r="E97" s="5159"/>
      <c r="F97" s="5281" t="s">
        <v>377</v>
      </c>
      <c r="G97" s="5241"/>
      <c r="H97" s="5242"/>
      <c r="I97" s="1723"/>
      <c r="O97" s="1725"/>
      <c r="P97" s="1726"/>
      <c r="Q97" s="1726"/>
      <c r="R97" s="1727"/>
      <c r="W97" s="1728"/>
      <c r="X97" s="1728"/>
      <c r="DM97" s="1725"/>
    </row>
    <row r="98" spans="1:121" s="1724" customFormat="1" ht="24" customHeight="1" x14ac:dyDescent="0.4">
      <c r="A98" s="5161"/>
      <c r="B98" s="5162"/>
      <c r="C98" s="5162"/>
      <c r="D98" s="5162"/>
      <c r="E98" s="5162"/>
      <c r="F98" s="1729" t="s">
        <v>287</v>
      </c>
      <c r="G98" s="1730" t="s">
        <v>289</v>
      </c>
      <c r="H98" s="1731" t="s">
        <v>288</v>
      </c>
      <c r="I98" s="1723"/>
      <c r="O98" s="1725"/>
      <c r="P98" s="1726"/>
      <c r="Q98" s="1726"/>
      <c r="R98" s="1727"/>
      <c r="W98" s="1728"/>
      <c r="X98" s="1728"/>
      <c r="DM98" s="1725"/>
    </row>
    <row r="99" spans="1:121" s="1724" customFormat="1" ht="42" customHeight="1" thickBot="1" x14ac:dyDescent="0.45">
      <c r="A99" s="5161"/>
      <c r="B99" s="5162"/>
      <c r="C99" s="5162"/>
      <c r="D99" s="5162"/>
      <c r="E99" s="5162"/>
      <c r="F99" s="1732" t="e">
        <f ca="1">+F96+I96</f>
        <v>#REF!</v>
      </c>
      <c r="G99" s="1733" t="e">
        <f ca="1">+G96+J96</f>
        <v>#REF!</v>
      </c>
      <c r="H99" s="1734" t="e">
        <f ca="1">+H96+K96</f>
        <v>#REF!</v>
      </c>
      <c r="I99" s="1723" t="e">
        <f ca="1">SUM(F99:H99)</f>
        <v>#REF!</v>
      </c>
      <c r="J99" s="1735" t="e">
        <f>+E72+E61+E50+E39+E25</f>
        <v>#REF!</v>
      </c>
      <c r="K99" s="1735"/>
      <c r="L99" s="1735"/>
      <c r="M99" s="1735"/>
      <c r="N99" s="1735"/>
      <c r="O99" s="1735"/>
      <c r="P99" s="1726"/>
      <c r="Q99" s="1726"/>
      <c r="R99" s="1727"/>
      <c r="W99" s="1728"/>
      <c r="X99" s="1728"/>
      <c r="DM99" s="1725"/>
    </row>
    <row r="100" spans="1:121" s="250" customFormat="1" ht="24" customHeight="1" thickBot="1" x14ac:dyDescent="0.4">
      <c r="A100" s="4361"/>
      <c r="B100" s="4362"/>
      <c r="C100" s="4362"/>
      <c r="D100" s="4362"/>
      <c r="E100" s="4362"/>
      <c r="F100" s="4362"/>
      <c r="G100" s="4362"/>
      <c r="H100" s="4362"/>
      <c r="I100" s="4362"/>
      <c r="J100" s="4362"/>
      <c r="K100" s="4362"/>
      <c r="L100" s="4362"/>
      <c r="M100" s="4362"/>
      <c r="N100" s="4362"/>
      <c r="O100" s="4362"/>
      <c r="P100" s="4362"/>
      <c r="Q100" s="4362"/>
      <c r="R100" s="4363"/>
      <c r="W100" s="1736"/>
      <c r="X100" s="1736"/>
      <c r="DM100" s="1737"/>
    </row>
    <row r="101" spans="1:121" s="250" customFormat="1" ht="24" customHeight="1" x14ac:dyDescent="0.4">
      <c r="A101" s="4423" t="s">
        <v>410</v>
      </c>
      <c r="B101" s="4424"/>
      <c r="C101" s="4424"/>
      <c r="D101" s="4424"/>
      <c r="E101" s="4210" t="s">
        <v>101</v>
      </c>
      <c r="F101" s="4295" t="s">
        <v>304</v>
      </c>
      <c r="G101" s="4317"/>
      <c r="H101" s="4317"/>
      <c r="I101" s="4317" t="s">
        <v>368</v>
      </c>
      <c r="J101" s="4317"/>
      <c r="K101" s="4317"/>
      <c r="L101" s="1738"/>
      <c r="M101" s="1738"/>
      <c r="N101" s="1738"/>
      <c r="O101" s="1739"/>
      <c r="P101" s="4325" t="s">
        <v>377</v>
      </c>
      <c r="Q101" s="4325"/>
      <c r="R101" s="5229"/>
      <c r="W101" s="1736"/>
      <c r="X101" s="1736"/>
      <c r="DM101" s="5632" t="s">
        <v>241</v>
      </c>
      <c r="DN101" s="5633"/>
      <c r="DO101" s="5633"/>
      <c r="DP101" s="5633"/>
      <c r="DQ101" s="5634"/>
    </row>
    <row r="102" spans="1:121" s="1724" customFormat="1" ht="24" customHeight="1" thickBot="1" x14ac:dyDescent="0.4">
      <c r="A102" s="4425"/>
      <c r="B102" s="4426"/>
      <c r="C102" s="4426"/>
      <c r="D102" s="4426"/>
      <c r="E102" s="4211"/>
      <c r="F102" s="1740" t="s">
        <v>287</v>
      </c>
      <c r="G102" s="1738" t="s">
        <v>289</v>
      </c>
      <c r="H102" s="1738" t="s">
        <v>288</v>
      </c>
      <c r="I102" s="1738" t="s">
        <v>287</v>
      </c>
      <c r="J102" s="1738" t="s">
        <v>289</v>
      </c>
      <c r="K102" s="1738" t="s">
        <v>288</v>
      </c>
      <c r="L102" s="1738"/>
      <c r="M102" s="1738"/>
      <c r="N102" s="1738"/>
      <c r="O102" s="1739"/>
      <c r="P102" s="1730" t="s">
        <v>287</v>
      </c>
      <c r="Q102" s="1730" t="s">
        <v>289</v>
      </c>
      <c r="R102" s="1731" t="s">
        <v>288</v>
      </c>
      <c r="W102" s="1728"/>
      <c r="X102" s="1728"/>
      <c r="DM102" s="980" t="s">
        <v>370</v>
      </c>
      <c r="DN102" s="980" t="s">
        <v>25</v>
      </c>
      <c r="DO102" s="980" t="s">
        <v>371</v>
      </c>
      <c r="DP102" s="980" t="s">
        <v>241</v>
      </c>
      <c r="DQ102" s="980" t="s">
        <v>961</v>
      </c>
    </row>
    <row r="103" spans="1:121" s="1724" customFormat="1" ht="39" customHeight="1" thickBot="1" x14ac:dyDescent="0.4">
      <c r="A103" s="4425"/>
      <c r="B103" s="4426"/>
      <c r="C103" s="4426"/>
      <c r="D103" s="4426"/>
      <c r="E103" s="1741">
        <f>+E222</f>
        <v>0</v>
      </c>
      <c r="F103" s="1741">
        <f t="shared" ref="F103:K103" si="74">+F222</f>
        <v>0</v>
      </c>
      <c r="G103" s="1741">
        <f t="shared" si="74"/>
        <v>0</v>
      </c>
      <c r="H103" s="1741">
        <f t="shared" si="74"/>
        <v>0</v>
      </c>
      <c r="I103" s="1741">
        <f t="shared" ca="1" si="74"/>
        <v>0</v>
      </c>
      <c r="J103" s="1741">
        <f t="shared" ca="1" si="74"/>
        <v>0</v>
      </c>
      <c r="K103" s="1741">
        <f t="shared" ca="1" si="74"/>
        <v>0</v>
      </c>
      <c r="L103" s="1742"/>
      <c r="M103" s="1742"/>
      <c r="N103" s="1742"/>
      <c r="O103" s="1743">
        <f>+IF(E103=0,0,SUM(F103:H103)/E103)</f>
        <v>0</v>
      </c>
      <c r="P103" s="1744">
        <f ca="1">+F103+I103</f>
        <v>0</v>
      </c>
      <c r="Q103" s="1744">
        <f ca="1">+G103+J103</f>
        <v>0</v>
      </c>
      <c r="R103" s="1745">
        <f ca="1">+H103+K103</f>
        <v>0</v>
      </c>
      <c r="S103" s="1746">
        <f ca="1">SUM(P103:R103)</f>
        <v>0</v>
      </c>
      <c r="W103" s="1728"/>
      <c r="X103" s="1728"/>
      <c r="DM103" s="1747">
        <f>+IF(E103=0,0,DN103/DO103)</f>
        <v>0</v>
      </c>
      <c r="DN103" s="1748">
        <f>+SUM(F103:H103)</f>
        <v>0</v>
      </c>
      <c r="DO103" s="1748">
        <f>+E103</f>
        <v>0</v>
      </c>
      <c r="DP103" s="407" t="str">
        <f>IF(DO103=0,"S.D.",+IF((DN103/DO103)&lt;2000,"O.K.","VERIFICAR"))</f>
        <v>S.D.</v>
      </c>
    </row>
    <row r="104" spans="1:121" s="1724" customFormat="1" ht="24" customHeight="1" x14ac:dyDescent="0.4">
      <c r="A104" s="4425"/>
      <c r="B104" s="4426"/>
      <c r="C104" s="4426"/>
      <c r="D104" s="4426"/>
      <c r="E104" s="4402"/>
      <c r="F104" s="5270" t="s">
        <v>377</v>
      </c>
      <c r="G104" s="4344"/>
      <c r="H104" s="5271"/>
      <c r="I104" s="1749"/>
      <c r="J104" s="1749"/>
      <c r="K104" s="1749"/>
      <c r="L104" s="1749"/>
      <c r="M104" s="1749"/>
      <c r="N104" s="1749"/>
      <c r="O104" s="1749"/>
      <c r="P104" s="1749"/>
      <c r="Q104" s="1749"/>
      <c r="R104" s="1750"/>
      <c r="W104" s="1728"/>
      <c r="X104" s="1728"/>
      <c r="DM104" s="1725"/>
    </row>
    <row r="105" spans="1:121" s="250" customFormat="1" ht="27" customHeight="1" x14ac:dyDescent="0.4">
      <c r="A105" s="4425"/>
      <c r="B105" s="4426"/>
      <c r="C105" s="4426"/>
      <c r="D105" s="4426"/>
      <c r="E105" s="4403"/>
      <c r="F105" s="1751" t="s">
        <v>287</v>
      </c>
      <c r="G105" s="1730" t="s">
        <v>289</v>
      </c>
      <c r="H105" s="1731" t="s">
        <v>288</v>
      </c>
      <c r="I105" s="1752"/>
      <c r="J105" s="1752"/>
      <c r="K105" s="1752"/>
      <c r="L105" s="1752"/>
      <c r="M105" s="1752"/>
      <c r="N105" s="1752"/>
      <c r="O105" s="1752"/>
      <c r="P105" s="1752"/>
      <c r="Q105" s="1752"/>
      <c r="R105" s="1753"/>
      <c r="W105" s="1736"/>
      <c r="X105" s="1736"/>
      <c r="DM105" s="1737"/>
    </row>
    <row r="106" spans="1:121" s="250" customFormat="1" ht="27" customHeight="1" thickBot="1" x14ac:dyDescent="0.45">
      <c r="A106" s="4427"/>
      <c r="B106" s="4428"/>
      <c r="C106" s="4428"/>
      <c r="D106" s="4428"/>
      <c r="E106" s="4404"/>
      <c r="F106" s="1754">
        <f ca="1">+F103+I103</f>
        <v>0</v>
      </c>
      <c r="G106" s="1755">
        <f ca="1">+G103+J103</f>
        <v>0</v>
      </c>
      <c r="H106" s="1755">
        <f ca="1">+H103+K103</f>
        <v>0</v>
      </c>
      <c r="I106" s="1752">
        <f ca="1">SUM(F106:H106)</f>
        <v>0</v>
      </c>
      <c r="J106" s="1752"/>
      <c r="K106" s="1752"/>
      <c r="L106" s="1752"/>
      <c r="M106" s="1752"/>
      <c r="N106" s="1752"/>
      <c r="O106" s="1752"/>
      <c r="P106" s="1752"/>
      <c r="Q106" s="1752"/>
      <c r="R106" s="1753"/>
      <c r="S106" s="1425"/>
      <c r="T106" s="1425"/>
      <c r="U106" s="1425"/>
      <c r="V106" s="1425"/>
      <c r="W106" s="1736"/>
      <c r="X106" s="1736"/>
      <c r="DM106" s="1737"/>
    </row>
    <row r="107" spans="1:121" s="250" customFormat="1" ht="27" customHeight="1" x14ac:dyDescent="0.35">
      <c r="A107" s="4408"/>
      <c r="B107" s="4409"/>
      <c r="C107" s="4409"/>
      <c r="D107" s="4409"/>
      <c r="E107" s="4409"/>
      <c r="F107" s="4409"/>
      <c r="G107" s="4409"/>
      <c r="H107" s="4409"/>
      <c r="I107" s="4409"/>
      <c r="J107" s="4409"/>
      <c r="K107" s="4409"/>
      <c r="L107" s="4409"/>
      <c r="M107" s="4409"/>
      <c r="N107" s="4409"/>
      <c r="O107" s="4409"/>
      <c r="P107" s="4409"/>
      <c r="Q107" s="4409"/>
      <c r="R107" s="4410"/>
      <c r="S107" s="1425"/>
      <c r="T107" s="1425"/>
      <c r="U107" s="1425"/>
      <c r="V107" s="1425"/>
      <c r="W107" s="1736"/>
      <c r="X107" s="1736"/>
      <c r="DM107" s="1737"/>
    </row>
    <row r="108" spans="1:121" s="250" customFormat="1" ht="27" customHeight="1" x14ac:dyDescent="0.35">
      <c r="A108" s="4408"/>
      <c r="B108" s="4409"/>
      <c r="C108" s="4409"/>
      <c r="D108" s="4409"/>
      <c r="E108" s="4409"/>
      <c r="F108" s="4409"/>
      <c r="G108" s="4409"/>
      <c r="H108" s="4409"/>
      <c r="I108" s="4409"/>
      <c r="J108" s="4409"/>
      <c r="K108" s="4409"/>
      <c r="L108" s="4409"/>
      <c r="M108" s="4409"/>
      <c r="N108" s="4409"/>
      <c r="O108" s="4409"/>
      <c r="P108" s="4409"/>
      <c r="Q108" s="4409"/>
      <c r="R108" s="4410"/>
      <c r="S108" s="1425"/>
      <c r="T108" s="1425"/>
      <c r="U108" s="1425"/>
      <c r="V108" s="1425"/>
      <c r="W108" s="1736"/>
      <c r="X108" s="1736"/>
      <c r="DM108" s="1737"/>
    </row>
    <row r="109" spans="1:121" s="250" customFormat="1" ht="27" customHeight="1" x14ac:dyDescent="0.4">
      <c r="A109" s="5635" t="s">
        <v>413</v>
      </c>
      <c r="B109" s="5636"/>
      <c r="C109" s="5636"/>
      <c r="D109" s="5636"/>
      <c r="E109" s="4469" t="s">
        <v>101</v>
      </c>
      <c r="F109" s="4295" t="s">
        <v>304</v>
      </c>
      <c r="G109" s="4317"/>
      <c r="H109" s="4317"/>
      <c r="I109" s="4317" t="s">
        <v>368</v>
      </c>
      <c r="J109" s="4317"/>
      <c r="K109" s="4317"/>
      <c r="L109" s="1738"/>
      <c r="M109" s="1738"/>
      <c r="N109" s="1738"/>
      <c r="O109" s="1739"/>
      <c r="P109" s="4325" t="s">
        <v>377</v>
      </c>
      <c r="Q109" s="4325"/>
      <c r="R109" s="5229"/>
      <c r="S109" s="1425"/>
      <c r="T109" s="1425"/>
      <c r="U109" s="1425"/>
      <c r="V109" s="1425"/>
      <c r="W109" s="1736"/>
      <c r="X109" s="1736"/>
      <c r="DM109" s="5637" t="s">
        <v>241</v>
      </c>
      <c r="DN109" s="5637"/>
      <c r="DO109" s="5637"/>
      <c r="DP109" s="5637"/>
    </row>
    <row r="110" spans="1:121" s="250" customFormat="1" ht="27" customHeight="1" thickBot="1" x14ac:dyDescent="0.45">
      <c r="A110" s="5635"/>
      <c r="B110" s="5636"/>
      <c r="C110" s="5636"/>
      <c r="D110" s="5636"/>
      <c r="E110" s="4469"/>
      <c r="F110" s="1740" t="s">
        <v>287</v>
      </c>
      <c r="G110" s="1738" t="s">
        <v>289</v>
      </c>
      <c r="H110" s="1738" t="s">
        <v>288</v>
      </c>
      <c r="I110" s="1738" t="s">
        <v>287</v>
      </c>
      <c r="J110" s="1738" t="s">
        <v>289</v>
      </c>
      <c r="K110" s="1738" t="s">
        <v>288</v>
      </c>
      <c r="L110" s="1738"/>
      <c r="M110" s="1738"/>
      <c r="N110" s="1738"/>
      <c r="O110" s="1739"/>
      <c r="P110" s="1730" t="s">
        <v>287</v>
      </c>
      <c r="Q110" s="1730" t="s">
        <v>289</v>
      </c>
      <c r="R110" s="1731" t="s">
        <v>288</v>
      </c>
      <c r="S110" s="1425"/>
      <c r="T110" s="1425"/>
      <c r="U110" s="1425"/>
      <c r="V110" s="1425"/>
      <c r="W110" s="1736"/>
      <c r="X110" s="1736"/>
      <c r="DM110" s="807" t="s">
        <v>414</v>
      </c>
      <c r="DN110" s="807" t="s">
        <v>25</v>
      </c>
      <c r="DO110" s="807" t="s">
        <v>371</v>
      </c>
      <c r="DP110" s="807" t="s">
        <v>241</v>
      </c>
    </row>
    <row r="111" spans="1:121" s="250" customFormat="1" ht="59.1" customHeight="1" thickBot="1" x14ac:dyDescent="0.4">
      <c r="A111" s="5635"/>
      <c r="B111" s="5636"/>
      <c r="C111" s="5636"/>
      <c r="D111" s="5636"/>
      <c r="E111" s="1742">
        <f>+E223</f>
        <v>0</v>
      </c>
      <c r="F111" s="1742">
        <f t="shared" ref="F111:K111" si="75">+F223</f>
        <v>0</v>
      </c>
      <c r="G111" s="1742">
        <f t="shared" si="75"/>
        <v>0</v>
      </c>
      <c r="H111" s="1742">
        <f t="shared" si="75"/>
        <v>0</v>
      </c>
      <c r="I111" s="1742">
        <f t="shared" ca="1" si="75"/>
        <v>0</v>
      </c>
      <c r="J111" s="1742">
        <f t="shared" ca="1" si="75"/>
        <v>0</v>
      </c>
      <c r="K111" s="1742">
        <f t="shared" ca="1" si="75"/>
        <v>0</v>
      </c>
      <c r="L111" s="1742"/>
      <c r="M111" s="1742"/>
      <c r="N111" s="1742"/>
      <c r="O111" s="1743">
        <f>+IF(E111=0,0,SUM(F111:H111)/E111)</f>
        <v>0</v>
      </c>
      <c r="P111" s="1744">
        <f ca="1">+F111+I111</f>
        <v>0</v>
      </c>
      <c r="Q111" s="1744">
        <f ca="1">+G111+J111</f>
        <v>0</v>
      </c>
      <c r="R111" s="1745">
        <f ca="1">+H111+K111</f>
        <v>0</v>
      </c>
      <c r="S111" s="1746">
        <f ca="1">SUM(P111:R111)</f>
        <v>0</v>
      </c>
      <c r="T111" s="1425"/>
      <c r="U111" s="1425"/>
      <c r="V111" s="1425"/>
      <c r="W111" s="1736"/>
      <c r="X111" s="1736"/>
      <c r="DM111" s="1747">
        <f>+IF(E111=0,0,DN111/DO111)</f>
        <v>0</v>
      </c>
      <c r="DN111" s="1748">
        <f>+SUM(F111:H111)</f>
        <v>0</v>
      </c>
      <c r="DO111" s="1748">
        <f>+E111</f>
        <v>0</v>
      </c>
      <c r="DP111" s="407" t="str">
        <f>IF(DO111=0,"S.D.",+IF(AND((DN111/DO111)&gt;1999,(DN111/DO111)&lt;=2999),"O.K.","VERIFICAR"))</f>
        <v>S.D.</v>
      </c>
    </row>
    <row r="112" spans="1:121" s="250" customFormat="1" ht="59.1" customHeight="1" x14ac:dyDescent="0.4">
      <c r="A112" s="5635"/>
      <c r="B112" s="5636"/>
      <c r="C112" s="5636"/>
      <c r="D112" s="5636"/>
      <c r="E112" s="5638"/>
      <c r="F112" s="5270" t="s">
        <v>377</v>
      </c>
      <c r="G112" s="4344"/>
      <c r="H112" s="5271"/>
      <c r="I112" s="1749"/>
      <c r="J112" s="1749"/>
      <c r="K112" s="1749"/>
      <c r="L112" s="1749"/>
      <c r="M112" s="1749"/>
      <c r="N112" s="1749"/>
      <c r="O112" s="1749"/>
      <c r="P112" s="1749"/>
      <c r="Q112" s="1749"/>
      <c r="R112" s="1750"/>
      <c r="S112" s="1425"/>
      <c r="T112" s="1425"/>
      <c r="U112" s="1425"/>
      <c r="V112" s="1425"/>
      <c r="W112" s="1736"/>
      <c r="X112" s="1736"/>
    </row>
    <row r="113" spans="1:70" s="250" customFormat="1" ht="59.1" customHeight="1" x14ac:dyDescent="0.4">
      <c r="A113" s="5635"/>
      <c r="B113" s="5636"/>
      <c r="C113" s="5636"/>
      <c r="D113" s="5636"/>
      <c r="E113" s="5638"/>
      <c r="F113" s="1751" t="s">
        <v>287</v>
      </c>
      <c r="G113" s="1730" t="s">
        <v>289</v>
      </c>
      <c r="H113" s="1731" t="s">
        <v>288</v>
      </c>
      <c r="I113" s="1752"/>
      <c r="J113" s="1752"/>
      <c r="K113" s="1752"/>
      <c r="L113" s="1752"/>
      <c r="M113" s="1752"/>
      <c r="N113" s="1752"/>
      <c r="O113" s="1752"/>
      <c r="P113" s="1752"/>
      <c r="Q113" s="1752"/>
      <c r="R113" s="1753"/>
      <c r="W113" s="1736"/>
      <c r="X113" s="1736"/>
    </row>
    <row r="114" spans="1:70" s="250" customFormat="1" ht="59.1" customHeight="1" thickBot="1" x14ac:dyDescent="0.45">
      <c r="A114" s="5635"/>
      <c r="B114" s="5636"/>
      <c r="C114" s="5636"/>
      <c r="D114" s="5636"/>
      <c r="E114" s="5638"/>
      <c r="F114" s="1756">
        <f ca="1">+F111+I111</f>
        <v>0</v>
      </c>
      <c r="G114" s="1757">
        <f ca="1">+G111+J111</f>
        <v>0</v>
      </c>
      <c r="H114" s="1757">
        <f ca="1">+H111+K111</f>
        <v>0</v>
      </c>
      <c r="I114" s="1752">
        <f ca="1">SUM(F114:H114)</f>
        <v>0</v>
      </c>
      <c r="J114" s="1752"/>
      <c r="K114" s="1752"/>
      <c r="L114" s="1752"/>
      <c r="M114" s="1752"/>
      <c r="N114" s="1752"/>
      <c r="O114" s="1752"/>
      <c r="P114" s="1752"/>
      <c r="Q114" s="1752"/>
      <c r="R114" s="1753"/>
      <c r="W114" s="1736"/>
      <c r="X114" s="1736"/>
    </row>
    <row r="115" spans="1:70" s="250" customFormat="1" ht="59.1" customHeight="1" x14ac:dyDescent="0.35">
      <c r="A115" s="4198"/>
      <c r="B115" s="4199"/>
      <c r="C115" s="4199"/>
      <c r="D115" s="4199"/>
      <c r="E115" s="4199"/>
      <c r="F115" s="4199"/>
      <c r="G115" s="4199"/>
      <c r="H115" s="4199"/>
      <c r="I115" s="4199"/>
      <c r="J115" s="4199"/>
      <c r="K115" s="4199"/>
      <c r="L115" s="4199"/>
      <c r="M115" s="4199"/>
      <c r="N115" s="4199"/>
      <c r="O115" s="4199"/>
      <c r="P115" s="4199"/>
      <c r="Q115" s="4199"/>
      <c r="R115" s="4200"/>
      <c r="W115" s="1736"/>
      <c r="X115" s="1736"/>
    </row>
    <row r="116" spans="1:70" s="250" customFormat="1" ht="59.1" customHeight="1" thickBot="1" x14ac:dyDescent="0.4">
      <c r="A116" s="4198"/>
      <c r="B116" s="4199"/>
      <c r="C116" s="4199"/>
      <c r="D116" s="4199"/>
      <c r="E116" s="4199"/>
      <c r="F116" s="4199"/>
      <c r="G116" s="4199"/>
      <c r="H116" s="4199"/>
      <c r="I116" s="4199"/>
      <c r="J116" s="4199"/>
      <c r="K116" s="4199"/>
      <c r="L116" s="4199"/>
      <c r="M116" s="4199"/>
      <c r="N116" s="4199"/>
      <c r="O116" s="4199"/>
      <c r="P116" s="4199"/>
      <c r="Q116" s="4199"/>
      <c r="R116" s="4200"/>
      <c r="W116" s="1736"/>
      <c r="X116" s="1736"/>
    </row>
    <row r="117" spans="1:70" s="250" customFormat="1" ht="59.1" customHeight="1" x14ac:dyDescent="0.35">
      <c r="A117" s="5145" t="s">
        <v>417</v>
      </c>
      <c r="B117" s="5146"/>
      <c r="C117" s="5146"/>
      <c r="D117" s="5147"/>
      <c r="E117" s="4210" t="s">
        <v>101</v>
      </c>
      <c r="F117" s="4295" t="s">
        <v>304</v>
      </c>
      <c r="G117" s="4317"/>
      <c r="H117" s="4317"/>
      <c r="I117" s="4317" t="s">
        <v>368</v>
      </c>
      <c r="J117" s="4317"/>
      <c r="K117" s="4317"/>
      <c r="L117" s="1738"/>
      <c r="M117" s="1738"/>
      <c r="N117" s="1738"/>
      <c r="O117" s="1739"/>
      <c r="P117" s="4325" t="s">
        <v>377</v>
      </c>
      <c r="Q117" s="4325"/>
      <c r="R117" s="5229"/>
      <c r="W117" s="1736"/>
      <c r="X117" s="1736"/>
    </row>
    <row r="118" spans="1:70" s="250" customFormat="1" ht="59.1" customHeight="1" x14ac:dyDescent="0.35">
      <c r="A118" s="5148"/>
      <c r="B118" s="5149"/>
      <c r="C118" s="5149"/>
      <c r="D118" s="5150"/>
      <c r="E118" s="4211"/>
      <c r="F118" s="1740" t="s">
        <v>287</v>
      </c>
      <c r="G118" s="1738" t="s">
        <v>289</v>
      </c>
      <c r="H118" s="1738" t="s">
        <v>288</v>
      </c>
      <c r="I118" s="1738" t="s">
        <v>287</v>
      </c>
      <c r="J118" s="1738" t="s">
        <v>289</v>
      </c>
      <c r="K118" s="1738" t="s">
        <v>288</v>
      </c>
      <c r="L118" s="1738"/>
      <c r="M118" s="1738"/>
      <c r="N118" s="1738"/>
      <c r="O118" s="1739"/>
      <c r="P118" s="1730" t="s">
        <v>287</v>
      </c>
      <c r="Q118" s="1730" t="s">
        <v>289</v>
      </c>
      <c r="R118" s="1731" t="s">
        <v>288</v>
      </c>
      <c r="W118" s="1736"/>
      <c r="X118" s="1736"/>
    </row>
    <row r="119" spans="1:70" s="250" customFormat="1" ht="59.1" customHeight="1" x14ac:dyDescent="0.35">
      <c r="A119" s="5148"/>
      <c r="B119" s="5149"/>
      <c r="C119" s="5149"/>
      <c r="D119" s="5150"/>
      <c r="E119" s="1758" t="e">
        <f>+E246</f>
        <v>#REF!</v>
      </c>
      <c r="F119" s="1758">
        <f t="shared" ref="F119:K119" si="76">+F246</f>
        <v>0</v>
      </c>
      <c r="G119" s="1758">
        <f t="shared" si="76"/>
        <v>0</v>
      </c>
      <c r="H119" s="1758">
        <f t="shared" si="76"/>
        <v>0</v>
      </c>
      <c r="I119" s="1758">
        <f t="shared" si="76"/>
        <v>0</v>
      </c>
      <c r="J119" s="1758">
        <f t="shared" si="76"/>
        <v>0</v>
      </c>
      <c r="K119" s="1758">
        <f t="shared" si="76"/>
        <v>0</v>
      </c>
      <c r="L119" s="1742"/>
      <c r="M119" s="1742"/>
      <c r="N119" s="1742"/>
      <c r="O119" s="1759"/>
      <c r="P119" s="1744">
        <f>+F119+I119</f>
        <v>0</v>
      </c>
      <c r="Q119" s="1744">
        <f>+G119+J119</f>
        <v>0</v>
      </c>
      <c r="R119" s="1745">
        <f>+H119+K119</f>
        <v>0</v>
      </c>
      <c r="S119" s="1746">
        <f>SUM(P119:R119)</f>
        <v>0</v>
      </c>
      <c r="W119" s="1736"/>
      <c r="X119" s="1736"/>
    </row>
    <row r="120" spans="1:70" s="250" customFormat="1" ht="59.1" customHeight="1" x14ac:dyDescent="0.4">
      <c r="A120" s="5148"/>
      <c r="B120" s="5149"/>
      <c r="C120" s="5149"/>
      <c r="D120" s="5150"/>
      <c r="E120" s="5272"/>
      <c r="F120" s="5270" t="s">
        <v>377</v>
      </c>
      <c r="G120" s="4344"/>
      <c r="H120" s="5271"/>
      <c r="I120" s="1749"/>
      <c r="J120" s="1749"/>
      <c r="K120" s="1749"/>
      <c r="L120" s="1749"/>
      <c r="M120" s="1749"/>
      <c r="N120" s="1749"/>
      <c r="O120" s="1749"/>
      <c r="P120" s="1749"/>
      <c r="Q120" s="1749"/>
      <c r="R120" s="1750"/>
      <c r="W120" s="1736"/>
      <c r="X120" s="1736"/>
    </row>
    <row r="121" spans="1:70" s="250" customFormat="1" ht="59.1" customHeight="1" x14ac:dyDescent="0.4">
      <c r="A121" s="5148"/>
      <c r="B121" s="5149"/>
      <c r="C121" s="5149"/>
      <c r="D121" s="5150"/>
      <c r="E121" s="5273"/>
      <c r="F121" s="1751" t="s">
        <v>287</v>
      </c>
      <c r="G121" s="1730" t="s">
        <v>289</v>
      </c>
      <c r="H121" s="1731" t="s">
        <v>288</v>
      </c>
      <c r="I121" s="1752"/>
      <c r="J121" s="1752"/>
      <c r="K121" s="1752"/>
      <c r="L121" s="1752"/>
      <c r="M121" s="1752"/>
      <c r="N121" s="1752"/>
      <c r="O121" s="1752"/>
      <c r="P121" s="1752"/>
      <c r="Q121" s="1752"/>
      <c r="R121" s="1753"/>
      <c r="W121" s="1736"/>
      <c r="X121" s="1736"/>
    </row>
    <row r="122" spans="1:70" s="250" customFormat="1" ht="59.1" customHeight="1" thickBot="1" x14ac:dyDescent="0.45">
      <c r="A122" s="5151"/>
      <c r="B122" s="5152"/>
      <c r="C122" s="5152"/>
      <c r="D122" s="5153"/>
      <c r="E122" s="5639"/>
      <c r="F122" s="1760">
        <f>+F119+I119</f>
        <v>0</v>
      </c>
      <c r="G122" s="1761">
        <f>+G119+J119</f>
        <v>0</v>
      </c>
      <c r="H122" s="1761">
        <f>+H119+K119</f>
        <v>0</v>
      </c>
      <c r="I122" s="1752">
        <f>SUM(F122:H122)</f>
        <v>0</v>
      </c>
      <c r="J122" s="1752"/>
      <c r="K122" s="1752"/>
      <c r="L122" s="1752"/>
      <c r="M122" s="1752"/>
      <c r="N122" s="1752"/>
      <c r="O122" s="1752"/>
      <c r="P122" s="1752"/>
      <c r="Q122" s="1752"/>
      <c r="R122" s="1753"/>
      <c r="W122" s="1736"/>
      <c r="X122" s="1736"/>
    </row>
    <row r="123" spans="1:70" s="1724" customFormat="1" ht="59.1" customHeight="1" thickBot="1" x14ac:dyDescent="0.45">
      <c r="A123" s="1762"/>
      <c r="B123" s="1763"/>
      <c r="C123" s="1763"/>
      <c r="D123" s="1763"/>
      <c r="E123" s="1764"/>
      <c r="F123" s="1765"/>
      <c r="G123" s="1765"/>
      <c r="H123" s="1765"/>
      <c r="I123" s="1723"/>
      <c r="J123" s="1723"/>
      <c r="K123" s="1723"/>
      <c r="L123" s="1723"/>
      <c r="M123" s="1723"/>
      <c r="N123" s="1723"/>
      <c r="O123" s="1766"/>
      <c r="P123" s="1723"/>
      <c r="Q123" s="1723"/>
      <c r="R123" s="1767"/>
      <c r="W123" s="1728"/>
      <c r="X123" s="1728"/>
    </row>
    <row r="124" spans="1:70" s="1724" customFormat="1" ht="59.1" customHeight="1" x14ac:dyDescent="0.4">
      <c r="A124" s="5129" t="s">
        <v>855</v>
      </c>
      <c r="B124" s="5130"/>
      <c r="C124" s="5130"/>
      <c r="D124" s="5131"/>
      <c r="E124" s="1768" t="s">
        <v>101</v>
      </c>
      <c r="F124" s="4214" t="s">
        <v>304</v>
      </c>
      <c r="G124" s="5247"/>
      <c r="H124" s="5254"/>
      <c r="I124" s="4214" t="s">
        <v>368</v>
      </c>
      <c r="J124" s="5247"/>
      <c r="K124" s="5247"/>
      <c r="L124" s="1769"/>
      <c r="M124" s="1769"/>
      <c r="N124" s="1769"/>
      <c r="O124" s="1770"/>
      <c r="P124" s="5241" t="s">
        <v>377</v>
      </c>
      <c r="Q124" s="5241"/>
      <c r="R124" s="5242"/>
      <c r="W124" s="1728"/>
      <c r="X124" s="1728"/>
    </row>
    <row r="125" spans="1:70" s="1724" customFormat="1" ht="59.1" customHeight="1" x14ac:dyDescent="0.4">
      <c r="A125" s="5132"/>
      <c r="B125" s="5133"/>
      <c r="C125" s="5133"/>
      <c r="D125" s="5134"/>
      <c r="E125" s="1771"/>
      <c r="F125" s="1740" t="s">
        <v>287</v>
      </c>
      <c r="G125" s="1738" t="s">
        <v>289</v>
      </c>
      <c r="H125" s="1772" t="s">
        <v>288</v>
      </c>
      <c r="I125" s="1740" t="s">
        <v>287</v>
      </c>
      <c r="J125" s="1738" t="s">
        <v>289</v>
      </c>
      <c r="K125" s="1738" t="s">
        <v>288</v>
      </c>
      <c r="L125" s="1738"/>
      <c r="M125" s="1738"/>
      <c r="N125" s="1738"/>
      <c r="O125" s="1739"/>
      <c r="P125" s="1730" t="s">
        <v>287</v>
      </c>
      <c r="Q125" s="1730" t="s">
        <v>289</v>
      </c>
      <c r="R125" s="1731" t="s">
        <v>288</v>
      </c>
      <c r="W125" s="1728"/>
      <c r="X125" s="1728"/>
    </row>
    <row r="126" spans="1:70" s="1724" customFormat="1" ht="59.1" customHeight="1" thickBot="1" x14ac:dyDescent="0.4">
      <c r="A126" s="5132"/>
      <c r="B126" s="5133"/>
      <c r="C126" s="5133"/>
      <c r="D126" s="5134"/>
      <c r="E126" s="1773" t="e">
        <f>+E96+E103+E111+E119</f>
        <v>#REF!</v>
      </c>
      <c r="F126" s="1774" t="e">
        <f t="shared" ref="F126:R126" ca="1" si="77">+F96+F103+F111+F119</f>
        <v>#REF!</v>
      </c>
      <c r="G126" s="1774" t="e">
        <f t="shared" ca="1" si="77"/>
        <v>#REF!</v>
      </c>
      <c r="H126" s="1775" t="e">
        <f t="shared" ca="1" si="77"/>
        <v>#REF!</v>
      </c>
      <c r="I126" s="1776" t="e">
        <f t="shared" ca="1" si="77"/>
        <v>#REF!</v>
      </c>
      <c r="J126" s="1776" t="e">
        <f t="shared" ca="1" si="77"/>
        <v>#REF!</v>
      </c>
      <c r="K126" s="1776" t="e">
        <f t="shared" ca="1" si="77"/>
        <v>#REF!</v>
      </c>
      <c r="L126" s="1776"/>
      <c r="M126" s="1776"/>
      <c r="N126" s="1776"/>
      <c r="O126" s="1777"/>
      <c r="P126" s="1778" t="e">
        <f t="shared" ca="1" si="77"/>
        <v>#REF!</v>
      </c>
      <c r="Q126" s="1778" t="e">
        <f t="shared" ca="1" si="77"/>
        <v>#REF!</v>
      </c>
      <c r="R126" s="1779" t="e">
        <f t="shared" ca="1" si="77"/>
        <v>#REF!</v>
      </c>
      <c r="S126" s="1746" t="e">
        <f ca="1">SUM(P126:R126)</f>
        <v>#REF!</v>
      </c>
      <c r="W126" s="1728"/>
      <c r="X126" s="1728"/>
      <c r="BR126" s="1735" t="e">
        <f ca="1">SUM(P126:BQ126)</f>
        <v>#REF!</v>
      </c>
    </row>
    <row r="127" spans="1:70" s="1724" customFormat="1" ht="59.1" customHeight="1" x14ac:dyDescent="0.4">
      <c r="A127" s="5132"/>
      <c r="B127" s="5133"/>
      <c r="C127" s="5133"/>
      <c r="D127" s="5134"/>
      <c r="E127" s="1780"/>
      <c r="F127" s="4298" t="s">
        <v>377</v>
      </c>
      <c r="G127" s="4325"/>
      <c r="H127" s="5229"/>
      <c r="I127" s="1781"/>
      <c r="J127" s="1781"/>
      <c r="K127" s="1781"/>
      <c r="L127" s="1781"/>
      <c r="M127" s="1781"/>
      <c r="N127" s="1781"/>
      <c r="O127" s="1782"/>
      <c r="P127" s="1783"/>
      <c r="Q127" s="1783"/>
      <c r="R127" s="1784"/>
      <c r="W127" s="1728"/>
      <c r="X127" s="1728"/>
    </row>
    <row r="128" spans="1:70" s="1724" customFormat="1" ht="59.1" customHeight="1" thickBot="1" x14ac:dyDescent="0.45">
      <c r="A128" s="5135"/>
      <c r="B128" s="5136"/>
      <c r="C128" s="5136"/>
      <c r="D128" s="5137"/>
      <c r="E128" s="1785"/>
      <c r="F128" s="1786" t="e">
        <f ca="1">+F126+I126</f>
        <v>#REF!</v>
      </c>
      <c r="G128" s="1787" t="e">
        <f ca="1">+G126+J126</f>
        <v>#REF!</v>
      </c>
      <c r="H128" s="1788" t="e">
        <f ca="1">+H126+K126</f>
        <v>#REF!</v>
      </c>
      <c r="I128" s="1789" t="e">
        <f ca="1">SUM(F128:H128)</f>
        <v>#REF!</v>
      </c>
      <c r="J128" s="1789"/>
      <c r="K128" s="1789"/>
      <c r="L128" s="1789"/>
      <c r="M128" s="1789"/>
      <c r="N128" s="1789"/>
      <c r="O128" s="1790"/>
      <c r="P128" s="1791"/>
      <c r="Q128" s="1791"/>
      <c r="R128" s="1792"/>
      <c r="W128" s="1728"/>
      <c r="X128" s="1728"/>
    </row>
    <row r="129" spans="1:24" s="1724" customFormat="1" ht="59.1" customHeight="1" x14ac:dyDescent="0.4">
      <c r="A129" s="1793"/>
      <c r="B129" s="1794"/>
      <c r="C129" s="1794"/>
      <c r="D129" s="1794"/>
      <c r="E129" s="1780"/>
      <c r="F129" s="1795"/>
      <c r="G129" s="1795"/>
      <c r="H129" s="1795"/>
      <c r="I129" s="1752"/>
      <c r="J129" s="1752"/>
      <c r="K129" s="1752"/>
      <c r="L129" s="1752"/>
      <c r="M129" s="1752"/>
      <c r="N129" s="1752"/>
      <c r="O129" s="1796"/>
      <c r="P129" s="1791"/>
      <c r="Q129" s="1791"/>
      <c r="R129" s="1792"/>
      <c r="W129" s="1728"/>
      <c r="X129" s="1728"/>
    </row>
    <row r="130" spans="1:24" s="1724" customFormat="1" ht="30" customHeight="1" thickBot="1" x14ac:dyDescent="0.45">
      <c r="A130" s="1793"/>
      <c r="B130" s="1794"/>
      <c r="C130" s="1794"/>
      <c r="D130" s="1794"/>
      <c r="E130" s="1780"/>
      <c r="F130" s="1795"/>
      <c r="G130" s="1795"/>
      <c r="H130" s="1795"/>
      <c r="I130" s="1752"/>
      <c r="J130" s="1752"/>
      <c r="K130" s="1752"/>
      <c r="L130" s="1752"/>
      <c r="M130" s="1752"/>
      <c r="N130" s="1752"/>
      <c r="O130" s="1796"/>
      <c r="P130" s="1791"/>
      <c r="Q130" s="1791"/>
      <c r="R130" s="1792"/>
      <c r="W130" s="1728"/>
      <c r="X130" s="1728"/>
    </row>
    <row r="131" spans="1:24" s="250" customFormat="1" ht="30" customHeight="1" thickBot="1" x14ac:dyDescent="0.4">
      <c r="A131" s="4443" t="s">
        <v>941</v>
      </c>
      <c r="B131" s="4444"/>
      <c r="C131" s="4444"/>
      <c r="D131" s="4444"/>
      <c r="E131" s="4444"/>
      <c r="F131" s="4444"/>
      <c r="G131" s="4444"/>
      <c r="H131" s="4444"/>
      <c r="I131" s="4444"/>
      <c r="J131" s="4444"/>
      <c r="K131" s="4445"/>
      <c r="L131" s="1797"/>
      <c r="M131" s="1797"/>
      <c r="N131" s="1797"/>
      <c r="O131" s="1798"/>
      <c r="P131" s="1797"/>
      <c r="Q131" s="1797"/>
      <c r="R131" s="1799"/>
      <c r="W131" s="1736"/>
      <c r="X131" s="1736"/>
    </row>
    <row r="132" spans="1:24" s="250" customFormat="1" ht="66" customHeight="1" x14ac:dyDescent="0.4">
      <c r="A132" s="4353" t="s">
        <v>962</v>
      </c>
      <c r="B132" s="1800" t="s">
        <v>29</v>
      </c>
      <c r="C132" s="1801" t="s">
        <v>101</v>
      </c>
      <c r="D132" s="1802" t="s">
        <v>422</v>
      </c>
      <c r="E132" s="1803"/>
      <c r="F132" s="5097" t="s">
        <v>304</v>
      </c>
      <c r="G132" s="5246"/>
      <c r="H132" s="5246"/>
      <c r="I132" s="5246" t="s">
        <v>368</v>
      </c>
      <c r="J132" s="5246"/>
      <c r="K132" s="5246"/>
      <c r="L132" s="1804"/>
      <c r="M132" s="1804"/>
      <c r="N132" s="1804"/>
      <c r="O132" s="1805"/>
      <c r="P132" s="4325" t="s">
        <v>377</v>
      </c>
      <c r="Q132" s="4325"/>
      <c r="R132" s="5229"/>
      <c r="W132" s="1736"/>
      <c r="X132" s="1736"/>
    </row>
    <row r="133" spans="1:24" s="250" customFormat="1" ht="30" customHeight="1" x14ac:dyDescent="0.35">
      <c r="A133" s="5261"/>
      <c r="C133" s="1806"/>
      <c r="D133" s="1806"/>
      <c r="E133" s="1803"/>
      <c r="F133" s="1740" t="s">
        <v>287</v>
      </c>
      <c r="G133" s="1738" t="s">
        <v>289</v>
      </c>
      <c r="H133" s="1738" t="s">
        <v>288</v>
      </c>
      <c r="I133" s="1738" t="s">
        <v>287</v>
      </c>
      <c r="J133" s="1738" t="s">
        <v>289</v>
      </c>
      <c r="K133" s="1738" t="s">
        <v>288</v>
      </c>
      <c r="L133" s="1738"/>
      <c r="M133" s="1738"/>
      <c r="N133" s="1738"/>
      <c r="O133" s="1739"/>
      <c r="P133" s="1730" t="s">
        <v>287</v>
      </c>
      <c r="Q133" s="1730" t="s">
        <v>289</v>
      </c>
      <c r="R133" s="1731" t="s">
        <v>288</v>
      </c>
      <c r="W133" s="1736"/>
      <c r="X133" s="1736"/>
    </row>
    <row r="134" spans="1:24" s="250" customFormat="1" ht="76.5" customHeight="1" thickBot="1" x14ac:dyDescent="0.4">
      <c r="A134" s="5261"/>
      <c r="B134" s="1807" t="s">
        <v>423</v>
      </c>
      <c r="C134" s="1808">
        <f>+D266</f>
        <v>0</v>
      </c>
      <c r="D134" s="1808">
        <f>+F266</f>
        <v>0</v>
      </c>
      <c r="E134" s="1809"/>
      <c r="F134" s="1810">
        <f>+G266</f>
        <v>0</v>
      </c>
      <c r="G134" s="1808">
        <f>+H266</f>
        <v>0</v>
      </c>
      <c r="H134" s="1808">
        <f>+I266</f>
        <v>0</v>
      </c>
      <c r="I134" s="1808">
        <f>+J266</f>
        <v>0</v>
      </c>
      <c r="J134" s="1808">
        <f>+K266</f>
        <v>0</v>
      </c>
      <c r="K134" s="1808">
        <f>+P266</f>
        <v>0</v>
      </c>
      <c r="L134" s="1811"/>
      <c r="M134" s="1811"/>
      <c r="N134" s="1811"/>
      <c r="O134" s="1812"/>
      <c r="P134" s="1778">
        <f>+F134+I134</f>
        <v>0</v>
      </c>
      <c r="Q134" s="1778">
        <f>+G134+J134</f>
        <v>0</v>
      </c>
      <c r="R134" s="1779">
        <f>+H134+K134</f>
        <v>0</v>
      </c>
      <c r="S134" s="1746">
        <f>SUM(P134:R134)</f>
        <v>0</v>
      </c>
      <c r="W134" s="1736"/>
      <c r="X134" s="1736"/>
    </row>
    <row r="135" spans="1:24" s="250" customFormat="1" ht="76.5" customHeight="1" x14ac:dyDescent="0.4">
      <c r="A135" s="5261"/>
      <c r="B135" s="4339"/>
      <c r="C135" s="4339"/>
      <c r="D135" s="4339"/>
      <c r="E135" s="4340"/>
      <c r="F135" s="4298" t="s">
        <v>377</v>
      </c>
      <c r="G135" s="4325"/>
      <c r="H135" s="5229"/>
      <c r="I135" s="1752"/>
      <c r="J135" s="1752"/>
      <c r="K135" s="1752"/>
      <c r="L135" s="1752"/>
      <c r="M135" s="1752"/>
      <c r="N135" s="1752"/>
      <c r="O135" s="1796"/>
      <c r="P135" s="1791"/>
      <c r="Q135" s="1791"/>
      <c r="R135" s="1792"/>
      <c r="W135" s="1736"/>
      <c r="X135" s="1736"/>
    </row>
    <row r="136" spans="1:24" s="250" customFormat="1" ht="76.5" customHeight="1" thickBot="1" x14ac:dyDescent="0.45">
      <c r="A136" s="5262"/>
      <c r="B136" s="4342"/>
      <c r="C136" s="4342"/>
      <c r="D136" s="4342"/>
      <c r="E136" s="4343"/>
      <c r="F136" s="1786">
        <f>+F134+I134</f>
        <v>0</v>
      </c>
      <c r="G136" s="1786">
        <f>+G134+J134</f>
        <v>0</v>
      </c>
      <c r="H136" s="1786">
        <f>+H134+K134</f>
        <v>0</v>
      </c>
      <c r="I136" s="1789"/>
      <c r="J136" s="1789"/>
      <c r="K136" s="1789"/>
      <c r="L136" s="1789"/>
      <c r="M136" s="1789"/>
      <c r="N136" s="1789"/>
      <c r="O136" s="1790"/>
      <c r="P136" s="1791"/>
      <c r="Q136" s="1791"/>
      <c r="R136" s="1792"/>
      <c r="W136" s="1736"/>
      <c r="X136" s="1736"/>
    </row>
    <row r="137" spans="1:24" s="250" customFormat="1" ht="76.5" customHeight="1" thickBot="1" x14ac:dyDescent="0.45">
      <c r="A137" s="1793"/>
      <c r="B137" s="1794"/>
      <c r="C137" s="1794"/>
      <c r="D137" s="1794"/>
      <c r="E137" s="1794"/>
      <c r="F137" s="1795"/>
      <c r="G137" s="1795"/>
      <c r="H137" s="1795"/>
      <c r="I137" s="1813"/>
      <c r="J137" s="1813"/>
      <c r="K137" s="1813"/>
      <c r="L137" s="1813"/>
      <c r="M137" s="1813"/>
      <c r="N137" s="1813"/>
      <c r="O137" s="1814"/>
      <c r="P137" s="1723"/>
      <c r="Q137" s="1723"/>
      <c r="R137" s="1767"/>
      <c r="S137" s="1724"/>
      <c r="T137" s="1724"/>
      <c r="U137" s="1724"/>
      <c r="V137" s="1724"/>
      <c r="W137" s="1728"/>
      <c r="X137" s="1728"/>
    </row>
    <row r="138" spans="1:24" s="250" customFormat="1" ht="76.5" customHeight="1" thickBot="1" x14ac:dyDescent="0.4">
      <c r="A138" s="4443" t="s">
        <v>943</v>
      </c>
      <c r="B138" s="4444"/>
      <c r="C138" s="4444"/>
      <c r="D138" s="4444"/>
      <c r="E138" s="4444"/>
      <c r="F138" s="4444"/>
      <c r="G138" s="4444"/>
      <c r="H138" s="4444"/>
      <c r="I138" s="4444"/>
      <c r="J138" s="4444"/>
      <c r="K138" s="4445"/>
      <c r="L138" s="1797"/>
      <c r="M138" s="1797"/>
      <c r="N138" s="1797"/>
      <c r="O138" s="1798"/>
      <c r="P138" s="1806"/>
      <c r="Q138" s="1806"/>
      <c r="R138" s="1815"/>
      <c r="S138" s="1816"/>
      <c r="T138" s="1816"/>
      <c r="U138" s="1816"/>
      <c r="V138" s="1816"/>
      <c r="W138" s="1816"/>
      <c r="X138" s="1816"/>
    </row>
    <row r="139" spans="1:24" s="250" customFormat="1" ht="76.5" customHeight="1" x14ac:dyDescent="0.4">
      <c r="A139" s="4353" t="s">
        <v>963</v>
      </c>
      <c r="B139" s="1800" t="s">
        <v>29</v>
      </c>
      <c r="C139" s="1801" t="s">
        <v>101</v>
      </c>
      <c r="D139" s="1802" t="s">
        <v>422</v>
      </c>
      <c r="E139" s="1803"/>
      <c r="F139" s="5097" t="s">
        <v>304</v>
      </c>
      <c r="G139" s="5246"/>
      <c r="H139" s="5246"/>
      <c r="I139" s="5246" t="s">
        <v>368</v>
      </c>
      <c r="J139" s="5246"/>
      <c r="K139" s="5246"/>
      <c r="L139" s="1804"/>
      <c r="M139" s="1804"/>
      <c r="N139" s="1804"/>
      <c r="O139" s="1805"/>
      <c r="P139" s="4325" t="s">
        <v>377</v>
      </c>
      <c r="Q139" s="4325"/>
      <c r="R139" s="5229"/>
      <c r="W139" s="1736"/>
      <c r="X139" s="1736"/>
    </row>
    <row r="140" spans="1:24" s="250" customFormat="1" ht="76.5" customHeight="1" x14ac:dyDescent="0.35">
      <c r="A140" s="5261"/>
      <c r="C140" s="1806"/>
      <c r="D140" s="1806"/>
      <c r="E140" s="1803"/>
      <c r="F140" s="1740" t="s">
        <v>287</v>
      </c>
      <c r="G140" s="1738" t="s">
        <v>289</v>
      </c>
      <c r="H140" s="1738" t="s">
        <v>288</v>
      </c>
      <c r="I140" s="1738" t="s">
        <v>287</v>
      </c>
      <c r="J140" s="1738" t="s">
        <v>289</v>
      </c>
      <c r="K140" s="1738" t="s">
        <v>288</v>
      </c>
      <c r="L140" s="1738"/>
      <c r="M140" s="1738"/>
      <c r="N140" s="1738"/>
      <c r="O140" s="1739"/>
      <c r="P140" s="1730" t="s">
        <v>287</v>
      </c>
      <c r="Q140" s="1730" t="s">
        <v>289</v>
      </c>
      <c r="R140" s="1731" t="s">
        <v>288</v>
      </c>
      <c r="W140" s="1736"/>
      <c r="X140" s="1736"/>
    </row>
    <row r="141" spans="1:24" s="250" customFormat="1" ht="76.5" customHeight="1" x14ac:dyDescent="0.35">
      <c r="A141" s="5261"/>
      <c r="B141" s="1807" t="s">
        <v>426</v>
      </c>
      <c r="C141" s="1808">
        <f>+D256</f>
        <v>0</v>
      </c>
      <c r="D141" s="1808">
        <f>+F256</f>
        <v>0</v>
      </c>
      <c r="E141" s="1809"/>
      <c r="F141" s="1808">
        <f>+G256</f>
        <v>0</v>
      </c>
      <c r="G141" s="1808">
        <f t="shared" ref="G141:J142" si="78">+H256</f>
        <v>0</v>
      </c>
      <c r="H141" s="1808">
        <f t="shared" si="78"/>
        <v>0</v>
      </c>
      <c r="I141" s="1808">
        <f t="shared" si="78"/>
        <v>0</v>
      </c>
      <c r="J141" s="1808">
        <f t="shared" si="78"/>
        <v>0</v>
      </c>
      <c r="K141" s="1808">
        <f>+P256</f>
        <v>0</v>
      </c>
      <c r="L141" s="1808"/>
      <c r="M141" s="1808"/>
      <c r="N141" s="1808"/>
      <c r="O141" s="1817"/>
      <c r="P141" s="1744">
        <f t="shared" ref="P141:R142" si="79">+F141+I141</f>
        <v>0</v>
      </c>
      <c r="Q141" s="1744">
        <f t="shared" si="79"/>
        <v>0</v>
      </c>
      <c r="R141" s="1745">
        <f t="shared" si="79"/>
        <v>0</v>
      </c>
      <c r="W141" s="1736"/>
      <c r="X141" s="1736"/>
    </row>
    <row r="142" spans="1:24" s="250" customFormat="1" ht="76.5" customHeight="1" x14ac:dyDescent="0.35">
      <c r="A142" s="5261"/>
      <c r="B142" s="1807" t="s">
        <v>423</v>
      </c>
      <c r="C142" s="1808">
        <f>+D257</f>
        <v>0</v>
      </c>
      <c r="D142" s="1808">
        <f>+F257</f>
        <v>0</v>
      </c>
      <c r="E142" s="1818"/>
      <c r="F142" s="1808">
        <f>+G257</f>
        <v>0</v>
      </c>
      <c r="G142" s="1808">
        <f t="shared" si="78"/>
        <v>0</v>
      </c>
      <c r="H142" s="1808">
        <f t="shared" si="78"/>
        <v>0</v>
      </c>
      <c r="I142" s="1808">
        <f t="shared" si="78"/>
        <v>0</v>
      </c>
      <c r="J142" s="1808">
        <f t="shared" si="78"/>
        <v>0</v>
      </c>
      <c r="K142" s="1808">
        <f>+P257</f>
        <v>0</v>
      </c>
      <c r="L142" s="1808"/>
      <c r="M142" s="1808"/>
      <c r="N142" s="1808"/>
      <c r="O142" s="1817"/>
      <c r="P142" s="1744">
        <f t="shared" si="79"/>
        <v>0</v>
      </c>
      <c r="Q142" s="1744">
        <f t="shared" si="79"/>
        <v>0</v>
      </c>
      <c r="R142" s="1745">
        <f t="shared" si="79"/>
        <v>0</v>
      </c>
      <c r="W142" s="1736"/>
      <c r="X142" s="1736"/>
    </row>
    <row r="143" spans="1:24" s="1724" customFormat="1" ht="76.5" customHeight="1" thickBot="1" x14ac:dyDescent="0.4">
      <c r="A143" s="5261"/>
      <c r="B143" s="5133"/>
      <c r="C143" s="5133"/>
      <c r="D143" s="5133"/>
      <c r="E143" s="5134"/>
      <c r="F143" s="1786">
        <f>SUM(F141:F142)</f>
        <v>0</v>
      </c>
      <c r="G143" s="1786">
        <f t="shared" ref="G143:R143" si="80">SUM(G141:G142)</f>
        <v>0</v>
      </c>
      <c r="H143" s="1786">
        <f t="shared" si="80"/>
        <v>0</v>
      </c>
      <c r="I143" s="1786">
        <f t="shared" si="80"/>
        <v>0</v>
      </c>
      <c r="J143" s="1786">
        <f t="shared" si="80"/>
        <v>0</v>
      </c>
      <c r="K143" s="1786">
        <f t="shared" si="80"/>
        <v>0</v>
      </c>
      <c r="L143" s="1786"/>
      <c r="M143" s="1786"/>
      <c r="N143" s="1786"/>
      <c r="O143" s="1819"/>
      <c r="P143" s="1786">
        <f t="shared" si="80"/>
        <v>0</v>
      </c>
      <c r="Q143" s="1786">
        <f t="shared" si="80"/>
        <v>0</v>
      </c>
      <c r="R143" s="1820">
        <f t="shared" si="80"/>
        <v>0</v>
      </c>
      <c r="S143" s="1746">
        <f>SUM(P143:R143)</f>
        <v>0</v>
      </c>
      <c r="W143" s="1728"/>
      <c r="X143" s="1728"/>
    </row>
    <row r="144" spans="1:24" s="250" customFormat="1" ht="76.5" customHeight="1" x14ac:dyDescent="0.4">
      <c r="A144" s="5261"/>
      <c r="B144" s="5133"/>
      <c r="C144" s="5133"/>
      <c r="D144" s="5133"/>
      <c r="E144" s="5134"/>
      <c r="F144" s="4298" t="s">
        <v>377</v>
      </c>
      <c r="G144" s="4325"/>
      <c r="H144" s="5229"/>
      <c r="I144" s="1752"/>
      <c r="J144" s="1752"/>
      <c r="K144" s="1752"/>
      <c r="L144" s="1752"/>
      <c r="M144" s="1752"/>
      <c r="N144" s="1752"/>
      <c r="O144" s="1796"/>
      <c r="P144" s="1791"/>
      <c r="Q144" s="1791"/>
      <c r="R144" s="1792"/>
      <c r="W144" s="1736"/>
      <c r="X144" s="1736"/>
    </row>
    <row r="145" spans="1:24" s="250" customFormat="1" ht="76.5" customHeight="1" thickBot="1" x14ac:dyDescent="0.45">
      <c r="A145" s="5261"/>
      <c r="B145" s="5136"/>
      <c r="C145" s="5136"/>
      <c r="D145" s="5136"/>
      <c r="E145" s="5137"/>
      <c r="F145" s="1786">
        <f>+F143+I143</f>
        <v>0</v>
      </c>
      <c r="G145" s="1786">
        <f>+G143+J143</f>
        <v>0</v>
      </c>
      <c r="H145" s="1786">
        <f>+H143+K143</f>
        <v>0</v>
      </c>
      <c r="I145" s="1789"/>
      <c r="J145" s="1789"/>
      <c r="K145" s="1789"/>
      <c r="L145" s="1789"/>
      <c r="M145" s="1789"/>
      <c r="N145" s="1789"/>
      <c r="O145" s="1790"/>
      <c r="P145" s="1791"/>
      <c r="Q145" s="1791"/>
      <c r="R145" s="1792"/>
      <c r="W145" s="1736"/>
      <c r="X145" s="1736"/>
    </row>
    <row r="146" spans="1:24" s="250" customFormat="1" ht="76.5" customHeight="1" thickBot="1" x14ac:dyDescent="0.45">
      <c r="A146" s="1793"/>
      <c r="B146" s="1794"/>
      <c r="C146" s="1794"/>
      <c r="D146" s="1794"/>
      <c r="E146" s="1794"/>
      <c r="F146" s="1795"/>
      <c r="G146" s="1795"/>
      <c r="H146" s="1795"/>
      <c r="I146" s="1813"/>
      <c r="J146" s="1813"/>
      <c r="K146" s="1813"/>
      <c r="L146" s="1813"/>
      <c r="M146" s="1813"/>
      <c r="N146" s="1813"/>
      <c r="O146" s="1814"/>
      <c r="P146" s="1723"/>
      <c r="Q146" s="1723"/>
      <c r="R146" s="1767"/>
      <c r="W146" s="1736"/>
      <c r="X146" s="1736"/>
    </row>
    <row r="147" spans="1:24" s="250" customFormat="1" ht="76.5" customHeight="1" thickBot="1" x14ac:dyDescent="0.4">
      <c r="A147" s="4443" t="s">
        <v>945</v>
      </c>
      <c r="B147" s="4444"/>
      <c r="C147" s="4444"/>
      <c r="D147" s="4444"/>
      <c r="E147" s="4444"/>
      <c r="F147" s="4444"/>
      <c r="G147" s="4444"/>
      <c r="H147" s="4444"/>
      <c r="I147" s="4444"/>
      <c r="J147" s="4444"/>
      <c r="K147" s="4445"/>
      <c r="L147" s="1797"/>
      <c r="M147" s="1797"/>
      <c r="N147" s="1797"/>
      <c r="O147" s="1798"/>
      <c r="P147" s="1806"/>
      <c r="Q147" s="1806"/>
      <c r="R147" s="1815"/>
      <c r="W147" s="1736"/>
      <c r="X147" s="1736"/>
    </row>
    <row r="148" spans="1:24" s="250" customFormat="1" ht="76.5" customHeight="1" x14ac:dyDescent="0.4">
      <c r="A148" s="5261" t="s">
        <v>964</v>
      </c>
      <c r="B148" s="1821" t="s">
        <v>29</v>
      </c>
      <c r="C148" s="1822" t="s">
        <v>101</v>
      </c>
      <c r="D148" s="1823" t="s">
        <v>422</v>
      </c>
      <c r="E148" s="1824"/>
      <c r="F148" s="4295" t="s">
        <v>304</v>
      </c>
      <c r="G148" s="4317"/>
      <c r="H148" s="4317"/>
      <c r="I148" s="4317" t="s">
        <v>368</v>
      </c>
      <c r="J148" s="4317"/>
      <c r="K148" s="4317"/>
      <c r="L148" s="1738"/>
      <c r="M148" s="1738"/>
      <c r="N148" s="1738"/>
      <c r="O148" s="1739"/>
      <c r="P148" s="4325" t="s">
        <v>377</v>
      </c>
      <c r="Q148" s="4325"/>
      <c r="R148" s="5229"/>
      <c r="W148" s="1736"/>
      <c r="X148" s="1736"/>
    </row>
    <row r="149" spans="1:24" s="250" customFormat="1" ht="76.5" customHeight="1" x14ac:dyDescent="0.35">
      <c r="A149" s="5261"/>
      <c r="C149" s="1806"/>
      <c r="D149" s="1806"/>
      <c r="E149" s="1803"/>
      <c r="F149" s="1740" t="s">
        <v>287</v>
      </c>
      <c r="G149" s="1738" t="s">
        <v>289</v>
      </c>
      <c r="H149" s="1738" t="s">
        <v>288</v>
      </c>
      <c r="I149" s="1738" t="s">
        <v>287</v>
      </c>
      <c r="J149" s="1738" t="s">
        <v>289</v>
      </c>
      <c r="K149" s="1738" t="s">
        <v>288</v>
      </c>
      <c r="L149" s="1738"/>
      <c r="M149" s="1738"/>
      <c r="N149" s="1738"/>
      <c r="O149" s="1739"/>
      <c r="P149" s="1730" t="s">
        <v>287</v>
      </c>
      <c r="Q149" s="1730" t="s">
        <v>289</v>
      </c>
      <c r="R149" s="1731" t="s">
        <v>288</v>
      </c>
      <c r="W149" s="1736"/>
      <c r="X149" s="1736"/>
    </row>
    <row r="150" spans="1:24" s="250" customFormat="1" ht="76.5" customHeight="1" x14ac:dyDescent="0.35">
      <c r="A150" s="5261"/>
      <c r="B150" s="1807" t="s">
        <v>426</v>
      </c>
      <c r="C150" s="1808">
        <f>+D278</f>
        <v>0</v>
      </c>
      <c r="D150" s="1808">
        <f ca="1">+F278</f>
        <v>0</v>
      </c>
      <c r="E150" s="1809"/>
      <c r="F150" s="1808">
        <f t="shared" ref="F150:J151" ca="1" si="81">+G278</f>
        <v>0</v>
      </c>
      <c r="G150" s="1808">
        <f t="shared" ca="1" si="81"/>
        <v>0</v>
      </c>
      <c r="H150" s="1808">
        <f t="shared" ca="1" si="81"/>
        <v>0</v>
      </c>
      <c r="I150" s="1808">
        <f t="shared" ca="1" si="81"/>
        <v>0</v>
      </c>
      <c r="J150" s="1808">
        <f t="shared" ca="1" si="81"/>
        <v>0</v>
      </c>
      <c r="K150" s="1808">
        <f ca="1">+P278</f>
        <v>0</v>
      </c>
      <c r="L150" s="1808"/>
      <c r="M150" s="1808"/>
      <c r="N150" s="1808"/>
      <c r="O150" s="1817"/>
      <c r="P150" s="1744">
        <f t="shared" ref="P150:R151" ca="1" si="82">+F150+I150</f>
        <v>0</v>
      </c>
      <c r="Q150" s="1744">
        <f t="shared" ca="1" si="82"/>
        <v>0</v>
      </c>
      <c r="R150" s="1745">
        <f t="shared" ca="1" si="82"/>
        <v>0</v>
      </c>
      <c r="W150" s="1736"/>
      <c r="X150" s="1736"/>
    </row>
    <row r="151" spans="1:24" s="250" customFormat="1" ht="76.5" customHeight="1" x14ac:dyDescent="0.35">
      <c r="A151" s="5261"/>
      <c r="B151" s="1807" t="s">
        <v>423</v>
      </c>
      <c r="C151" s="1808">
        <f>+D279</f>
        <v>0</v>
      </c>
      <c r="D151" s="1808">
        <f ca="1">+F279</f>
        <v>0</v>
      </c>
      <c r="E151" s="1818"/>
      <c r="F151" s="1808">
        <f t="shared" ca="1" si="81"/>
        <v>0</v>
      </c>
      <c r="G151" s="1808">
        <f t="shared" ca="1" si="81"/>
        <v>0</v>
      </c>
      <c r="H151" s="1808">
        <f t="shared" ca="1" si="81"/>
        <v>0</v>
      </c>
      <c r="I151" s="1808">
        <f t="shared" ca="1" si="81"/>
        <v>0</v>
      </c>
      <c r="J151" s="1808">
        <f t="shared" ca="1" si="81"/>
        <v>0</v>
      </c>
      <c r="K151" s="1808">
        <f ca="1">+P279</f>
        <v>0</v>
      </c>
      <c r="L151" s="1808"/>
      <c r="M151" s="1808"/>
      <c r="N151" s="1808"/>
      <c r="O151" s="1817"/>
      <c r="P151" s="1744">
        <f t="shared" ca="1" si="82"/>
        <v>0</v>
      </c>
      <c r="Q151" s="1744">
        <f t="shared" ca="1" si="82"/>
        <v>0</v>
      </c>
      <c r="R151" s="1745">
        <f t="shared" ca="1" si="82"/>
        <v>0</v>
      </c>
      <c r="W151" s="1736"/>
      <c r="X151" s="1736"/>
    </row>
    <row r="152" spans="1:24" s="250" customFormat="1" ht="76.5" customHeight="1" thickBot="1" x14ac:dyDescent="0.4">
      <c r="A152" s="5261"/>
      <c r="B152" s="5133"/>
      <c r="C152" s="5133"/>
      <c r="D152" s="5133"/>
      <c r="E152" s="5134"/>
      <c r="F152" s="1786">
        <f t="shared" ref="F152:R152" ca="1" si="83">SUM(F150:F151)</f>
        <v>0</v>
      </c>
      <c r="G152" s="1786">
        <f t="shared" ca="1" si="83"/>
        <v>0</v>
      </c>
      <c r="H152" s="1786">
        <f t="shared" ca="1" si="83"/>
        <v>0</v>
      </c>
      <c r="I152" s="1786">
        <f t="shared" ca="1" si="83"/>
        <v>0</v>
      </c>
      <c r="J152" s="1786">
        <f t="shared" ca="1" si="83"/>
        <v>0</v>
      </c>
      <c r="K152" s="1786">
        <f t="shared" ca="1" si="83"/>
        <v>0</v>
      </c>
      <c r="L152" s="1786"/>
      <c r="M152" s="1786"/>
      <c r="N152" s="1786"/>
      <c r="O152" s="1819"/>
      <c r="P152" s="1786">
        <f t="shared" ca="1" si="83"/>
        <v>0</v>
      </c>
      <c r="Q152" s="1786">
        <f t="shared" ca="1" si="83"/>
        <v>0</v>
      </c>
      <c r="R152" s="1820">
        <f t="shared" ca="1" si="83"/>
        <v>0</v>
      </c>
      <c r="S152" s="1746">
        <f ca="1">SUM(P152:R152)</f>
        <v>0</v>
      </c>
      <c r="W152" s="1736"/>
      <c r="X152" s="1736"/>
    </row>
    <row r="153" spans="1:24" s="1724" customFormat="1" ht="76.5" customHeight="1" x14ac:dyDescent="0.4">
      <c r="A153" s="5261"/>
      <c r="B153" s="5133"/>
      <c r="C153" s="5133"/>
      <c r="D153" s="5133"/>
      <c r="E153" s="5134"/>
      <c r="F153" s="4298" t="s">
        <v>377</v>
      </c>
      <c r="G153" s="4325"/>
      <c r="H153" s="5229"/>
      <c r="I153" s="1752"/>
      <c r="J153" s="1752"/>
      <c r="K153" s="1752"/>
      <c r="L153" s="1752"/>
      <c r="M153" s="1752"/>
      <c r="N153" s="1752"/>
      <c r="O153" s="1796"/>
      <c r="P153" s="1791"/>
      <c r="Q153" s="1791"/>
      <c r="R153" s="1792"/>
      <c r="W153" s="1728"/>
      <c r="X153" s="1728"/>
    </row>
    <row r="154" spans="1:24" s="250" customFormat="1" ht="76.5" customHeight="1" thickBot="1" x14ac:dyDescent="0.45">
      <c r="A154" s="5261"/>
      <c r="B154" s="5136"/>
      <c r="C154" s="5136"/>
      <c r="D154" s="5136"/>
      <c r="E154" s="5137"/>
      <c r="F154" s="1825">
        <f ca="1">+F152+I152</f>
        <v>0</v>
      </c>
      <c r="G154" s="1825">
        <f ca="1">+G152+J152</f>
        <v>0</v>
      </c>
      <c r="H154" s="1825">
        <f ca="1">+H152+K152</f>
        <v>0</v>
      </c>
      <c r="I154" s="1752"/>
      <c r="J154" s="1752"/>
      <c r="K154" s="1752"/>
      <c r="L154" s="1752"/>
      <c r="M154" s="1752"/>
      <c r="N154" s="1752"/>
      <c r="O154" s="1796"/>
      <c r="P154" s="1791"/>
      <c r="Q154" s="1791"/>
      <c r="R154" s="1792"/>
      <c r="W154" s="1736"/>
      <c r="X154" s="1736"/>
    </row>
    <row r="155" spans="1:24" s="1724" customFormat="1" ht="76.5" customHeight="1" thickBot="1" x14ac:dyDescent="0.45">
      <c r="A155" s="1793"/>
      <c r="B155" s="1794"/>
      <c r="C155" s="1794"/>
      <c r="D155" s="1794"/>
      <c r="E155" s="1794"/>
      <c r="F155" s="1826"/>
      <c r="G155" s="1826"/>
      <c r="H155" s="1826"/>
      <c r="I155" s="1827"/>
      <c r="J155" s="1827"/>
      <c r="K155" s="1827"/>
      <c r="L155" s="1827"/>
      <c r="M155" s="1827"/>
      <c r="N155" s="1827"/>
      <c r="O155" s="1828"/>
      <c r="P155" s="1723"/>
      <c r="Q155" s="1723"/>
      <c r="R155" s="1767"/>
      <c r="W155" s="1728"/>
      <c r="X155" s="1728"/>
    </row>
    <row r="156" spans="1:24" s="250" customFormat="1" ht="76.5" customHeight="1" x14ac:dyDescent="0.35">
      <c r="A156" s="4455" t="s">
        <v>429</v>
      </c>
      <c r="B156" s="4456"/>
      <c r="C156" s="4456"/>
      <c r="D156" s="4456"/>
      <c r="E156" s="5093"/>
      <c r="F156" s="4214" t="s">
        <v>304</v>
      </c>
      <c r="G156" s="5247"/>
      <c r="H156" s="5247"/>
      <c r="I156" s="5247" t="s">
        <v>368</v>
      </c>
      <c r="J156" s="5247"/>
      <c r="K156" s="5247"/>
      <c r="L156" s="1769"/>
      <c r="M156" s="1769"/>
      <c r="N156" s="1769"/>
      <c r="O156" s="1770"/>
      <c r="P156" s="5241" t="s">
        <v>377</v>
      </c>
      <c r="Q156" s="5241"/>
      <c r="R156" s="5242"/>
      <c r="W156" s="1736"/>
      <c r="X156" s="1736"/>
    </row>
    <row r="157" spans="1:24" s="1724" customFormat="1" ht="76.5" customHeight="1" x14ac:dyDescent="0.35">
      <c r="A157" s="4458"/>
      <c r="B157" s="4459"/>
      <c r="C157" s="4459"/>
      <c r="D157" s="4459"/>
      <c r="E157" s="5094"/>
      <c r="F157" s="1740" t="s">
        <v>287</v>
      </c>
      <c r="G157" s="1738" t="s">
        <v>289</v>
      </c>
      <c r="H157" s="1738" t="s">
        <v>288</v>
      </c>
      <c r="I157" s="1738" t="s">
        <v>287</v>
      </c>
      <c r="J157" s="1738" t="s">
        <v>289</v>
      </c>
      <c r="K157" s="1738" t="s">
        <v>288</v>
      </c>
      <c r="L157" s="1738"/>
      <c r="M157" s="1738"/>
      <c r="N157" s="1738"/>
      <c r="O157" s="1739"/>
      <c r="P157" s="1730" t="s">
        <v>287</v>
      </c>
      <c r="Q157" s="1730" t="s">
        <v>289</v>
      </c>
      <c r="R157" s="1731" t="s">
        <v>288</v>
      </c>
      <c r="W157" s="1728"/>
      <c r="X157" s="1728"/>
    </row>
    <row r="158" spans="1:24" s="1724" customFormat="1" ht="76.5" customHeight="1" x14ac:dyDescent="0.35">
      <c r="A158" s="4458"/>
      <c r="B158" s="4459"/>
      <c r="C158" s="4459"/>
      <c r="D158" s="4459"/>
      <c r="E158" s="5094"/>
      <c r="F158" s="1811" t="e">
        <f>+G394</f>
        <v>#REF!</v>
      </c>
      <c r="G158" s="1829" t="e">
        <f>+H394</f>
        <v>#REF!</v>
      </c>
      <c r="H158" s="1829" t="e">
        <f>+I394</f>
        <v>#REF!</v>
      </c>
      <c r="I158" s="1829" t="e">
        <f>+J394</f>
        <v>#REF!</v>
      </c>
      <c r="J158" s="1829" t="e">
        <f>+K394</f>
        <v>#REF!</v>
      </c>
      <c r="K158" s="1829" t="e">
        <f>+P394</f>
        <v>#REF!</v>
      </c>
      <c r="L158" s="1829"/>
      <c r="M158" s="1829"/>
      <c r="N158" s="1829"/>
      <c r="O158" s="1830"/>
      <c r="P158" s="1831" t="e">
        <f>+F158+I158</f>
        <v>#REF!</v>
      </c>
      <c r="Q158" s="1831" t="e">
        <f>+G158+J158</f>
        <v>#REF!</v>
      </c>
      <c r="R158" s="1832" t="e">
        <f>+H158+K158</f>
        <v>#REF!</v>
      </c>
      <c r="S158" s="1746" t="e">
        <f>SUM(P158:R158)</f>
        <v>#REF!</v>
      </c>
      <c r="W158" s="1728"/>
      <c r="X158" s="1728"/>
    </row>
    <row r="159" spans="1:24" s="1724" customFormat="1" ht="76.5" customHeight="1" x14ac:dyDescent="0.35">
      <c r="A159" s="4458"/>
      <c r="B159" s="4459"/>
      <c r="C159" s="4459"/>
      <c r="D159" s="4459"/>
      <c r="E159" s="5094"/>
      <c r="F159" s="4298" t="s">
        <v>377</v>
      </c>
      <c r="G159" s="4325"/>
      <c r="H159" s="5229"/>
      <c r="I159" s="1833"/>
      <c r="J159" s="1833"/>
      <c r="K159" s="1833"/>
      <c r="L159" s="1833"/>
      <c r="M159" s="1833"/>
      <c r="N159" s="1833"/>
      <c r="O159" s="1834"/>
      <c r="P159" s="1835"/>
      <c r="Q159" s="1835"/>
      <c r="R159" s="1836"/>
      <c r="W159" s="1728"/>
      <c r="X159" s="1728"/>
    </row>
    <row r="160" spans="1:24" s="1724" customFormat="1" ht="76.5" customHeight="1" thickBot="1" x14ac:dyDescent="0.4">
      <c r="A160" s="4461"/>
      <c r="B160" s="4462"/>
      <c r="C160" s="4462"/>
      <c r="D160" s="4462"/>
      <c r="E160" s="5095"/>
      <c r="F160" s="1786" t="e">
        <f>+F158+I158</f>
        <v>#REF!</v>
      </c>
      <c r="G160" s="1786" t="e">
        <f>+G158+J158</f>
        <v>#REF!</v>
      </c>
      <c r="H160" s="1786" t="e">
        <f>+H158+K158</f>
        <v>#REF!</v>
      </c>
      <c r="I160" s="1837"/>
      <c r="J160" s="1837"/>
      <c r="K160" s="1837"/>
      <c r="L160" s="1837"/>
      <c r="M160" s="1837"/>
      <c r="N160" s="1837"/>
      <c r="O160" s="1838"/>
      <c r="P160" s="1839"/>
      <c r="Q160" s="1839"/>
      <c r="R160" s="1840"/>
      <c r="W160" s="1728"/>
      <c r="X160" s="1728"/>
    </row>
    <row r="161" spans="1:24" s="1724" customFormat="1" ht="76.5" customHeight="1" thickBot="1" x14ac:dyDescent="0.4">
      <c r="A161" s="1841"/>
      <c r="B161" s="1842"/>
      <c r="C161" s="1842"/>
      <c r="D161" s="1842"/>
      <c r="E161" s="1842"/>
      <c r="F161" s="1833"/>
      <c r="G161" s="1833"/>
      <c r="H161" s="1833"/>
      <c r="I161" s="1833"/>
      <c r="J161" s="1833"/>
      <c r="K161" s="1833"/>
      <c r="L161" s="1833"/>
      <c r="M161" s="1833"/>
      <c r="N161" s="1833"/>
      <c r="O161" s="1834"/>
      <c r="P161" s="1835"/>
      <c r="Q161" s="1835"/>
      <c r="R161" s="1836"/>
      <c r="W161" s="1728"/>
      <c r="X161" s="1728"/>
    </row>
    <row r="162" spans="1:24" s="1724" customFormat="1" ht="76.5" customHeight="1" x14ac:dyDescent="0.35">
      <c r="A162" s="5640" t="s">
        <v>430</v>
      </c>
      <c r="B162" s="5641"/>
      <c r="C162" s="5641"/>
      <c r="D162" s="5641"/>
      <c r="E162" s="5641"/>
      <c r="F162" s="5247" t="s">
        <v>304</v>
      </c>
      <c r="G162" s="5247"/>
      <c r="H162" s="5254"/>
      <c r="I162" s="1833"/>
      <c r="J162" s="1833"/>
      <c r="K162" s="1833"/>
      <c r="L162" s="1833"/>
      <c r="M162" s="1833"/>
      <c r="N162" s="1833"/>
      <c r="O162" s="1834"/>
      <c r="P162" s="1835"/>
      <c r="Q162" s="1835"/>
      <c r="R162" s="1836"/>
      <c r="W162" s="1728"/>
      <c r="X162" s="1728"/>
    </row>
    <row r="163" spans="1:24" s="1724" customFormat="1" ht="76.5" customHeight="1" x14ac:dyDescent="0.4">
      <c r="A163" s="5642"/>
      <c r="B163" s="5643"/>
      <c r="C163" s="5643"/>
      <c r="D163" s="5643"/>
      <c r="E163" s="5643"/>
      <c r="F163" s="1738" t="s">
        <v>287</v>
      </c>
      <c r="G163" s="1738" t="s">
        <v>289</v>
      </c>
      <c r="H163" s="1772" t="s">
        <v>288</v>
      </c>
      <c r="I163" s="1827"/>
      <c r="J163" s="1827"/>
      <c r="K163" s="1827"/>
      <c r="L163" s="1827"/>
      <c r="M163" s="1827"/>
      <c r="N163" s="1827"/>
      <c r="O163" s="1828"/>
      <c r="P163" s="1723"/>
      <c r="Q163" s="1723"/>
      <c r="R163" s="1767"/>
      <c r="W163" s="1728"/>
      <c r="X163" s="1728"/>
    </row>
    <row r="164" spans="1:24" s="1724" customFormat="1" ht="76.5" customHeight="1" thickBot="1" x14ac:dyDescent="0.45">
      <c r="A164" s="5644"/>
      <c r="B164" s="5645"/>
      <c r="C164" s="5645"/>
      <c r="D164" s="5645"/>
      <c r="E164" s="5645"/>
      <c r="F164" s="1843">
        <f>+G395</f>
        <v>0</v>
      </c>
      <c r="G164" s="1843">
        <f>+H395</f>
        <v>0</v>
      </c>
      <c r="H164" s="1844">
        <f>+I395</f>
        <v>0</v>
      </c>
      <c r="I164" s="1827"/>
      <c r="J164" s="1827"/>
      <c r="K164" s="1827"/>
      <c r="L164" s="1827"/>
      <c r="M164" s="1827"/>
      <c r="N164" s="1827"/>
      <c r="O164" s="1828"/>
      <c r="P164" s="1723"/>
      <c r="Q164" s="1723"/>
      <c r="R164" s="1767"/>
      <c r="W164" s="1728"/>
      <c r="X164" s="1728"/>
    </row>
    <row r="165" spans="1:24" s="1724" customFormat="1" ht="76.5" customHeight="1" x14ac:dyDescent="0.4">
      <c r="A165" s="1841"/>
      <c r="B165" s="1842"/>
      <c r="C165" s="1842"/>
      <c r="D165" s="1842"/>
      <c r="E165" s="1842"/>
      <c r="F165" s="1845"/>
      <c r="G165" s="1845"/>
      <c r="H165" s="1845"/>
      <c r="I165" s="1827"/>
      <c r="J165" s="1827"/>
      <c r="K165" s="1827"/>
      <c r="L165" s="1827"/>
      <c r="M165" s="1827"/>
      <c r="N165" s="1827"/>
      <c r="O165" s="1828"/>
      <c r="P165" s="1723"/>
      <c r="Q165" s="1723"/>
      <c r="R165" s="1767"/>
      <c r="W165" s="1728"/>
      <c r="X165" s="1728"/>
    </row>
    <row r="166" spans="1:24" s="1724" customFormat="1" ht="76.5" customHeight="1" x14ac:dyDescent="0.35">
      <c r="A166" s="5263" t="s">
        <v>431</v>
      </c>
      <c r="B166" s="5264"/>
      <c r="C166" s="5264"/>
      <c r="D166" s="5264"/>
      <c r="E166" s="5264"/>
      <c r="F166" s="4295" t="s">
        <v>304</v>
      </c>
      <c r="G166" s="4317"/>
      <c r="H166" s="4317"/>
      <c r="I166" s="4317" t="s">
        <v>368</v>
      </c>
      <c r="J166" s="4317"/>
      <c r="K166" s="4317"/>
      <c r="L166" s="1738"/>
      <c r="M166" s="1738"/>
      <c r="N166" s="1738"/>
      <c r="O166" s="1739"/>
      <c r="P166" s="4325" t="s">
        <v>377</v>
      </c>
      <c r="Q166" s="4325"/>
      <c r="R166" s="5229"/>
      <c r="W166" s="1728"/>
      <c r="X166" s="1728"/>
    </row>
    <row r="167" spans="1:24" s="1724" customFormat="1" ht="76.5" customHeight="1" x14ac:dyDescent="0.35">
      <c r="A167" s="5263"/>
      <c r="B167" s="5264"/>
      <c r="C167" s="5264"/>
      <c r="D167" s="5264"/>
      <c r="E167" s="5264"/>
      <c r="F167" s="1740" t="s">
        <v>287</v>
      </c>
      <c r="G167" s="1738" t="s">
        <v>289</v>
      </c>
      <c r="H167" s="1738" t="s">
        <v>288</v>
      </c>
      <c r="I167" s="1738" t="s">
        <v>287</v>
      </c>
      <c r="J167" s="1738" t="s">
        <v>289</v>
      </c>
      <c r="K167" s="1738" t="s">
        <v>288</v>
      </c>
      <c r="L167" s="1738"/>
      <c r="M167" s="1738"/>
      <c r="N167" s="1738"/>
      <c r="O167" s="1739"/>
      <c r="P167" s="1730" t="s">
        <v>287</v>
      </c>
      <c r="Q167" s="1730" t="s">
        <v>289</v>
      </c>
      <c r="R167" s="1731" t="s">
        <v>288</v>
      </c>
      <c r="W167" s="1728"/>
      <c r="X167" s="1728"/>
    </row>
    <row r="168" spans="1:24" s="1724" customFormat="1" ht="76.5" customHeight="1" x14ac:dyDescent="0.35">
      <c r="A168" s="5263"/>
      <c r="B168" s="5264"/>
      <c r="C168" s="5264"/>
      <c r="D168" s="5264"/>
      <c r="E168" s="5264"/>
      <c r="F168" s="1846" t="e">
        <f ca="1">+F126+F134+F143+F152+F158+F164</f>
        <v>#REF!</v>
      </c>
      <c r="G168" s="1846" t="e">
        <f t="shared" ref="G168:R168" ca="1" si="84">+G126+G134+G143+G152+G158+G164</f>
        <v>#REF!</v>
      </c>
      <c r="H168" s="1846" t="e">
        <f t="shared" ca="1" si="84"/>
        <v>#REF!</v>
      </c>
      <c r="I168" s="1846" t="e">
        <f t="shared" ca="1" si="84"/>
        <v>#REF!</v>
      </c>
      <c r="J168" s="1846" t="e">
        <f t="shared" ca="1" si="84"/>
        <v>#REF!</v>
      </c>
      <c r="K168" s="1846" t="e">
        <f t="shared" ca="1" si="84"/>
        <v>#REF!</v>
      </c>
      <c r="L168" s="1846"/>
      <c r="M168" s="1846"/>
      <c r="N168" s="1846"/>
      <c r="O168" s="1847"/>
      <c r="P168" s="1848" t="e">
        <f t="shared" ca="1" si="84"/>
        <v>#REF!</v>
      </c>
      <c r="Q168" s="1848" t="e">
        <f t="shared" ca="1" si="84"/>
        <v>#REF!</v>
      </c>
      <c r="R168" s="1849" t="e">
        <f t="shared" ca="1" si="84"/>
        <v>#REF!</v>
      </c>
      <c r="S168" s="1746" t="e">
        <f ca="1">SUM(P168:R168)</f>
        <v>#REF!</v>
      </c>
      <c r="W168" s="1728"/>
      <c r="X168" s="1728"/>
    </row>
    <row r="169" spans="1:24" s="1724" customFormat="1" ht="76.5" customHeight="1" x14ac:dyDescent="0.4">
      <c r="A169" s="5263"/>
      <c r="B169" s="5264"/>
      <c r="C169" s="5264"/>
      <c r="D169" s="5264"/>
      <c r="E169" s="5264"/>
      <c r="F169" s="4325" t="s">
        <v>432</v>
      </c>
      <c r="G169" s="4325"/>
      <c r="H169" s="4325"/>
      <c r="I169" s="1827"/>
      <c r="J169" s="1827"/>
      <c r="K169" s="1827"/>
      <c r="L169" s="1827" t="e">
        <f ca="1">SUM(I168:K168)</f>
        <v>#REF!</v>
      </c>
      <c r="M169" s="1827"/>
      <c r="N169" s="1827"/>
      <c r="O169" s="1828"/>
      <c r="P169" s="1850" t="e">
        <f ca="1">+F168+I168</f>
        <v>#REF!</v>
      </c>
      <c r="Q169" s="1851" t="e">
        <f ca="1">+G168+J168</f>
        <v>#REF!</v>
      </c>
      <c r="R169" s="1852" t="e">
        <f ca="1">+H168+K168</f>
        <v>#REF!</v>
      </c>
      <c r="W169" s="1728"/>
      <c r="X169" s="1728"/>
    </row>
    <row r="170" spans="1:24" s="1724" customFormat="1" ht="76.5" customHeight="1" x14ac:dyDescent="0.4">
      <c r="A170" s="5263"/>
      <c r="B170" s="5264"/>
      <c r="C170" s="5264"/>
      <c r="D170" s="5264"/>
      <c r="E170" s="5264"/>
      <c r="F170" s="1730" t="s">
        <v>287</v>
      </c>
      <c r="G170" s="1730" t="s">
        <v>289</v>
      </c>
      <c r="H170" s="1730" t="s">
        <v>288</v>
      </c>
      <c r="I170" s="1827"/>
      <c r="J170" s="1827"/>
      <c r="K170" s="1827"/>
      <c r="L170" s="1827" t="e">
        <f ca="1">+L169+I169</f>
        <v>#REF!</v>
      </c>
      <c r="M170" s="1827"/>
      <c r="N170" s="1827"/>
      <c r="O170" s="1828"/>
      <c r="P170" s="1723"/>
      <c r="Q170" s="1723"/>
      <c r="R170" s="1767"/>
      <c r="W170" s="1728"/>
      <c r="X170" s="1728"/>
    </row>
    <row r="171" spans="1:24" s="250" customFormat="1" ht="76.5" customHeight="1" x14ac:dyDescent="0.35">
      <c r="A171" s="5263"/>
      <c r="B171" s="5264"/>
      <c r="C171" s="5264"/>
      <c r="D171" s="5264"/>
      <c r="E171" s="5264"/>
      <c r="F171" s="1853" t="e">
        <f ca="1">+F168+I168</f>
        <v>#REF!</v>
      </c>
      <c r="G171" s="1853" t="e">
        <f ca="1">+G168+J168</f>
        <v>#REF!</v>
      </c>
      <c r="H171" s="1854" t="e">
        <f ca="1">+H168+K168</f>
        <v>#REF!</v>
      </c>
      <c r="I171" s="1855"/>
      <c r="O171" s="1737"/>
      <c r="P171" s="837"/>
      <c r="Q171" s="837"/>
      <c r="R171" s="837"/>
      <c r="W171" s="1736"/>
      <c r="X171" s="1736"/>
    </row>
    <row r="172" spans="1:24" s="1724" customFormat="1" ht="76.5" customHeight="1" thickBot="1" x14ac:dyDescent="0.4">
      <c r="A172" s="1856"/>
      <c r="B172" s="1857"/>
      <c r="C172" s="1857"/>
      <c r="D172" s="1857"/>
      <c r="E172" s="1857"/>
      <c r="F172" s="1858"/>
      <c r="G172" s="1858"/>
      <c r="H172" s="1858"/>
      <c r="I172" s="1859"/>
      <c r="O172" s="1725"/>
      <c r="P172" s="1726"/>
      <c r="Q172" s="1726"/>
      <c r="R172" s="1726"/>
      <c r="W172" s="1728"/>
      <c r="X172" s="1728"/>
    </row>
    <row r="173" spans="1:24" s="250" customFormat="1" ht="76.5" customHeight="1" x14ac:dyDescent="0.35">
      <c r="A173" s="4446" t="s">
        <v>433</v>
      </c>
      <c r="B173" s="4447"/>
      <c r="C173" s="4447"/>
      <c r="D173" s="4447"/>
      <c r="E173" s="4447"/>
      <c r="F173" s="5241" t="s">
        <v>434</v>
      </c>
      <c r="G173" s="5241"/>
      <c r="H173" s="5242"/>
      <c r="I173" s="1855"/>
      <c r="O173" s="1737"/>
      <c r="P173" s="4304"/>
      <c r="Q173" s="4304"/>
      <c r="R173" s="4304"/>
      <c r="W173" s="1736"/>
      <c r="X173" s="1736"/>
    </row>
    <row r="174" spans="1:24" s="250" customFormat="1" ht="76.5" customHeight="1" x14ac:dyDescent="0.35">
      <c r="A174" s="4449"/>
      <c r="B174" s="4450"/>
      <c r="C174" s="4450"/>
      <c r="D174" s="4450"/>
      <c r="E174" s="4450"/>
      <c r="F174" s="1730" t="s">
        <v>287</v>
      </c>
      <c r="G174" s="1730" t="s">
        <v>289</v>
      </c>
      <c r="H174" s="1731" t="s">
        <v>288</v>
      </c>
      <c r="I174" s="1855"/>
      <c r="O174" s="1737"/>
      <c r="P174" s="1860"/>
      <c r="Q174" s="1860"/>
      <c r="R174" s="1860"/>
      <c r="W174" s="1736"/>
      <c r="X174" s="1736"/>
    </row>
    <row r="175" spans="1:24" s="250" customFormat="1" ht="76.5" customHeight="1" thickBot="1" x14ac:dyDescent="0.4">
      <c r="A175" s="4452"/>
      <c r="B175" s="4453"/>
      <c r="C175" s="4453"/>
      <c r="D175" s="4453"/>
      <c r="E175" s="4453"/>
      <c r="F175" s="1978">
        <f>+'Compra -HOJA1'!G10</f>
        <v>0</v>
      </c>
      <c r="G175" s="1978">
        <f>+'Compra -HOJA1'!I10</f>
        <v>0</v>
      </c>
      <c r="H175" s="1979">
        <f>+'Compra -HOJA1'!H10</f>
        <v>0</v>
      </c>
      <c r="I175" s="1855"/>
      <c r="O175" s="1737"/>
      <c r="P175" s="1855"/>
      <c r="Q175" s="1855"/>
      <c r="R175" s="1855"/>
      <c r="S175" s="1746">
        <f>SUM(P175:R175)</f>
        <v>0</v>
      </c>
      <c r="W175" s="1736"/>
      <c r="X175" s="1736"/>
    </row>
    <row r="176" spans="1:24" s="1724" customFormat="1" ht="30" customHeight="1" thickBot="1" x14ac:dyDescent="0.4">
      <c r="A176" s="1861"/>
      <c r="B176" s="1862"/>
      <c r="C176" s="1862"/>
      <c r="D176" s="1862"/>
      <c r="E176" s="1862"/>
      <c r="F176" s="1859"/>
      <c r="G176" s="1859"/>
      <c r="H176" s="1859"/>
      <c r="I176" s="1859"/>
      <c r="O176" s="1725"/>
      <c r="P176" s="1855"/>
      <c r="Q176" s="1855"/>
      <c r="R176" s="1855"/>
      <c r="W176" s="1728"/>
      <c r="X176" s="1728"/>
    </row>
    <row r="177" spans="1:24" s="1724" customFormat="1" ht="30" customHeight="1" thickBot="1" x14ac:dyDescent="0.4">
      <c r="A177" s="5646" t="s">
        <v>435</v>
      </c>
      <c r="B177" s="5647"/>
      <c r="C177" s="5647"/>
      <c r="D177" s="5647"/>
      <c r="E177" s="5648"/>
      <c r="F177" s="1980" t="e">
        <f ca="1">+F175-F171</f>
        <v>#REF!</v>
      </c>
      <c r="G177" s="1981" t="e">
        <f ca="1">+G175-G171</f>
        <v>#REF!</v>
      </c>
      <c r="H177" s="1982" t="e">
        <f ca="1">+H175-H171</f>
        <v>#REF!</v>
      </c>
      <c r="I177" s="1859"/>
      <c r="O177" s="1725"/>
      <c r="P177" s="1855"/>
      <c r="Q177" s="1855"/>
      <c r="R177" s="1855"/>
      <c r="S177" s="1746">
        <f>SUM(P177:R177)</f>
        <v>0</v>
      </c>
      <c r="W177" s="1728"/>
      <c r="X177" s="1728"/>
    </row>
    <row r="178" spans="1:24" s="1724" customFormat="1" ht="30" customHeight="1" thickBot="1" x14ac:dyDescent="0.4">
      <c r="A178" s="1861"/>
      <c r="B178" s="1862"/>
      <c r="C178" s="1862"/>
      <c r="D178" s="1862"/>
      <c r="E178" s="1862"/>
      <c r="F178" s="1863" t="e">
        <f ca="1">+IF(F175=F171,"OK","VERIFICAR")</f>
        <v>#REF!</v>
      </c>
      <c r="G178" s="1864" t="e">
        <f ca="1">+IF(G175=G171,"OK","VERIFICAR")</f>
        <v>#REF!</v>
      </c>
      <c r="H178" s="1983" t="e">
        <f ca="1">+IF(H175=H171,"OK","VERIFICAR")</f>
        <v>#REF!</v>
      </c>
      <c r="I178" s="1859"/>
      <c r="O178" s="1725"/>
      <c r="P178" s="1855"/>
      <c r="Q178" s="1855"/>
      <c r="R178" s="1855"/>
      <c r="W178" s="1728"/>
      <c r="X178" s="1728"/>
    </row>
    <row r="179" spans="1:24" s="250" customFormat="1" ht="30" customHeight="1" thickBot="1" x14ac:dyDescent="0.4">
      <c r="A179" s="1865"/>
      <c r="B179" s="1866"/>
      <c r="C179" s="1867"/>
      <c r="D179" s="1868"/>
      <c r="E179" s="1868"/>
      <c r="F179" s="1869"/>
      <c r="G179" s="1869"/>
      <c r="H179" s="1869"/>
      <c r="I179" s="1869"/>
      <c r="J179" s="1870"/>
      <c r="K179" s="1870"/>
      <c r="L179" s="1870"/>
      <c r="M179" s="1870"/>
      <c r="N179" s="1870"/>
      <c r="O179" s="1871"/>
      <c r="P179" s="1872"/>
      <c r="Q179" s="1872"/>
      <c r="R179" s="1873"/>
      <c r="W179" s="1736"/>
      <c r="X179" s="1736"/>
    </row>
    <row r="180" spans="1:24" s="250" customFormat="1" ht="30" customHeight="1" x14ac:dyDescent="0.35">
      <c r="O180" s="1737"/>
      <c r="P180" s="837"/>
      <c r="Q180" s="837"/>
      <c r="R180" s="837"/>
      <c r="W180" s="1736"/>
      <c r="X180" s="1736"/>
    </row>
    <row r="181" spans="1:24" s="250" customFormat="1" ht="30" customHeight="1" x14ac:dyDescent="0.35">
      <c r="A181" s="1874" t="s">
        <v>436</v>
      </c>
      <c r="B181" s="1874"/>
      <c r="C181" s="1874"/>
      <c r="D181" s="1875" t="e">
        <f>'Compra -HOJA1'!#REF!</f>
        <v>#REF!</v>
      </c>
      <c r="E181" s="1875"/>
      <c r="F181" s="1876"/>
      <c r="G181" s="1876"/>
      <c r="H181" s="1876"/>
      <c r="O181" s="1737"/>
      <c r="P181" s="837"/>
      <c r="Q181" s="837"/>
      <c r="R181" s="837"/>
      <c r="W181" s="1736"/>
      <c r="X181" s="1736"/>
    </row>
    <row r="182" spans="1:24" s="250" customFormat="1" ht="30" customHeight="1" x14ac:dyDescent="0.35">
      <c r="A182" s="1874" t="s">
        <v>437</v>
      </c>
      <c r="B182" s="1874"/>
      <c r="C182" s="1874"/>
      <c r="D182" s="1877"/>
      <c r="E182" s="1877"/>
      <c r="F182" s="1736"/>
      <c r="G182" s="1736"/>
      <c r="H182" s="1736"/>
      <c r="O182" s="1737"/>
      <c r="P182" s="837"/>
      <c r="Q182" s="837"/>
      <c r="R182" s="837"/>
      <c r="W182" s="1736"/>
      <c r="X182" s="1736"/>
    </row>
    <row r="183" spans="1:24" s="250" customFormat="1" ht="30" customHeight="1" x14ac:dyDescent="0.35">
      <c r="A183" s="1878"/>
      <c r="B183" s="1878"/>
      <c r="C183" s="1878"/>
      <c r="D183" s="1878"/>
      <c r="E183" s="1878"/>
      <c r="F183" s="1878"/>
      <c r="G183" s="1878"/>
      <c r="H183" s="1878"/>
      <c r="I183" s="1879"/>
      <c r="O183" s="1737"/>
      <c r="P183" s="837"/>
      <c r="Q183" s="837"/>
      <c r="R183" s="837"/>
      <c r="W183" s="1736"/>
      <c r="X183" s="1736"/>
    </row>
    <row r="184" spans="1:24" s="250" customFormat="1" ht="30" customHeight="1" x14ac:dyDescent="0.35">
      <c r="A184" s="1878"/>
      <c r="B184" s="1878"/>
      <c r="C184" s="1878"/>
      <c r="D184" s="1878"/>
      <c r="E184" s="1878"/>
      <c r="F184" s="1878"/>
      <c r="G184" s="1878"/>
      <c r="H184" s="1878"/>
      <c r="O184" s="1737"/>
      <c r="P184" s="837"/>
      <c r="Q184" s="837"/>
      <c r="R184" s="837"/>
      <c r="W184" s="1736"/>
      <c r="X184" s="1736"/>
    </row>
    <row r="185" spans="1:24" s="250" customFormat="1" ht="30" customHeight="1" x14ac:dyDescent="0.35">
      <c r="A185" s="1880" t="s">
        <v>438</v>
      </c>
      <c r="B185" s="1880"/>
      <c r="C185" s="1880"/>
      <c r="D185" s="1880"/>
      <c r="E185" s="1880"/>
      <c r="F185" s="4325" t="s">
        <v>304</v>
      </c>
      <c r="G185" s="4325"/>
      <c r="H185" s="4325"/>
      <c r="I185" s="4325" t="s">
        <v>439</v>
      </c>
      <c r="J185" s="4325"/>
      <c r="K185" s="4325"/>
      <c r="L185" s="4325"/>
      <c r="M185" s="4325"/>
      <c r="N185" s="4325"/>
      <c r="O185" s="1881"/>
      <c r="P185" s="4325" t="s">
        <v>377</v>
      </c>
      <c r="Q185" s="4325"/>
      <c r="R185" s="4325"/>
      <c r="W185" s="1736"/>
      <c r="X185" s="1736"/>
    </row>
    <row r="186" spans="1:24" s="250" customFormat="1" ht="30" customHeight="1" thickBot="1" x14ac:dyDescent="0.4">
      <c r="A186" s="1882" t="s">
        <v>440</v>
      </c>
      <c r="B186" s="1882"/>
      <c r="C186" s="1882"/>
      <c r="D186" s="1880"/>
      <c r="E186" s="1880" t="s">
        <v>441</v>
      </c>
      <c r="F186" s="1883" t="s">
        <v>287</v>
      </c>
      <c r="G186" s="1883" t="s">
        <v>289</v>
      </c>
      <c r="H186" s="1883" t="s">
        <v>288</v>
      </c>
      <c r="I186" s="1883" t="s">
        <v>287</v>
      </c>
      <c r="J186" s="1883" t="s">
        <v>289</v>
      </c>
      <c r="K186" s="1883" t="s">
        <v>288</v>
      </c>
      <c r="L186" s="1883"/>
      <c r="M186" s="1883"/>
      <c r="N186" s="1883"/>
      <c r="O186" s="1884"/>
      <c r="P186" s="1883" t="s">
        <v>287</v>
      </c>
      <c r="Q186" s="1883" t="s">
        <v>289</v>
      </c>
      <c r="R186" s="1883" t="s">
        <v>288</v>
      </c>
      <c r="S186" s="1885" t="s">
        <v>290</v>
      </c>
      <c r="W186" s="1736"/>
      <c r="X186" s="1736"/>
    </row>
    <row r="187" spans="1:24" s="250" customFormat="1" ht="30" customHeight="1" thickBot="1" x14ac:dyDescent="0.4">
      <c r="A187" s="5243" t="s">
        <v>41</v>
      </c>
      <c r="B187" s="4597" t="s">
        <v>164</v>
      </c>
      <c r="C187" s="4597"/>
      <c r="D187" s="4597"/>
      <c r="E187" s="1886">
        <f>+INT(E300)</f>
        <v>0</v>
      </c>
      <c r="F187" s="1886">
        <f t="shared" ref="F187:K187" si="85">+INT(F300)</f>
        <v>0</v>
      </c>
      <c r="G187" s="1886">
        <f t="shared" si="85"/>
        <v>0</v>
      </c>
      <c r="H187" s="1886">
        <f t="shared" si="85"/>
        <v>0</v>
      </c>
      <c r="I187" s="1886">
        <f t="shared" ca="1" si="85"/>
        <v>0</v>
      </c>
      <c r="J187" s="1886">
        <f t="shared" ca="1" si="85"/>
        <v>0</v>
      </c>
      <c r="K187" s="1886">
        <f t="shared" ca="1" si="85"/>
        <v>0</v>
      </c>
      <c r="L187" s="1886">
        <f>+ROUND(L300,0)</f>
        <v>0</v>
      </c>
      <c r="M187" s="1886">
        <f>+ROUND(M300,0)</f>
        <v>0</v>
      </c>
      <c r="N187" s="1886">
        <f>+ROUND(N300,0)</f>
        <v>0</v>
      </c>
      <c r="O187" s="1886">
        <f>+ROUND(O300,0)</f>
        <v>0</v>
      </c>
      <c r="P187" s="1887">
        <f ca="1">+F187+I187</f>
        <v>0</v>
      </c>
      <c r="Q187" s="1887">
        <f ca="1">+G187+J187</f>
        <v>0</v>
      </c>
      <c r="R187" s="1888">
        <f ca="1">+H187+K187</f>
        <v>0</v>
      </c>
      <c r="S187" s="1888">
        <f t="shared" ref="S187:S248" ca="1" si="86">SUM(P187:R187)</f>
        <v>0</v>
      </c>
      <c r="T187" s="1889"/>
      <c r="U187" s="1889"/>
      <c r="V187" s="1889"/>
      <c r="W187" s="1736"/>
      <c r="X187" s="1736"/>
    </row>
    <row r="188" spans="1:24" s="250" customFormat="1" ht="27" customHeight="1" thickBot="1" x14ac:dyDescent="0.45">
      <c r="A188" s="5244"/>
      <c r="B188" s="3743" t="s">
        <v>179</v>
      </c>
      <c r="C188" s="3744"/>
      <c r="D188" s="5175"/>
      <c r="E188" s="1886">
        <f t="shared" ref="E188:K203" si="87">+INT(E301)</f>
        <v>0</v>
      </c>
      <c r="F188" s="1886">
        <f t="shared" si="87"/>
        <v>0</v>
      </c>
      <c r="G188" s="1886">
        <f t="shared" si="87"/>
        <v>0</v>
      </c>
      <c r="H188" s="1886">
        <f t="shared" si="87"/>
        <v>0</v>
      </c>
      <c r="I188" s="1886">
        <f t="shared" ca="1" si="87"/>
        <v>0</v>
      </c>
      <c r="J188" s="1886">
        <f t="shared" ca="1" si="87"/>
        <v>0</v>
      </c>
      <c r="K188" s="1886">
        <f t="shared" ca="1" si="87"/>
        <v>0</v>
      </c>
      <c r="L188" s="1890"/>
      <c r="M188" s="1890"/>
      <c r="N188" s="1890"/>
      <c r="O188" s="1891"/>
      <c r="P188" s="1887">
        <f t="shared" ref="P188:R245" ca="1" si="88">+F188+I188</f>
        <v>0</v>
      </c>
      <c r="Q188" s="1887">
        <f t="shared" ca="1" si="88"/>
        <v>0</v>
      </c>
      <c r="R188" s="1888">
        <f t="shared" ca="1" si="88"/>
        <v>0</v>
      </c>
      <c r="S188" s="1888">
        <f t="shared" ca="1" si="86"/>
        <v>0</v>
      </c>
      <c r="T188" s="1892"/>
      <c r="U188" s="1892"/>
      <c r="V188" s="1892"/>
      <c r="W188" s="1736"/>
      <c r="X188" s="1736"/>
    </row>
    <row r="189" spans="1:24" s="250" customFormat="1" ht="27" customHeight="1" thickBot="1" x14ac:dyDescent="0.45">
      <c r="A189" s="5244"/>
      <c r="B189" s="3742" t="s">
        <v>182</v>
      </c>
      <c r="C189" s="3742"/>
      <c r="D189" s="3742"/>
      <c r="E189" s="1886">
        <f t="shared" si="87"/>
        <v>0</v>
      </c>
      <c r="F189" s="1886">
        <f t="shared" si="87"/>
        <v>0</v>
      </c>
      <c r="G189" s="1886">
        <f t="shared" si="87"/>
        <v>0</v>
      </c>
      <c r="H189" s="1886">
        <f t="shared" si="87"/>
        <v>0</v>
      </c>
      <c r="I189" s="1886">
        <f t="shared" ca="1" si="87"/>
        <v>0</v>
      </c>
      <c r="J189" s="1886">
        <f t="shared" ca="1" si="87"/>
        <v>0</v>
      </c>
      <c r="K189" s="1886">
        <f t="shared" ca="1" si="87"/>
        <v>0</v>
      </c>
      <c r="L189" s="1890"/>
      <c r="M189" s="1890"/>
      <c r="N189" s="1890"/>
      <c r="O189" s="1891"/>
      <c r="P189" s="1887">
        <f t="shared" ca="1" si="88"/>
        <v>0</v>
      </c>
      <c r="Q189" s="1887">
        <f t="shared" ca="1" si="88"/>
        <v>0</v>
      </c>
      <c r="R189" s="1888">
        <f t="shared" ca="1" si="88"/>
        <v>0</v>
      </c>
      <c r="S189" s="1888">
        <f t="shared" ca="1" si="86"/>
        <v>0</v>
      </c>
      <c r="T189" s="1892"/>
      <c r="U189" s="1892"/>
      <c r="V189" s="1892"/>
      <c r="W189" s="1736"/>
      <c r="X189" s="1736"/>
    </row>
    <row r="190" spans="1:24" s="250" customFormat="1" ht="27" customHeight="1" thickBot="1" x14ac:dyDescent="0.45">
      <c r="A190" s="5244"/>
      <c r="B190" s="3751" t="s">
        <v>167</v>
      </c>
      <c r="C190" s="5230" t="s">
        <v>46</v>
      </c>
      <c r="D190" s="5230"/>
      <c r="E190" s="1886" t="e">
        <f t="shared" si="87"/>
        <v>#REF!</v>
      </c>
      <c r="F190" s="1886" t="e">
        <f t="shared" si="87"/>
        <v>#REF!</v>
      </c>
      <c r="G190" s="1886" t="e">
        <f t="shared" si="87"/>
        <v>#REF!</v>
      </c>
      <c r="H190" s="1886" t="e">
        <f t="shared" si="87"/>
        <v>#REF!</v>
      </c>
      <c r="I190" s="1886" t="e">
        <f t="shared" si="87"/>
        <v>#REF!</v>
      </c>
      <c r="J190" s="1886" t="e">
        <f t="shared" si="87"/>
        <v>#REF!</v>
      </c>
      <c r="K190" s="1886" t="e">
        <f t="shared" si="87"/>
        <v>#REF!</v>
      </c>
      <c r="L190" s="1890"/>
      <c r="M190" s="1890"/>
      <c r="N190" s="1890"/>
      <c r="O190" s="1891"/>
      <c r="P190" s="1887" t="e">
        <f t="shared" si="88"/>
        <v>#REF!</v>
      </c>
      <c r="Q190" s="1887" t="e">
        <f t="shared" si="88"/>
        <v>#REF!</v>
      </c>
      <c r="R190" s="1888" t="e">
        <f t="shared" si="88"/>
        <v>#REF!</v>
      </c>
      <c r="S190" s="1888" t="e">
        <f t="shared" si="86"/>
        <v>#REF!</v>
      </c>
      <c r="T190" s="1892"/>
      <c r="U190" s="1892"/>
      <c r="V190" s="1892"/>
      <c r="W190" s="1736"/>
      <c r="X190" s="1736"/>
    </row>
    <row r="191" spans="1:24" s="250" customFormat="1" ht="27" customHeight="1" thickBot="1" x14ac:dyDescent="0.45">
      <c r="A191" s="5244"/>
      <c r="B191" s="3746"/>
      <c r="C191" s="5230" t="s">
        <v>47</v>
      </c>
      <c r="D191" s="5230"/>
      <c r="E191" s="1886">
        <f t="shared" si="87"/>
        <v>0</v>
      </c>
      <c r="F191" s="1886">
        <f t="shared" si="87"/>
        <v>0</v>
      </c>
      <c r="G191" s="1886">
        <f t="shared" si="87"/>
        <v>0</v>
      </c>
      <c r="H191" s="1886">
        <f t="shared" si="87"/>
        <v>0</v>
      </c>
      <c r="I191" s="1886">
        <f t="shared" ca="1" si="87"/>
        <v>0</v>
      </c>
      <c r="J191" s="1886">
        <f t="shared" ca="1" si="87"/>
        <v>0</v>
      </c>
      <c r="K191" s="1886">
        <f t="shared" ca="1" si="87"/>
        <v>0</v>
      </c>
      <c r="L191" s="1890"/>
      <c r="M191" s="1890"/>
      <c r="N191" s="1890"/>
      <c r="O191" s="1891"/>
      <c r="P191" s="1887">
        <f t="shared" ca="1" si="88"/>
        <v>0</v>
      </c>
      <c r="Q191" s="1887">
        <f t="shared" ca="1" si="88"/>
        <v>0</v>
      </c>
      <c r="R191" s="1888">
        <f t="shared" ca="1" si="88"/>
        <v>0</v>
      </c>
      <c r="S191" s="1888">
        <f t="shared" ca="1" si="86"/>
        <v>0</v>
      </c>
      <c r="T191" s="1892"/>
      <c r="U191" s="1892"/>
      <c r="V191" s="1892"/>
      <c r="W191" s="1736"/>
      <c r="X191" s="1736"/>
    </row>
    <row r="192" spans="1:24" s="250" customFormat="1" ht="27" customHeight="1" thickBot="1" x14ac:dyDescent="0.45">
      <c r="A192" s="5244"/>
      <c r="B192" s="3746"/>
      <c r="C192" s="5225" t="s">
        <v>169</v>
      </c>
      <c r="D192" s="5225"/>
      <c r="E192" s="1886">
        <f t="shared" si="87"/>
        <v>0</v>
      </c>
      <c r="F192" s="1886">
        <f t="shared" si="87"/>
        <v>0</v>
      </c>
      <c r="G192" s="1886">
        <f t="shared" si="87"/>
        <v>0</v>
      </c>
      <c r="H192" s="1886">
        <f t="shared" si="87"/>
        <v>0</v>
      </c>
      <c r="I192" s="1886">
        <f t="shared" ca="1" si="87"/>
        <v>0</v>
      </c>
      <c r="J192" s="1886">
        <f t="shared" ca="1" si="87"/>
        <v>0</v>
      </c>
      <c r="K192" s="1886">
        <f t="shared" ca="1" si="87"/>
        <v>0</v>
      </c>
      <c r="L192" s="1890"/>
      <c r="M192" s="1890"/>
      <c r="N192" s="1890"/>
      <c r="O192" s="1891"/>
      <c r="P192" s="1887">
        <f t="shared" ca="1" si="88"/>
        <v>0</v>
      </c>
      <c r="Q192" s="1887">
        <f t="shared" ca="1" si="88"/>
        <v>0</v>
      </c>
      <c r="R192" s="1888">
        <f t="shared" ca="1" si="88"/>
        <v>0</v>
      </c>
      <c r="S192" s="1888">
        <f t="shared" ca="1" si="86"/>
        <v>0</v>
      </c>
      <c r="T192" s="1892"/>
      <c r="U192" s="1892"/>
      <c r="V192" s="1892"/>
      <c r="W192" s="1736"/>
      <c r="X192" s="1736"/>
    </row>
    <row r="193" spans="1:24" s="250" customFormat="1" ht="27" customHeight="1" thickBot="1" x14ac:dyDescent="0.45">
      <c r="A193" s="5244"/>
      <c r="B193" s="3752"/>
      <c r="C193" s="5225" t="s">
        <v>49</v>
      </c>
      <c r="D193" s="5225"/>
      <c r="E193" s="1886">
        <f t="shared" si="87"/>
        <v>0</v>
      </c>
      <c r="F193" s="1886">
        <f t="shared" si="87"/>
        <v>0</v>
      </c>
      <c r="G193" s="1886">
        <f t="shared" si="87"/>
        <v>0</v>
      </c>
      <c r="H193" s="1886">
        <f t="shared" si="87"/>
        <v>0</v>
      </c>
      <c r="I193" s="1886">
        <f t="shared" ca="1" si="87"/>
        <v>0</v>
      </c>
      <c r="J193" s="1886">
        <f t="shared" ca="1" si="87"/>
        <v>0</v>
      </c>
      <c r="K193" s="1886">
        <f t="shared" ca="1" si="87"/>
        <v>0</v>
      </c>
      <c r="L193" s="1890"/>
      <c r="M193" s="1890"/>
      <c r="N193" s="1890"/>
      <c r="O193" s="1891"/>
      <c r="P193" s="1887">
        <f t="shared" ca="1" si="88"/>
        <v>0</v>
      </c>
      <c r="Q193" s="1887">
        <f t="shared" ca="1" si="88"/>
        <v>0</v>
      </c>
      <c r="R193" s="1888">
        <f t="shared" ca="1" si="88"/>
        <v>0</v>
      </c>
      <c r="S193" s="1888">
        <f t="shared" ca="1" si="86"/>
        <v>0</v>
      </c>
      <c r="T193" s="1892"/>
      <c r="U193" s="1892"/>
      <c r="V193" s="1892"/>
      <c r="W193" s="1736"/>
      <c r="X193" s="1736"/>
    </row>
    <row r="194" spans="1:24" s="250" customFormat="1" ht="27" customHeight="1" thickBot="1" x14ac:dyDescent="0.45">
      <c r="A194" s="5244"/>
      <c r="B194" s="1893" t="s">
        <v>50</v>
      </c>
      <c r="C194" s="5323" t="s">
        <v>51</v>
      </c>
      <c r="D194" s="5323"/>
      <c r="E194" s="1886">
        <f t="shared" si="87"/>
        <v>0</v>
      </c>
      <c r="F194" s="1886">
        <f t="shared" si="87"/>
        <v>0</v>
      </c>
      <c r="G194" s="1886">
        <f t="shared" si="87"/>
        <v>0</v>
      </c>
      <c r="H194" s="1886">
        <f t="shared" si="87"/>
        <v>0</v>
      </c>
      <c r="I194" s="1886">
        <f t="shared" ca="1" si="87"/>
        <v>0</v>
      </c>
      <c r="J194" s="1886">
        <f t="shared" ca="1" si="87"/>
        <v>0</v>
      </c>
      <c r="K194" s="1886">
        <f t="shared" ca="1" si="87"/>
        <v>0</v>
      </c>
      <c r="L194" s="1890"/>
      <c r="M194" s="1890"/>
      <c r="N194" s="1890"/>
      <c r="O194" s="1891"/>
      <c r="P194" s="1887">
        <f t="shared" ca="1" si="88"/>
        <v>0</v>
      </c>
      <c r="Q194" s="1887">
        <f t="shared" ca="1" si="88"/>
        <v>0</v>
      </c>
      <c r="R194" s="1888">
        <f t="shared" ca="1" si="88"/>
        <v>0</v>
      </c>
      <c r="S194" s="1888">
        <f t="shared" ca="1" si="86"/>
        <v>0</v>
      </c>
      <c r="T194" s="1892"/>
      <c r="U194" s="1892"/>
      <c r="V194" s="1892"/>
      <c r="W194" s="1736" t="s">
        <v>866</v>
      </c>
      <c r="X194" s="1736"/>
    </row>
    <row r="195" spans="1:24" s="250" customFormat="1" ht="27" customHeight="1" thickBot="1" x14ac:dyDescent="0.45">
      <c r="A195" s="5231" t="s">
        <v>52</v>
      </c>
      <c r="B195" s="4597" t="s">
        <v>164</v>
      </c>
      <c r="C195" s="4597"/>
      <c r="D195" s="4597"/>
      <c r="E195" s="1886" t="e">
        <f t="shared" si="87"/>
        <v>#REF!</v>
      </c>
      <c r="F195" s="1886" t="e">
        <f t="shared" si="87"/>
        <v>#REF!</v>
      </c>
      <c r="G195" s="1886" t="e">
        <f t="shared" si="87"/>
        <v>#REF!</v>
      </c>
      <c r="H195" s="1886" t="e">
        <f t="shared" si="87"/>
        <v>#REF!</v>
      </c>
      <c r="I195" s="1886" t="e">
        <f t="shared" si="87"/>
        <v>#REF!</v>
      </c>
      <c r="J195" s="1886" t="e">
        <f t="shared" si="87"/>
        <v>#REF!</v>
      </c>
      <c r="K195" s="1886" t="e">
        <f t="shared" si="87"/>
        <v>#REF!</v>
      </c>
      <c r="L195" s="1894"/>
      <c r="M195" s="1894"/>
      <c r="N195" s="1894"/>
      <c r="O195" s="1895"/>
      <c r="P195" s="1887" t="e">
        <f t="shared" si="88"/>
        <v>#REF!</v>
      </c>
      <c r="Q195" s="1887" t="e">
        <f t="shared" si="88"/>
        <v>#REF!</v>
      </c>
      <c r="R195" s="1888" t="e">
        <f t="shared" si="88"/>
        <v>#REF!</v>
      </c>
      <c r="S195" s="1888" t="e">
        <f t="shared" si="86"/>
        <v>#REF!</v>
      </c>
      <c r="T195" s="1892"/>
      <c r="U195" s="1892"/>
      <c r="V195" s="1892"/>
      <c r="W195" s="1736"/>
      <c r="X195" s="1736"/>
    </row>
    <row r="196" spans="1:24" s="250" customFormat="1" ht="27" customHeight="1" thickBot="1" x14ac:dyDescent="0.45">
      <c r="A196" s="5232"/>
      <c r="B196" s="3743" t="s">
        <v>179</v>
      </c>
      <c r="C196" s="3744"/>
      <c r="D196" s="5175"/>
      <c r="E196" s="1886">
        <f t="shared" si="87"/>
        <v>0</v>
      </c>
      <c r="F196" s="1886">
        <f t="shared" si="87"/>
        <v>0</v>
      </c>
      <c r="G196" s="1886">
        <f t="shared" si="87"/>
        <v>0</v>
      </c>
      <c r="H196" s="1886">
        <f t="shared" si="87"/>
        <v>0</v>
      </c>
      <c r="I196" s="1886">
        <f t="shared" ca="1" si="87"/>
        <v>0</v>
      </c>
      <c r="J196" s="1886">
        <f t="shared" ca="1" si="87"/>
        <v>0</v>
      </c>
      <c r="K196" s="1886">
        <f t="shared" ca="1" si="87"/>
        <v>0</v>
      </c>
      <c r="L196" s="1890"/>
      <c r="M196" s="1890"/>
      <c r="N196" s="1890"/>
      <c r="O196" s="1891"/>
      <c r="P196" s="1887">
        <f t="shared" ca="1" si="88"/>
        <v>0</v>
      </c>
      <c r="Q196" s="1887">
        <f t="shared" ca="1" si="88"/>
        <v>0</v>
      </c>
      <c r="R196" s="1888">
        <f t="shared" ca="1" si="88"/>
        <v>0</v>
      </c>
      <c r="S196" s="1888">
        <f t="shared" ca="1" si="86"/>
        <v>0</v>
      </c>
      <c r="T196" s="1892"/>
      <c r="U196" s="1892"/>
      <c r="V196" s="1892"/>
      <c r="W196" s="1736"/>
      <c r="X196" s="1736"/>
    </row>
    <row r="197" spans="1:24" s="250" customFormat="1" ht="27" customHeight="1" thickBot="1" x14ac:dyDescent="0.45">
      <c r="A197" s="5232"/>
      <c r="B197" s="4314" t="s">
        <v>195</v>
      </c>
      <c r="C197" s="4616"/>
      <c r="D197" s="5176"/>
      <c r="E197" s="1886">
        <f t="shared" si="87"/>
        <v>0</v>
      </c>
      <c r="F197" s="1886">
        <f t="shared" si="87"/>
        <v>0</v>
      </c>
      <c r="G197" s="1886">
        <f t="shared" si="87"/>
        <v>0</v>
      </c>
      <c r="H197" s="1886">
        <f t="shared" si="87"/>
        <v>0</v>
      </c>
      <c r="I197" s="1886">
        <f t="shared" ca="1" si="87"/>
        <v>0</v>
      </c>
      <c r="J197" s="1886">
        <f t="shared" ca="1" si="87"/>
        <v>0</v>
      </c>
      <c r="K197" s="1886">
        <f t="shared" ca="1" si="87"/>
        <v>0</v>
      </c>
      <c r="L197" s="1890"/>
      <c r="M197" s="1890"/>
      <c r="N197" s="1890"/>
      <c r="O197" s="1891"/>
      <c r="P197" s="1887">
        <f t="shared" ca="1" si="88"/>
        <v>0</v>
      </c>
      <c r="Q197" s="1887">
        <f t="shared" ca="1" si="88"/>
        <v>0</v>
      </c>
      <c r="R197" s="1888">
        <f t="shared" ca="1" si="88"/>
        <v>0</v>
      </c>
      <c r="S197" s="1888">
        <f t="shared" ca="1" si="86"/>
        <v>0</v>
      </c>
      <c r="T197" s="1892"/>
      <c r="U197" s="1892"/>
      <c r="V197" s="1892"/>
      <c r="W197" s="1736"/>
      <c r="X197" s="1736"/>
    </row>
    <row r="198" spans="1:24" s="250" customFormat="1" ht="27" customHeight="1" thickBot="1" x14ac:dyDescent="0.45">
      <c r="A198" s="5232"/>
      <c r="B198" s="5234" t="s">
        <v>927</v>
      </c>
      <c r="C198" s="5234"/>
      <c r="D198" s="5234"/>
      <c r="E198" s="1886">
        <f t="shared" si="87"/>
        <v>0</v>
      </c>
      <c r="F198" s="1886">
        <f t="shared" si="87"/>
        <v>0</v>
      </c>
      <c r="G198" s="1886">
        <f t="shared" si="87"/>
        <v>0</v>
      </c>
      <c r="H198" s="1886">
        <f t="shared" si="87"/>
        <v>0</v>
      </c>
      <c r="I198" s="1886">
        <f t="shared" ca="1" si="87"/>
        <v>0</v>
      </c>
      <c r="J198" s="1886">
        <f t="shared" ca="1" si="87"/>
        <v>0</v>
      </c>
      <c r="K198" s="1886">
        <f t="shared" ca="1" si="87"/>
        <v>0</v>
      </c>
      <c r="L198" s="1890"/>
      <c r="M198" s="1890"/>
      <c r="N198" s="1890"/>
      <c r="O198" s="1891"/>
      <c r="P198" s="1887">
        <f t="shared" ca="1" si="88"/>
        <v>0</v>
      </c>
      <c r="Q198" s="1887">
        <f t="shared" ca="1" si="88"/>
        <v>0</v>
      </c>
      <c r="R198" s="1888">
        <f t="shared" ca="1" si="88"/>
        <v>0</v>
      </c>
      <c r="S198" s="1888">
        <f t="shared" ca="1" si="86"/>
        <v>0</v>
      </c>
      <c r="T198" s="1892"/>
      <c r="U198" s="1892"/>
      <c r="V198" s="1892"/>
      <c r="W198" s="1736"/>
      <c r="X198" s="1736"/>
    </row>
    <row r="199" spans="1:24" s="250" customFormat="1" ht="27" customHeight="1" thickBot="1" x14ac:dyDescent="0.45">
      <c r="A199" s="5232"/>
      <c r="B199" s="3751" t="s">
        <v>167</v>
      </c>
      <c r="C199" s="5224" t="s">
        <v>53</v>
      </c>
      <c r="D199" s="5224"/>
      <c r="E199" s="1886">
        <f t="shared" si="87"/>
        <v>0</v>
      </c>
      <c r="F199" s="1886">
        <f t="shared" si="87"/>
        <v>0</v>
      </c>
      <c r="G199" s="1886">
        <f t="shared" si="87"/>
        <v>0</v>
      </c>
      <c r="H199" s="1886">
        <f t="shared" si="87"/>
        <v>0</v>
      </c>
      <c r="I199" s="1886">
        <f t="shared" ca="1" si="87"/>
        <v>0</v>
      </c>
      <c r="J199" s="1886">
        <f t="shared" ca="1" si="87"/>
        <v>0</v>
      </c>
      <c r="K199" s="1886">
        <f t="shared" ca="1" si="87"/>
        <v>0</v>
      </c>
      <c r="L199" s="1890"/>
      <c r="M199" s="1890"/>
      <c r="N199" s="1890"/>
      <c r="O199" s="1891"/>
      <c r="P199" s="1887">
        <f t="shared" ca="1" si="88"/>
        <v>0</v>
      </c>
      <c r="Q199" s="1887">
        <f t="shared" ca="1" si="88"/>
        <v>0</v>
      </c>
      <c r="R199" s="1888">
        <f t="shared" ca="1" si="88"/>
        <v>0</v>
      </c>
      <c r="S199" s="1888">
        <f t="shared" ca="1" si="86"/>
        <v>0</v>
      </c>
      <c r="T199" s="1892"/>
      <c r="U199" s="1892"/>
      <c r="V199" s="1892"/>
      <c r="W199" s="1736"/>
      <c r="X199" s="1736"/>
    </row>
    <row r="200" spans="1:24" s="250" customFormat="1" ht="27" customHeight="1" thickBot="1" x14ac:dyDescent="0.45">
      <c r="A200" s="5232"/>
      <c r="B200" s="3746"/>
      <c r="C200" s="5224" t="s">
        <v>54</v>
      </c>
      <c r="D200" s="5224"/>
      <c r="E200" s="1886">
        <f t="shared" si="87"/>
        <v>0</v>
      </c>
      <c r="F200" s="1886">
        <f t="shared" si="87"/>
        <v>0</v>
      </c>
      <c r="G200" s="1886">
        <f t="shared" si="87"/>
        <v>0</v>
      </c>
      <c r="H200" s="1886">
        <f t="shared" si="87"/>
        <v>0</v>
      </c>
      <c r="I200" s="1886">
        <f t="shared" ca="1" si="87"/>
        <v>0</v>
      </c>
      <c r="J200" s="1886">
        <f t="shared" ca="1" si="87"/>
        <v>0</v>
      </c>
      <c r="K200" s="1886">
        <f t="shared" ca="1" si="87"/>
        <v>0</v>
      </c>
      <c r="L200" s="1890"/>
      <c r="M200" s="1890"/>
      <c r="N200" s="1890"/>
      <c r="O200" s="1891"/>
      <c r="P200" s="1887">
        <f t="shared" ca="1" si="88"/>
        <v>0</v>
      </c>
      <c r="Q200" s="1887">
        <f t="shared" ca="1" si="88"/>
        <v>0</v>
      </c>
      <c r="R200" s="1888">
        <f t="shared" ca="1" si="88"/>
        <v>0</v>
      </c>
      <c r="S200" s="1888">
        <f t="shared" ca="1" si="86"/>
        <v>0</v>
      </c>
      <c r="T200" s="1892"/>
      <c r="U200" s="1892"/>
      <c r="V200" s="1892"/>
      <c r="W200" s="1736"/>
      <c r="X200" s="1736"/>
    </row>
    <row r="201" spans="1:24" s="250" customFormat="1" ht="27" customHeight="1" thickBot="1" x14ac:dyDescent="0.45">
      <c r="A201" s="5232"/>
      <c r="B201" s="3746"/>
      <c r="C201" s="5225" t="s">
        <v>55</v>
      </c>
      <c r="D201" s="5225"/>
      <c r="E201" s="1886">
        <f t="shared" si="87"/>
        <v>0</v>
      </c>
      <c r="F201" s="1886">
        <f t="shared" si="87"/>
        <v>0</v>
      </c>
      <c r="G201" s="1886">
        <f t="shared" si="87"/>
        <v>0</v>
      </c>
      <c r="H201" s="1886">
        <f t="shared" si="87"/>
        <v>0</v>
      </c>
      <c r="I201" s="1886">
        <f t="shared" ca="1" si="87"/>
        <v>0</v>
      </c>
      <c r="J201" s="1886">
        <f t="shared" ca="1" si="87"/>
        <v>0</v>
      </c>
      <c r="K201" s="1886">
        <f t="shared" ca="1" si="87"/>
        <v>0</v>
      </c>
      <c r="L201" s="1890"/>
      <c r="M201" s="1890"/>
      <c r="N201" s="1890"/>
      <c r="O201" s="1891"/>
      <c r="P201" s="1887">
        <f t="shared" ca="1" si="88"/>
        <v>0</v>
      </c>
      <c r="Q201" s="1887">
        <f t="shared" ca="1" si="88"/>
        <v>0</v>
      </c>
      <c r="R201" s="1888">
        <f t="shared" ca="1" si="88"/>
        <v>0</v>
      </c>
      <c r="S201" s="1888">
        <f t="shared" ca="1" si="86"/>
        <v>0</v>
      </c>
      <c r="T201" s="1892"/>
      <c r="U201" s="1892"/>
      <c r="V201" s="1892"/>
      <c r="W201" s="1736" t="s">
        <v>866</v>
      </c>
      <c r="X201" s="1736"/>
    </row>
    <row r="202" spans="1:24" s="250" customFormat="1" ht="27" customHeight="1" thickBot="1" x14ac:dyDescent="0.45">
      <c r="A202" s="5232"/>
      <c r="B202" s="3752"/>
      <c r="C202" s="5225" t="s">
        <v>56</v>
      </c>
      <c r="D202" s="5225"/>
      <c r="E202" s="1886">
        <f t="shared" si="87"/>
        <v>0</v>
      </c>
      <c r="F202" s="1886">
        <f t="shared" si="87"/>
        <v>0</v>
      </c>
      <c r="G202" s="1886">
        <f t="shared" si="87"/>
        <v>0</v>
      </c>
      <c r="H202" s="1886">
        <f t="shared" si="87"/>
        <v>0</v>
      </c>
      <c r="I202" s="1886">
        <f t="shared" ca="1" si="87"/>
        <v>0</v>
      </c>
      <c r="J202" s="1886">
        <f t="shared" ca="1" si="87"/>
        <v>0</v>
      </c>
      <c r="K202" s="1886">
        <f t="shared" ca="1" si="87"/>
        <v>0</v>
      </c>
      <c r="L202" s="1896"/>
      <c r="M202" s="1896"/>
      <c r="N202" s="1896"/>
      <c r="O202" s="1897"/>
      <c r="P202" s="1887">
        <f t="shared" ca="1" si="88"/>
        <v>0</v>
      </c>
      <c r="Q202" s="1887">
        <f t="shared" ca="1" si="88"/>
        <v>0</v>
      </c>
      <c r="R202" s="1888">
        <f t="shared" ca="1" si="88"/>
        <v>0</v>
      </c>
      <c r="S202" s="1888">
        <f t="shared" ca="1" si="86"/>
        <v>0</v>
      </c>
      <c r="T202" s="1898"/>
      <c r="U202" s="1898"/>
      <c r="V202" s="1898"/>
      <c r="W202" s="1899" t="e">
        <f>+T202-S39</f>
        <v>#REF!</v>
      </c>
      <c r="X202" s="1736"/>
    </row>
    <row r="203" spans="1:24" s="250" customFormat="1" ht="27" customHeight="1" thickBot="1" x14ac:dyDescent="0.45">
      <c r="A203" s="5233"/>
      <c r="B203" s="1893" t="s">
        <v>50</v>
      </c>
      <c r="C203" s="5226" t="s">
        <v>51</v>
      </c>
      <c r="D203" s="5226"/>
      <c r="E203" s="1886">
        <f t="shared" si="87"/>
        <v>0</v>
      </c>
      <c r="F203" s="1886">
        <f t="shared" si="87"/>
        <v>0</v>
      </c>
      <c r="G203" s="1886">
        <f t="shared" si="87"/>
        <v>0</v>
      </c>
      <c r="H203" s="1886">
        <f t="shared" si="87"/>
        <v>0</v>
      </c>
      <c r="I203" s="1886">
        <f t="shared" ca="1" si="87"/>
        <v>0</v>
      </c>
      <c r="J203" s="1886">
        <f t="shared" ca="1" si="87"/>
        <v>0</v>
      </c>
      <c r="K203" s="1886">
        <f t="shared" ca="1" si="87"/>
        <v>0</v>
      </c>
      <c r="L203" s="1894"/>
      <c r="M203" s="1894"/>
      <c r="N203" s="1894"/>
      <c r="O203" s="1895"/>
      <c r="P203" s="1887">
        <f t="shared" ca="1" si="88"/>
        <v>0</v>
      </c>
      <c r="Q203" s="1887">
        <f t="shared" ca="1" si="88"/>
        <v>0</v>
      </c>
      <c r="R203" s="1888">
        <f t="shared" ca="1" si="88"/>
        <v>0</v>
      </c>
      <c r="S203" s="1888">
        <f t="shared" ca="1" si="86"/>
        <v>0</v>
      </c>
      <c r="T203" s="1892"/>
      <c r="U203" s="1892"/>
      <c r="V203" s="1892"/>
      <c r="W203" s="1736"/>
      <c r="X203" s="1736"/>
    </row>
    <row r="204" spans="1:24" s="250" customFormat="1" ht="27" customHeight="1" thickBot="1" x14ac:dyDescent="0.45">
      <c r="A204" s="5222" t="s">
        <v>57</v>
      </c>
      <c r="B204" s="4597" t="s">
        <v>164</v>
      </c>
      <c r="C204" s="4597"/>
      <c r="D204" s="4597"/>
      <c r="E204" s="1886" t="e">
        <f t="shared" ref="E204:K219" si="89">+INT(E317)</f>
        <v>#REF!</v>
      </c>
      <c r="F204" s="1886" t="e">
        <f t="shared" si="89"/>
        <v>#REF!</v>
      </c>
      <c r="G204" s="1886" t="e">
        <f t="shared" si="89"/>
        <v>#REF!</v>
      </c>
      <c r="H204" s="1886" t="e">
        <f t="shared" si="89"/>
        <v>#REF!</v>
      </c>
      <c r="I204" s="1886" t="e">
        <f t="shared" si="89"/>
        <v>#REF!</v>
      </c>
      <c r="J204" s="1886" t="e">
        <f t="shared" si="89"/>
        <v>#REF!</v>
      </c>
      <c r="K204" s="1886" t="e">
        <f t="shared" si="89"/>
        <v>#REF!</v>
      </c>
      <c r="L204" s="1890"/>
      <c r="M204" s="1890"/>
      <c r="N204" s="1890"/>
      <c r="O204" s="1891"/>
      <c r="P204" s="1887" t="e">
        <f t="shared" si="88"/>
        <v>#REF!</v>
      </c>
      <c r="Q204" s="1887" t="e">
        <f t="shared" si="88"/>
        <v>#REF!</v>
      </c>
      <c r="R204" s="1888" t="e">
        <f t="shared" si="88"/>
        <v>#REF!</v>
      </c>
      <c r="S204" s="1888" t="e">
        <f t="shared" si="86"/>
        <v>#REF!</v>
      </c>
      <c r="T204" s="1892"/>
      <c r="U204" s="1892"/>
      <c r="V204" s="1892"/>
      <c r="W204" s="1736"/>
      <c r="X204" s="1736"/>
    </row>
    <row r="205" spans="1:24" s="250" customFormat="1" ht="27" customHeight="1" thickBot="1" x14ac:dyDescent="0.45">
      <c r="A205" s="5223"/>
      <c r="B205" s="3743" t="s">
        <v>179</v>
      </c>
      <c r="C205" s="3744"/>
      <c r="D205" s="5175"/>
      <c r="E205" s="1886">
        <f t="shared" si="89"/>
        <v>0</v>
      </c>
      <c r="F205" s="1886">
        <f t="shared" si="89"/>
        <v>0</v>
      </c>
      <c r="G205" s="1886">
        <f t="shared" si="89"/>
        <v>0</v>
      </c>
      <c r="H205" s="1886">
        <f t="shared" si="89"/>
        <v>0</v>
      </c>
      <c r="I205" s="1886">
        <f t="shared" ca="1" si="89"/>
        <v>0</v>
      </c>
      <c r="J205" s="1886">
        <f t="shared" ca="1" si="89"/>
        <v>0</v>
      </c>
      <c r="K205" s="1886">
        <f t="shared" ca="1" si="89"/>
        <v>0</v>
      </c>
      <c r="L205" s="1890"/>
      <c r="M205" s="1890"/>
      <c r="N205" s="1890"/>
      <c r="O205" s="1891"/>
      <c r="P205" s="1887">
        <f t="shared" ca="1" si="88"/>
        <v>0</v>
      </c>
      <c r="Q205" s="1887">
        <f t="shared" ca="1" si="88"/>
        <v>0</v>
      </c>
      <c r="R205" s="1888">
        <f t="shared" ca="1" si="88"/>
        <v>0</v>
      </c>
      <c r="S205" s="1888">
        <f t="shared" ca="1" si="86"/>
        <v>0</v>
      </c>
      <c r="T205" s="1892"/>
      <c r="U205" s="1892"/>
      <c r="V205" s="1892"/>
      <c r="W205" s="1736"/>
      <c r="X205" s="1736"/>
    </row>
    <row r="206" spans="1:24" s="250" customFormat="1" ht="27" customHeight="1" thickBot="1" x14ac:dyDescent="0.45">
      <c r="A206" s="5223"/>
      <c r="B206" s="5234" t="s">
        <v>927</v>
      </c>
      <c r="C206" s="5234"/>
      <c r="D206" s="5234"/>
      <c r="E206" s="1886">
        <f t="shared" si="89"/>
        <v>0</v>
      </c>
      <c r="F206" s="1886">
        <f t="shared" si="89"/>
        <v>0</v>
      </c>
      <c r="G206" s="1886">
        <f t="shared" si="89"/>
        <v>0</v>
      </c>
      <c r="H206" s="1886">
        <f t="shared" si="89"/>
        <v>0</v>
      </c>
      <c r="I206" s="1886">
        <f t="shared" ca="1" si="89"/>
        <v>0</v>
      </c>
      <c r="J206" s="1886">
        <f t="shared" ca="1" si="89"/>
        <v>0</v>
      </c>
      <c r="K206" s="1886">
        <f t="shared" ca="1" si="89"/>
        <v>0</v>
      </c>
      <c r="L206" s="1890"/>
      <c r="M206" s="1890"/>
      <c r="N206" s="1890"/>
      <c r="O206" s="1891"/>
      <c r="P206" s="1887">
        <f t="shared" ca="1" si="88"/>
        <v>0</v>
      </c>
      <c r="Q206" s="1887">
        <f t="shared" ca="1" si="88"/>
        <v>0</v>
      </c>
      <c r="R206" s="1888">
        <f t="shared" ca="1" si="88"/>
        <v>0</v>
      </c>
      <c r="S206" s="1888">
        <f t="shared" ca="1" si="86"/>
        <v>0</v>
      </c>
      <c r="T206" s="1892"/>
      <c r="U206" s="1892"/>
      <c r="V206" s="1892"/>
      <c r="W206" s="1736"/>
      <c r="X206" s="1736"/>
    </row>
    <row r="207" spans="1:24" s="250" customFormat="1" ht="27" customHeight="1" thickBot="1" x14ac:dyDescent="0.45">
      <c r="A207" s="5223"/>
      <c r="B207" s="3751" t="s">
        <v>58</v>
      </c>
      <c r="C207" s="5224" t="s">
        <v>59</v>
      </c>
      <c r="D207" s="5224"/>
      <c r="E207" s="1886">
        <f t="shared" si="89"/>
        <v>0</v>
      </c>
      <c r="F207" s="1886">
        <f t="shared" si="89"/>
        <v>0</v>
      </c>
      <c r="G207" s="1886">
        <f t="shared" si="89"/>
        <v>0</v>
      </c>
      <c r="H207" s="1886">
        <f t="shared" si="89"/>
        <v>0</v>
      </c>
      <c r="I207" s="1886">
        <f t="shared" ca="1" si="89"/>
        <v>0</v>
      </c>
      <c r="J207" s="1886">
        <f t="shared" ca="1" si="89"/>
        <v>0</v>
      </c>
      <c r="K207" s="1886">
        <f t="shared" ca="1" si="89"/>
        <v>0</v>
      </c>
      <c r="L207" s="1890"/>
      <c r="M207" s="1890"/>
      <c r="N207" s="1890"/>
      <c r="O207" s="1891"/>
      <c r="P207" s="1887">
        <f t="shared" ca="1" si="88"/>
        <v>0</v>
      </c>
      <c r="Q207" s="1887">
        <f t="shared" ca="1" si="88"/>
        <v>0</v>
      </c>
      <c r="R207" s="1888">
        <f t="shared" ca="1" si="88"/>
        <v>0</v>
      </c>
      <c r="S207" s="1888">
        <f t="shared" ca="1" si="86"/>
        <v>0</v>
      </c>
      <c r="T207" s="1892"/>
      <c r="U207" s="1892"/>
      <c r="V207" s="1892"/>
      <c r="W207" s="1736"/>
      <c r="X207" s="1736"/>
    </row>
    <row r="208" spans="1:24" s="250" customFormat="1" ht="27" customHeight="1" thickBot="1" x14ac:dyDescent="0.4">
      <c r="A208" s="5223"/>
      <c r="B208" s="3752"/>
      <c r="C208" s="5225" t="s">
        <v>60</v>
      </c>
      <c r="D208" s="5225"/>
      <c r="E208" s="1886">
        <f>+INT(E321)</f>
        <v>0</v>
      </c>
      <c r="F208" s="1886">
        <f t="shared" si="89"/>
        <v>0</v>
      </c>
      <c r="G208" s="1886">
        <f t="shared" si="89"/>
        <v>0</v>
      </c>
      <c r="H208" s="1886">
        <f t="shared" si="89"/>
        <v>0</v>
      </c>
      <c r="I208" s="1886">
        <f t="shared" ca="1" si="89"/>
        <v>0</v>
      </c>
      <c r="J208" s="1886">
        <f t="shared" ca="1" si="89"/>
        <v>0</v>
      </c>
      <c r="K208" s="1886">
        <f t="shared" ca="1" si="89"/>
        <v>0</v>
      </c>
      <c r="L208" s="1890"/>
      <c r="M208" s="1890"/>
      <c r="N208" s="1890"/>
      <c r="O208" s="1891"/>
      <c r="P208" s="1887">
        <f t="shared" ca="1" si="88"/>
        <v>0</v>
      </c>
      <c r="Q208" s="1887">
        <f t="shared" ca="1" si="88"/>
        <v>0</v>
      </c>
      <c r="R208" s="1888">
        <f t="shared" ca="1" si="88"/>
        <v>0</v>
      </c>
      <c r="S208" s="1888">
        <f t="shared" ca="1" si="86"/>
        <v>0</v>
      </c>
      <c r="T208" s="1900"/>
      <c r="U208" s="1900"/>
      <c r="V208" s="1900"/>
      <c r="W208" s="1736"/>
      <c r="X208" s="1736"/>
    </row>
    <row r="209" spans="1:24" s="250" customFormat="1" ht="27" customHeight="1" thickBot="1" x14ac:dyDescent="0.4">
      <c r="A209" s="5223"/>
      <c r="B209" s="1901" t="s">
        <v>61</v>
      </c>
      <c r="C209" s="5226" t="s">
        <v>51</v>
      </c>
      <c r="D209" s="5226"/>
      <c r="E209" s="1886">
        <f t="shared" si="89"/>
        <v>0</v>
      </c>
      <c r="F209" s="1886">
        <f t="shared" si="89"/>
        <v>0</v>
      </c>
      <c r="G209" s="1886">
        <f t="shared" si="89"/>
        <v>0</v>
      </c>
      <c r="H209" s="1886">
        <f t="shared" si="89"/>
        <v>0</v>
      </c>
      <c r="I209" s="1886">
        <f t="shared" ca="1" si="89"/>
        <v>0</v>
      </c>
      <c r="J209" s="1886">
        <f t="shared" ca="1" si="89"/>
        <v>0</v>
      </c>
      <c r="K209" s="1886">
        <f t="shared" ca="1" si="89"/>
        <v>0</v>
      </c>
      <c r="L209" s="1890"/>
      <c r="M209" s="1890"/>
      <c r="N209" s="1890"/>
      <c r="O209" s="1891"/>
      <c r="P209" s="1887">
        <f t="shared" ca="1" si="88"/>
        <v>0</v>
      </c>
      <c r="Q209" s="1887">
        <f t="shared" ca="1" si="88"/>
        <v>0</v>
      </c>
      <c r="R209" s="1888">
        <f t="shared" ca="1" si="88"/>
        <v>0</v>
      </c>
      <c r="S209" s="1888">
        <f t="shared" ca="1" si="86"/>
        <v>0</v>
      </c>
      <c r="T209" s="1900"/>
      <c r="U209" s="1900"/>
      <c r="V209" s="1900"/>
      <c r="W209" s="1736"/>
      <c r="X209" s="1736"/>
    </row>
    <row r="210" spans="1:24" s="250" customFormat="1" ht="27" customHeight="1" thickBot="1" x14ac:dyDescent="0.4">
      <c r="A210" s="5227" t="s">
        <v>62</v>
      </c>
      <c r="B210" s="4597" t="s">
        <v>164</v>
      </c>
      <c r="C210" s="4597"/>
      <c r="D210" s="4597"/>
      <c r="E210" s="1886">
        <f t="shared" si="89"/>
        <v>0</v>
      </c>
      <c r="F210" s="1886">
        <f t="shared" si="89"/>
        <v>0</v>
      </c>
      <c r="G210" s="1886">
        <f t="shared" si="89"/>
        <v>0</v>
      </c>
      <c r="H210" s="1886">
        <f t="shared" si="89"/>
        <v>0</v>
      </c>
      <c r="I210" s="1886">
        <f t="shared" ca="1" si="89"/>
        <v>0</v>
      </c>
      <c r="J210" s="1886">
        <f t="shared" ca="1" si="89"/>
        <v>0</v>
      </c>
      <c r="K210" s="1886">
        <f t="shared" ca="1" si="89"/>
        <v>0</v>
      </c>
      <c r="L210" s="1890"/>
      <c r="M210" s="1890"/>
      <c r="N210" s="1890"/>
      <c r="O210" s="1891"/>
      <c r="P210" s="1887">
        <f t="shared" ca="1" si="88"/>
        <v>0</v>
      </c>
      <c r="Q210" s="1887">
        <f t="shared" ca="1" si="88"/>
        <v>0</v>
      </c>
      <c r="R210" s="1888">
        <f t="shared" ca="1" si="88"/>
        <v>0</v>
      </c>
      <c r="S210" s="1888">
        <f t="shared" ca="1" si="86"/>
        <v>0</v>
      </c>
      <c r="T210" s="1902"/>
      <c r="U210" s="1902"/>
      <c r="V210" s="1902"/>
    </row>
    <row r="211" spans="1:24" s="250" customFormat="1" ht="27" customHeight="1" thickBot="1" x14ac:dyDescent="0.4">
      <c r="A211" s="5228"/>
      <c r="B211" s="3743" t="s">
        <v>179</v>
      </c>
      <c r="C211" s="3744"/>
      <c r="D211" s="5175"/>
      <c r="E211" s="1886" t="e">
        <f t="shared" si="89"/>
        <v>#REF!</v>
      </c>
      <c r="F211" s="1886" t="e">
        <f t="shared" si="89"/>
        <v>#REF!</v>
      </c>
      <c r="G211" s="1886" t="e">
        <f t="shared" si="89"/>
        <v>#REF!</v>
      </c>
      <c r="H211" s="1886" t="e">
        <f t="shared" si="89"/>
        <v>#REF!</v>
      </c>
      <c r="I211" s="1886" t="e">
        <f t="shared" si="89"/>
        <v>#REF!</v>
      </c>
      <c r="J211" s="1886" t="e">
        <f t="shared" si="89"/>
        <v>#REF!</v>
      </c>
      <c r="K211" s="1886" t="e">
        <f t="shared" si="89"/>
        <v>#REF!</v>
      </c>
      <c r="L211" s="1890"/>
      <c r="M211" s="1890"/>
      <c r="N211" s="1890"/>
      <c r="O211" s="1891"/>
      <c r="P211" s="1887" t="e">
        <f t="shared" si="88"/>
        <v>#REF!</v>
      </c>
      <c r="Q211" s="1887" t="e">
        <f t="shared" si="88"/>
        <v>#REF!</v>
      </c>
      <c r="R211" s="1888" t="e">
        <f t="shared" si="88"/>
        <v>#REF!</v>
      </c>
      <c r="S211" s="1888" t="e">
        <f t="shared" si="86"/>
        <v>#REF!</v>
      </c>
      <c r="T211" s="1900"/>
      <c r="U211" s="1900"/>
      <c r="V211" s="1900"/>
    </row>
    <row r="212" spans="1:24" s="250" customFormat="1" ht="27" customHeight="1" thickBot="1" x14ac:dyDescent="0.4">
      <c r="A212" s="5228"/>
      <c r="B212" s="5234" t="s">
        <v>927</v>
      </c>
      <c r="C212" s="5234"/>
      <c r="D212" s="5234"/>
      <c r="E212" s="1886">
        <f t="shared" si="89"/>
        <v>0</v>
      </c>
      <c r="F212" s="1886">
        <f t="shared" si="89"/>
        <v>0</v>
      </c>
      <c r="G212" s="1886">
        <f t="shared" si="89"/>
        <v>0</v>
      </c>
      <c r="H212" s="1886">
        <f t="shared" si="89"/>
        <v>0</v>
      </c>
      <c r="I212" s="1886">
        <f t="shared" ca="1" si="89"/>
        <v>0</v>
      </c>
      <c r="J212" s="1886">
        <f t="shared" ca="1" si="89"/>
        <v>0</v>
      </c>
      <c r="K212" s="1886">
        <f t="shared" ca="1" si="89"/>
        <v>0</v>
      </c>
      <c r="L212" s="1890"/>
      <c r="M212" s="1890"/>
      <c r="N212" s="1890"/>
      <c r="O212" s="1891"/>
      <c r="P212" s="1887">
        <f t="shared" ca="1" si="88"/>
        <v>0</v>
      </c>
      <c r="Q212" s="1887">
        <f t="shared" ca="1" si="88"/>
        <v>0</v>
      </c>
      <c r="R212" s="1888">
        <f t="shared" ca="1" si="88"/>
        <v>0</v>
      </c>
      <c r="S212" s="1888">
        <f t="shared" ca="1" si="86"/>
        <v>0</v>
      </c>
      <c r="T212" s="1900"/>
      <c r="U212" s="1900"/>
      <c r="V212" s="1900"/>
    </row>
    <row r="213" spans="1:24" s="250" customFormat="1" ht="27" customHeight="1" thickBot="1" x14ac:dyDescent="0.4">
      <c r="A213" s="5228"/>
      <c r="B213" s="4074" t="s">
        <v>45</v>
      </c>
      <c r="C213" s="5224" t="s">
        <v>64</v>
      </c>
      <c r="D213" s="5224"/>
      <c r="E213" s="1886">
        <f t="shared" si="89"/>
        <v>0</v>
      </c>
      <c r="F213" s="1886">
        <f t="shared" si="89"/>
        <v>0</v>
      </c>
      <c r="G213" s="1886">
        <f t="shared" si="89"/>
        <v>0</v>
      </c>
      <c r="H213" s="1886">
        <f t="shared" si="89"/>
        <v>0</v>
      </c>
      <c r="I213" s="1886">
        <f t="shared" ca="1" si="89"/>
        <v>0</v>
      </c>
      <c r="J213" s="1886">
        <f t="shared" ca="1" si="89"/>
        <v>0</v>
      </c>
      <c r="K213" s="1886">
        <f t="shared" ca="1" si="89"/>
        <v>0</v>
      </c>
      <c r="L213" s="1890"/>
      <c r="M213" s="1890"/>
      <c r="N213" s="1890"/>
      <c r="O213" s="1891"/>
      <c r="P213" s="1887">
        <f t="shared" ca="1" si="88"/>
        <v>0</v>
      </c>
      <c r="Q213" s="1887">
        <f t="shared" ca="1" si="88"/>
        <v>0</v>
      </c>
      <c r="R213" s="1888">
        <f t="shared" ca="1" si="88"/>
        <v>0</v>
      </c>
      <c r="S213" s="1888">
        <f t="shared" ca="1" si="86"/>
        <v>0</v>
      </c>
      <c r="T213" s="1900"/>
      <c r="U213" s="1900"/>
      <c r="V213" s="1900"/>
    </row>
    <row r="214" spans="1:24" s="250" customFormat="1" ht="27" customHeight="1" thickBot="1" x14ac:dyDescent="0.4">
      <c r="A214" s="5228"/>
      <c r="B214" s="4074"/>
      <c r="C214" s="5225" t="s">
        <v>65</v>
      </c>
      <c r="D214" s="5225"/>
      <c r="E214" s="1886">
        <f t="shared" si="89"/>
        <v>0</v>
      </c>
      <c r="F214" s="1886">
        <f t="shared" si="89"/>
        <v>0</v>
      </c>
      <c r="G214" s="1886">
        <f t="shared" si="89"/>
        <v>0</v>
      </c>
      <c r="H214" s="1886">
        <f t="shared" si="89"/>
        <v>0</v>
      </c>
      <c r="I214" s="1886">
        <f t="shared" ca="1" si="89"/>
        <v>0</v>
      </c>
      <c r="J214" s="1886">
        <f t="shared" ca="1" si="89"/>
        <v>0</v>
      </c>
      <c r="K214" s="1886">
        <f t="shared" ca="1" si="89"/>
        <v>0</v>
      </c>
      <c r="L214" s="1890"/>
      <c r="M214" s="1890"/>
      <c r="N214" s="1890"/>
      <c r="O214" s="1891"/>
      <c r="P214" s="1887">
        <f t="shared" ca="1" si="88"/>
        <v>0</v>
      </c>
      <c r="Q214" s="1887">
        <f t="shared" ca="1" si="88"/>
        <v>0</v>
      </c>
      <c r="R214" s="1888">
        <f t="shared" ca="1" si="88"/>
        <v>0</v>
      </c>
      <c r="S214" s="1888">
        <f t="shared" ca="1" si="86"/>
        <v>0</v>
      </c>
      <c r="T214" s="1900"/>
      <c r="U214" s="1900"/>
      <c r="V214" s="1900"/>
    </row>
    <row r="215" spans="1:24" s="250" customFormat="1" ht="27" customHeight="1" thickBot="1" x14ac:dyDescent="0.4">
      <c r="A215" s="5228"/>
      <c r="B215" s="1903" t="s">
        <v>66</v>
      </c>
      <c r="C215" s="5226" t="s">
        <v>51</v>
      </c>
      <c r="D215" s="5226"/>
      <c r="E215" s="1886" t="e">
        <f t="shared" si="89"/>
        <v>#REF!</v>
      </c>
      <c r="F215" s="1886" t="e">
        <f t="shared" si="89"/>
        <v>#REF!</v>
      </c>
      <c r="G215" s="1886" t="e">
        <f t="shared" si="89"/>
        <v>#REF!</v>
      </c>
      <c r="H215" s="1886" t="e">
        <f t="shared" si="89"/>
        <v>#REF!</v>
      </c>
      <c r="I215" s="1886" t="e">
        <f t="shared" si="89"/>
        <v>#REF!</v>
      </c>
      <c r="J215" s="1886" t="e">
        <f t="shared" si="89"/>
        <v>#REF!</v>
      </c>
      <c r="K215" s="1886" t="e">
        <f t="shared" si="89"/>
        <v>#REF!</v>
      </c>
      <c r="L215" s="1894"/>
      <c r="M215" s="1894"/>
      <c r="N215" s="1894"/>
      <c r="O215" s="1895"/>
      <c r="P215" s="1887" t="e">
        <f t="shared" si="88"/>
        <v>#REF!</v>
      </c>
      <c r="Q215" s="1887" t="e">
        <f t="shared" si="88"/>
        <v>#REF!</v>
      </c>
      <c r="R215" s="1888" t="e">
        <f t="shared" si="88"/>
        <v>#REF!</v>
      </c>
      <c r="S215" s="1888" t="e">
        <f t="shared" si="86"/>
        <v>#REF!</v>
      </c>
      <c r="T215" s="1900"/>
      <c r="U215" s="1900"/>
      <c r="V215" s="1900"/>
    </row>
    <row r="216" spans="1:24" s="250" customFormat="1" ht="27" customHeight="1" thickBot="1" x14ac:dyDescent="0.4">
      <c r="A216" s="5324" t="s">
        <v>67</v>
      </c>
      <c r="B216" s="4597" t="s">
        <v>164</v>
      </c>
      <c r="C216" s="4597"/>
      <c r="D216" s="4597"/>
      <c r="E216" s="1886">
        <f t="shared" si="89"/>
        <v>0</v>
      </c>
      <c r="F216" s="1886">
        <f t="shared" si="89"/>
        <v>0</v>
      </c>
      <c r="G216" s="1886">
        <f t="shared" si="89"/>
        <v>0</v>
      </c>
      <c r="H216" s="1886">
        <f t="shared" si="89"/>
        <v>0</v>
      </c>
      <c r="I216" s="1886">
        <f t="shared" ca="1" si="89"/>
        <v>0</v>
      </c>
      <c r="J216" s="1886">
        <f t="shared" ca="1" si="89"/>
        <v>0</v>
      </c>
      <c r="K216" s="1886">
        <f t="shared" ca="1" si="89"/>
        <v>0</v>
      </c>
      <c r="L216" s="1890"/>
      <c r="M216" s="1890"/>
      <c r="N216" s="1890"/>
      <c r="O216" s="1891"/>
      <c r="P216" s="1887">
        <f t="shared" ca="1" si="88"/>
        <v>0</v>
      </c>
      <c r="Q216" s="1887">
        <f t="shared" ca="1" si="88"/>
        <v>0</v>
      </c>
      <c r="R216" s="1888">
        <f t="shared" ca="1" si="88"/>
        <v>0</v>
      </c>
      <c r="S216" s="1888">
        <f t="shared" ca="1" si="86"/>
        <v>0</v>
      </c>
      <c r="T216" s="1900"/>
      <c r="U216" s="1900"/>
      <c r="V216" s="1900"/>
    </row>
    <row r="217" spans="1:24" s="250" customFormat="1" ht="27" customHeight="1" thickBot="1" x14ac:dyDescent="0.4">
      <c r="A217" s="5324"/>
      <c r="B217" s="3743" t="s">
        <v>179</v>
      </c>
      <c r="C217" s="3744"/>
      <c r="D217" s="5175"/>
      <c r="E217" s="1886">
        <f t="shared" si="89"/>
        <v>0</v>
      </c>
      <c r="F217" s="1886">
        <f t="shared" si="89"/>
        <v>0</v>
      </c>
      <c r="G217" s="1886">
        <f t="shared" si="89"/>
        <v>0</v>
      </c>
      <c r="H217" s="1886">
        <f t="shared" si="89"/>
        <v>0</v>
      </c>
      <c r="I217" s="1886">
        <f t="shared" ca="1" si="89"/>
        <v>0</v>
      </c>
      <c r="J217" s="1886">
        <f t="shared" ca="1" si="89"/>
        <v>0</v>
      </c>
      <c r="K217" s="1886">
        <f t="shared" ca="1" si="89"/>
        <v>0</v>
      </c>
      <c r="L217" s="1890"/>
      <c r="M217" s="1890"/>
      <c r="N217" s="1890"/>
      <c r="O217" s="1891"/>
      <c r="P217" s="1887">
        <f t="shared" ca="1" si="88"/>
        <v>0</v>
      </c>
      <c r="Q217" s="1887">
        <f t="shared" ca="1" si="88"/>
        <v>0</v>
      </c>
      <c r="R217" s="1888">
        <f t="shared" ca="1" si="88"/>
        <v>0</v>
      </c>
      <c r="S217" s="1888">
        <f t="shared" ca="1" si="86"/>
        <v>0</v>
      </c>
      <c r="T217" s="1900"/>
      <c r="U217" s="1900"/>
      <c r="V217" s="1900"/>
    </row>
    <row r="218" spans="1:24" s="250" customFormat="1" ht="27" customHeight="1" thickBot="1" x14ac:dyDescent="0.4">
      <c r="A218" s="5324"/>
      <c r="B218" s="5234" t="s">
        <v>927</v>
      </c>
      <c r="C218" s="5234"/>
      <c r="D218" s="5234"/>
      <c r="E218" s="1886" t="e">
        <f t="shared" si="89"/>
        <v>#REF!</v>
      </c>
      <c r="F218" s="1886" t="e">
        <f t="shared" si="89"/>
        <v>#REF!</v>
      </c>
      <c r="G218" s="1886" t="e">
        <f t="shared" si="89"/>
        <v>#REF!</v>
      </c>
      <c r="H218" s="1886" t="e">
        <f t="shared" si="89"/>
        <v>#REF!</v>
      </c>
      <c r="I218" s="1886" t="e">
        <f t="shared" si="89"/>
        <v>#REF!</v>
      </c>
      <c r="J218" s="1886" t="e">
        <f t="shared" si="89"/>
        <v>#REF!</v>
      </c>
      <c r="K218" s="1886" t="e">
        <f t="shared" si="89"/>
        <v>#REF!</v>
      </c>
      <c r="L218" s="1890"/>
      <c r="M218" s="1890"/>
      <c r="N218" s="1890"/>
      <c r="O218" s="1891"/>
      <c r="P218" s="1887" t="e">
        <f t="shared" si="88"/>
        <v>#REF!</v>
      </c>
      <c r="Q218" s="1887" t="e">
        <f t="shared" si="88"/>
        <v>#REF!</v>
      </c>
      <c r="R218" s="1888" t="e">
        <f t="shared" si="88"/>
        <v>#REF!</v>
      </c>
      <c r="S218" s="1888" t="e">
        <f t="shared" si="86"/>
        <v>#REF!</v>
      </c>
      <c r="T218" s="1900"/>
      <c r="U218" s="1900"/>
      <c r="V218" s="1900"/>
    </row>
    <row r="219" spans="1:24" s="250" customFormat="1" ht="27" customHeight="1" thickBot="1" x14ac:dyDescent="0.4">
      <c r="A219" s="5324"/>
      <c r="B219" s="4074" t="s">
        <v>45</v>
      </c>
      <c r="C219" s="5224" t="s">
        <v>68</v>
      </c>
      <c r="D219" s="5224"/>
      <c r="E219" s="1886">
        <f t="shared" si="89"/>
        <v>0</v>
      </c>
      <c r="F219" s="1886">
        <f t="shared" si="89"/>
        <v>0</v>
      </c>
      <c r="G219" s="1886">
        <f t="shared" si="89"/>
        <v>0</v>
      </c>
      <c r="H219" s="1886">
        <f t="shared" si="89"/>
        <v>0</v>
      </c>
      <c r="I219" s="1886">
        <f t="shared" ca="1" si="89"/>
        <v>0</v>
      </c>
      <c r="J219" s="1886">
        <f t="shared" ca="1" si="89"/>
        <v>0</v>
      </c>
      <c r="K219" s="1886">
        <f t="shared" ca="1" si="89"/>
        <v>0</v>
      </c>
      <c r="L219" s="1890"/>
      <c r="M219" s="1890"/>
      <c r="N219" s="1890"/>
      <c r="O219" s="1891"/>
      <c r="P219" s="1887">
        <f t="shared" ca="1" si="88"/>
        <v>0</v>
      </c>
      <c r="Q219" s="1887">
        <f t="shared" ca="1" si="88"/>
        <v>0</v>
      </c>
      <c r="R219" s="1888">
        <f t="shared" ca="1" si="88"/>
        <v>0</v>
      </c>
      <c r="S219" s="1888">
        <f t="shared" ca="1" si="86"/>
        <v>0</v>
      </c>
      <c r="T219" s="1900"/>
      <c r="U219" s="1900"/>
      <c r="V219" s="1900"/>
    </row>
    <row r="220" spans="1:24" s="250" customFormat="1" ht="27" customHeight="1" thickBot="1" x14ac:dyDescent="0.4">
      <c r="A220" s="5324"/>
      <c r="B220" s="4074"/>
      <c r="C220" s="5225" t="s">
        <v>69</v>
      </c>
      <c r="D220" s="5225"/>
      <c r="E220" s="1886">
        <f t="shared" ref="E220:K235" si="90">+INT(E333)</f>
        <v>0</v>
      </c>
      <c r="F220" s="1886">
        <f t="shared" si="90"/>
        <v>0</v>
      </c>
      <c r="G220" s="1886">
        <f t="shared" si="90"/>
        <v>0</v>
      </c>
      <c r="H220" s="1886">
        <f t="shared" si="90"/>
        <v>0</v>
      </c>
      <c r="I220" s="1886">
        <f t="shared" ca="1" si="90"/>
        <v>0</v>
      </c>
      <c r="J220" s="1886">
        <f t="shared" ca="1" si="90"/>
        <v>0</v>
      </c>
      <c r="K220" s="1886">
        <f t="shared" ca="1" si="90"/>
        <v>0</v>
      </c>
      <c r="L220" s="1890"/>
      <c r="M220" s="1890"/>
      <c r="N220" s="1890"/>
      <c r="O220" s="1891"/>
      <c r="P220" s="1887">
        <f t="shared" ca="1" si="88"/>
        <v>0</v>
      </c>
      <c r="Q220" s="1887">
        <f t="shared" ca="1" si="88"/>
        <v>0</v>
      </c>
      <c r="R220" s="1888">
        <f t="shared" ca="1" si="88"/>
        <v>0</v>
      </c>
      <c r="S220" s="1888">
        <f t="shared" ca="1" si="86"/>
        <v>0</v>
      </c>
      <c r="T220" s="1900"/>
      <c r="U220" s="1900"/>
      <c r="V220" s="1900"/>
    </row>
    <row r="221" spans="1:24" ht="27" customHeight="1" thickBot="1" x14ac:dyDescent="0.55000000000000004">
      <c r="A221" s="5324"/>
      <c r="B221" s="1578" t="s">
        <v>66</v>
      </c>
      <c r="C221" s="5325" t="s">
        <v>51</v>
      </c>
      <c r="D221" s="5325"/>
      <c r="E221" s="1602">
        <f t="shared" si="90"/>
        <v>0</v>
      </c>
      <c r="F221" s="1602">
        <f t="shared" si="90"/>
        <v>0</v>
      </c>
      <c r="G221" s="1602">
        <f t="shared" si="90"/>
        <v>0</v>
      </c>
      <c r="H221" s="1602">
        <f t="shared" si="90"/>
        <v>0</v>
      </c>
      <c r="I221" s="1602">
        <f t="shared" ca="1" si="90"/>
        <v>0</v>
      </c>
      <c r="J221" s="1602">
        <f t="shared" ca="1" si="90"/>
        <v>0</v>
      </c>
      <c r="K221" s="1602">
        <f t="shared" ca="1" si="90"/>
        <v>0</v>
      </c>
      <c r="L221" s="1605"/>
      <c r="M221" s="1605"/>
      <c r="N221" s="1605"/>
      <c r="O221" s="1606"/>
      <c r="P221" s="1603">
        <f t="shared" ca="1" si="88"/>
        <v>0</v>
      </c>
      <c r="Q221" s="1603">
        <f t="shared" ca="1" si="88"/>
        <v>0</v>
      </c>
      <c r="R221" s="1604">
        <f t="shared" ca="1" si="88"/>
        <v>0</v>
      </c>
      <c r="S221" s="1604">
        <f t="shared" ca="1" si="86"/>
        <v>0</v>
      </c>
      <c r="T221" s="1610"/>
      <c r="U221" s="1610"/>
      <c r="V221" s="1610"/>
    </row>
    <row r="222" spans="1:24" ht="27" customHeight="1" thickBot="1" x14ac:dyDescent="0.5">
      <c r="A222" s="1612" t="s">
        <v>21</v>
      </c>
      <c r="B222" s="5649" t="s">
        <v>70</v>
      </c>
      <c r="C222" s="5650"/>
      <c r="D222" s="5651"/>
      <c r="E222" s="1602">
        <f t="shared" si="90"/>
        <v>0</v>
      </c>
      <c r="F222" s="1602">
        <f t="shared" si="90"/>
        <v>0</v>
      </c>
      <c r="G222" s="1602">
        <f t="shared" si="90"/>
        <v>0</v>
      </c>
      <c r="H222" s="1602">
        <f t="shared" si="90"/>
        <v>0</v>
      </c>
      <c r="I222" s="1602">
        <f t="shared" ca="1" si="90"/>
        <v>0</v>
      </c>
      <c r="J222" s="1602">
        <f t="shared" ca="1" si="90"/>
        <v>0</v>
      </c>
      <c r="K222" s="1602">
        <f t="shared" ca="1" si="90"/>
        <v>0</v>
      </c>
      <c r="L222" s="1605"/>
      <c r="M222" s="1605"/>
      <c r="N222" s="1605"/>
      <c r="O222" s="1606"/>
      <c r="P222" s="1603">
        <f t="shared" ca="1" si="88"/>
        <v>0</v>
      </c>
      <c r="Q222" s="1603">
        <f t="shared" ca="1" si="88"/>
        <v>0</v>
      </c>
      <c r="R222" s="1604">
        <f t="shared" ca="1" si="88"/>
        <v>0</v>
      </c>
      <c r="S222" s="1604">
        <f t="shared" ca="1" si="86"/>
        <v>0</v>
      </c>
      <c r="T222" s="1610"/>
      <c r="U222" s="1610"/>
      <c r="V222" s="1610"/>
    </row>
    <row r="223" spans="1:24" ht="27" customHeight="1" thickBot="1" x14ac:dyDescent="0.5">
      <c r="A223" s="1613" t="s">
        <v>71</v>
      </c>
      <c r="B223" s="5652" t="s">
        <v>72</v>
      </c>
      <c r="C223" s="5653"/>
      <c r="D223" s="5654"/>
      <c r="E223" s="1602">
        <f t="shared" si="90"/>
        <v>0</v>
      </c>
      <c r="F223" s="1602">
        <f t="shared" si="90"/>
        <v>0</v>
      </c>
      <c r="G223" s="1602">
        <f t="shared" si="90"/>
        <v>0</v>
      </c>
      <c r="H223" s="1602">
        <f t="shared" si="90"/>
        <v>0</v>
      </c>
      <c r="I223" s="1602">
        <f t="shared" ca="1" si="90"/>
        <v>0</v>
      </c>
      <c r="J223" s="1602">
        <f t="shared" ca="1" si="90"/>
        <v>0</v>
      </c>
      <c r="K223" s="1602">
        <f t="shared" ca="1" si="90"/>
        <v>0</v>
      </c>
      <c r="L223" s="1605"/>
      <c r="M223" s="1605"/>
      <c r="N223" s="1605"/>
      <c r="O223" s="1606"/>
      <c r="P223" s="1603">
        <f t="shared" ca="1" si="88"/>
        <v>0</v>
      </c>
      <c r="Q223" s="1603">
        <f t="shared" ca="1" si="88"/>
        <v>0</v>
      </c>
      <c r="R223" s="1604">
        <f t="shared" ca="1" si="88"/>
        <v>0</v>
      </c>
      <c r="S223" s="1604">
        <f t="shared" ca="1" si="86"/>
        <v>0</v>
      </c>
      <c r="T223" s="1610"/>
      <c r="U223" s="1610"/>
      <c r="V223" s="1610"/>
    </row>
    <row r="224" spans="1:24" ht="27" customHeight="1" thickBot="1" x14ac:dyDescent="0.5">
      <c r="A224" s="1579"/>
      <c r="B224" s="1614"/>
      <c r="C224" s="1578"/>
      <c r="D224" s="1552"/>
      <c r="E224" s="1602">
        <f t="shared" si="90"/>
        <v>0</v>
      </c>
      <c r="F224" s="1602">
        <f t="shared" si="90"/>
        <v>0</v>
      </c>
      <c r="G224" s="1602">
        <f t="shared" si="90"/>
        <v>0</v>
      </c>
      <c r="H224" s="1602">
        <f t="shared" si="90"/>
        <v>0</v>
      </c>
      <c r="I224" s="1602">
        <f t="shared" si="90"/>
        <v>0</v>
      </c>
      <c r="J224" s="1602">
        <f t="shared" si="90"/>
        <v>0</v>
      </c>
      <c r="K224" s="1602">
        <f t="shared" si="90"/>
        <v>0</v>
      </c>
      <c r="L224" s="1605"/>
      <c r="M224" s="1605"/>
      <c r="N224" s="1605"/>
      <c r="O224" s="1606"/>
      <c r="P224" s="1603">
        <f t="shared" si="88"/>
        <v>0</v>
      </c>
      <c r="Q224" s="1603">
        <f t="shared" si="88"/>
        <v>0</v>
      </c>
      <c r="R224" s="1604">
        <f>+H224+K224</f>
        <v>0</v>
      </c>
      <c r="S224" s="1604">
        <f t="shared" si="86"/>
        <v>0</v>
      </c>
      <c r="T224" s="1610"/>
      <c r="U224" s="1610"/>
      <c r="V224" s="1610"/>
    </row>
    <row r="225" spans="1:22" ht="27" customHeight="1" thickBot="1" x14ac:dyDescent="0.5">
      <c r="A225" s="1579"/>
      <c r="B225" s="1615"/>
      <c r="C225" s="1578"/>
      <c r="D225" s="1552"/>
      <c r="E225" s="1602">
        <f t="shared" si="90"/>
        <v>0</v>
      </c>
      <c r="F225" s="1602">
        <f t="shared" si="90"/>
        <v>0</v>
      </c>
      <c r="G225" s="1602">
        <f t="shared" si="90"/>
        <v>0</v>
      </c>
      <c r="H225" s="1602">
        <f t="shared" si="90"/>
        <v>0</v>
      </c>
      <c r="I225" s="1602">
        <f t="shared" si="90"/>
        <v>0</v>
      </c>
      <c r="J225" s="1602">
        <f t="shared" si="90"/>
        <v>0</v>
      </c>
      <c r="K225" s="1602">
        <f t="shared" si="90"/>
        <v>0</v>
      </c>
      <c r="L225" s="1605"/>
      <c r="M225" s="1605"/>
      <c r="N225" s="1605"/>
      <c r="O225" s="1606"/>
      <c r="P225" s="1603">
        <f t="shared" si="88"/>
        <v>0</v>
      </c>
      <c r="Q225" s="1603">
        <f t="shared" si="88"/>
        <v>0</v>
      </c>
      <c r="R225" s="1604">
        <f t="shared" si="88"/>
        <v>0</v>
      </c>
      <c r="S225" s="1604">
        <f t="shared" si="86"/>
        <v>0</v>
      </c>
      <c r="T225" s="1610"/>
      <c r="U225" s="1610"/>
      <c r="V225" s="1610"/>
    </row>
    <row r="226" spans="1:22" ht="27" customHeight="1" thickBot="1" x14ac:dyDescent="0.5">
      <c r="A226" s="1579"/>
      <c r="B226" s="1552"/>
      <c r="C226" s="1578"/>
      <c r="D226" s="1552"/>
      <c r="E226" s="1602">
        <f t="shared" si="90"/>
        <v>0</v>
      </c>
      <c r="F226" s="1602">
        <f t="shared" si="90"/>
        <v>0</v>
      </c>
      <c r="G226" s="1602">
        <f t="shared" si="90"/>
        <v>0</v>
      </c>
      <c r="H226" s="1602">
        <f t="shared" si="90"/>
        <v>0</v>
      </c>
      <c r="I226" s="1602">
        <f t="shared" si="90"/>
        <v>0</v>
      </c>
      <c r="J226" s="1602">
        <f t="shared" si="90"/>
        <v>0</v>
      </c>
      <c r="K226" s="1602">
        <f t="shared" si="90"/>
        <v>0</v>
      </c>
      <c r="L226" s="1607"/>
      <c r="M226" s="1607"/>
      <c r="N226" s="1607"/>
      <c r="O226" s="1608"/>
      <c r="P226" s="1603">
        <f t="shared" si="88"/>
        <v>0</v>
      </c>
      <c r="Q226" s="1603">
        <f t="shared" si="88"/>
        <v>0</v>
      </c>
      <c r="R226" s="1604">
        <f t="shared" si="88"/>
        <v>0</v>
      </c>
      <c r="S226" s="1604">
        <f t="shared" si="86"/>
        <v>0</v>
      </c>
      <c r="T226" s="1610"/>
      <c r="U226" s="1610"/>
      <c r="V226" s="1610"/>
    </row>
    <row r="227" spans="1:22" ht="27" customHeight="1" thickBot="1" x14ac:dyDescent="0.5">
      <c r="A227" s="1579"/>
      <c r="B227" s="1552"/>
      <c r="C227" s="1578"/>
      <c r="D227" s="1552"/>
      <c r="E227" s="1602">
        <f t="shared" si="90"/>
        <v>0</v>
      </c>
      <c r="F227" s="1602">
        <f t="shared" si="90"/>
        <v>0</v>
      </c>
      <c r="G227" s="1602">
        <f t="shared" si="90"/>
        <v>0</v>
      </c>
      <c r="H227" s="1602">
        <f t="shared" si="90"/>
        <v>0</v>
      </c>
      <c r="I227" s="1602">
        <f t="shared" si="90"/>
        <v>0</v>
      </c>
      <c r="J227" s="1602">
        <f t="shared" si="90"/>
        <v>0</v>
      </c>
      <c r="K227" s="1602">
        <f t="shared" si="90"/>
        <v>0</v>
      </c>
      <c r="L227" s="1605"/>
      <c r="M227" s="1605"/>
      <c r="N227" s="1605"/>
      <c r="O227" s="1606"/>
      <c r="P227" s="1603">
        <f t="shared" si="88"/>
        <v>0</v>
      </c>
      <c r="Q227" s="1603">
        <f t="shared" si="88"/>
        <v>0</v>
      </c>
      <c r="R227" s="1604">
        <f t="shared" si="88"/>
        <v>0</v>
      </c>
      <c r="S227" s="1604">
        <f t="shared" si="86"/>
        <v>0</v>
      </c>
      <c r="T227" s="1610"/>
      <c r="U227" s="1610"/>
      <c r="V227" s="1610"/>
    </row>
    <row r="228" spans="1:22" ht="27" customHeight="1" thickBot="1" x14ac:dyDescent="0.5">
      <c r="A228" s="1579"/>
      <c r="B228" s="1552"/>
      <c r="C228" s="1578"/>
      <c r="D228" s="1531"/>
      <c r="E228" s="1602">
        <f t="shared" si="90"/>
        <v>0</v>
      </c>
      <c r="F228" s="1602">
        <f t="shared" si="90"/>
        <v>0</v>
      </c>
      <c r="G228" s="1602">
        <f t="shared" si="90"/>
        <v>0</v>
      </c>
      <c r="H228" s="1602">
        <f t="shared" si="90"/>
        <v>0</v>
      </c>
      <c r="I228" s="1602">
        <f t="shared" si="90"/>
        <v>0</v>
      </c>
      <c r="J228" s="1602">
        <f t="shared" si="90"/>
        <v>0</v>
      </c>
      <c r="K228" s="1602">
        <f t="shared" si="90"/>
        <v>0</v>
      </c>
      <c r="L228" s="1605"/>
      <c r="M228" s="1605"/>
      <c r="N228" s="1605"/>
      <c r="O228" s="1606"/>
      <c r="P228" s="1603">
        <f t="shared" si="88"/>
        <v>0</v>
      </c>
      <c r="Q228" s="1603">
        <f t="shared" si="88"/>
        <v>0</v>
      </c>
      <c r="R228" s="1604">
        <f t="shared" si="88"/>
        <v>0</v>
      </c>
      <c r="S228" s="1604">
        <f t="shared" si="86"/>
        <v>0</v>
      </c>
      <c r="T228" s="1610"/>
      <c r="U228" s="1610"/>
      <c r="V228" s="1610"/>
    </row>
    <row r="229" spans="1:22" ht="27" customHeight="1" thickBot="1" x14ac:dyDescent="0.5">
      <c r="A229" s="1579"/>
      <c r="B229" s="1552"/>
      <c r="C229" s="1578"/>
      <c r="D229" s="1531"/>
      <c r="E229" s="1602">
        <f t="shared" si="90"/>
        <v>0</v>
      </c>
      <c r="F229" s="1602">
        <f t="shared" si="90"/>
        <v>0</v>
      </c>
      <c r="G229" s="1602">
        <f t="shared" si="90"/>
        <v>0</v>
      </c>
      <c r="H229" s="1602">
        <f t="shared" si="90"/>
        <v>0</v>
      </c>
      <c r="I229" s="1602">
        <f t="shared" si="90"/>
        <v>0</v>
      </c>
      <c r="J229" s="1602">
        <f t="shared" si="90"/>
        <v>0</v>
      </c>
      <c r="K229" s="1602">
        <f t="shared" si="90"/>
        <v>0</v>
      </c>
      <c r="L229" s="1605"/>
      <c r="M229" s="1605"/>
      <c r="N229" s="1605"/>
      <c r="O229" s="1606"/>
      <c r="P229" s="1603">
        <f t="shared" si="88"/>
        <v>0</v>
      </c>
      <c r="Q229" s="1603">
        <f t="shared" si="88"/>
        <v>0</v>
      </c>
      <c r="R229" s="1604">
        <f t="shared" si="88"/>
        <v>0</v>
      </c>
      <c r="S229" s="1604">
        <f t="shared" si="86"/>
        <v>0</v>
      </c>
      <c r="T229" s="1610"/>
      <c r="U229" s="1610"/>
      <c r="V229" s="1610"/>
    </row>
    <row r="230" spans="1:22" ht="27" customHeight="1" thickBot="1" x14ac:dyDescent="0.5">
      <c r="A230" s="1579"/>
      <c r="B230" s="1531"/>
      <c r="C230" s="1578"/>
      <c r="D230" s="1531"/>
      <c r="E230" s="1602">
        <f t="shared" si="90"/>
        <v>0</v>
      </c>
      <c r="F230" s="1602">
        <f t="shared" si="90"/>
        <v>0</v>
      </c>
      <c r="G230" s="1602">
        <f t="shared" si="90"/>
        <v>0</v>
      </c>
      <c r="H230" s="1602">
        <f t="shared" si="90"/>
        <v>0</v>
      </c>
      <c r="I230" s="1602">
        <f t="shared" si="90"/>
        <v>0</v>
      </c>
      <c r="J230" s="1602">
        <f t="shared" si="90"/>
        <v>0</v>
      </c>
      <c r="K230" s="1602">
        <f t="shared" si="90"/>
        <v>0</v>
      </c>
      <c r="L230" s="1605"/>
      <c r="M230" s="1605"/>
      <c r="N230" s="1605"/>
      <c r="O230" s="1606"/>
      <c r="P230" s="1603">
        <f t="shared" si="88"/>
        <v>0</v>
      </c>
      <c r="Q230" s="1603">
        <f t="shared" si="88"/>
        <v>0</v>
      </c>
      <c r="R230" s="1604">
        <f t="shared" si="88"/>
        <v>0</v>
      </c>
      <c r="S230" s="1604">
        <f t="shared" si="86"/>
        <v>0</v>
      </c>
      <c r="T230" s="1610"/>
      <c r="U230" s="1610"/>
      <c r="V230" s="1610"/>
    </row>
    <row r="231" spans="1:22" ht="27" customHeight="1" thickBot="1" x14ac:dyDescent="0.5">
      <c r="A231" s="1579"/>
      <c r="B231" s="1531"/>
      <c r="C231" s="1578"/>
      <c r="D231" s="1531"/>
      <c r="E231" s="1602">
        <f t="shared" si="90"/>
        <v>0</v>
      </c>
      <c r="F231" s="1602">
        <f t="shared" si="90"/>
        <v>0</v>
      </c>
      <c r="G231" s="1602">
        <f t="shared" si="90"/>
        <v>0</v>
      </c>
      <c r="H231" s="1602">
        <f t="shared" si="90"/>
        <v>0</v>
      </c>
      <c r="I231" s="1602">
        <f t="shared" si="90"/>
        <v>0</v>
      </c>
      <c r="J231" s="1602">
        <f t="shared" si="90"/>
        <v>0</v>
      </c>
      <c r="K231" s="1602">
        <f t="shared" si="90"/>
        <v>0</v>
      </c>
      <c r="L231" s="1605"/>
      <c r="M231" s="1605"/>
      <c r="N231" s="1605"/>
      <c r="O231" s="1606"/>
      <c r="P231" s="1603">
        <f t="shared" si="88"/>
        <v>0</v>
      </c>
      <c r="Q231" s="1603">
        <f t="shared" si="88"/>
        <v>0</v>
      </c>
      <c r="R231" s="1604">
        <f t="shared" si="88"/>
        <v>0</v>
      </c>
      <c r="S231" s="1604">
        <f t="shared" si="86"/>
        <v>0</v>
      </c>
      <c r="T231" s="1610"/>
      <c r="U231" s="1610"/>
      <c r="V231" s="1610"/>
    </row>
    <row r="232" spans="1:22" ht="27" customHeight="1" thickBot="1" x14ac:dyDescent="0.5">
      <c r="A232" s="1579"/>
      <c r="B232" s="1532"/>
      <c r="C232" s="1551"/>
      <c r="D232" s="1591"/>
      <c r="E232" s="1602">
        <f t="shared" si="90"/>
        <v>0</v>
      </c>
      <c r="F232" s="1602">
        <f t="shared" si="90"/>
        <v>0</v>
      </c>
      <c r="G232" s="1602">
        <f t="shared" si="90"/>
        <v>0</v>
      </c>
      <c r="H232" s="1602">
        <f t="shared" si="90"/>
        <v>0</v>
      </c>
      <c r="I232" s="1602">
        <f t="shared" si="90"/>
        <v>0</v>
      </c>
      <c r="J232" s="1602">
        <f t="shared" si="90"/>
        <v>0</v>
      </c>
      <c r="K232" s="1602">
        <f t="shared" si="90"/>
        <v>0</v>
      </c>
      <c r="L232" s="1605"/>
      <c r="M232" s="1605"/>
      <c r="N232" s="1605"/>
      <c r="O232" s="1606"/>
      <c r="P232" s="1603">
        <f t="shared" si="88"/>
        <v>0</v>
      </c>
      <c r="Q232" s="1603">
        <f t="shared" si="88"/>
        <v>0</v>
      </c>
      <c r="R232" s="1604">
        <f t="shared" si="88"/>
        <v>0</v>
      </c>
      <c r="S232" s="1604">
        <f t="shared" si="86"/>
        <v>0</v>
      </c>
      <c r="T232" s="1610"/>
      <c r="U232" s="1610"/>
      <c r="V232" s="1610"/>
    </row>
    <row r="233" spans="1:22" ht="27" customHeight="1" thickBot="1" x14ac:dyDescent="0.5">
      <c r="A233" s="1616"/>
      <c r="B233" s="1588"/>
      <c r="C233" s="1589"/>
      <c r="D233" s="1590"/>
      <c r="E233" s="1602">
        <f t="shared" si="90"/>
        <v>0</v>
      </c>
      <c r="F233" s="1602">
        <f t="shared" si="90"/>
        <v>0</v>
      </c>
      <c r="G233" s="1602">
        <f t="shared" si="90"/>
        <v>0</v>
      </c>
      <c r="H233" s="1602">
        <f t="shared" si="90"/>
        <v>0</v>
      </c>
      <c r="I233" s="1602">
        <f t="shared" si="90"/>
        <v>0</v>
      </c>
      <c r="J233" s="1602">
        <f t="shared" si="90"/>
        <v>0</v>
      </c>
      <c r="K233" s="1602">
        <f t="shared" si="90"/>
        <v>0</v>
      </c>
      <c r="L233" s="1605"/>
      <c r="M233" s="1605"/>
      <c r="N233" s="1605"/>
      <c r="O233" s="1606"/>
      <c r="P233" s="1603">
        <f t="shared" si="88"/>
        <v>0</v>
      </c>
      <c r="Q233" s="1603">
        <f t="shared" si="88"/>
        <v>0</v>
      </c>
      <c r="R233" s="1604">
        <f t="shared" si="88"/>
        <v>0</v>
      </c>
      <c r="S233" s="1604">
        <f t="shared" si="86"/>
        <v>0</v>
      </c>
      <c r="T233" s="1610"/>
      <c r="U233" s="1610"/>
      <c r="V233" s="1610"/>
    </row>
    <row r="234" spans="1:22" ht="27" customHeight="1" thickBot="1" x14ac:dyDescent="0.5">
      <c r="A234" s="1616"/>
      <c r="B234" s="1617"/>
      <c r="C234" s="1551"/>
      <c r="D234" s="1618"/>
      <c r="E234" s="1602">
        <f t="shared" si="90"/>
        <v>0</v>
      </c>
      <c r="F234" s="1602">
        <f t="shared" si="90"/>
        <v>0</v>
      </c>
      <c r="G234" s="1602">
        <f t="shared" si="90"/>
        <v>0</v>
      </c>
      <c r="H234" s="1602">
        <f t="shared" si="90"/>
        <v>0</v>
      </c>
      <c r="I234" s="1602">
        <f t="shared" si="90"/>
        <v>0</v>
      </c>
      <c r="J234" s="1602">
        <f t="shared" si="90"/>
        <v>0</v>
      </c>
      <c r="K234" s="1602">
        <f t="shared" si="90"/>
        <v>0</v>
      </c>
      <c r="L234" s="1605"/>
      <c r="M234" s="1605"/>
      <c r="N234" s="1605"/>
      <c r="O234" s="1606"/>
      <c r="P234" s="1603">
        <f t="shared" si="88"/>
        <v>0</v>
      </c>
      <c r="Q234" s="1603">
        <f t="shared" si="88"/>
        <v>0</v>
      </c>
      <c r="R234" s="1604">
        <f t="shared" si="88"/>
        <v>0</v>
      </c>
      <c r="S234" s="1604">
        <f t="shared" si="86"/>
        <v>0</v>
      </c>
      <c r="T234" s="1610"/>
      <c r="U234" s="1610"/>
      <c r="V234" s="1610"/>
    </row>
    <row r="235" spans="1:22" ht="27" customHeight="1" thickBot="1" x14ac:dyDescent="0.5">
      <c r="A235" s="1616"/>
      <c r="B235" s="1614"/>
      <c r="C235" s="1578"/>
      <c r="D235" s="1552"/>
      <c r="E235" s="1602">
        <f t="shared" si="90"/>
        <v>0</v>
      </c>
      <c r="F235" s="1602">
        <f t="shared" si="90"/>
        <v>0</v>
      </c>
      <c r="G235" s="1602">
        <f t="shared" si="90"/>
        <v>0</v>
      </c>
      <c r="H235" s="1602">
        <f t="shared" si="90"/>
        <v>0</v>
      </c>
      <c r="I235" s="1602">
        <f t="shared" si="90"/>
        <v>0</v>
      </c>
      <c r="J235" s="1602">
        <f t="shared" si="90"/>
        <v>0</v>
      </c>
      <c r="K235" s="1602">
        <f t="shared" si="90"/>
        <v>0</v>
      </c>
      <c r="L235" s="1605"/>
      <c r="M235" s="1605"/>
      <c r="N235" s="1605"/>
      <c r="O235" s="1606"/>
      <c r="P235" s="1603">
        <f t="shared" si="88"/>
        <v>0</v>
      </c>
      <c r="Q235" s="1603">
        <f t="shared" si="88"/>
        <v>0</v>
      </c>
      <c r="R235" s="1604">
        <f t="shared" si="88"/>
        <v>0</v>
      </c>
      <c r="S235" s="1604">
        <f t="shared" si="86"/>
        <v>0</v>
      </c>
      <c r="T235" s="1610"/>
      <c r="U235" s="1610"/>
      <c r="V235" s="1610"/>
    </row>
    <row r="236" spans="1:22" ht="27" customHeight="1" thickBot="1" x14ac:dyDescent="0.55000000000000004">
      <c r="A236" s="1616"/>
      <c r="B236" s="1615"/>
      <c r="C236" s="1578"/>
      <c r="D236" s="1552"/>
      <c r="E236" s="1602">
        <f t="shared" ref="E236:K246" si="91">+INT(E349)</f>
        <v>0</v>
      </c>
      <c r="F236" s="1602">
        <f t="shared" si="91"/>
        <v>0</v>
      </c>
      <c r="G236" s="1602">
        <f t="shared" si="91"/>
        <v>0</v>
      </c>
      <c r="H236" s="1602">
        <f t="shared" si="91"/>
        <v>0</v>
      </c>
      <c r="I236" s="1602">
        <f t="shared" si="91"/>
        <v>0</v>
      </c>
      <c r="J236" s="1602">
        <f t="shared" si="91"/>
        <v>0</v>
      </c>
      <c r="K236" s="1602">
        <f t="shared" si="91"/>
        <v>0</v>
      </c>
      <c r="L236" s="1605"/>
      <c r="M236" s="1605"/>
      <c r="N236" s="1605"/>
      <c r="O236" s="1606"/>
      <c r="P236" s="1603">
        <f t="shared" si="88"/>
        <v>0</v>
      </c>
      <c r="Q236" s="1603">
        <f t="shared" si="88"/>
        <v>0</v>
      </c>
      <c r="R236" s="1604">
        <f t="shared" si="88"/>
        <v>0</v>
      </c>
      <c r="S236" s="1604">
        <f t="shared" si="86"/>
        <v>0</v>
      </c>
      <c r="T236" s="1609"/>
      <c r="U236" s="1609"/>
      <c r="V236" s="1609"/>
    </row>
    <row r="237" spans="1:22" ht="27" customHeight="1" thickBot="1" x14ac:dyDescent="0.55000000000000004">
      <c r="A237" s="1616"/>
      <c r="B237" s="1552"/>
      <c r="C237" s="1578"/>
      <c r="D237" s="1552"/>
      <c r="E237" s="1602">
        <f t="shared" si="91"/>
        <v>0</v>
      </c>
      <c r="F237" s="1602">
        <f t="shared" si="91"/>
        <v>0</v>
      </c>
      <c r="G237" s="1602">
        <f t="shared" si="91"/>
        <v>0</v>
      </c>
      <c r="H237" s="1602">
        <f t="shared" si="91"/>
        <v>0</v>
      </c>
      <c r="I237" s="1602">
        <f t="shared" si="91"/>
        <v>0</v>
      </c>
      <c r="J237" s="1602">
        <f t="shared" si="91"/>
        <v>0</v>
      </c>
      <c r="K237" s="1602">
        <f t="shared" si="91"/>
        <v>0</v>
      </c>
      <c r="L237" s="1605"/>
      <c r="M237" s="1605"/>
      <c r="N237" s="1605"/>
      <c r="O237" s="1606"/>
      <c r="P237" s="1603">
        <f t="shared" si="88"/>
        <v>0</v>
      </c>
      <c r="Q237" s="1603">
        <f t="shared" si="88"/>
        <v>0</v>
      </c>
      <c r="R237" s="1604">
        <f t="shared" si="88"/>
        <v>0</v>
      </c>
      <c r="S237" s="1604">
        <f t="shared" si="86"/>
        <v>0</v>
      </c>
      <c r="T237" s="1609"/>
      <c r="U237" s="1609"/>
      <c r="V237" s="1609"/>
    </row>
    <row r="238" spans="1:22" ht="27" customHeight="1" thickBot="1" x14ac:dyDescent="0.55000000000000004">
      <c r="A238" s="1616"/>
      <c r="B238" s="1552"/>
      <c r="C238" s="1578"/>
      <c r="D238" s="1552"/>
      <c r="E238" s="1602">
        <f t="shared" si="91"/>
        <v>0</v>
      </c>
      <c r="F238" s="1602">
        <f t="shared" si="91"/>
        <v>0</v>
      </c>
      <c r="G238" s="1602">
        <f t="shared" si="91"/>
        <v>0</v>
      </c>
      <c r="H238" s="1602">
        <f t="shared" si="91"/>
        <v>0</v>
      </c>
      <c r="I238" s="1602">
        <f t="shared" si="91"/>
        <v>0</v>
      </c>
      <c r="J238" s="1602">
        <f t="shared" si="91"/>
        <v>0</v>
      </c>
      <c r="K238" s="1602">
        <f t="shared" si="91"/>
        <v>0</v>
      </c>
      <c r="L238" s="1605"/>
      <c r="M238" s="1605"/>
      <c r="N238" s="1605"/>
      <c r="O238" s="1606"/>
      <c r="P238" s="1603">
        <f t="shared" si="88"/>
        <v>0</v>
      </c>
      <c r="Q238" s="1603">
        <f t="shared" si="88"/>
        <v>0</v>
      </c>
      <c r="R238" s="1604">
        <f t="shared" si="88"/>
        <v>0</v>
      </c>
      <c r="S238" s="1604">
        <f t="shared" si="86"/>
        <v>0</v>
      </c>
      <c r="T238" s="1609"/>
      <c r="U238" s="1609"/>
      <c r="V238" s="1609"/>
    </row>
    <row r="239" spans="1:22" ht="27" customHeight="1" thickBot="1" x14ac:dyDescent="0.55000000000000004">
      <c r="A239" s="1616"/>
      <c r="B239" s="1552"/>
      <c r="C239" s="1578"/>
      <c r="D239" s="1531"/>
      <c r="E239" s="1602">
        <f t="shared" si="91"/>
        <v>0</v>
      </c>
      <c r="F239" s="1602">
        <f t="shared" si="91"/>
        <v>0</v>
      </c>
      <c r="G239" s="1602">
        <f t="shared" si="91"/>
        <v>0</v>
      </c>
      <c r="H239" s="1602">
        <f t="shared" si="91"/>
        <v>0</v>
      </c>
      <c r="I239" s="1602">
        <f t="shared" si="91"/>
        <v>0</v>
      </c>
      <c r="J239" s="1602">
        <f t="shared" si="91"/>
        <v>0</v>
      </c>
      <c r="K239" s="1602">
        <f t="shared" si="91"/>
        <v>0</v>
      </c>
      <c r="L239" s="1605"/>
      <c r="M239" s="1605"/>
      <c r="N239" s="1605"/>
      <c r="O239" s="1606"/>
      <c r="P239" s="1603">
        <f t="shared" si="88"/>
        <v>0</v>
      </c>
      <c r="Q239" s="1603">
        <f t="shared" si="88"/>
        <v>0</v>
      </c>
      <c r="R239" s="1604">
        <f t="shared" si="88"/>
        <v>0</v>
      </c>
      <c r="S239" s="1604">
        <f t="shared" si="86"/>
        <v>0</v>
      </c>
      <c r="T239" s="1609"/>
      <c r="U239" s="1609"/>
      <c r="V239" s="1609"/>
    </row>
    <row r="240" spans="1:22" ht="27" customHeight="1" thickBot="1" x14ac:dyDescent="0.55000000000000004">
      <c r="A240" s="1616"/>
      <c r="B240" s="1552"/>
      <c r="C240" s="1578"/>
      <c r="D240" s="1531"/>
      <c r="E240" s="1602">
        <f t="shared" si="91"/>
        <v>0</v>
      </c>
      <c r="F240" s="1602">
        <f t="shared" si="91"/>
        <v>0</v>
      </c>
      <c r="G240" s="1602">
        <f t="shared" si="91"/>
        <v>0</v>
      </c>
      <c r="H240" s="1602">
        <f t="shared" si="91"/>
        <v>0</v>
      </c>
      <c r="I240" s="1602">
        <f t="shared" si="91"/>
        <v>0</v>
      </c>
      <c r="J240" s="1602">
        <f t="shared" si="91"/>
        <v>0</v>
      </c>
      <c r="K240" s="1602">
        <f t="shared" si="91"/>
        <v>0</v>
      </c>
      <c r="L240" s="1605"/>
      <c r="M240" s="1605"/>
      <c r="N240" s="1605"/>
      <c r="O240" s="1606"/>
      <c r="P240" s="1603">
        <f t="shared" si="88"/>
        <v>0</v>
      </c>
      <c r="Q240" s="1603">
        <f t="shared" si="88"/>
        <v>0</v>
      </c>
      <c r="R240" s="1604">
        <f t="shared" si="88"/>
        <v>0</v>
      </c>
      <c r="S240" s="1604">
        <f t="shared" si="86"/>
        <v>0</v>
      </c>
      <c r="T240" s="1609"/>
      <c r="U240" s="1609"/>
      <c r="V240" s="1609"/>
    </row>
    <row r="241" spans="1:22" ht="27" customHeight="1" thickBot="1" x14ac:dyDescent="0.55000000000000004">
      <c r="A241" s="1616"/>
      <c r="B241" s="1531"/>
      <c r="C241" s="1578"/>
      <c r="D241" s="1531"/>
      <c r="E241" s="1602">
        <f t="shared" si="91"/>
        <v>0</v>
      </c>
      <c r="F241" s="1602">
        <f t="shared" si="91"/>
        <v>0</v>
      </c>
      <c r="G241" s="1602">
        <f t="shared" si="91"/>
        <v>0</v>
      </c>
      <c r="H241" s="1602">
        <f t="shared" si="91"/>
        <v>0</v>
      </c>
      <c r="I241" s="1602">
        <f t="shared" si="91"/>
        <v>0</v>
      </c>
      <c r="J241" s="1602">
        <f t="shared" si="91"/>
        <v>0</v>
      </c>
      <c r="K241" s="1602">
        <f t="shared" si="91"/>
        <v>0</v>
      </c>
      <c r="L241" s="1605"/>
      <c r="M241" s="1605"/>
      <c r="N241" s="1605"/>
      <c r="O241" s="1606"/>
      <c r="P241" s="1603">
        <f t="shared" si="88"/>
        <v>0</v>
      </c>
      <c r="Q241" s="1603">
        <f t="shared" si="88"/>
        <v>0</v>
      </c>
      <c r="R241" s="1604">
        <f t="shared" si="88"/>
        <v>0</v>
      </c>
      <c r="S241" s="1604">
        <f t="shared" si="86"/>
        <v>0</v>
      </c>
      <c r="T241" s="1609"/>
      <c r="U241" s="1609"/>
      <c r="V241" s="1609"/>
    </row>
    <row r="242" spans="1:22" ht="27" customHeight="1" thickBot="1" x14ac:dyDescent="0.55000000000000004">
      <c r="A242" s="1616"/>
      <c r="B242" s="1531"/>
      <c r="C242" s="1578"/>
      <c r="D242" s="1531"/>
      <c r="E242" s="1602">
        <f t="shared" si="91"/>
        <v>0</v>
      </c>
      <c r="F242" s="1602">
        <f t="shared" si="91"/>
        <v>0</v>
      </c>
      <c r="G242" s="1602">
        <f t="shared" si="91"/>
        <v>0</v>
      </c>
      <c r="H242" s="1602">
        <f t="shared" si="91"/>
        <v>0</v>
      </c>
      <c r="I242" s="1602">
        <f t="shared" si="91"/>
        <v>0</v>
      </c>
      <c r="J242" s="1602">
        <f t="shared" si="91"/>
        <v>0</v>
      </c>
      <c r="K242" s="1602">
        <f t="shared" si="91"/>
        <v>0</v>
      </c>
      <c r="L242" s="1605"/>
      <c r="M242" s="1605"/>
      <c r="N242" s="1605"/>
      <c r="O242" s="1606"/>
      <c r="P242" s="1603">
        <f t="shared" si="88"/>
        <v>0</v>
      </c>
      <c r="Q242" s="1603">
        <f t="shared" si="88"/>
        <v>0</v>
      </c>
      <c r="R242" s="1604">
        <f t="shared" si="88"/>
        <v>0</v>
      </c>
      <c r="S242" s="1604">
        <f t="shared" si="86"/>
        <v>0</v>
      </c>
      <c r="T242" s="1609"/>
      <c r="U242" s="1609"/>
      <c r="V242" s="1609"/>
    </row>
    <row r="243" spans="1:22" ht="27" customHeight="1" thickBot="1" x14ac:dyDescent="0.5">
      <c r="A243" s="1616"/>
      <c r="B243" s="1532"/>
      <c r="C243" s="1551"/>
      <c r="D243" s="1591"/>
      <c r="E243" s="1602">
        <f t="shared" si="91"/>
        <v>0</v>
      </c>
      <c r="F243" s="1602">
        <f t="shared" si="91"/>
        <v>0</v>
      </c>
      <c r="G243" s="1602">
        <f t="shared" si="91"/>
        <v>0</v>
      </c>
      <c r="H243" s="1602">
        <f t="shared" si="91"/>
        <v>0</v>
      </c>
      <c r="I243" s="1602">
        <f t="shared" si="91"/>
        <v>0</v>
      </c>
      <c r="J243" s="1602">
        <f t="shared" si="91"/>
        <v>0</v>
      </c>
      <c r="K243" s="1602">
        <f t="shared" si="91"/>
        <v>0</v>
      </c>
      <c r="L243" s="1605" t="e">
        <f ca="1">SUM(F187:K243)</f>
        <v>#REF!</v>
      </c>
      <c r="M243" s="1605"/>
      <c r="N243" s="1605"/>
      <c r="O243" s="1606"/>
      <c r="P243" s="1603">
        <f t="shared" si="88"/>
        <v>0</v>
      </c>
      <c r="Q243" s="1603">
        <f t="shared" si="88"/>
        <v>0</v>
      </c>
      <c r="R243" s="1604">
        <f t="shared" si="88"/>
        <v>0</v>
      </c>
      <c r="S243" s="1604">
        <f t="shared" si="86"/>
        <v>0</v>
      </c>
      <c r="T243" s="1604" t="e">
        <f ca="1">SUM(S187:S243)</f>
        <v>#REF!</v>
      </c>
      <c r="U243" s="1619"/>
      <c r="V243" s="1619"/>
    </row>
    <row r="244" spans="1:22" ht="27" customHeight="1" thickBot="1" x14ac:dyDescent="0.55000000000000004">
      <c r="A244" s="1612"/>
      <c r="B244" s="1620"/>
      <c r="C244" s="1621"/>
      <c r="D244" s="1622"/>
      <c r="E244" s="1602">
        <f t="shared" si="91"/>
        <v>0</v>
      </c>
      <c r="F244" s="1602">
        <f t="shared" si="91"/>
        <v>0</v>
      </c>
      <c r="G244" s="1602">
        <f t="shared" si="91"/>
        <v>0</v>
      </c>
      <c r="H244" s="1602">
        <f t="shared" si="91"/>
        <v>0</v>
      </c>
      <c r="I244" s="1602">
        <f t="shared" si="91"/>
        <v>0</v>
      </c>
      <c r="J244" s="1602">
        <f t="shared" si="91"/>
        <v>0</v>
      </c>
      <c r="K244" s="1602">
        <f t="shared" si="91"/>
        <v>0</v>
      </c>
      <c r="L244" s="1605"/>
      <c r="M244" s="1605"/>
      <c r="N244" s="1605"/>
      <c r="O244" s="1606"/>
      <c r="P244" s="1603">
        <f t="shared" si="88"/>
        <v>0</v>
      </c>
      <c r="Q244" s="1603">
        <f t="shared" si="88"/>
        <v>0</v>
      </c>
      <c r="R244" s="1604">
        <f t="shared" si="88"/>
        <v>0</v>
      </c>
      <c r="S244" s="1604">
        <f t="shared" si="86"/>
        <v>0</v>
      </c>
      <c r="T244" s="1623"/>
      <c r="U244" s="1623"/>
      <c r="V244" s="1623"/>
    </row>
    <row r="245" spans="1:22" ht="27" customHeight="1" thickBot="1" x14ac:dyDescent="0.55000000000000004">
      <c r="A245" s="1613"/>
      <c r="B245" s="1624"/>
      <c r="C245" s="1625"/>
      <c r="D245" s="1626"/>
      <c r="E245" s="1602">
        <f>+INT(E358)</f>
        <v>0</v>
      </c>
      <c r="F245" s="1602">
        <f t="shared" si="91"/>
        <v>0</v>
      </c>
      <c r="G245" s="1602">
        <f t="shared" si="91"/>
        <v>0</v>
      </c>
      <c r="H245" s="1602">
        <f t="shared" si="91"/>
        <v>0</v>
      </c>
      <c r="I245" s="1602">
        <f t="shared" si="91"/>
        <v>0</v>
      </c>
      <c r="J245" s="1602">
        <f t="shared" si="91"/>
        <v>0</v>
      </c>
      <c r="K245" s="1602">
        <f t="shared" si="91"/>
        <v>0</v>
      </c>
      <c r="L245" s="1605"/>
      <c r="M245" s="1605"/>
      <c r="N245" s="1605"/>
      <c r="O245" s="1606"/>
      <c r="P245" s="1603">
        <f t="shared" si="88"/>
        <v>0</v>
      </c>
      <c r="Q245" s="1603">
        <f t="shared" si="88"/>
        <v>0</v>
      </c>
      <c r="R245" s="1604">
        <f t="shared" si="88"/>
        <v>0</v>
      </c>
      <c r="S245" s="1604">
        <f t="shared" si="86"/>
        <v>0</v>
      </c>
      <c r="T245" s="1623"/>
      <c r="U245" s="1623"/>
      <c r="V245" s="1623"/>
    </row>
    <row r="246" spans="1:22" ht="62.1" customHeight="1" x14ac:dyDescent="0.5">
      <c r="A246" s="4288" t="s">
        <v>417</v>
      </c>
      <c r="B246" s="4289"/>
      <c r="C246" s="4289"/>
      <c r="D246" s="4290"/>
      <c r="E246" s="1602" t="e">
        <f t="shared" si="91"/>
        <v>#REF!</v>
      </c>
      <c r="F246" s="1602">
        <f t="shared" si="91"/>
        <v>0</v>
      </c>
      <c r="G246" s="1602">
        <f t="shared" si="91"/>
        <v>0</v>
      </c>
      <c r="H246" s="1602">
        <f t="shared" si="91"/>
        <v>0</v>
      </c>
      <c r="I246" s="1602">
        <f t="shared" si="91"/>
        <v>0</v>
      </c>
      <c r="J246" s="1602">
        <f t="shared" si="91"/>
        <v>0</v>
      </c>
      <c r="K246" s="1602">
        <f t="shared" si="91"/>
        <v>0</v>
      </c>
      <c r="L246" s="1605"/>
      <c r="M246" s="1605"/>
      <c r="N246" s="1605"/>
      <c r="O246" s="1606"/>
      <c r="P246" s="1603">
        <f t="shared" ref="P246:R246" si="92">+F246+I246</f>
        <v>0</v>
      </c>
      <c r="Q246" s="1603">
        <f t="shared" si="92"/>
        <v>0</v>
      </c>
      <c r="R246" s="1604">
        <f t="shared" si="92"/>
        <v>0</v>
      </c>
      <c r="S246" s="1604">
        <f t="shared" si="86"/>
        <v>0</v>
      </c>
      <c r="T246" s="1623"/>
      <c r="U246" s="1623"/>
      <c r="V246" s="1623"/>
    </row>
    <row r="247" spans="1:22" ht="62.1" customHeight="1" thickBot="1" x14ac:dyDescent="0.5">
      <c r="A247" s="1627"/>
      <c r="B247" s="1628"/>
      <c r="C247" s="1629"/>
      <c r="D247" s="1628"/>
    </row>
    <row r="248" spans="1:22" ht="62.1" customHeight="1" x14ac:dyDescent="0.5">
      <c r="A248" s="4283" t="s">
        <v>855</v>
      </c>
      <c r="B248" s="4283"/>
      <c r="C248" s="4283"/>
      <c r="D248" s="4283"/>
      <c r="E248" s="1630" t="e">
        <f t="shared" ref="E248:K248" si="93">SUM(E187:E247)</f>
        <v>#REF!</v>
      </c>
      <c r="F248" s="1630" t="e">
        <f t="shared" si="93"/>
        <v>#REF!</v>
      </c>
      <c r="G248" s="1630" t="e">
        <f t="shared" si="93"/>
        <v>#REF!</v>
      </c>
      <c r="H248" s="1630" t="e">
        <f t="shared" si="93"/>
        <v>#REF!</v>
      </c>
      <c r="I248" s="1630" t="e">
        <f t="shared" ca="1" si="93"/>
        <v>#REF!</v>
      </c>
      <c r="J248" s="1630" t="e">
        <f t="shared" ca="1" si="93"/>
        <v>#REF!</v>
      </c>
      <c r="K248" s="1630" t="e">
        <f t="shared" ca="1" si="93"/>
        <v>#REF!</v>
      </c>
      <c r="L248" s="1630" t="e">
        <f>SUM(F248:H248)</f>
        <v>#REF!</v>
      </c>
      <c r="M248" s="1630" t="e">
        <f ca="1">SUM(I248:K248)</f>
        <v>#REF!</v>
      </c>
      <c r="N248" s="1630" t="e">
        <f>SUM(L248:M248)</f>
        <v>#REF!</v>
      </c>
      <c r="O248" s="1631"/>
      <c r="P248" s="1632" t="e">
        <f ca="1">SUM(P187:P247)</f>
        <v>#REF!</v>
      </c>
      <c r="Q248" s="1632" t="e">
        <f ca="1">SUM(Q187:Q247)</f>
        <v>#REF!</v>
      </c>
      <c r="R248" s="1632" t="e">
        <f ca="1">SUM(R187:R247)</f>
        <v>#REF!</v>
      </c>
      <c r="S248" s="1604" t="e">
        <f t="shared" ca="1" si="86"/>
        <v>#REF!</v>
      </c>
      <c r="T248" s="1489" t="e">
        <f ca="1">SUM(T187:T247)</f>
        <v>#REF!</v>
      </c>
    </row>
    <row r="249" spans="1:22" ht="62.1" customHeight="1" x14ac:dyDescent="0.45">
      <c r="A249" s="1633"/>
      <c r="B249" s="1634"/>
      <c r="C249" s="1634"/>
      <c r="D249" s="1634"/>
      <c r="F249" s="4237" t="s">
        <v>304</v>
      </c>
      <c r="G249" s="4238"/>
      <c r="H249" s="4240"/>
      <c r="I249" s="4237" t="s">
        <v>439</v>
      </c>
      <c r="J249" s="4238"/>
      <c r="K249" s="4240"/>
      <c r="L249" s="1635"/>
      <c r="N249" s="1636">
        <f>+'Compra -HOJA1'!F10</f>
        <v>0</v>
      </c>
      <c r="O249" s="1518"/>
      <c r="P249" s="4237" t="s">
        <v>449</v>
      </c>
      <c r="Q249" s="4238"/>
      <c r="R249" s="4240"/>
    </row>
    <row r="250" spans="1:22" ht="62.1" customHeight="1" x14ac:dyDescent="0.45">
      <c r="A250" s="1633"/>
      <c r="B250" s="1634"/>
      <c r="C250" s="1634"/>
      <c r="D250" s="1634"/>
      <c r="E250" s="1594"/>
      <c r="F250" s="1600" t="s">
        <v>287</v>
      </c>
      <c r="G250" s="1600" t="s">
        <v>289</v>
      </c>
      <c r="H250" s="1600" t="s">
        <v>288</v>
      </c>
      <c r="I250" s="1600" t="s">
        <v>287</v>
      </c>
      <c r="J250" s="1600" t="s">
        <v>289</v>
      </c>
      <c r="K250" s="1600" t="s">
        <v>288</v>
      </c>
      <c r="L250" s="1600"/>
      <c r="M250" s="1600"/>
      <c r="N250" s="1600"/>
      <c r="O250" s="1601"/>
      <c r="P250" s="1600" t="s">
        <v>287</v>
      </c>
      <c r="Q250" s="1600" t="s">
        <v>289</v>
      </c>
      <c r="R250" s="1600" t="s">
        <v>288</v>
      </c>
    </row>
    <row r="251" spans="1:22" ht="62.1" customHeight="1" x14ac:dyDescent="0.45">
      <c r="A251" s="1594"/>
      <c r="B251" s="1594"/>
      <c r="C251" s="1594"/>
      <c r="D251" s="1594"/>
      <c r="E251" s="1594"/>
      <c r="F251" s="1637"/>
      <c r="G251" s="1638"/>
      <c r="H251" s="1638"/>
      <c r="I251" s="1638"/>
      <c r="J251" s="1638"/>
      <c r="K251" s="1638"/>
      <c r="L251" s="1638"/>
      <c r="M251" s="1638"/>
      <c r="N251" s="1638"/>
      <c r="O251" s="1637"/>
      <c r="P251" s="1638"/>
      <c r="Q251" s="1638"/>
      <c r="R251" s="1638"/>
    </row>
    <row r="252" spans="1:22" ht="62.1" customHeight="1" x14ac:dyDescent="0.45">
      <c r="A252" s="1594"/>
      <c r="B252" s="1594"/>
      <c r="C252" s="1594"/>
      <c r="D252" s="1594"/>
      <c r="E252" s="1594"/>
      <c r="F252" s="1638"/>
      <c r="G252" s="1638"/>
      <c r="H252" s="1638"/>
      <c r="I252" s="1638"/>
      <c r="J252" s="1638"/>
      <c r="K252" s="1638"/>
      <c r="L252" s="1638"/>
      <c r="M252" s="1638"/>
      <c r="N252" s="1638"/>
      <c r="O252" s="1637"/>
      <c r="P252" s="1638"/>
      <c r="Q252" s="1638"/>
      <c r="R252" s="1638"/>
    </row>
    <row r="253" spans="1:22" ht="62.1" customHeight="1" x14ac:dyDescent="0.45">
      <c r="A253" s="1639" t="s">
        <v>445</v>
      </c>
      <c r="B253" s="1640"/>
      <c r="C253" s="1640"/>
      <c r="D253" s="4274" t="s">
        <v>446</v>
      </c>
      <c r="E253" s="1639"/>
      <c r="F253" s="4275" t="s">
        <v>447</v>
      </c>
      <c r="G253" s="5336" t="s">
        <v>304</v>
      </c>
      <c r="H253" s="5336"/>
      <c r="I253" s="5336"/>
      <c r="J253" s="5336" t="s">
        <v>448</v>
      </c>
      <c r="K253" s="5336"/>
      <c r="L253" s="5336"/>
      <c r="M253" s="5336"/>
      <c r="N253" s="5336"/>
      <c r="O253" s="5336"/>
      <c r="P253" s="5336"/>
      <c r="Q253" s="5337" t="s">
        <v>449</v>
      </c>
      <c r="R253" s="5337"/>
      <c r="S253" s="5337"/>
    </row>
    <row r="254" spans="1:22" ht="62.1" customHeight="1" x14ac:dyDescent="0.45">
      <c r="A254" s="1639"/>
      <c r="B254" s="1640"/>
      <c r="C254" s="1640"/>
      <c r="D254" s="4274"/>
      <c r="E254" s="1639"/>
      <c r="F254" s="4275"/>
      <c r="G254" s="1641" t="s">
        <v>287</v>
      </c>
      <c r="H254" s="1641" t="s">
        <v>450</v>
      </c>
      <c r="I254" s="1641" t="s">
        <v>288</v>
      </c>
      <c r="J254" s="1641" t="s">
        <v>287</v>
      </c>
      <c r="K254" s="1641" t="s">
        <v>450</v>
      </c>
      <c r="L254" s="1641"/>
      <c r="M254" s="1641"/>
      <c r="N254" s="1641"/>
      <c r="O254" s="1642"/>
      <c r="P254" s="1641" t="s">
        <v>288</v>
      </c>
      <c r="Q254" s="1515" t="s">
        <v>287</v>
      </c>
      <c r="R254" s="1515" t="s">
        <v>289</v>
      </c>
      <c r="S254" s="1515" t="s">
        <v>288</v>
      </c>
    </row>
    <row r="255" spans="1:22" ht="62.1" customHeight="1" thickBot="1" x14ac:dyDescent="0.5">
      <c r="A255" s="1510"/>
      <c r="B255" s="1510"/>
      <c r="C255" s="1510"/>
      <c r="D255" s="1510"/>
      <c r="E255" s="1510"/>
      <c r="F255" s="1510"/>
      <c r="G255" s="1510"/>
      <c r="H255" s="1510"/>
      <c r="I255" s="1510"/>
    </row>
    <row r="256" spans="1:22" ht="62.1" customHeight="1" thickBot="1" x14ac:dyDescent="0.5">
      <c r="A256" s="1643" t="s">
        <v>23</v>
      </c>
      <c r="B256" s="1644" t="s">
        <v>454</v>
      </c>
      <c r="C256" s="1645"/>
      <c r="D256" s="1646">
        <f t="shared" ref="D256:K257" si="94">+INT(D368)</f>
        <v>0</v>
      </c>
      <c r="E256" s="1646">
        <f t="shared" si="94"/>
        <v>0</v>
      </c>
      <c r="F256" s="1646">
        <f t="shared" si="94"/>
        <v>0</v>
      </c>
      <c r="G256" s="1646">
        <f t="shared" si="94"/>
        <v>0</v>
      </c>
      <c r="H256" s="1646">
        <f t="shared" si="94"/>
        <v>0</v>
      </c>
      <c r="I256" s="1646">
        <f t="shared" si="94"/>
        <v>0</v>
      </c>
      <c r="J256" s="1646">
        <f t="shared" si="94"/>
        <v>0</v>
      </c>
      <c r="K256" s="1646">
        <f t="shared" si="94"/>
        <v>0</v>
      </c>
      <c r="L256" s="1646"/>
      <c r="M256" s="1646"/>
      <c r="N256" s="1646"/>
      <c r="O256" s="1647"/>
      <c r="P256" s="1646">
        <f>+ROUND((P368),0)</f>
        <v>0</v>
      </c>
      <c r="Q256" s="1648">
        <f>+G256+J256</f>
        <v>0</v>
      </c>
      <c r="R256" s="1648">
        <f>+H256+K256</f>
        <v>0</v>
      </c>
      <c r="S256" s="1649">
        <f>+I256+P256</f>
        <v>0</v>
      </c>
    </row>
    <row r="257" spans="1:19" ht="62.1" customHeight="1" x14ac:dyDescent="0.45">
      <c r="A257" s="1643" t="s">
        <v>24</v>
      </c>
      <c r="B257" s="1644" t="s">
        <v>454</v>
      </c>
      <c r="C257" s="1645"/>
      <c r="D257" s="1646">
        <f t="shared" si="94"/>
        <v>0</v>
      </c>
      <c r="E257" s="1646">
        <f t="shared" si="94"/>
        <v>0</v>
      </c>
      <c r="F257" s="1646">
        <f t="shared" si="94"/>
        <v>0</v>
      </c>
      <c r="G257" s="1646">
        <f t="shared" si="94"/>
        <v>0</v>
      </c>
      <c r="H257" s="1646">
        <f t="shared" si="94"/>
        <v>0</v>
      </c>
      <c r="I257" s="1646">
        <f t="shared" si="94"/>
        <v>0</v>
      </c>
      <c r="J257" s="1646">
        <f t="shared" si="94"/>
        <v>0</v>
      </c>
      <c r="K257" s="1646">
        <f t="shared" si="94"/>
        <v>0</v>
      </c>
      <c r="L257" s="1646"/>
      <c r="M257" s="1646"/>
      <c r="N257" s="1646"/>
      <c r="O257" s="1647"/>
      <c r="P257" s="1646">
        <f>+ROUND((P369),0)</f>
        <v>0</v>
      </c>
      <c r="Q257" s="1648">
        <f>+G257+J257</f>
        <v>0</v>
      </c>
      <c r="R257" s="1648">
        <f>+H257+K257</f>
        <v>0</v>
      </c>
      <c r="S257" s="1649">
        <f>+I257+P257</f>
        <v>0</v>
      </c>
    </row>
    <row r="258" spans="1:19" ht="62.1" customHeight="1" x14ac:dyDescent="0.5">
      <c r="A258" s="4285" t="s">
        <v>451</v>
      </c>
      <c r="B258" s="4286"/>
      <c r="C258" s="4287"/>
      <c r="D258" s="1630">
        <f>SUM(D256:D257)</f>
        <v>0</v>
      </c>
      <c r="E258" s="1630"/>
      <c r="F258" s="1630">
        <f t="shared" ref="F258:S258" si="95">SUM(F256:F257)</f>
        <v>0</v>
      </c>
      <c r="G258" s="1630">
        <f t="shared" si="95"/>
        <v>0</v>
      </c>
      <c r="H258" s="1630">
        <f t="shared" si="95"/>
        <v>0</v>
      </c>
      <c r="I258" s="1630">
        <f t="shared" si="95"/>
        <v>0</v>
      </c>
      <c r="J258" s="1630">
        <f t="shared" si="95"/>
        <v>0</v>
      </c>
      <c r="K258" s="1630">
        <f t="shared" si="95"/>
        <v>0</v>
      </c>
      <c r="L258" s="1650"/>
      <c r="M258" s="1650"/>
      <c r="N258" s="1650"/>
      <c r="O258" s="1650"/>
      <c r="P258" s="1650">
        <f t="shared" si="95"/>
        <v>0</v>
      </c>
      <c r="Q258" s="1650">
        <f t="shared" si="95"/>
        <v>0</v>
      </c>
      <c r="R258" s="1650">
        <f t="shared" si="95"/>
        <v>0</v>
      </c>
      <c r="S258" s="1650">
        <f t="shared" si="95"/>
        <v>0</v>
      </c>
    </row>
    <row r="259" spans="1:19" ht="62.1" customHeight="1" x14ac:dyDescent="0.45"/>
    <row r="260" spans="1:19" ht="62.1" customHeight="1" x14ac:dyDescent="0.45"/>
    <row r="261" spans="1:19" ht="62.1" customHeight="1" x14ac:dyDescent="0.45"/>
    <row r="262" spans="1:19" ht="62.1" customHeight="1" x14ac:dyDescent="0.45">
      <c r="A262" s="1594" t="s">
        <v>452</v>
      </c>
      <c r="B262" s="1594"/>
      <c r="C262" s="1594"/>
      <c r="D262" s="1594"/>
      <c r="E262" s="1594"/>
      <c r="F262" s="1594"/>
      <c r="G262" s="1594"/>
      <c r="H262" s="1594"/>
      <c r="I262" s="1594"/>
    </row>
    <row r="263" spans="1:19" ht="62.1" customHeight="1" x14ac:dyDescent="0.45">
      <c r="A263" s="1639" t="s">
        <v>445</v>
      </c>
      <c r="B263" s="1640"/>
      <c r="C263" s="1640"/>
      <c r="D263" s="1639" t="s">
        <v>446</v>
      </c>
      <c r="E263" s="1639"/>
      <c r="F263" s="1639" t="s">
        <v>447</v>
      </c>
      <c r="G263" s="4274" t="s">
        <v>304</v>
      </c>
      <c r="H263" s="4274"/>
      <c r="I263" s="4274"/>
      <c r="J263" s="4274" t="s">
        <v>453</v>
      </c>
      <c r="K263" s="4274"/>
      <c r="L263" s="4274"/>
      <c r="M263" s="4274"/>
      <c r="N263" s="4274"/>
      <c r="O263" s="4274"/>
      <c r="P263" s="4274"/>
      <c r="Q263" s="4237" t="s">
        <v>449</v>
      </c>
      <c r="R263" s="4238"/>
      <c r="S263" s="4240"/>
    </row>
    <row r="264" spans="1:19" ht="62.1" customHeight="1" x14ac:dyDescent="0.45">
      <c r="A264" s="1639"/>
      <c r="B264" s="1640"/>
      <c r="C264" s="1640"/>
      <c r="D264" s="1639"/>
      <c r="E264" s="1639"/>
      <c r="F264" s="1639"/>
      <c r="G264" s="1640" t="s">
        <v>287</v>
      </c>
      <c r="H264" s="1640" t="s">
        <v>450</v>
      </c>
      <c r="I264" s="1640" t="s">
        <v>288</v>
      </c>
      <c r="J264" s="1640" t="s">
        <v>287</v>
      </c>
      <c r="K264" s="1640" t="s">
        <v>450</v>
      </c>
      <c r="L264" s="1640"/>
      <c r="M264" s="1640"/>
      <c r="N264" s="1640"/>
      <c r="O264" s="1651"/>
      <c r="P264" s="1640" t="s">
        <v>288</v>
      </c>
      <c r="Q264" s="1515" t="s">
        <v>287</v>
      </c>
      <c r="R264" s="1515" t="s">
        <v>289</v>
      </c>
      <c r="S264" s="1515" t="s">
        <v>288</v>
      </c>
    </row>
    <row r="265" spans="1:19" ht="62.1" customHeight="1" x14ac:dyDescent="0.45">
      <c r="A265" s="1510"/>
      <c r="B265" s="1510"/>
      <c r="C265" s="1510"/>
      <c r="D265" s="1510"/>
      <c r="E265" s="1510"/>
      <c r="F265" s="1510"/>
      <c r="G265" s="1510"/>
      <c r="H265" s="1510"/>
      <c r="I265" s="1510"/>
    </row>
    <row r="266" spans="1:19" ht="62.1" customHeight="1" x14ac:dyDescent="0.45">
      <c r="A266" s="1652" t="s">
        <v>24</v>
      </c>
      <c r="B266" s="1645" t="s">
        <v>454</v>
      </c>
      <c r="C266" s="1645"/>
      <c r="D266" s="1646">
        <f>+ROUND(D378,0)</f>
        <v>0</v>
      </c>
      <c r="E266" s="1646">
        <f t="shared" ref="E266:K266" si="96">+INT(E378)</f>
        <v>0</v>
      </c>
      <c r="F266" s="1646">
        <f t="shared" si="96"/>
        <v>0</v>
      </c>
      <c r="G266" s="1646">
        <f t="shared" si="96"/>
        <v>0</v>
      </c>
      <c r="H266" s="1646">
        <f t="shared" si="96"/>
        <v>0</v>
      </c>
      <c r="I266" s="1646">
        <f t="shared" si="96"/>
        <v>0</v>
      </c>
      <c r="J266" s="1646">
        <f t="shared" si="96"/>
        <v>0</v>
      </c>
      <c r="K266" s="1646">
        <f t="shared" si="96"/>
        <v>0</v>
      </c>
      <c r="L266" s="1646"/>
      <c r="M266" s="1646"/>
      <c r="N266" s="1646"/>
      <c r="O266" s="1647"/>
      <c r="P266" s="1646">
        <f>+ROUND((P378),0)</f>
        <v>0</v>
      </c>
      <c r="Q266" s="1653">
        <f>+G266+J266</f>
        <v>0</v>
      </c>
      <c r="R266" s="1653">
        <f>+H266+K266</f>
        <v>0</v>
      </c>
      <c r="S266" s="1573">
        <f>+I266+P266</f>
        <v>0</v>
      </c>
    </row>
    <row r="267" spans="1:19" ht="62.1" customHeight="1" x14ac:dyDescent="0.45">
      <c r="A267" s="1654"/>
      <c r="B267" s="1654"/>
      <c r="C267" s="1654"/>
      <c r="D267" s="1655"/>
      <c r="E267" s="1655"/>
      <c r="F267" s="1655"/>
      <c r="G267" s="1655"/>
      <c r="H267" s="1655"/>
      <c r="I267" s="1655"/>
    </row>
    <row r="268" spans="1:19" ht="62.1" customHeight="1" x14ac:dyDescent="0.5">
      <c r="A268" s="4285" t="s">
        <v>455</v>
      </c>
      <c r="B268" s="4286"/>
      <c r="C268" s="4287"/>
      <c r="D268" s="1630">
        <f>SUM(D266:D267)</f>
        <v>0</v>
      </c>
      <c r="E268" s="1630"/>
      <c r="F268" s="1630">
        <f>SUM(F266:F267)</f>
        <v>0</v>
      </c>
      <c r="G268" s="1630">
        <f>SUM(G266:G266)</f>
        <v>0</v>
      </c>
      <c r="H268" s="1630">
        <f>SUM(H266:H266)</f>
        <v>0</v>
      </c>
      <c r="I268" s="1630">
        <f>SUM(I266:I266)</f>
        <v>0</v>
      </c>
      <c r="J268" s="1630">
        <f t="shared" ref="J268:S268" si="97">SUM(J266:J266)</f>
        <v>0</v>
      </c>
      <c r="K268" s="1630">
        <f t="shared" si="97"/>
        <v>0</v>
      </c>
      <c r="L268" s="1656"/>
      <c r="M268" s="1656"/>
      <c r="N268" s="1656"/>
      <c r="O268" s="1650"/>
      <c r="P268" s="1656">
        <f t="shared" si="97"/>
        <v>0</v>
      </c>
      <c r="Q268" s="1656">
        <f t="shared" si="97"/>
        <v>0</v>
      </c>
      <c r="R268" s="1656">
        <f t="shared" si="97"/>
        <v>0</v>
      </c>
      <c r="S268" s="1656">
        <f t="shared" si="97"/>
        <v>0</v>
      </c>
    </row>
    <row r="269" spans="1:19" ht="62.1" customHeight="1" x14ac:dyDescent="0.45"/>
    <row r="270" spans="1:19" ht="62.1" customHeight="1" x14ac:dyDescent="0.45"/>
    <row r="271" spans="1:19" ht="62.1" customHeight="1" x14ac:dyDescent="0.45"/>
    <row r="272" spans="1:19" ht="62.1" customHeight="1" x14ac:dyDescent="0.45">
      <c r="A272" s="1594" t="s">
        <v>456</v>
      </c>
      <c r="B272" s="1594"/>
      <c r="C272" s="1594"/>
      <c r="D272" s="1594"/>
      <c r="E272" s="1594"/>
      <c r="F272" s="1594"/>
      <c r="G272" s="1594"/>
      <c r="H272" s="1594"/>
      <c r="I272" s="1594"/>
      <c r="J272" s="1594"/>
      <c r="K272" s="1594"/>
      <c r="L272" s="1594"/>
      <c r="M272" s="1594"/>
      <c r="N272" s="1594"/>
      <c r="O272" s="1657"/>
      <c r="P272" s="1658"/>
      <c r="Q272" s="1658"/>
      <c r="R272" s="1658"/>
      <c r="S272" s="1594"/>
    </row>
    <row r="273" spans="1:23" ht="62.1" customHeight="1" x14ac:dyDescent="0.45">
      <c r="A273" s="1594"/>
      <c r="B273" s="1594"/>
      <c r="C273" s="1594"/>
      <c r="D273" s="1594"/>
      <c r="E273" s="1594"/>
      <c r="F273" s="1594"/>
      <c r="G273" s="1594"/>
      <c r="H273" s="1594"/>
      <c r="I273" s="1594"/>
      <c r="J273" s="1594"/>
      <c r="K273" s="1594"/>
      <c r="L273" s="1594"/>
      <c r="M273" s="1594"/>
      <c r="N273" s="1594"/>
      <c r="O273" s="1657"/>
      <c r="P273" s="1658"/>
      <c r="Q273" s="1658"/>
      <c r="R273" s="1658"/>
      <c r="S273" s="1594"/>
    </row>
    <row r="274" spans="1:23" ht="62.1" customHeight="1" x14ac:dyDescent="0.45"/>
    <row r="275" spans="1:23" ht="62.1" customHeight="1" x14ac:dyDescent="0.45">
      <c r="A275" s="1639" t="s">
        <v>457</v>
      </c>
      <c r="B275" s="1640"/>
      <c r="C275" s="1640"/>
      <c r="D275" s="1639" t="s">
        <v>26</v>
      </c>
      <c r="E275" s="1639"/>
      <c r="F275" s="1639" t="s">
        <v>458</v>
      </c>
      <c r="G275" s="4274" t="s">
        <v>304</v>
      </c>
      <c r="H275" s="4274"/>
      <c r="I275" s="4274"/>
      <c r="J275" s="4274" t="s">
        <v>453</v>
      </c>
      <c r="K275" s="4274"/>
      <c r="L275" s="4274"/>
      <c r="M275" s="4274"/>
      <c r="N275" s="4274"/>
      <c r="O275" s="4274"/>
      <c r="P275" s="4274"/>
      <c r="Q275" s="4237" t="s">
        <v>449</v>
      </c>
      <c r="R275" s="4238"/>
      <c r="S275" s="4240"/>
    </row>
    <row r="276" spans="1:23" ht="62.1" customHeight="1" x14ac:dyDescent="0.45">
      <c r="A276" s="1639"/>
      <c r="B276" s="1640"/>
      <c r="C276" s="1640"/>
      <c r="D276" s="1639"/>
      <c r="E276" s="1639"/>
      <c r="F276" s="1639"/>
      <c r="G276" s="1640" t="s">
        <v>287</v>
      </c>
      <c r="H276" s="1640" t="s">
        <v>450</v>
      </c>
      <c r="I276" s="1640" t="s">
        <v>288</v>
      </c>
      <c r="J276" s="1640" t="s">
        <v>287</v>
      </c>
      <c r="K276" s="1640" t="s">
        <v>450</v>
      </c>
      <c r="L276" s="1640"/>
      <c r="M276" s="1640"/>
      <c r="N276" s="1640"/>
      <c r="O276" s="1651"/>
      <c r="P276" s="1640" t="s">
        <v>288</v>
      </c>
      <c r="Q276" s="1515" t="s">
        <v>287</v>
      </c>
      <c r="R276" s="1515" t="s">
        <v>289</v>
      </c>
      <c r="S276" s="1515" t="s">
        <v>288</v>
      </c>
    </row>
    <row r="277" spans="1:23" ht="62.1" customHeight="1" x14ac:dyDescent="0.45"/>
    <row r="278" spans="1:23" ht="62.1" customHeight="1" x14ac:dyDescent="0.45">
      <c r="A278" s="1652" t="s">
        <v>23</v>
      </c>
      <c r="B278" s="1645" t="s">
        <v>454</v>
      </c>
      <c r="C278" s="1645"/>
      <c r="D278" s="1646">
        <f>+INT(D390)</f>
        <v>0</v>
      </c>
      <c r="E278" s="1646">
        <f t="shared" ref="E278:P279" si="98">+INT(E390)</f>
        <v>0</v>
      </c>
      <c r="F278" s="1646">
        <f t="shared" ca="1" si="98"/>
        <v>0</v>
      </c>
      <c r="G278" s="1646">
        <f t="shared" ca="1" si="98"/>
        <v>0</v>
      </c>
      <c r="H278" s="1646">
        <f t="shared" ca="1" si="98"/>
        <v>0</v>
      </c>
      <c r="I278" s="1646">
        <f t="shared" ca="1" si="98"/>
        <v>0</v>
      </c>
      <c r="J278" s="1646">
        <f t="shared" ca="1" si="98"/>
        <v>0</v>
      </c>
      <c r="K278" s="1646">
        <f t="shared" ca="1" si="98"/>
        <v>0</v>
      </c>
      <c r="L278" s="1549"/>
      <c r="M278" s="1549"/>
      <c r="N278" s="1549"/>
      <c r="O278" s="1659"/>
      <c r="P278" s="1660">
        <f ca="1">+INT(P390)</f>
        <v>0</v>
      </c>
      <c r="Q278" s="1661">
        <f ca="1">+J278+G278</f>
        <v>0</v>
      </c>
      <c r="R278" s="1661">
        <f ca="1">+K278+H278</f>
        <v>0</v>
      </c>
      <c r="S278" s="1662">
        <f ca="1">+P278+I278</f>
        <v>0</v>
      </c>
    </row>
    <row r="279" spans="1:23" ht="62.1" customHeight="1" x14ac:dyDescent="0.45">
      <c r="A279" s="1652" t="s">
        <v>24</v>
      </c>
      <c r="B279" s="1645" t="s">
        <v>454</v>
      </c>
      <c r="C279" s="1645"/>
      <c r="D279" s="1646">
        <f>+INT(D391)</f>
        <v>0</v>
      </c>
      <c r="E279" s="1646">
        <f t="shared" si="98"/>
        <v>0</v>
      </c>
      <c r="F279" s="1646">
        <f t="shared" ca="1" si="98"/>
        <v>0</v>
      </c>
      <c r="G279" s="1646">
        <f t="shared" ca="1" si="98"/>
        <v>0</v>
      </c>
      <c r="H279" s="1646">
        <f t="shared" ca="1" si="98"/>
        <v>0</v>
      </c>
      <c r="I279" s="1646">
        <f t="shared" ca="1" si="98"/>
        <v>0</v>
      </c>
      <c r="J279" s="1646">
        <f t="shared" ca="1" si="98"/>
        <v>0</v>
      </c>
      <c r="K279" s="1646">
        <f t="shared" ca="1" si="98"/>
        <v>0</v>
      </c>
      <c r="L279" s="1549"/>
      <c r="M279" s="1549"/>
      <c r="N279" s="1549"/>
      <c r="O279" s="1659"/>
      <c r="P279" s="1660">
        <f t="shared" ca="1" si="98"/>
        <v>0</v>
      </c>
      <c r="Q279" s="1661">
        <f ca="1">+J279+G279</f>
        <v>0</v>
      </c>
      <c r="R279" s="1661">
        <f ca="1">+K279+H279</f>
        <v>0</v>
      </c>
      <c r="S279" s="1662">
        <f ca="1">+P279+I279</f>
        <v>0</v>
      </c>
    </row>
    <row r="280" spans="1:23" ht="62.1" customHeight="1" x14ac:dyDescent="0.5">
      <c r="A280" s="1630" t="s">
        <v>459</v>
      </c>
      <c r="B280" s="1630"/>
      <c r="C280" s="1630"/>
      <c r="D280" s="1630">
        <f>SUM(D278:D279)</f>
        <v>0</v>
      </c>
      <c r="E280" s="1630"/>
      <c r="F280" s="1630">
        <f t="shared" ref="F280:S280" ca="1" si="99">SUM(F278:F279)</f>
        <v>0</v>
      </c>
      <c r="G280" s="1630">
        <f t="shared" ca="1" si="99"/>
        <v>0</v>
      </c>
      <c r="H280" s="1630">
        <f t="shared" ca="1" si="99"/>
        <v>0</v>
      </c>
      <c r="I280" s="1630">
        <f t="shared" ca="1" si="99"/>
        <v>0</v>
      </c>
      <c r="J280" s="1630">
        <f t="shared" ca="1" si="99"/>
        <v>0</v>
      </c>
      <c r="K280" s="1630">
        <f t="shared" ca="1" si="99"/>
        <v>0</v>
      </c>
      <c r="L280" s="1663"/>
      <c r="M280" s="1663"/>
      <c r="N280" s="1663"/>
      <c r="O280" s="1631"/>
      <c r="P280" s="1664">
        <f t="shared" ca="1" si="99"/>
        <v>0</v>
      </c>
      <c r="Q280" s="1664">
        <f t="shared" ca="1" si="99"/>
        <v>0</v>
      </c>
      <c r="R280" s="1664">
        <f t="shared" ca="1" si="99"/>
        <v>0</v>
      </c>
      <c r="S280" s="1663">
        <f t="shared" ca="1" si="99"/>
        <v>0</v>
      </c>
    </row>
    <row r="281" spans="1:23" ht="62.1" customHeight="1" x14ac:dyDescent="0.5">
      <c r="B281" s="1665" t="s">
        <v>429</v>
      </c>
      <c r="C281" s="1665"/>
      <c r="G281" s="1666" t="e">
        <f t="shared" ref="G281:P282" si="100">+INT(G394)</f>
        <v>#REF!</v>
      </c>
      <c r="H281" s="1666" t="e">
        <f t="shared" si="100"/>
        <v>#REF!</v>
      </c>
      <c r="I281" s="1666" t="e">
        <f t="shared" si="100"/>
        <v>#REF!</v>
      </c>
      <c r="J281" s="1666" t="e">
        <f t="shared" si="100"/>
        <v>#REF!</v>
      </c>
      <c r="K281" s="1666" t="e">
        <f t="shared" si="100"/>
        <v>#REF!</v>
      </c>
      <c r="L281" s="1666"/>
      <c r="M281" s="1666"/>
      <c r="N281" s="1666"/>
      <c r="O281" s="1667"/>
      <c r="P281" s="1666" t="e">
        <f t="shared" si="100"/>
        <v>#REF!</v>
      </c>
      <c r="Q281" s="1661" t="e">
        <f>+J281+G281</f>
        <v>#REF!</v>
      </c>
      <c r="R281" s="1661" t="e">
        <f>+K281+H281</f>
        <v>#REF!</v>
      </c>
      <c r="S281" s="1662" t="e">
        <f>+P281+I281</f>
        <v>#REF!</v>
      </c>
    </row>
    <row r="282" spans="1:23" ht="62.1" customHeight="1" x14ac:dyDescent="0.5">
      <c r="A282" s="1498"/>
      <c r="B282" s="1665" t="s">
        <v>430</v>
      </c>
      <c r="C282" s="1498"/>
      <c r="D282" s="1498"/>
      <c r="E282" s="1498"/>
      <c r="F282" s="1498"/>
      <c r="G282" s="1666">
        <f t="shared" si="100"/>
        <v>0</v>
      </c>
      <c r="H282" s="1666">
        <f t="shared" si="100"/>
        <v>0</v>
      </c>
      <c r="I282" s="1666">
        <f t="shared" si="100"/>
        <v>0</v>
      </c>
      <c r="J282" s="1666">
        <f t="shared" si="100"/>
        <v>0</v>
      </c>
      <c r="K282" s="1666">
        <f t="shared" si="100"/>
        <v>0</v>
      </c>
      <c r="L282" s="1666"/>
      <c r="M282" s="1666"/>
      <c r="N282" s="1666"/>
      <c r="O282" s="1667"/>
      <c r="P282" s="1666">
        <f t="shared" si="100"/>
        <v>0</v>
      </c>
      <c r="Q282" s="1661">
        <f>+J282+G282</f>
        <v>0</v>
      </c>
      <c r="R282" s="1661">
        <f>+K282+H282</f>
        <v>0</v>
      </c>
      <c r="S282" s="1662">
        <f>+P282+I282</f>
        <v>0</v>
      </c>
    </row>
    <row r="283" spans="1:23" ht="62.1" customHeight="1" x14ac:dyDescent="0.45">
      <c r="A283" s="1668"/>
      <c r="B283" s="5331" t="s">
        <v>460</v>
      </c>
      <c r="C283" s="5331"/>
      <c r="D283" s="5331"/>
      <c r="E283" s="5331"/>
      <c r="F283" s="5331"/>
      <c r="G283" s="1669" t="e">
        <f t="shared" ref="G283:S283" si="101">SUM(G281:G282)</f>
        <v>#REF!</v>
      </c>
      <c r="H283" s="1669" t="e">
        <f t="shared" si="101"/>
        <v>#REF!</v>
      </c>
      <c r="I283" s="1669" t="e">
        <f t="shared" si="101"/>
        <v>#REF!</v>
      </c>
      <c r="J283" s="1669" t="e">
        <f t="shared" si="101"/>
        <v>#REF!</v>
      </c>
      <c r="K283" s="1669" t="e">
        <f t="shared" si="101"/>
        <v>#REF!</v>
      </c>
      <c r="L283" s="1669"/>
      <c r="M283" s="1669"/>
      <c r="N283" s="1669"/>
      <c r="O283" s="1670"/>
      <c r="P283" s="1671" t="e">
        <f t="shared" si="101"/>
        <v>#REF!</v>
      </c>
      <c r="Q283" s="1671" t="e">
        <f t="shared" si="101"/>
        <v>#REF!</v>
      </c>
      <c r="R283" s="1671" t="e">
        <f t="shared" si="101"/>
        <v>#REF!</v>
      </c>
      <c r="S283" s="1669" t="e">
        <f t="shared" si="101"/>
        <v>#REF!</v>
      </c>
    </row>
    <row r="284" spans="1:23" ht="62.1" customHeight="1" x14ac:dyDescent="0.45">
      <c r="A284" s="1672"/>
      <c r="B284" s="1672"/>
      <c r="C284" s="1672"/>
      <c r="G284" s="4264" t="s">
        <v>304</v>
      </c>
      <c r="H284" s="4264"/>
      <c r="I284" s="4264"/>
      <c r="J284" s="4264" t="s">
        <v>453</v>
      </c>
      <c r="K284" s="4264"/>
      <c r="L284" s="4264"/>
      <c r="M284" s="4264"/>
      <c r="N284" s="4264"/>
      <c r="O284" s="4264"/>
      <c r="P284" s="4264"/>
      <c r="Q284" s="4510" t="s">
        <v>449</v>
      </c>
      <c r="R284" s="4510"/>
      <c r="S284" s="4510"/>
    </row>
    <row r="285" spans="1:23" ht="62.1" customHeight="1" x14ac:dyDescent="0.45">
      <c r="A285" s="1672"/>
      <c r="B285" s="1672"/>
      <c r="C285" s="1672"/>
      <c r="G285" s="1641" t="s">
        <v>287</v>
      </c>
      <c r="H285" s="1641" t="s">
        <v>450</v>
      </c>
      <c r="I285" s="1641" t="s">
        <v>288</v>
      </c>
      <c r="J285" s="1641" t="s">
        <v>287</v>
      </c>
      <c r="K285" s="1641" t="s">
        <v>450</v>
      </c>
      <c r="L285" s="1641"/>
      <c r="M285" s="1641"/>
      <c r="N285" s="1641"/>
      <c r="O285" s="1642"/>
      <c r="P285" s="1641" t="s">
        <v>288</v>
      </c>
      <c r="Q285" s="1515" t="s">
        <v>287</v>
      </c>
      <c r="R285" s="1515" t="s">
        <v>289</v>
      </c>
      <c r="S285" s="1515" t="s">
        <v>288</v>
      </c>
    </row>
    <row r="286" spans="1:23" ht="62.1" customHeight="1" x14ac:dyDescent="0.45">
      <c r="A286" s="4264" t="s">
        <v>431</v>
      </c>
      <c r="B286" s="4264"/>
      <c r="C286" s="4264"/>
      <c r="D286" s="4264"/>
      <c r="E286" s="4264"/>
      <c r="F286" s="4278"/>
      <c r="G286" s="1673" t="e">
        <f ca="1">+F248+G258+G268+G280+G283</f>
        <v>#REF!</v>
      </c>
      <c r="H286" s="1673" t="e">
        <f t="shared" ref="H286:S286" ca="1" si="102">+G248+H258+H268+H280+H283</f>
        <v>#REF!</v>
      </c>
      <c r="I286" s="1673" t="e">
        <f t="shared" ca="1" si="102"/>
        <v>#REF!</v>
      </c>
      <c r="J286" s="1673" t="e">
        <f t="shared" ca="1" si="102"/>
        <v>#REF!</v>
      </c>
      <c r="K286" s="1673" t="e">
        <f t="shared" ca="1" si="102"/>
        <v>#REF!</v>
      </c>
      <c r="L286" s="1673"/>
      <c r="M286" s="1673"/>
      <c r="N286" s="1673"/>
      <c r="O286" s="1642"/>
      <c r="P286" s="1673" t="e">
        <f ca="1">+K248+P258+P268+P280+P283</f>
        <v>#REF!</v>
      </c>
      <c r="Q286" s="1673" t="e">
        <f t="shared" ca="1" si="102"/>
        <v>#REF!</v>
      </c>
      <c r="R286" s="1673" t="e">
        <f t="shared" ca="1" si="102"/>
        <v>#REF!</v>
      </c>
      <c r="S286" s="1673" t="e">
        <f t="shared" ca="1" si="102"/>
        <v>#REF!</v>
      </c>
    </row>
    <row r="287" spans="1:23" ht="62.1" customHeight="1" x14ac:dyDescent="0.45">
      <c r="A287" s="1641"/>
      <c r="B287" s="1641"/>
      <c r="C287" s="1641"/>
      <c r="D287" s="1641"/>
      <c r="E287" s="1641"/>
      <c r="F287" s="1641"/>
      <c r="G287" s="4395" t="s">
        <v>449</v>
      </c>
      <c r="H287" s="4323"/>
      <c r="I287" s="4396"/>
    </row>
    <row r="288" spans="1:23" ht="62.1" customHeight="1" x14ac:dyDescent="0.45">
      <c r="A288" s="4264" t="s">
        <v>431</v>
      </c>
      <c r="B288" s="4264"/>
      <c r="C288" s="4264"/>
      <c r="D288" s="4264"/>
      <c r="E288" s="4264"/>
      <c r="F288" s="4264"/>
      <c r="G288" s="1674" t="e">
        <f ca="1">+G286+J286</f>
        <v>#REF!</v>
      </c>
      <c r="H288" s="1674" t="e">
        <f ca="1">+H286+K286</f>
        <v>#REF!</v>
      </c>
      <c r="I288" s="1674" t="e">
        <f ca="1">+I286+P286</f>
        <v>#REF!</v>
      </c>
      <c r="J288" s="1573"/>
      <c r="K288" s="1573" t="e">
        <f ca="1">SUM(G288:J288)</f>
        <v>#REF!</v>
      </c>
      <c r="L288" s="1573"/>
      <c r="M288" s="1573"/>
      <c r="N288" s="1573"/>
      <c r="P288" s="1653" t="e">
        <f ca="1">+I288-S286</f>
        <v>#REF!</v>
      </c>
      <c r="T288" s="1594"/>
      <c r="U288" s="1594"/>
      <c r="V288" s="1594"/>
      <c r="W288" s="1594"/>
    </row>
    <row r="289" spans="1:35" ht="62.1" customHeight="1" x14ac:dyDescent="0.45">
      <c r="A289" s="4264" t="s">
        <v>433</v>
      </c>
      <c r="B289" s="4264"/>
      <c r="C289" s="4264"/>
      <c r="D289" s="4264"/>
      <c r="E289" s="4264"/>
      <c r="F289" s="4264"/>
      <c r="G289" s="1675">
        <f>+'Compra -HOJA1'!G10</f>
        <v>0</v>
      </c>
      <c r="H289" s="1675">
        <f>+'Compra -HOJA1'!I10</f>
        <v>0</v>
      </c>
      <c r="I289" s="1675">
        <f>+'Compra -HOJA1'!H10</f>
        <v>0</v>
      </c>
      <c r="K289" s="1573">
        <f>SUM(G289:J289)</f>
        <v>0</v>
      </c>
      <c r="T289" s="1594"/>
      <c r="U289" s="1594"/>
      <c r="V289" s="1594"/>
      <c r="W289" s="1594"/>
    </row>
    <row r="290" spans="1:35" ht="62.1" customHeight="1" x14ac:dyDescent="0.45">
      <c r="A290" s="1676"/>
      <c r="B290" s="1676"/>
      <c r="C290" s="1676"/>
    </row>
    <row r="291" spans="1:35" ht="62.1" customHeight="1" x14ac:dyDescent="0.45">
      <c r="A291" s="1676"/>
      <c r="B291" s="1676"/>
      <c r="C291" s="1676"/>
      <c r="D291" s="1489" t="s">
        <v>435</v>
      </c>
      <c r="G291" s="1573" t="e">
        <f ca="1">IF((G289-G288)=0,"O.K.","VERIFICAR¨")</f>
        <v>#REF!</v>
      </c>
      <c r="H291" s="1573" t="e">
        <f ca="1">IF((H289-H288)=0,"O.K.","VERIFICAR¨")</f>
        <v>#REF!</v>
      </c>
      <c r="I291" s="1573" t="e">
        <f ca="1">IF((I289-I288)=0,"O.K.","VERIFICAR¨")</f>
        <v>#REF!</v>
      </c>
    </row>
    <row r="292" spans="1:35" ht="62.1" customHeight="1" x14ac:dyDescent="0.45">
      <c r="A292" s="1677"/>
      <c r="B292" s="1677"/>
      <c r="C292" s="1677"/>
      <c r="G292" s="1678" t="e">
        <f ca="1">+G289-G288</f>
        <v>#REF!</v>
      </c>
      <c r="H292" s="1678" t="e">
        <f ca="1">+H289-H288</f>
        <v>#REF!</v>
      </c>
      <c r="I292" s="1678" t="e">
        <f ca="1">+I289-I288</f>
        <v>#REF!</v>
      </c>
      <c r="J292" s="1573" t="e">
        <f ca="1">SUM(G292:I292)</f>
        <v>#REF!</v>
      </c>
    </row>
    <row r="293" spans="1:35" ht="62.1" customHeight="1" x14ac:dyDescent="0.45"/>
    <row r="294" spans="1:35" ht="62.1" customHeight="1" x14ac:dyDescent="0.45">
      <c r="A294" s="1594" t="s">
        <v>363</v>
      </c>
      <c r="B294" s="1594"/>
      <c r="C294" s="1594"/>
      <c r="D294" s="1595">
        <f>'Compra -HOJA1'!D2:H2</f>
        <v>0</v>
      </c>
      <c r="E294" s="1595"/>
      <c r="F294" s="1596"/>
      <c r="G294" s="1596"/>
      <c r="H294" s="1596"/>
    </row>
    <row r="295" spans="1:35" ht="62.1" customHeight="1" x14ac:dyDescent="0.45">
      <c r="A295" s="1594" t="s">
        <v>364</v>
      </c>
      <c r="B295" s="1594"/>
      <c r="C295" s="1594"/>
      <c r="D295" s="1502">
        <f>'Compra -HOJA1'!F4</f>
        <v>45536</v>
      </c>
      <c r="E295" s="1502"/>
      <c r="F295" s="1503"/>
      <c r="G295" s="1503"/>
      <c r="H295" s="1503"/>
    </row>
    <row r="296" spans="1:35" ht="62.1" customHeight="1" x14ac:dyDescent="0.45">
      <c r="A296" s="1506"/>
      <c r="B296" s="1506"/>
      <c r="C296" s="1506"/>
      <c r="D296" s="1506"/>
      <c r="E296" s="1506"/>
      <c r="F296" s="1506"/>
      <c r="G296" s="1506"/>
      <c r="H296" s="1506"/>
      <c r="I296" s="1597"/>
    </row>
    <row r="297" spans="1:35" ht="62.1" customHeight="1" x14ac:dyDescent="0.45">
      <c r="A297" s="1506"/>
      <c r="B297" s="1506"/>
      <c r="C297" s="1506"/>
      <c r="D297" s="1506"/>
      <c r="E297" s="1506"/>
      <c r="F297" s="1506"/>
      <c r="G297" s="1506"/>
      <c r="H297" s="1506"/>
    </row>
    <row r="298" spans="1:35" ht="62.1" customHeight="1" x14ac:dyDescent="0.5">
      <c r="A298" s="1598" t="s">
        <v>463</v>
      </c>
      <c r="B298" s="1598"/>
      <c r="C298" s="1598"/>
      <c r="D298" s="1598"/>
      <c r="E298" s="1598"/>
      <c r="F298" s="4510" t="s">
        <v>304</v>
      </c>
      <c r="G298" s="4510"/>
      <c r="H298" s="4510"/>
      <c r="I298" s="4510" t="s">
        <v>439</v>
      </c>
      <c r="J298" s="4510"/>
      <c r="K298" s="4510"/>
      <c r="L298" s="1515"/>
      <c r="M298" s="1515"/>
      <c r="N298" s="1515"/>
      <c r="O298" s="1581"/>
      <c r="P298" s="4510" t="s">
        <v>377</v>
      </c>
      <c r="Q298" s="4510"/>
      <c r="R298" s="4510"/>
      <c r="W298" s="4253" t="s">
        <v>191</v>
      </c>
      <c r="X298" s="4253"/>
      <c r="Y298" s="4253"/>
      <c r="Z298" s="4253" t="s">
        <v>464</v>
      </c>
      <c r="AA298" s="4253"/>
      <c r="AB298" s="4253"/>
      <c r="AC298" s="4253" t="s">
        <v>465</v>
      </c>
      <c r="AD298" s="4253"/>
      <c r="AE298" s="4253"/>
    </row>
    <row r="299" spans="1:35" ht="62.1" customHeight="1" thickBot="1" x14ac:dyDescent="0.5">
      <c r="A299" s="1599" t="s">
        <v>440</v>
      </c>
      <c r="B299" s="1599"/>
      <c r="C299" s="1599"/>
      <c r="D299" s="1598"/>
      <c r="E299" s="1598" t="s">
        <v>441</v>
      </c>
      <c r="F299" s="1515" t="s">
        <v>287</v>
      </c>
      <c r="G299" s="1515" t="s">
        <v>289</v>
      </c>
      <c r="H299" s="1515" t="s">
        <v>288</v>
      </c>
      <c r="I299" s="1515" t="s">
        <v>287</v>
      </c>
      <c r="J299" s="1515" t="s">
        <v>289</v>
      </c>
      <c r="K299" s="1515" t="s">
        <v>288</v>
      </c>
      <c r="L299" s="1515"/>
      <c r="M299" s="1515"/>
      <c r="N299" s="1515"/>
      <c r="O299" s="1581"/>
      <c r="P299" s="1515" t="s">
        <v>287</v>
      </c>
      <c r="Q299" s="1515" t="s">
        <v>289</v>
      </c>
      <c r="R299" s="1515" t="s">
        <v>288</v>
      </c>
      <c r="W299" s="1515" t="s">
        <v>5</v>
      </c>
      <c r="X299" s="1515" t="s">
        <v>6</v>
      </c>
      <c r="Y299" s="1515" t="s">
        <v>7</v>
      </c>
      <c r="Z299" s="1515" t="s">
        <v>5</v>
      </c>
      <c r="AA299" s="1515" t="s">
        <v>6</v>
      </c>
      <c r="AB299" s="1515" t="s">
        <v>7</v>
      </c>
      <c r="AC299" s="1515" t="s">
        <v>5</v>
      </c>
      <c r="AD299" s="1515" t="s">
        <v>6</v>
      </c>
      <c r="AE299" s="1515" t="s">
        <v>7</v>
      </c>
    </row>
    <row r="300" spans="1:35" ht="62.1" customHeight="1" x14ac:dyDescent="0.45">
      <c r="A300" s="5338" t="s">
        <v>41</v>
      </c>
      <c r="B300" s="3907" t="s">
        <v>164</v>
      </c>
      <c r="C300" s="3907"/>
      <c r="D300" s="3907"/>
      <c r="E300" s="1679">
        <f>+'Compra -HOJA1'!G181</f>
        <v>0</v>
      </c>
      <c r="F300" s="1680">
        <f>(W300)</f>
        <v>0</v>
      </c>
      <c r="G300" s="1680">
        <f>(Y300)</f>
        <v>0</v>
      </c>
      <c r="H300" s="1680">
        <f>(X300)</f>
        <v>0</v>
      </c>
      <c r="I300" s="1680">
        <f ca="1">(Z300)</f>
        <v>0</v>
      </c>
      <c r="J300" s="1680">
        <f ca="1">(AB300)</f>
        <v>0</v>
      </c>
      <c r="K300" s="1680">
        <f ca="1">(AA300)</f>
        <v>0</v>
      </c>
      <c r="L300" s="1681"/>
      <c r="M300" s="1681"/>
      <c r="N300" s="1681"/>
      <c r="O300" s="1681"/>
      <c r="P300" s="1619">
        <f ca="1">+F300+I300</f>
        <v>0</v>
      </c>
      <c r="Q300" s="1619">
        <f ca="1">+G300+J300</f>
        <v>0</v>
      </c>
      <c r="R300" s="1619">
        <f ca="1">+H300+K300</f>
        <v>0</v>
      </c>
      <c r="S300" s="5338" t="s">
        <v>41</v>
      </c>
      <c r="T300" s="3907" t="s">
        <v>164</v>
      </c>
      <c r="U300" s="3907"/>
      <c r="V300" s="3907"/>
      <c r="W300" s="1659">
        <f>+'Compra -HOJA1'!I181</f>
        <v>0</v>
      </c>
      <c r="X300" s="1659">
        <f>+'Compra -HOJA1'!J181</f>
        <v>0</v>
      </c>
      <c r="Y300" s="1659">
        <f>+'Compra -HOJA1'!K181</f>
        <v>0</v>
      </c>
      <c r="Z300" s="1659">
        <f ca="1">+'Compra -HOJA1'!L181</f>
        <v>0</v>
      </c>
      <c r="AA300" s="1659">
        <f ca="1">+'Compra -HOJA1'!M181</f>
        <v>0</v>
      </c>
      <c r="AB300" s="1659">
        <f ca="1">+'Compra -HOJA1'!N181</f>
        <v>0</v>
      </c>
      <c r="AC300" s="1659">
        <f ca="1">+'Compra -HOJA1'!O181</f>
        <v>0</v>
      </c>
      <c r="AD300" s="1659">
        <f ca="1">+'Compra -HOJA1'!P181</f>
        <v>0</v>
      </c>
      <c r="AE300" s="1659">
        <f ca="1">+'Compra -HOJA1'!Q181</f>
        <v>0</v>
      </c>
      <c r="AG300" s="1490">
        <f ca="1">+W300+Z300</f>
        <v>0</v>
      </c>
      <c r="AH300" s="1490">
        <f t="shared" ref="AH300:AI315" ca="1" si="103">+X300+AA300</f>
        <v>0</v>
      </c>
      <c r="AI300" s="1490">
        <f t="shared" ca="1" si="103"/>
        <v>0</v>
      </c>
    </row>
    <row r="301" spans="1:35" ht="62.1" customHeight="1" x14ac:dyDescent="0.45">
      <c r="A301" s="5339"/>
      <c r="B301" s="4025" t="s">
        <v>179</v>
      </c>
      <c r="C301" s="3913"/>
      <c r="D301" s="4021"/>
      <c r="E301" s="1679">
        <f>+'Compra -HOJA1'!G182</f>
        <v>0</v>
      </c>
      <c r="F301" s="1680">
        <f t="shared" ref="F301:F358" si="104">(W301)</f>
        <v>0</v>
      </c>
      <c r="G301" s="1680">
        <f t="shared" ref="G301:G358" si="105">(Y301)</f>
        <v>0</v>
      </c>
      <c r="H301" s="1680">
        <f t="shared" ref="H301:H358" si="106">(X301)</f>
        <v>0</v>
      </c>
      <c r="I301" s="1680">
        <f t="shared" ref="I301:I358" ca="1" si="107">(Z301)</f>
        <v>0</v>
      </c>
      <c r="J301" s="1680">
        <f t="shared" ref="J301:J358" ca="1" si="108">(AB301)</f>
        <v>0</v>
      </c>
      <c r="K301" s="1680">
        <f t="shared" ref="K301:K358" ca="1" si="109">(AA301)</f>
        <v>0</v>
      </c>
      <c r="L301" s="1681"/>
      <c r="M301" s="1681"/>
      <c r="N301" s="1681"/>
      <c r="O301" s="1681"/>
      <c r="P301" s="1619">
        <f t="shared" ref="P301:R359" ca="1" si="110">+F301+I301</f>
        <v>0</v>
      </c>
      <c r="Q301" s="1619">
        <f t="shared" ca="1" si="110"/>
        <v>0</v>
      </c>
      <c r="R301" s="1619">
        <f t="shared" ca="1" si="110"/>
        <v>0</v>
      </c>
      <c r="S301" s="5339"/>
      <c r="T301" s="4025" t="s">
        <v>179</v>
      </c>
      <c r="U301" s="3913"/>
      <c r="V301" s="4021"/>
      <c r="W301" s="1659">
        <f>+'Compra -HOJA1'!I182</f>
        <v>0</v>
      </c>
      <c r="X301" s="1659">
        <f>+'Compra -HOJA1'!J182</f>
        <v>0</v>
      </c>
      <c r="Y301" s="1659">
        <f>+'Compra -HOJA1'!K182</f>
        <v>0</v>
      </c>
      <c r="Z301" s="1659">
        <f ca="1">+'Compra -HOJA1'!L182</f>
        <v>0</v>
      </c>
      <c r="AA301" s="1659">
        <f ca="1">+'Compra -HOJA1'!M182</f>
        <v>0</v>
      </c>
      <c r="AB301" s="1659">
        <f ca="1">+'Compra -HOJA1'!N182</f>
        <v>0</v>
      </c>
      <c r="AC301" s="1659">
        <f ca="1">+'Compra -HOJA1'!O182</f>
        <v>0</v>
      </c>
      <c r="AD301" s="1659">
        <f ca="1">+'Compra -HOJA1'!P182</f>
        <v>0</v>
      </c>
      <c r="AE301" s="1659">
        <f ca="1">+'Compra -HOJA1'!Q182</f>
        <v>0</v>
      </c>
      <c r="AG301" s="1490">
        <f t="shared" ref="AG301:AI336" ca="1" si="111">+W301+Z301</f>
        <v>0</v>
      </c>
      <c r="AH301" s="1490">
        <f t="shared" ca="1" si="103"/>
        <v>0</v>
      </c>
      <c r="AI301" s="1490">
        <f t="shared" ca="1" si="103"/>
        <v>0</v>
      </c>
    </row>
    <row r="302" spans="1:35" ht="62.1" customHeight="1" x14ac:dyDescent="0.45">
      <c r="A302" s="5339"/>
      <c r="B302" s="5655" t="s">
        <v>182</v>
      </c>
      <c r="C302" s="5655"/>
      <c r="D302" s="5655"/>
      <c r="E302" s="1679">
        <f>+'Compra -HOJA1'!G183</f>
        <v>0</v>
      </c>
      <c r="F302" s="1680">
        <f t="shared" si="104"/>
        <v>0</v>
      </c>
      <c r="G302" s="1680">
        <f t="shared" si="105"/>
        <v>0</v>
      </c>
      <c r="H302" s="1680">
        <f t="shared" si="106"/>
        <v>0</v>
      </c>
      <c r="I302" s="1680">
        <f t="shared" ca="1" si="107"/>
        <v>0</v>
      </c>
      <c r="J302" s="1680">
        <f t="shared" ca="1" si="108"/>
        <v>0</v>
      </c>
      <c r="K302" s="1680">
        <f t="shared" ca="1" si="109"/>
        <v>0</v>
      </c>
      <c r="L302" s="1681"/>
      <c r="M302" s="1681"/>
      <c r="N302" s="1681"/>
      <c r="O302" s="1681"/>
      <c r="P302" s="1619"/>
      <c r="Q302" s="1619"/>
      <c r="R302" s="1619"/>
      <c r="S302" s="5339"/>
      <c r="T302" s="5655" t="s">
        <v>182</v>
      </c>
      <c r="U302" s="5655"/>
      <c r="V302" s="5655"/>
      <c r="W302" s="1659">
        <f>+'Compra -HOJA1'!I183</f>
        <v>0</v>
      </c>
      <c r="X302" s="1659">
        <f>+'Compra -HOJA1'!J183</f>
        <v>0</v>
      </c>
      <c r="Y302" s="1659">
        <f>+'Compra -HOJA1'!K183</f>
        <v>0</v>
      </c>
      <c r="Z302" s="1659">
        <f ca="1">+'Compra -HOJA1'!L183</f>
        <v>0</v>
      </c>
      <c r="AA302" s="1659">
        <f ca="1">+'Compra -HOJA1'!M183</f>
        <v>0</v>
      </c>
      <c r="AB302" s="1659">
        <f ca="1">+'Compra -HOJA1'!N183</f>
        <v>0</v>
      </c>
      <c r="AC302" s="1659">
        <f ca="1">+'Compra -HOJA1'!O183</f>
        <v>0</v>
      </c>
      <c r="AD302" s="1659">
        <f ca="1">+'Compra -HOJA1'!P183</f>
        <v>0</v>
      </c>
      <c r="AE302" s="1659">
        <f ca="1">+'Compra -HOJA1'!Q183</f>
        <v>0</v>
      </c>
      <c r="AG302" s="1490">
        <f t="shared" ca="1" si="111"/>
        <v>0</v>
      </c>
      <c r="AH302" s="1490">
        <f t="shared" ca="1" si="103"/>
        <v>0</v>
      </c>
      <c r="AI302" s="1490">
        <f t="shared" ca="1" si="103"/>
        <v>0</v>
      </c>
    </row>
    <row r="303" spans="1:35" ht="62.1" customHeight="1" x14ac:dyDescent="0.45">
      <c r="A303" s="5339"/>
      <c r="B303" s="3691" t="s">
        <v>167</v>
      </c>
      <c r="C303" s="5340" t="s">
        <v>46</v>
      </c>
      <c r="D303" s="5340"/>
      <c r="E303" s="1679" t="e">
        <f>+'Compra -HOJA1'!#REF!</f>
        <v>#REF!</v>
      </c>
      <c r="F303" s="1680" t="e">
        <f t="shared" si="104"/>
        <v>#REF!</v>
      </c>
      <c r="G303" s="1680" t="e">
        <f t="shared" si="105"/>
        <v>#REF!</v>
      </c>
      <c r="H303" s="1680" t="e">
        <f t="shared" si="106"/>
        <v>#REF!</v>
      </c>
      <c r="I303" s="1680" t="e">
        <f t="shared" si="107"/>
        <v>#REF!</v>
      </c>
      <c r="J303" s="1680" t="e">
        <f t="shared" si="108"/>
        <v>#REF!</v>
      </c>
      <c r="K303" s="1680" t="e">
        <f t="shared" si="109"/>
        <v>#REF!</v>
      </c>
      <c r="L303" s="1681"/>
      <c r="M303" s="1681"/>
      <c r="N303" s="1681"/>
      <c r="O303" s="1681"/>
      <c r="P303" s="1619" t="e">
        <f t="shared" si="110"/>
        <v>#REF!</v>
      </c>
      <c r="Q303" s="1619" t="e">
        <f t="shared" si="110"/>
        <v>#REF!</v>
      </c>
      <c r="R303" s="1619" t="e">
        <f t="shared" si="110"/>
        <v>#REF!</v>
      </c>
      <c r="S303" s="5339"/>
      <c r="T303" s="3691" t="s">
        <v>167</v>
      </c>
      <c r="U303" s="5340" t="s">
        <v>46</v>
      </c>
      <c r="V303" s="5340"/>
      <c r="W303" s="1659" t="e">
        <f>+'Compra -HOJA1'!#REF!</f>
        <v>#REF!</v>
      </c>
      <c r="X303" s="1659" t="e">
        <f>+'Compra -HOJA1'!#REF!</f>
        <v>#REF!</v>
      </c>
      <c r="Y303" s="1659" t="e">
        <f>+'Compra -HOJA1'!#REF!</f>
        <v>#REF!</v>
      </c>
      <c r="Z303" s="1659" t="e">
        <f>+'Compra -HOJA1'!#REF!</f>
        <v>#REF!</v>
      </c>
      <c r="AA303" s="1659" t="e">
        <f>+'Compra -HOJA1'!#REF!</f>
        <v>#REF!</v>
      </c>
      <c r="AB303" s="1659" t="e">
        <f>+'Compra -HOJA1'!#REF!</f>
        <v>#REF!</v>
      </c>
      <c r="AC303" s="1659" t="e">
        <f>+'Compra -HOJA1'!#REF!</f>
        <v>#REF!</v>
      </c>
      <c r="AD303" s="1659" t="e">
        <f>+'Compra -HOJA1'!#REF!</f>
        <v>#REF!</v>
      </c>
      <c r="AE303" s="1659" t="e">
        <f>+'Compra -HOJA1'!#REF!</f>
        <v>#REF!</v>
      </c>
      <c r="AG303" s="1490" t="e">
        <f t="shared" si="111"/>
        <v>#REF!</v>
      </c>
      <c r="AH303" s="1490" t="e">
        <f t="shared" si="103"/>
        <v>#REF!</v>
      </c>
      <c r="AI303" s="1490" t="e">
        <f t="shared" si="103"/>
        <v>#REF!</v>
      </c>
    </row>
    <row r="304" spans="1:35" ht="62.1" customHeight="1" x14ac:dyDescent="0.45">
      <c r="A304" s="5339"/>
      <c r="B304" s="3970"/>
      <c r="C304" s="5340" t="s">
        <v>47</v>
      </c>
      <c r="D304" s="5340"/>
      <c r="E304" s="1679">
        <f>+'Compra -HOJA1'!G184</f>
        <v>0</v>
      </c>
      <c r="F304" s="1680">
        <f t="shared" si="104"/>
        <v>0</v>
      </c>
      <c r="G304" s="1680">
        <f t="shared" si="105"/>
        <v>0</v>
      </c>
      <c r="H304" s="1680">
        <f t="shared" si="106"/>
        <v>0</v>
      </c>
      <c r="I304" s="1680">
        <f t="shared" ca="1" si="107"/>
        <v>0</v>
      </c>
      <c r="J304" s="1680">
        <f t="shared" ca="1" si="108"/>
        <v>0</v>
      </c>
      <c r="K304" s="1680">
        <f t="shared" ca="1" si="109"/>
        <v>0</v>
      </c>
      <c r="L304" s="1681"/>
      <c r="M304" s="1681"/>
      <c r="N304" s="1681"/>
      <c r="O304" s="1681"/>
      <c r="P304" s="1619"/>
      <c r="Q304" s="1619"/>
      <c r="R304" s="1619"/>
      <c r="S304" s="5339"/>
      <c r="T304" s="3970"/>
      <c r="U304" s="5340" t="s">
        <v>47</v>
      </c>
      <c r="V304" s="5340"/>
      <c r="W304" s="1659">
        <f>+'Compra -HOJA1'!I184</f>
        <v>0</v>
      </c>
      <c r="X304" s="1659">
        <f>+'Compra -HOJA1'!J184</f>
        <v>0</v>
      </c>
      <c r="Y304" s="1659">
        <f>+'Compra -HOJA1'!K184</f>
        <v>0</v>
      </c>
      <c r="Z304" s="1659">
        <f ca="1">+'Compra -HOJA1'!L184</f>
        <v>0</v>
      </c>
      <c r="AA304" s="1659">
        <f ca="1">+'Compra -HOJA1'!M184</f>
        <v>0</v>
      </c>
      <c r="AB304" s="1659">
        <f ca="1">+'Compra -HOJA1'!N184</f>
        <v>0</v>
      </c>
      <c r="AC304" s="1659">
        <f ca="1">+'Compra -HOJA1'!O184</f>
        <v>0</v>
      </c>
      <c r="AD304" s="1659">
        <f ca="1">+'Compra -HOJA1'!P184</f>
        <v>0</v>
      </c>
      <c r="AE304" s="1659">
        <f ca="1">+'Compra -HOJA1'!Q184</f>
        <v>0</v>
      </c>
      <c r="AG304" s="1490">
        <f t="shared" ca="1" si="111"/>
        <v>0</v>
      </c>
      <c r="AH304" s="1490">
        <f t="shared" ca="1" si="103"/>
        <v>0</v>
      </c>
      <c r="AI304" s="1490">
        <f t="shared" ca="1" si="103"/>
        <v>0</v>
      </c>
    </row>
    <row r="305" spans="1:35" ht="62.1" customHeight="1" x14ac:dyDescent="0.45">
      <c r="A305" s="5339"/>
      <c r="B305" s="3970"/>
      <c r="C305" s="5260" t="s">
        <v>169</v>
      </c>
      <c r="D305" s="5260"/>
      <c r="E305" s="1679">
        <f>+'Compra -HOJA1'!G185</f>
        <v>0</v>
      </c>
      <c r="F305" s="1680">
        <f t="shared" si="104"/>
        <v>0</v>
      </c>
      <c r="G305" s="1680">
        <f t="shared" si="105"/>
        <v>0</v>
      </c>
      <c r="H305" s="1680">
        <f t="shared" si="106"/>
        <v>0</v>
      </c>
      <c r="I305" s="1680">
        <f t="shared" ca="1" si="107"/>
        <v>0</v>
      </c>
      <c r="J305" s="1680">
        <f t="shared" ca="1" si="108"/>
        <v>0</v>
      </c>
      <c r="K305" s="1680">
        <f t="shared" ca="1" si="109"/>
        <v>0</v>
      </c>
      <c r="L305" s="1681"/>
      <c r="M305" s="1681"/>
      <c r="N305" s="1681"/>
      <c r="O305" s="1681"/>
      <c r="P305" s="1619"/>
      <c r="Q305" s="1619"/>
      <c r="R305" s="1619"/>
      <c r="S305" s="5339"/>
      <c r="T305" s="3970"/>
      <c r="U305" s="5260" t="s">
        <v>169</v>
      </c>
      <c r="V305" s="5260"/>
      <c r="W305" s="1659">
        <f>+'Compra -HOJA1'!I185</f>
        <v>0</v>
      </c>
      <c r="X305" s="1659">
        <f>+'Compra -HOJA1'!J185</f>
        <v>0</v>
      </c>
      <c r="Y305" s="1659">
        <f>+'Compra -HOJA1'!K185</f>
        <v>0</v>
      </c>
      <c r="Z305" s="1659">
        <f ca="1">+'Compra -HOJA1'!L185</f>
        <v>0</v>
      </c>
      <c r="AA305" s="1659">
        <f ca="1">+'Compra -HOJA1'!M185</f>
        <v>0</v>
      </c>
      <c r="AB305" s="1659">
        <f ca="1">+'Compra -HOJA1'!N185</f>
        <v>0</v>
      </c>
      <c r="AC305" s="1659">
        <f ca="1">+'Compra -HOJA1'!O185</f>
        <v>0</v>
      </c>
      <c r="AD305" s="1659">
        <f ca="1">+'Compra -HOJA1'!P185</f>
        <v>0</v>
      </c>
      <c r="AE305" s="1659">
        <f ca="1">+'Compra -HOJA1'!Q185</f>
        <v>0</v>
      </c>
      <c r="AG305" s="1490">
        <f t="shared" ca="1" si="111"/>
        <v>0</v>
      </c>
      <c r="AH305" s="1490">
        <f t="shared" ca="1" si="103"/>
        <v>0</v>
      </c>
      <c r="AI305" s="1490">
        <f t="shared" ca="1" si="103"/>
        <v>0</v>
      </c>
    </row>
    <row r="306" spans="1:35" ht="62.1" customHeight="1" x14ac:dyDescent="0.45">
      <c r="A306" s="5339"/>
      <c r="B306" s="3971"/>
      <c r="C306" s="5260" t="s">
        <v>49</v>
      </c>
      <c r="D306" s="5260"/>
      <c r="E306" s="1679">
        <f>+'Compra -HOJA1'!G186</f>
        <v>0</v>
      </c>
      <c r="F306" s="1680">
        <f t="shared" si="104"/>
        <v>0</v>
      </c>
      <c r="G306" s="1680">
        <f t="shared" si="105"/>
        <v>0</v>
      </c>
      <c r="H306" s="1680">
        <f t="shared" si="106"/>
        <v>0</v>
      </c>
      <c r="I306" s="1680">
        <f t="shared" ca="1" si="107"/>
        <v>0</v>
      </c>
      <c r="J306" s="1680">
        <f t="shared" ca="1" si="108"/>
        <v>0</v>
      </c>
      <c r="K306" s="1680">
        <f t="shared" ca="1" si="109"/>
        <v>0</v>
      </c>
      <c r="L306" s="1681"/>
      <c r="M306" s="1681"/>
      <c r="N306" s="1681"/>
      <c r="O306" s="1681"/>
      <c r="P306" s="1619"/>
      <c r="Q306" s="1619"/>
      <c r="R306" s="1619"/>
      <c r="S306" s="5339"/>
      <c r="T306" s="3971"/>
      <c r="U306" s="5260" t="s">
        <v>49</v>
      </c>
      <c r="V306" s="5260"/>
      <c r="W306" s="1659">
        <f>+'Compra -HOJA1'!I186</f>
        <v>0</v>
      </c>
      <c r="X306" s="1659">
        <f>+'Compra -HOJA1'!J186</f>
        <v>0</v>
      </c>
      <c r="Y306" s="1659">
        <f>+'Compra -HOJA1'!K186</f>
        <v>0</v>
      </c>
      <c r="Z306" s="1659">
        <f ca="1">+'Compra -HOJA1'!L186</f>
        <v>0</v>
      </c>
      <c r="AA306" s="1659">
        <f ca="1">+'Compra -HOJA1'!M186</f>
        <v>0</v>
      </c>
      <c r="AB306" s="1659">
        <f ca="1">+'Compra -HOJA1'!N186</f>
        <v>0</v>
      </c>
      <c r="AC306" s="1659">
        <f ca="1">+'Compra -HOJA1'!O186</f>
        <v>0</v>
      </c>
      <c r="AD306" s="1659">
        <f ca="1">+'Compra -HOJA1'!P186</f>
        <v>0</v>
      </c>
      <c r="AE306" s="1659">
        <f ca="1">+'Compra -HOJA1'!Q186</f>
        <v>0</v>
      </c>
      <c r="AG306" s="1490">
        <f t="shared" ca="1" si="111"/>
        <v>0</v>
      </c>
      <c r="AH306" s="1490">
        <f t="shared" ca="1" si="103"/>
        <v>0</v>
      </c>
      <c r="AI306" s="1490">
        <f t="shared" ca="1" si="103"/>
        <v>0</v>
      </c>
    </row>
    <row r="307" spans="1:35" ht="62.1" customHeight="1" thickBot="1" x14ac:dyDescent="0.5">
      <c r="A307" s="5339"/>
      <c r="B307" s="1578" t="s">
        <v>50</v>
      </c>
      <c r="C307" s="5341" t="s">
        <v>51</v>
      </c>
      <c r="D307" s="5341"/>
      <c r="E307" s="1679">
        <f>+'Compra -HOJA1'!G187</f>
        <v>0</v>
      </c>
      <c r="F307" s="1680">
        <f t="shared" si="104"/>
        <v>0</v>
      </c>
      <c r="G307" s="1680">
        <f t="shared" si="105"/>
        <v>0</v>
      </c>
      <c r="H307" s="1680">
        <f t="shared" si="106"/>
        <v>0</v>
      </c>
      <c r="I307" s="1680">
        <f t="shared" ca="1" si="107"/>
        <v>0</v>
      </c>
      <c r="J307" s="1680">
        <f t="shared" ca="1" si="108"/>
        <v>0</v>
      </c>
      <c r="K307" s="1680">
        <f t="shared" ca="1" si="109"/>
        <v>0</v>
      </c>
      <c r="L307" s="1681"/>
      <c r="M307" s="1681"/>
      <c r="N307" s="1681"/>
      <c r="O307" s="1681"/>
      <c r="P307" s="1619">
        <f t="shared" ca="1" si="110"/>
        <v>0</v>
      </c>
      <c r="Q307" s="1619">
        <f t="shared" ca="1" si="110"/>
        <v>0</v>
      </c>
      <c r="R307" s="1619">
        <f t="shared" ca="1" si="110"/>
        <v>0</v>
      </c>
      <c r="S307" s="5339"/>
      <c r="T307" s="1578" t="s">
        <v>50</v>
      </c>
      <c r="U307" s="5341" t="s">
        <v>51</v>
      </c>
      <c r="V307" s="5341"/>
      <c r="W307" s="1659">
        <f>+'Compra -HOJA1'!I187</f>
        <v>0</v>
      </c>
      <c r="X307" s="1659">
        <f>+'Compra -HOJA1'!J187</f>
        <v>0</v>
      </c>
      <c r="Y307" s="1659">
        <f>+'Compra -HOJA1'!K187</f>
        <v>0</v>
      </c>
      <c r="Z307" s="1659">
        <f ca="1">+'Compra -HOJA1'!L187</f>
        <v>0</v>
      </c>
      <c r="AA307" s="1659">
        <f ca="1">+'Compra -HOJA1'!M187</f>
        <v>0</v>
      </c>
      <c r="AB307" s="1659">
        <f ca="1">+'Compra -HOJA1'!N187</f>
        <v>0</v>
      </c>
      <c r="AC307" s="1659">
        <f ca="1">+'Compra -HOJA1'!O187</f>
        <v>0</v>
      </c>
      <c r="AD307" s="1659">
        <f ca="1">+'Compra -HOJA1'!P187</f>
        <v>0</v>
      </c>
      <c r="AE307" s="1659">
        <f ca="1">+'Compra -HOJA1'!Q187</f>
        <v>0</v>
      </c>
      <c r="AG307" s="1490">
        <f t="shared" ca="1" si="111"/>
        <v>0</v>
      </c>
      <c r="AH307" s="1490">
        <f t="shared" ca="1" si="103"/>
        <v>0</v>
      </c>
      <c r="AI307" s="1490">
        <f t="shared" ca="1" si="103"/>
        <v>0</v>
      </c>
    </row>
    <row r="308" spans="1:35" ht="62.1" customHeight="1" x14ac:dyDescent="0.45">
      <c r="A308" s="4607" t="s">
        <v>52</v>
      </c>
      <c r="B308" s="3907" t="s">
        <v>164</v>
      </c>
      <c r="C308" s="3907"/>
      <c r="D308" s="3907"/>
      <c r="E308" s="1679" t="e">
        <f>+'Compra -HOJA1'!#REF!</f>
        <v>#REF!</v>
      </c>
      <c r="F308" s="1680" t="e">
        <f t="shared" si="104"/>
        <v>#REF!</v>
      </c>
      <c r="G308" s="1680" t="e">
        <f t="shared" si="105"/>
        <v>#REF!</v>
      </c>
      <c r="H308" s="1680" t="e">
        <f t="shared" si="106"/>
        <v>#REF!</v>
      </c>
      <c r="I308" s="1680" t="e">
        <f t="shared" si="107"/>
        <v>#REF!</v>
      </c>
      <c r="J308" s="1680" t="e">
        <f t="shared" si="108"/>
        <v>#REF!</v>
      </c>
      <c r="K308" s="1680" t="e">
        <f t="shared" si="109"/>
        <v>#REF!</v>
      </c>
      <c r="L308" s="1681"/>
      <c r="M308" s="1681"/>
      <c r="N308" s="1681"/>
      <c r="O308" s="1681"/>
      <c r="P308" s="1619" t="e">
        <f t="shared" si="110"/>
        <v>#REF!</v>
      </c>
      <c r="Q308" s="1619" t="e">
        <f t="shared" si="110"/>
        <v>#REF!</v>
      </c>
      <c r="R308" s="1619" t="e">
        <f t="shared" si="110"/>
        <v>#REF!</v>
      </c>
      <c r="S308" s="4607" t="s">
        <v>52</v>
      </c>
      <c r="T308" s="3907" t="s">
        <v>164</v>
      </c>
      <c r="U308" s="3907"/>
      <c r="V308" s="3907"/>
      <c r="W308" s="1659" t="e">
        <f>+'Compra -HOJA1'!#REF!</f>
        <v>#REF!</v>
      </c>
      <c r="X308" s="1659" t="e">
        <f>+'Compra -HOJA1'!#REF!</f>
        <v>#REF!</v>
      </c>
      <c r="Y308" s="1659" t="e">
        <f>+'Compra -HOJA1'!#REF!</f>
        <v>#REF!</v>
      </c>
      <c r="Z308" s="1659" t="e">
        <f>+'Compra -HOJA1'!#REF!</f>
        <v>#REF!</v>
      </c>
      <c r="AA308" s="1659" t="e">
        <f>+'Compra -HOJA1'!#REF!</f>
        <v>#REF!</v>
      </c>
      <c r="AB308" s="1659" t="e">
        <f>+'Compra -HOJA1'!#REF!</f>
        <v>#REF!</v>
      </c>
      <c r="AC308" s="1659" t="e">
        <f>+'Compra -HOJA1'!#REF!</f>
        <v>#REF!</v>
      </c>
      <c r="AD308" s="1659" t="e">
        <f>+'Compra -HOJA1'!#REF!</f>
        <v>#REF!</v>
      </c>
      <c r="AE308" s="1659" t="e">
        <f>+'Compra -HOJA1'!#REF!</f>
        <v>#REF!</v>
      </c>
      <c r="AG308" s="1490" t="e">
        <f t="shared" si="111"/>
        <v>#REF!</v>
      </c>
      <c r="AH308" s="1490" t="e">
        <f t="shared" si="103"/>
        <v>#REF!</v>
      </c>
      <c r="AI308" s="1490" t="e">
        <f t="shared" si="103"/>
        <v>#REF!</v>
      </c>
    </row>
    <row r="309" spans="1:35" ht="62.1" customHeight="1" x14ac:dyDescent="0.45">
      <c r="A309" s="4608"/>
      <c r="B309" s="4025" t="s">
        <v>179</v>
      </c>
      <c r="C309" s="3913"/>
      <c r="D309" s="4021"/>
      <c r="E309" s="1679">
        <f>+'Compra -HOJA1'!G196</f>
        <v>0</v>
      </c>
      <c r="F309" s="1680">
        <f t="shared" si="104"/>
        <v>0</v>
      </c>
      <c r="G309" s="1680">
        <f t="shared" si="105"/>
        <v>0</v>
      </c>
      <c r="H309" s="1680">
        <f t="shared" si="106"/>
        <v>0</v>
      </c>
      <c r="I309" s="1680">
        <f t="shared" ca="1" si="107"/>
        <v>0</v>
      </c>
      <c r="J309" s="1680">
        <f t="shared" ca="1" si="108"/>
        <v>0</v>
      </c>
      <c r="K309" s="1680">
        <f t="shared" ca="1" si="109"/>
        <v>0</v>
      </c>
      <c r="L309" s="1681"/>
      <c r="M309" s="1681"/>
      <c r="N309" s="1681"/>
      <c r="O309" s="1681"/>
      <c r="P309" s="1619">
        <f t="shared" ca="1" si="110"/>
        <v>0</v>
      </c>
      <c r="Q309" s="1619">
        <f t="shared" ca="1" si="110"/>
        <v>0</v>
      </c>
      <c r="R309" s="1619">
        <f t="shared" ca="1" si="110"/>
        <v>0</v>
      </c>
      <c r="S309" s="4608"/>
      <c r="T309" s="4025" t="s">
        <v>179</v>
      </c>
      <c r="U309" s="3913"/>
      <c r="V309" s="4021"/>
      <c r="W309" s="1659">
        <f>+'Compra -HOJA1'!I196</f>
        <v>0</v>
      </c>
      <c r="X309" s="1659">
        <f>+'Compra -HOJA1'!J196</f>
        <v>0</v>
      </c>
      <c r="Y309" s="1659">
        <f>+'Compra -HOJA1'!K196</f>
        <v>0</v>
      </c>
      <c r="Z309" s="1659">
        <f ca="1">+'Compra -HOJA1'!L196</f>
        <v>0</v>
      </c>
      <c r="AA309" s="1659">
        <f ca="1">+'Compra -HOJA1'!M196</f>
        <v>0</v>
      </c>
      <c r="AB309" s="1659">
        <f ca="1">+'Compra -HOJA1'!N196</f>
        <v>0</v>
      </c>
      <c r="AC309" s="1659">
        <f ca="1">+'Compra -HOJA1'!O196</f>
        <v>0</v>
      </c>
      <c r="AD309" s="1659">
        <f ca="1">+'Compra -HOJA1'!P196</f>
        <v>0</v>
      </c>
      <c r="AE309" s="1659">
        <f ca="1">+'Compra -HOJA1'!Q196</f>
        <v>0</v>
      </c>
      <c r="AG309" s="1490">
        <f t="shared" ca="1" si="111"/>
        <v>0</v>
      </c>
      <c r="AH309" s="1490">
        <f t="shared" ca="1" si="103"/>
        <v>0</v>
      </c>
      <c r="AI309" s="1490">
        <f t="shared" ca="1" si="103"/>
        <v>0</v>
      </c>
    </row>
    <row r="310" spans="1:35" ht="62.1" customHeight="1" x14ac:dyDescent="0.45">
      <c r="A310" s="4608"/>
      <c r="B310" s="3948" t="s">
        <v>195</v>
      </c>
      <c r="C310" s="3912"/>
      <c r="D310" s="3947"/>
      <c r="E310" s="1679">
        <f>+'Compra -HOJA1'!G197</f>
        <v>0</v>
      </c>
      <c r="F310" s="1680">
        <f t="shared" si="104"/>
        <v>0</v>
      </c>
      <c r="G310" s="1680">
        <f t="shared" si="105"/>
        <v>0</v>
      </c>
      <c r="H310" s="1680">
        <f t="shared" si="106"/>
        <v>0</v>
      </c>
      <c r="I310" s="1680">
        <f t="shared" ca="1" si="107"/>
        <v>0</v>
      </c>
      <c r="J310" s="1680">
        <f t="shared" ca="1" si="108"/>
        <v>0</v>
      </c>
      <c r="K310" s="1680">
        <f t="shared" ca="1" si="109"/>
        <v>0</v>
      </c>
      <c r="L310" s="1681"/>
      <c r="M310" s="1681"/>
      <c r="N310" s="1681"/>
      <c r="O310" s="1681"/>
      <c r="P310" s="1619"/>
      <c r="Q310" s="1619"/>
      <c r="R310" s="1619"/>
      <c r="S310" s="4608"/>
      <c r="T310" s="3948" t="s">
        <v>195</v>
      </c>
      <c r="U310" s="3912"/>
      <c r="V310" s="3947"/>
      <c r="W310" s="1659">
        <f>+'Compra -HOJA1'!I197</f>
        <v>0</v>
      </c>
      <c r="X310" s="1659">
        <f>+'Compra -HOJA1'!J197</f>
        <v>0</v>
      </c>
      <c r="Y310" s="1659">
        <f>+'Compra -HOJA1'!K197</f>
        <v>0</v>
      </c>
      <c r="Z310" s="1659">
        <f ca="1">+'Compra -HOJA1'!L197</f>
        <v>0</v>
      </c>
      <c r="AA310" s="1659">
        <f ca="1">+'Compra -HOJA1'!M197</f>
        <v>0</v>
      </c>
      <c r="AB310" s="1659">
        <f ca="1">+'Compra -HOJA1'!N197</f>
        <v>0</v>
      </c>
      <c r="AC310" s="1659">
        <f ca="1">+'Compra -HOJA1'!O197</f>
        <v>0</v>
      </c>
      <c r="AD310" s="1659">
        <f ca="1">+'Compra -HOJA1'!P197</f>
        <v>0</v>
      </c>
      <c r="AE310" s="1659">
        <f ca="1">+'Compra -HOJA1'!Q197</f>
        <v>0</v>
      </c>
      <c r="AG310" s="1490">
        <f t="shared" ca="1" si="111"/>
        <v>0</v>
      </c>
      <c r="AH310" s="1490">
        <f t="shared" ca="1" si="103"/>
        <v>0</v>
      </c>
      <c r="AI310" s="1490">
        <f t="shared" ca="1" si="103"/>
        <v>0</v>
      </c>
    </row>
    <row r="311" spans="1:35" ht="62.1" customHeight="1" x14ac:dyDescent="0.45">
      <c r="A311" s="4608"/>
      <c r="B311" s="4098" t="s">
        <v>927</v>
      </c>
      <c r="C311" s="4098"/>
      <c r="D311" s="4098"/>
      <c r="E311" s="1679">
        <f>+'Compra -HOJA1'!G200</f>
        <v>0</v>
      </c>
      <c r="F311" s="1680">
        <f t="shared" si="104"/>
        <v>0</v>
      </c>
      <c r="G311" s="1680">
        <f t="shared" si="105"/>
        <v>0</v>
      </c>
      <c r="H311" s="1680">
        <f t="shared" si="106"/>
        <v>0</v>
      </c>
      <c r="I311" s="1680">
        <f t="shared" ca="1" si="107"/>
        <v>0</v>
      </c>
      <c r="J311" s="1680">
        <f t="shared" ca="1" si="108"/>
        <v>0</v>
      </c>
      <c r="K311" s="1680">
        <f t="shared" ca="1" si="109"/>
        <v>0</v>
      </c>
      <c r="L311" s="1681"/>
      <c r="M311" s="1681"/>
      <c r="N311" s="1681"/>
      <c r="O311" s="1681"/>
      <c r="P311" s="1619"/>
      <c r="Q311" s="1619"/>
      <c r="R311" s="1619"/>
      <c r="S311" s="4608"/>
      <c r="T311" s="4098" t="s">
        <v>927</v>
      </c>
      <c r="U311" s="4098"/>
      <c r="V311" s="4098"/>
      <c r="W311" s="1659">
        <f>+'Compra -HOJA1'!I200</f>
        <v>0</v>
      </c>
      <c r="X311" s="1659">
        <f>+'Compra -HOJA1'!J200</f>
        <v>0</v>
      </c>
      <c r="Y311" s="1659">
        <f>+'Compra -HOJA1'!K200</f>
        <v>0</v>
      </c>
      <c r="Z311" s="1659">
        <f ca="1">+'Compra -HOJA1'!L200</f>
        <v>0</v>
      </c>
      <c r="AA311" s="1659">
        <f ca="1">+'Compra -HOJA1'!M200</f>
        <v>0</v>
      </c>
      <c r="AB311" s="1659">
        <f ca="1">+'Compra -HOJA1'!N200</f>
        <v>0</v>
      </c>
      <c r="AC311" s="1659">
        <f ca="1">+'Compra -HOJA1'!O200</f>
        <v>0</v>
      </c>
      <c r="AD311" s="1659">
        <f ca="1">+'Compra -HOJA1'!P200</f>
        <v>0</v>
      </c>
      <c r="AE311" s="1659">
        <f ca="1">+'Compra -HOJA1'!Q200</f>
        <v>0</v>
      </c>
      <c r="AG311" s="1490">
        <f t="shared" ca="1" si="111"/>
        <v>0</v>
      </c>
      <c r="AH311" s="1490">
        <f t="shared" ca="1" si="103"/>
        <v>0</v>
      </c>
      <c r="AI311" s="1490">
        <f t="shared" ca="1" si="103"/>
        <v>0</v>
      </c>
    </row>
    <row r="312" spans="1:35" ht="62.1" customHeight="1" x14ac:dyDescent="0.45">
      <c r="A312" s="4608"/>
      <c r="B312" s="3691" t="s">
        <v>167</v>
      </c>
      <c r="C312" s="5342" t="s">
        <v>53</v>
      </c>
      <c r="D312" s="5342"/>
      <c r="E312" s="1679">
        <f>+'Compra -HOJA1'!G202</f>
        <v>0</v>
      </c>
      <c r="F312" s="1680">
        <f t="shared" si="104"/>
        <v>0</v>
      </c>
      <c r="G312" s="1680">
        <f t="shared" si="105"/>
        <v>0</v>
      </c>
      <c r="H312" s="1680">
        <f t="shared" si="106"/>
        <v>0</v>
      </c>
      <c r="I312" s="1680">
        <f t="shared" ca="1" si="107"/>
        <v>0</v>
      </c>
      <c r="J312" s="1680">
        <f t="shared" ca="1" si="108"/>
        <v>0</v>
      </c>
      <c r="K312" s="1680">
        <f t="shared" ca="1" si="109"/>
        <v>0</v>
      </c>
      <c r="L312" s="1681"/>
      <c r="M312" s="1681"/>
      <c r="N312" s="1681"/>
      <c r="O312" s="1681"/>
      <c r="P312" s="1619">
        <f t="shared" ca="1" si="110"/>
        <v>0</v>
      </c>
      <c r="Q312" s="1619">
        <f t="shared" ca="1" si="110"/>
        <v>0</v>
      </c>
      <c r="R312" s="1619">
        <f t="shared" ca="1" si="110"/>
        <v>0</v>
      </c>
      <c r="S312" s="4608"/>
      <c r="T312" s="3691" t="s">
        <v>167</v>
      </c>
      <c r="U312" s="5342" t="s">
        <v>53</v>
      </c>
      <c r="V312" s="5342"/>
      <c r="W312" s="1659">
        <f>+'Compra -HOJA1'!I202</f>
        <v>0</v>
      </c>
      <c r="X312" s="1659">
        <f>+'Compra -HOJA1'!J202</f>
        <v>0</v>
      </c>
      <c r="Y312" s="1659">
        <f>+'Compra -HOJA1'!K202</f>
        <v>0</v>
      </c>
      <c r="Z312" s="1659">
        <f ca="1">+'Compra -HOJA1'!L202</f>
        <v>0</v>
      </c>
      <c r="AA312" s="1659">
        <f ca="1">+'Compra -HOJA1'!M202</f>
        <v>0</v>
      </c>
      <c r="AB312" s="1659">
        <f ca="1">+'Compra -HOJA1'!N202</f>
        <v>0</v>
      </c>
      <c r="AC312" s="1659">
        <f ca="1">+'Compra -HOJA1'!O202</f>
        <v>0</v>
      </c>
      <c r="AD312" s="1659">
        <f ca="1">+'Compra -HOJA1'!P202</f>
        <v>0</v>
      </c>
      <c r="AE312" s="1659">
        <f ca="1">+'Compra -HOJA1'!Q202</f>
        <v>0</v>
      </c>
      <c r="AG312" s="1490">
        <f t="shared" ca="1" si="111"/>
        <v>0</v>
      </c>
      <c r="AH312" s="1490">
        <f t="shared" ca="1" si="103"/>
        <v>0</v>
      </c>
      <c r="AI312" s="1490">
        <f t="shared" ca="1" si="103"/>
        <v>0</v>
      </c>
    </row>
    <row r="313" spans="1:35" ht="62.1" customHeight="1" x14ac:dyDescent="0.45">
      <c r="A313" s="4608"/>
      <c r="B313" s="3970"/>
      <c r="C313" s="5342" t="s">
        <v>54</v>
      </c>
      <c r="D313" s="5342"/>
      <c r="E313" s="1679">
        <f>+'Compra -HOJA1'!G203</f>
        <v>0</v>
      </c>
      <c r="F313" s="1680">
        <f t="shared" si="104"/>
        <v>0</v>
      </c>
      <c r="G313" s="1680">
        <f t="shared" si="105"/>
        <v>0</v>
      </c>
      <c r="H313" s="1680">
        <f t="shared" si="106"/>
        <v>0</v>
      </c>
      <c r="I313" s="1680">
        <f t="shared" ca="1" si="107"/>
        <v>0</v>
      </c>
      <c r="J313" s="1680">
        <f t="shared" ca="1" si="108"/>
        <v>0</v>
      </c>
      <c r="K313" s="1680">
        <f t="shared" ca="1" si="109"/>
        <v>0</v>
      </c>
      <c r="L313" s="1681"/>
      <c r="M313" s="1681"/>
      <c r="N313" s="1681"/>
      <c r="O313" s="1681"/>
      <c r="P313" s="1619">
        <f t="shared" ca="1" si="110"/>
        <v>0</v>
      </c>
      <c r="Q313" s="1619">
        <f t="shared" ca="1" si="110"/>
        <v>0</v>
      </c>
      <c r="R313" s="1619">
        <f t="shared" ca="1" si="110"/>
        <v>0</v>
      </c>
      <c r="S313" s="4608"/>
      <c r="T313" s="3970"/>
      <c r="U313" s="5342" t="s">
        <v>54</v>
      </c>
      <c r="V313" s="5342"/>
      <c r="W313" s="1659">
        <f>+'Compra -HOJA1'!I203</f>
        <v>0</v>
      </c>
      <c r="X313" s="1659">
        <f>+'Compra -HOJA1'!J203</f>
        <v>0</v>
      </c>
      <c r="Y313" s="1659">
        <f>+'Compra -HOJA1'!K203</f>
        <v>0</v>
      </c>
      <c r="Z313" s="1659">
        <f ca="1">+'Compra -HOJA1'!L203</f>
        <v>0</v>
      </c>
      <c r="AA313" s="1659">
        <f ca="1">+'Compra -HOJA1'!M203</f>
        <v>0</v>
      </c>
      <c r="AB313" s="1659">
        <f ca="1">+'Compra -HOJA1'!N203</f>
        <v>0</v>
      </c>
      <c r="AC313" s="1659">
        <f ca="1">+'Compra -HOJA1'!O203</f>
        <v>0</v>
      </c>
      <c r="AD313" s="1659">
        <f ca="1">+'Compra -HOJA1'!P203</f>
        <v>0</v>
      </c>
      <c r="AE313" s="1659">
        <f ca="1">+'Compra -HOJA1'!Q203</f>
        <v>0</v>
      </c>
      <c r="AG313" s="1490">
        <f t="shared" ca="1" si="111"/>
        <v>0</v>
      </c>
      <c r="AH313" s="1490">
        <f t="shared" ca="1" si="103"/>
        <v>0</v>
      </c>
      <c r="AI313" s="1490">
        <f t="shared" ca="1" si="103"/>
        <v>0</v>
      </c>
    </row>
    <row r="314" spans="1:35" ht="62.1" customHeight="1" x14ac:dyDescent="0.45">
      <c r="A314" s="4608"/>
      <c r="B314" s="3970"/>
      <c r="C314" s="5260" t="s">
        <v>55</v>
      </c>
      <c r="D314" s="5260"/>
      <c r="E314" s="1679">
        <f>+'Compra -HOJA1'!G204</f>
        <v>0</v>
      </c>
      <c r="F314" s="1680">
        <f t="shared" si="104"/>
        <v>0</v>
      </c>
      <c r="G314" s="1680">
        <f t="shared" si="105"/>
        <v>0</v>
      </c>
      <c r="H314" s="1680">
        <f t="shared" si="106"/>
        <v>0</v>
      </c>
      <c r="I314" s="1680">
        <f t="shared" ca="1" si="107"/>
        <v>0</v>
      </c>
      <c r="J314" s="1680">
        <f t="shared" ca="1" si="108"/>
        <v>0</v>
      </c>
      <c r="K314" s="1680">
        <f t="shared" ca="1" si="109"/>
        <v>0</v>
      </c>
      <c r="L314" s="1681"/>
      <c r="M314" s="1681"/>
      <c r="N314" s="1681"/>
      <c r="O314" s="1681"/>
      <c r="P314" s="1619">
        <f ca="1">+F314+I314</f>
        <v>0</v>
      </c>
      <c r="Q314" s="1619">
        <f ca="1">+G314+J314</f>
        <v>0</v>
      </c>
      <c r="R314" s="1619">
        <f ca="1">+H314+K314</f>
        <v>0</v>
      </c>
      <c r="S314" s="4608"/>
      <c r="T314" s="3970"/>
      <c r="U314" s="5260" t="s">
        <v>55</v>
      </c>
      <c r="V314" s="5260"/>
      <c r="W314" s="1659">
        <f>+'Compra -HOJA1'!I204</f>
        <v>0</v>
      </c>
      <c r="X314" s="1659">
        <f>+'Compra -HOJA1'!J204</f>
        <v>0</v>
      </c>
      <c r="Y314" s="1659">
        <f>+'Compra -HOJA1'!K204</f>
        <v>0</v>
      </c>
      <c r="Z314" s="1659">
        <f ca="1">+'Compra -HOJA1'!L204</f>
        <v>0</v>
      </c>
      <c r="AA314" s="1659">
        <f ca="1">+'Compra -HOJA1'!M204</f>
        <v>0</v>
      </c>
      <c r="AB314" s="1659">
        <f ca="1">+'Compra -HOJA1'!N204</f>
        <v>0</v>
      </c>
      <c r="AC314" s="1659">
        <f ca="1">+'Compra -HOJA1'!O204</f>
        <v>0</v>
      </c>
      <c r="AD314" s="1659">
        <f ca="1">+'Compra -HOJA1'!P204</f>
        <v>0</v>
      </c>
      <c r="AE314" s="1659">
        <f ca="1">+'Compra -HOJA1'!Q204</f>
        <v>0</v>
      </c>
      <c r="AG314" s="1490">
        <f t="shared" ca="1" si="111"/>
        <v>0</v>
      </c>
      <c r="AH314" s="1490">
        <f t="shared" ca="1" si="103"/>
        <v>0</v>
      </c>
      <c r="AI314" s="1490">
        <f t="shared" ca="1" si="103"/>
        <v>0</v>
      </c>
    </row>
    <row r="315" spans="1:35" ht="62.1" customHeight="1" x14ac:dyDescent="0.45">
      <c r="A315" s="4608"/>
      <c r="B315" s="3971"/>
      <c r="C315" s="5260" t="s">
        <v>56</v>
      </c>
      <c r="D315" s="5260"/>
      <c r="E315" s="1679">
        <f>+'Compra -HOJA1'!G207</f>
        <v>0</v>
      </c>
      <c r="F315" s="1680">
        <f t="shared" si="104"/>
        <v>0</v>
      </c>
      <c r="G315" s="1680">
        <f t="shared" si="105"/>
        <v>0</v>
      </c>
      <c r="H315" s="1680">
        <f t="shared" si="106"/>
        <v>0</v>
      </c>
      <c r="I315" s="1680">
        <f t="shared" ca="1" si="107"/>
        <v>0</v>
      </c>
      <c r="J315" s="1680">
        <f t="shared" ca="1" si="108"/>
        <v>0</v>
      </c>
      <c r="K315" s="1680">
        <f t="shared" ca="1" si="109"/>
        <v>0</v>
      </c>
      <c r="L315" s="1681"/>
      <c r="M315" s="1681"/>
      <c r="N315" s="1681"/>
      <c r="O315" s="1681"/>
      <c r="P315" s="1619">
        <f t="shared" ca="1" si="110"/>
        <v>0</v>
      </c>
      <c r="Q315" s="1619">
        <f t="shared" ca="1" si="110"/>
        <v>0</v>
      </c>
      <c r="R315" s="1619">
        <f t="shared" ca="1" si="110"/>
        <v>0</v>
      </c>
      <c r="S315" s="4608"/>
      <c r="T315" s="3971"/>
      <c r="U315" s="5260" t="s">
        <v>56</v>
      </c>
      <c r="V315" s="5260"/>
      <c r="W315" s="1659">
        <f>+'Compra -HOJA1'!I207</f>
        <v>0</v>
      </c>
      <c r="X315" s="1659">
        <f>+'Compra -HOJA1'!J207</f>
        <v>0</v>
      </c>
      <c r="Y315" s="1659">
        <f>+'Compra -HOJA1'!K207</f>
        <v>0</v>
      </c>
      <c r="Z315" s="1659">
        <f ca="1">+'Compra -HOJA1'!L207</f>
        <v>0</v>
      </c>
      <c r="AA315" s="1659">
        <f ca="1">+'Compra -HOJA1'!M207</f>
        <v>0</v>
      </c>
      <c r="AB315" s="1659">
        <f ca="1">+'Compra -HOJA1'!N207</f>
        <v>0</v>
      </c>
      <c r="AC315" s="1659">
        <f ca="1">+'Compra -HOJA1'!O207</f>
        <v>0</v>
      </c>
      <c r="AD315" s="1659">
        <f ca="1">+'Compra -HOJA1'!P207</f>
        <v>0</v>
      </c>
      <c r="AE315" s="1659">
        <f ca="1">+'Compra -HOJA1'!Q207</f>
        <v>0</v>
      </c>
      <c r="AG315" s="1490">
        <f t="shared" ca="1" si="111"/>
        <v>0</v>
      </c>
      <c r="AH315" s="1490">
        <f t="shared" ca="1" si="103"/>
        <v>0</v>
      </c>
      <c r="AI315" s="1490">
        <f t="shared" ca="1" si="103"/>
        <v>0</v>
      </c>
    </row>
    <row r="316" spans="1:35" ht="62.1" customHeight="1" thickBot="1" x14ac:dyDescent="0.55000000000000004">
      <c r="A316" s="4609"/>
      <c r="B316" s="1578" t="s">
        <v>50</v>
      </c>
      <c r="C316" s="5325" t="s">
        <v>51</v>
      </c>
      <c r="D316" s="5325"/>
      <c r="E316" s="1679">
        <f>+'Compra -HOJA1'!G208</f>
        <v>0</v>
      </c>
      <c r="F316" s="1680">
        <f t="shared" si="104"/>
        <v>0</v>
      </c>
      <c r="G316" s="1680">
        <f t="shared" si="105"/>
        <v>0</v>
      </c>
      <c r="H316" s="1680">
        <f t="shared" si="106"/>
        <v>0</v>
      </c>
      <c r="I316" s="1680">
        <f t="shared" ca="1" si="107"/>
        <v>0</v>
      </c>
      <c r="J316" s="1680">
        <f t="shared" ca="1" si="108"/>
        <v>0</v>
      </c>
      <c r="K316" s="1680">
        <f t="shared" ca="1" si="109"/>
        <v>0</v>
      </c>
      <c r="L316" s="1681"/>
      <c r="M316" s="1681"/>
      <c r="N316" s="1681"/>
      <c r="O316" s="1681"/>
      <c r="P316" s="1619">
        <f t="shared" ca="1" si="110"/>
        <v>0</v>
      </c>
      <c r="Q316" s="1619">
        <f t="shared" ca="1" si="110"/>
        <v>0</v>
      </c>
      <c r="R316" s="1619">
        <f t="shared" ca="1" si="110"/>
        <v>0</v>
      </c>
      <c r="S316" s="4609"/>
      <c r="T316" s="1578" t="s">
        <v>50</v>
      </c>
      <c r="U316" s="5325" t="s">
        <v>51</v>
      </c>
      <c r="V316" s="5325"/>
      <c r="W316" s="1659">
        <f>+'Compra -HOJA1'!I208</f>
        <v>0</v>
      </c>
      <c r="X316" s="1659">
        <f>+'Compra -HOJA1'!J208</f>
        <v>0</v>
      </c>
      <c r="Y316" s="1659">
        <f>+'Compra -HOJA1'!K208</f>
        <v>0</v>
      </c>
      <c r="Z316" s="1659">
        <f ca="1">+'Compra -HOJA1'!L208</f>
        <v>0</v>
      </c>
      <c r="AA316" s="1659">
        <f ca="1">+'Compra -HOJA1'!M208</f>
        <v>0</v>
      </c>
      <c r="AB316" s="1659">
        <f ca="1">+'Compra -HOJA1'!N208</f>
        <v>0</v>
      </c>
      <c r="AC316" s="1659">
        <f ca="1">+'Compra -HOJA1'!O208</f>
        <v>0</v>
      </c>
      <c r="AD316" s="1659">
        <f ca="1">+'Compra -HOJA1'!P208</f>
        <v>0</v>
      </c>
      <c r="AE316" s="1659">
        <f ca="1">+'Compra -HOJA1'!Q208</f>
        <v>0</v>
      </c>
      <c r="AG316" s="1490">
        <f t="shared" ca="1" si="111"/>
        <v>0</v>
      </c>
      <c r="AH316" s="1490">
        <f t="shared" ca="1" si="111"/>
        <v>0</v>
      </c>
      <c r="AI316" s="1490">
        <f t="shared" ca="1" si="111"/>
        <v>0</v>
      </c>
    </row>
    <row r="317" spans="1:35" ht="62.1" customHeight="1" x14ac:dyDescent="0.45">
      <c r="A317" s="5343" t="s">
        <v>57</v>
      </c>
      <c r="B317" s="3907" t="s">
        <v>164</v>
      </c>
      <c r="C317" s="3907"/>
      <c r="D317" s="3907"/>
      <c r="E317" s="1679" t="e">
        <f>+'Compra -HOJA1'!#REF!</f>
        <v>#REF!</v>
      </c>
      <c r="F317" s="1680" t="e">
        <f t="shared" si="104"/>
        <v>#REF!</v>
      </c>
      <c r="G317" s="1680" t="e">
        <f t="shared" si="105"/>
        <v>#REF!</v>
      </c>
      <c r="H317" s="1680" t="e">
        <f t="shared" si="106"/>
        <v>#REF!</v>
      </c>
      <c r="I317" s="1680" t="e">
        <f t="shared" si="107"/>
        <v>#REF!</v>
      </c>
      <c r="J317" s="1680" t="e">
        <f t="shared" si="108"/>
        <v>#REF!</v>
      </c>
      <c r="K317" s="1680" t="e">
        <f t="shared" si="109"/>
        <v>#REF!</v>
      </c>
      <c r="L317" s="1681"/>
      <c r="M317" s="1681"/>
      <c r="N317" s="1681"/>
      <c r="O317" s="1681"/>
      <c r="P317" s="1619"/>
      <c r="Q317" s="1619"/>
      <c r="R317" s="1619"/>
      <c r="S317" s="5343" t="s">
        <v>57</v>
      </c>
      <c r="T317" s="3907" t="s">
        <v>164</v>
      </c>
      <c r="U317" s="3907"/>
      <c r="V317" s="3907"/>
      <c r="W317" s="1659" t="e">
        <f>+'Compra -HOJA1'!#REF!</f>
        <v>#REF!</v>
      </c>
      <c r="X317" s="1659" t="e">
        <f>+'Compra -HOJA1'!#REF!</f>
        <v>#REF!</v>
      </c>
      <c r="Y317" s="1659" t="e">
        <f>+'Compra -HOJA1'!#REF!</f>
        <v>#REF!</v>
      </c>
      <c r="Z317" s="1659" t="e">
        <f>+'Compra -HOJA1'!#REF!</f>
        <v>#REF!</v>
      </c>
      <c r="AA317" s="1659" t="e">
        <f>+'Compra -HOJA1'!#REF!</f>
        <v>#REF!</v>
      </c>
      <c r="AB317" s="1659" t="e">
        <f>+'Compra -HOJA1'!#REF!</f>
        <v>#REF!</v>
      </c>
      <c r="AC317" s="1659" t="e">
        <f>+'Compra -HOJA1'!#REF!</f>
        <v>#REF!</v>
      </c>
      <c r="AD317" s="1659" t="e">
        <f>+'Compra -HOJA1'!#REF!</f>
        <v>#REF!</v>
      </c>
      <c r="AE317" s="1659" t="e">
        <f>+'Compra -HOJA1'!#REF!</f>
        <v>#REF!</v>
      </c>
      <c r="AG317" s="1490" t="e">
        <f t="shared" si="111"/>
        <v>#REF!</v>
      </c>
      <c r="AH317" s="1490" t="e">
        <f t="shared" si="111"/>
        <v>#REF!</v>
      </c>
      <c r="AI317" s="1490" t="e">
        <f t="shared" si="111"/>
        <v>#REF!</v>
      </c>
    </row>
    <row r="318" spans="1:35" ht="62.1" customHeight="1" x14ac:dyDescent="0.45">
      <c r="A318" s="5344"/>
      <c r="B318" s="4025" t="s">
        <v>179</v>
      </c>
      <c r="C318" s="3913"/>
      <c r="D318" s="4021"/>
      <c r="E318" s="1679">
        <f>+'Compra -HOJA1'!G225</f>
        <v>0</v>
      </c>
      <c r="F318" s="1680">
        <f t="shared" si="104"/>
        <v>0</v>
      </c>
      <c r="G318" s="1680">
        <f t="shared" si="105"/>
        <v>0</v>
      </c>
      <c r="H318" s="1680">
        <f t="shared" si="106"/>
        <v>0</v>
      </c>
      <c r="I318" s="1680">
        <f t="shared" ca="1" si="107"/>
        <v>0</v>
      </c>
      <c r="J318" s="1680">
        <f t="shared" ca="1" si="108"/>
        <v>0</v>
      </c>
      <c r="K318" s="1680">
        <f t="shared" ca="1" si="109"/>
        <v>0</v>
      </c>
      <c r="L318" s="1681"/>
      <c r="M318" s="1681"/>
      <c r="N318" s="1681"/>
      <c r="O318" s="1681"/>
      <c r="P318" s="1619"/>
      <c r="Q318" s="1619"/>
      <c r="R318" s="1619"/>
      <c r="S318" s="5344"/>
      <c r="T318" s="4025" t="s">
        <v>179</v>
      </c>
      <c r="U318" s="3913"/>
      <c r="V318" s="4021"/>
      <c r="W318" s="1659">
        <f>+'Compra -HOJA1'!I225</f>
        <v>0</v>
      </c>
      <c r="X318" s="1659">
        <f>+'Compra -HOJA1'!J225</f>
        <v>0</v>
      </c>
      <c r="Y318" s="1659">
        <f>+'Compra -HOJA1'!K225</f>
        <v>0</v>
      </c>
      <c r="Z318" s="1659">
        <f ca="1">+'Compra -HOJA1'!L225</f>
        <v>0</v>
      </c>
      <c r="AA318" s="1659">
        <f ca="1">+'Compra -HOJA1'!M225</f>
        <v>0</v>
      </c>
      <c r="AB318" s="1659">
        <f ca="1">+'Compra -HOJA1'!N225</f>
        <v>0</v>
      </c>
      <c r="AC318" s="1659">
        <f ca="1">+'Compra -HOJA1'!O225</f>
        <v>0</v>
      </c>
      <c r="AD318" s="1659">
        <f ca="1">+'Compra -HOJA1'!P225</f>
        <v>0</v>
      </c>
      <c r="AE318" s="1659">
        <f ca="1">+'Compra -HOJA1'!Q225</f>
        <v>0</v>
      </c>
      <c r="AG318" s="1490">
        <f t="shared" ca="1" si="111"/>
        <v>0</v>
      </c>
      <c r="AH318" s="1490">
        <f t="shared" ca="1" si="111"/>
        <v>0</v>
      </c>
      <c r="AI318" s="1490">
        <f t="shared" ca="1" si="111"/>
        <v>0</v>
      </c>
    </row>
    <row r="319" spans="1:35" ht="62.1" customHeight="1" x14ac:dyDescent="0.45">
      <c r="A319" s="5344"/>
      <c r="B319" s="4098" t="s">
        <v>927</v>
      </c>
      <c r="C319" s="4098"/>
      <c r="D319" s="4098"/>
      <c r="E319" s="1679">
        <f>+'Compra -HOJA1'!G226</f>
        <v>0</v>
      </c>
      <c r="F319" s="1680">
        <f t="shared" si="104"/>
        <v>0</v>
      </c>
      <c r="G319" s="1680">
        <f t="shared" si="105"/>
        <v>0</v>
      </c>
      <c r="H319" s="1680">
        <f t="shared" si="106"/>
        <v>0</v>
      </c>
      <c r="I319" s="1680">
        <f t="shared" ca="1" si="107"/>
        <v>0</v>
      </c>
      <c r="J319" s="1680">
        <f t="shared" ca="1" si="108"/>
        <v>0</v>
      </c>
      <c r="K319" s="1680">
        <f t="shared" ca="1" si="109"/>
        <v>0</v>
      </c>
      <c r="L319" s="1681"/>
      <c r="M319" s="1681"/>
      <c r="N319" s="1681"/>
      <c r="O319" s="1681"/>
      <c r="P319" s="1619"/>
      <c r="Q319" s="1619"/>
      <c r="R319" s="1619"/>
      <c r="S319" s="5344"/>
      <c r="T319" s="4098" t="s">
        <v>927</v>
      </c>
      <c r="U319" s="4098"/>
      <c r="V319" s="4098"/>
      <c r="W319" s="1659">
        <f>+'Compra -HOJA1'!I226</f>
        <v>0</v>
      </c>
      <c r="X319" s="1659">
        <f>+'Compra -HOJA1'!J226</f>
        <v>0</v>
      </c>
      <c r="Y319" s="1659">
        <f>+'Compra -HOJA1'!K226</f>
        <v>0</v>
      </c>
      <c r="Z319" s="1659">
        <f ca="1">+'Compra -HOJA1'!L226</f>
        <v>0</v>
      </c>
      <c r="AA319" s="1659">
        <f ca="1">+'Compra -HOJA1'!M226</f>
        <v>0</v>
      </c>
      <c r="AB319" s="1659">
        <f ca="1">+'Compra -HOJA1'!N226</f>
        <v>0</v>
      </c>
      <c r="AC319" s="1659">
        <f ca="1">+'Compra -HOJA1'!O226</f>
        <v>0</v>
      </c>
      <c r="AD319" s="1659">
        <f ca="1">+'Compra -HOJA1'!P226</f>
        <v>0</v>
      </c>
      <c r="AE319" s="1659">
        <f ca="1">+'Compra -HOJA1'!Q226</f>
        <v>0</v>
      </c>
      <c r="AG319" s="1490">
        <f t="shared" ca="1" si="111"/>
        <v>0</v>
      </c>
      <c r="AH319" s="1490">
        <f t="shared" ca="1" si="111"/>
        <v>0</v>
      </c>
      <c r="AI319" s="1490">
        <f t="shared" ca="1" si="111"/>
        <v>0</v>
      </c>
    </row>
    <row r="320" spans="1:35" ht="62.1" customHeight="1" x14ac:dyDescent="0.45">
      <c r="A320" s="5344"/>
      <c r="B320" s="3691" t="s">
        <v>58</v>
      </c>
      <c r="C320" s="5342" t="s">
        <v>59</v>
      </c>
      <c r="D320" s="5342"/>
      <c r="E320" s="1679">
        <f>+'Compra -HOJA1'!G229</f>
        <v>0</v>
      </c>
      <c r="F320" s="1680">
        <f t="shared" si="104"/>
        <v>0</v>
      </c>
      <c r="G320" s="1680">
        <f t="shared" si="105"/>
        <v>0</v>
      </c>
      <c r="H320" s="1680">
        <f t="shared" si="106"/>
        <v>0</v>
      </c>
      <c r="I320" s="1680">
        <f t="shared" ca="1" si="107"/>
        <v>0</v>
      </c>
      <c r="J320" s="1680">
        <f t="shared" ca="1" si="108"/>
        <v>0</v>
      </c>
      <c r="K320" s="1680">
        <f t="shared" ca="1" si="109"/>
        <v>0</v>
      </c>
      <c r="L320" s="1681"/>
      <c r="M320" s="1681"/>
      <c r="N320" s="1681"/>
      <c r="O320" s="1681"/>
      <c r="P320" s="1619"/>
      <c r="Q320" s="1619"/>
      <c r="R320" s="1619"/>
      <c r="S320" s="5344"/>
      <c r="T320" s="3691" t="s">
        <v>58</v>
      </c>
      <c r="U320" s="5342" t="s">
        <v>59</v>
      </c>
      <c r="V320" s="5342"/>
      <c r="W320" s="1659">
        <f>+'Compra -HOJA1'!I229</f>
        <v>0</v>
      </c>
      <c r="X320" s="1659">
        <f>+'Compra -HOJA1'!J229</f>
        <v>0</v>
      </c>
      <c r="Y320" s="1659">
        <f>+'Compra -HOJA1'!K229</f>
        <v>0</v>
      </c>
      <c r="Z320" s="1659">
        <f ca="1">+'Compra -HOJA1'!L229</f>
        <v>0</v>
      </c>
      <c r="AA320" s="1659">
        <f ca="1">+'Compra -HOJA1'!M229</f>
        <v>0</v>
      </c>
      <c r="AB320" s="1659">
        <f ca="1">+'Compra -HOJA1'!N229</f>
        <v>0</v>
      </c>
      <c r="AC320" s="1659">
        <f ca="1">+'Compra -HOJA1'!O229</f>
        <v>0</v>
      </c>
      <c r="AD320" s="1659">
        <f ca="1">+'Compra -HOJA1'!P229</f>
        <v>0</v>
      </c>
      <c r="AE320" s="1659">
        <f ca="1">+'Compra -HOJA1'!Q229</f>
        <v>0</v>
      </c>
      <c r="AG320" s="1490">
        <f t="shared" ca="1" si="111"/>
        <v>0</v>
      </c>
      <c r="AH320" s="1490">
        <f t="shared" ca="1" si="111"/>
        <v>0</v>
      </c>
      <c r="AI320" s="1490">
        <f t="shared" ca="1" si="111"/>
        <v>0</v>
      </c>
    </row>
    <row r="321" spans="1:35" ht="62.1" customHeight="1" x14ac:dyDescent="0.45">
      <c r="A321" s="5344"/>
      <c r="B321" s="3971"/>
      <c r="C321" s="5260" t="s">
        <v>60</v>
      </c>
      <c r="D321" s="5260"/>
      <c r="E321" s="1679">
        <f>+'Compra -HOJA1'!G231</f>
        <v>0</v>
      </c>
      <c r="F321" s="1680">
        <f t="shared" si="104"/>
        <v>0</v>
      </c>
      <c r="G321" s="1680">
        <f t="shared" si="105"/>
        <v>0</v>
      </c>
      <c r="H321" s="1680">
        <f t="shared" si="106"/>
        <v>0</v>
      </c>
      <c r="I321" s="1680">
        <f t="shared" ca="1" si="107"/>
        <v>0</v>
      </c>
      <c r="J321" s="1680">
        <f t="shared" ca="1" si="108"/>
        <v>0</v>
      </c>
      <c r="K321" s="1680">
        <f t="shared" ca="1" si="109"/>
        <v>0</v>
      </c>
      <c r="L321" s="1681"/>
      <c r="M321" s="1681"/>
      <c r="N321" s="1681"/>
      <c r="O321" s="1681"/>
      <c r="P321" s="1619">
        <f t="shared" ca="1" si="110"/>
        <v>0</v>
      </c>
      <c r="Q321" s="1619">
        <f t="shared" ca="1" si="110"/>
        <v>0</v>
      </c>
      <c r="R321" s="1619">
        <f t="shared" ca="1" si="110"/>
        <v>0</v>
      </c>
      <c r="S321" s="5344"/>
      <c r="T321" s="3971"/>
      <c r="U321" s="5260" t="s">
        <v>60</v>
      </c>
      <c r="V321" s="5260"/>
      <c r="W321" s="1659">
        <f>+'Compra -HOJA1'!I231</f>
        <v>0</v>
      </c>
      <c r="X321" s="1659">
        <f>+'Compra -HOJA1'!J231</f>
        <v>0</v>
      </c>
      <c r="Y321" s="1659">
        <f>+'Compra -HOJA1'!K231</f>
        <v>0</v>
      </c>
      <c r="Z321" s="1659">
        <f ca="1">+'Compra -HOJA1'!L231</f>
        <v>0</v>
      </c>
      <c r="AA321" s="1659">
        <f ca="1">+'Compra -HOJA1'!M231</f>
        <v>0</v>
      </c>
      <c r="AB321" s="1659">
        <f ca="1">+'Compra -HOJA1'!N231</f>
        <v>0</v>
      </c>
      <c r="AC321" s="1659">
        <f ca="1">+'Compra -HOJA1'!O231</f>
        <v>0</v>
      </c>
      <c r="AD321" s="1659">
        <f ca="1">+'Compra -HOJA1'!P231</f>
        <v>0</v>
      </c>
      <c r="AE321" s="1659">
        <f ca="1">+'Compra -HOJA1'!Q231</f>
        <v>0</v>
      </c>
      <c r="AG321" s="1490">
        <f t="shared" ca="1" si="111"/>
        <v>0</v>
      </c>
      <c r="AH321" s="1490">
        <f t="shared" ca="1" si="111"/>
        <v>0</v>
      </c>
      <c r="AI321" s="1490">
        <f t="shared" ca="1" si="111"/>
        <v>0</v>
      </c>
    </row>
    <row r="322" spans="1:35" ht="62.1" customHeight="1" thickBot="1" x14ac:dyDescent="0.55000000000000004">
      <c r="A322" s="5344"/>
      <c r="B322" s="1551" t="s">
        <v>61</v>
      </c>
      <c r="C322" s="5325" t="s">
        <v>51</v>
      </c>
      <c r="D322" s="5325"/>
      <c r="E322" s="1679">
        <f>+'Compra -HOJA1'!G233</f>
        <v>0</v>
      </c>
      <c r="F322" s="1680">
        <f t="shared" si="104"/>
        <v>0</v>
      </c>
      <c r="G322" s="1680">
        <f t="shared" si="105"/>
        <v>0</v>
      </c>
      <c r="H322" s="1680">
        <f t="shared" si="106"/>
        <v>0</v>
      </c>
      <c r="I322" s="1680">
        <f t="shared" ca="1" si="107"/>
        <v>0</v>
      </c>
      <c r="J322" s="1680">
        <f t="shared" ca="1" si="108"/>
        <v>0</v>
      </c>
      <c r="K322" s="1680">
        <f t="shared" ca="1" si="109"/>
        <v>0</v>
      </c>
      <c r="L322" s="1681"/>
      <c r="M322" s="1681"/>
      <c r="N322" s="1681"/>
      <c r="O322" s="1681"/>
      <c r="P322" s="1619">
        <f t="shared" ca="1" si="110"/>
        <v>0</v>
      </c>
      <c r="Q322" s="1619">
        <f t="shared" ca="1" si="110"/>
        <v>0</v>
      </c>
      <c r="R322" s="1619">
        <f t="shared" ca="1" si="110"/>
        <v>0</v>
      </c>
      <c r="S322" s="5344"/>
      <c r="T322" s="1551" t="s">
        <v>61</v>
      </c>
      <c r="U322" s="5325" t="s">
        <v>51</v>
      </c>
      <c r="V322" s="5325"/>
      <c r="W322" s="1659">
        <f>+'Compra -HOJA1'!I233</f>
        <v>0</v>
      </c>
      <c r="X322" s="1659">
        <f>+'Compra -HOJA1'!J233</f>
        <v>0</v>
      </c>
      <c r="Y322" s="1659">
        <f>+'Compra -HOJA1'!K233</f>
        <v>0</v>
      </c>
      <c r="Z322" s="1659">
        <f ca="1">+'Compra -HOJA1'!L233</f>
        <v>0</v>
      </c>
      <c r="AA322" s="1659">
        <f ca="1">+'Compra -HOJA1'!M233</f>
        <v>0</v>
      </c>
      <c r="AB322" s="1659">
        <f ca="1">+'Compra -HOJA1'!N233</f>
        <v>0</v>
      </c>
      <c r="AC322" s="1659">
        <f ca="1">+'Compra -HOJA1'!O233</f>
        <v>0</v>
      </c>
      <c r="AD322" s="1659">
        <f ca="1">+'Compra -HOJA1'!P233</f>
        <v>0</v>
      </c>
      <c r="AE322" s="1659">
        <f ca="1">+'Compra -HOJA1'!Q233</f>
        <v>0</v>
      </c>
      <c r="AG322" s="1490">
        <f t="shared" ca="1" si="111"/>
        <v>0</v>
      </c>
      <c r="AH322" s="1490">
        <f t="shared" ca="1" si="111"/>
        <v>0</v>
      </c>
      <c r="AI322" s="1490">
        <f t="shared" ca="1" si="111"/>
        <v>0</v>
      </c>
    </row>
    <row r="323" spans="1:35" ht="62.1" customHeight="1" x14ac:dyDescent="0.45">
      <c r="A323" s="5255" t="s">
        <v>62</v>
      </c>
      <c r="B323" s="3907" t="s">
        <v>164</v>
      </c>
      <c r="C323" s="3907"/>
      <c r="D323" s="3907"/>
      <c r="E323" s="1679">
        <f>+'Compra -HOJA1'!G235</f>
        <v>0</v>
      </c>
      <c r="F323" s="1680">
        <f t="shared" si="104"/>
        <v>0</v>
      </c>
      <c r="G323" s="1680">
        <f t="shared" si="105"/>
        <v>0</v>
      </c>
      <c r="H323" s="1680">
        <f t="shared" si="106"/>
        <v>0</v>
      </c>
      <c r="I323" s="1680">
        <f t="shared" ca="1" si="107"/>
        <v>0</v>
      </c>
      <c r="J323" s="1680">
        <f t="shared" ca="1" si="108"/>
        <v>0</v>
      </c>
      <c r="K323" s="1680">
        <f t="shared" ca="1" si="109"/>
        <v>0</v>
      </c>
      <c r="L323" s="1681"/>
      <c r="M323" s="1681"/>
      <c r="N323" s="1681"/>
      <c r="O323" s="1681"/>
      <c r="P323" s="1619">
        <f t="shared" ca="1" si="110"/>
        <v>0</v>
      </c>
      <c r="Q323" s="1619">
        <f t="shared" ca="1" si="110"/>
        <v>0</v>
      </c>
      <c r="R323" s="1619">
        <f t="shared" ca="1" si="110"/>
        <v>0</v>
      </c>
      <c r="S323" s="5255" t="s">
        <v>62</v>
      </c>
      <c r="T323" s="3907" t="s">
        <v>164</v>
      </c>
      <c r="U323" s="3907"/>
      <c r="V323" s="3907"/>
      <c r="W323" s="1659">
        <f>+'Compra -HOJA1'!I235</f>
        <v>0</v>
      </c>
      <c r="X323" s="1659">
        <f>+'Compra -HOJA1'!J235</f>
        <v>0</v>
      </c>
      <c r="Y323" s="1659">
        <f>+'Compra -HOJA1'!K235</f>
        <v>0</v>
      </c>
      <c r="Z323" s="1659">
        <f ca="1">+'Compra -HOJA1'!L235</f>
        <v>0</v>
      </c>
      <c r="AA323" s="1659">
        <f ca="1">+'Compra -HOJA1'!M235</f>
        <v>0</v>
      </c>
      <c r="AB323" s="1659">
        <f ca="1">+'Compra -HOJA1'!N235</f>
        <v>0</v>
      </c>
      <c r="AC323" s="1659">
        <f ca="1">+'Compra -HOJA1'!O235</f>
        <v>0</v>
      </c>
      <c r="AD323" s="1659">
        <f ca="1">+'Compra -HOJA1'!P235</f>
        <v>0</v>
      </c>
      <c r="AE323" s="1659">
        <f ca="1">+'Compra -HOJA1'!Q235</f>
        <v>0</v>
      </c>
      <c r="AG323" s="1490">
        <f t="shared" ca="1" si="111"/>
        <v>0</v>
      </c>
      <c r="AH323" s="1490">
        <f t="shared" ca="1" si="111"/>
        <v>0</v>
      </c>
      <c r="AI323" s="1490">
        <f t="shared" ca="1" si="111"/>
        <v>0</v>
      </c>
    </row>
    <row r="324" spans="1:35" ht="62.1" customHeight="1" x14ac:dyDescent="0.45">
      <c r="A324" s="5256"/>
      <c r="B324" s="4025" t="s">
        <v>179</v>
      </c>
      <c r="C324" s="3913"/>
      <c r="D324" s="4021"/>
      <c r="E324" s="1679" t="e">
        <f>+'Compra -HOJA1'!#REF!</f>
        <v>#REF!</v>
      </c>
      <c r="F324" s="1680" t="e">
        <f t="shared" si="104"/>
        <v>#REF!</v>
      </c>
      <c r="G324" s="1680" t="e">
        <f t="shared" si="105"/>
        <v>#REF!</v>
      </c>
      <c r="H324" s="1680" t="e">
        <f t="shared" si="106"/>
        <v>#REF!</v>
      </c>
      <c r="I324" s="1680" t="e">
        <f t="shared" si="107"/>
        <v>#REF!</v>
      </c>
      <c r="J324" s="1680" t="e">
        <f t="shared" si="108"/>
        <v>#REF!</v>
      </c>
      <c r="K324" s="1680" t="e">
        <f t="shared" si="109"/>
        <v>#REF!</v>
      </c>
      <c r="L324" s="1681"/>
      <c r="M324" s="1681"/>
      <c r="N324" s="1681"/>
      <c r="O324" s="1681"/>
      <c r="P324" s="1619" t="e">
        <f t="shared" si="110"/>
        <v>#REF!</v>
      </c>
      <c r="Q324" s="1619" t="e">
        <f t="shared" si="110"/>
        <v>#REF!</v>
      </c>
      <c r="R324" s="1619" t="e">
        <f t="shared" si="110"/>
        <v>#REF!</v>
      </c>
      <c r="S324" s="5256"/>
      <c r="T324" s="4025" t="s">
        <v>179</v>
      </c>
      <c r="U324" s="3913"/>
      <c r="V324" s="4021"/>
      <c r="W324" s="1659" t="e">
        <f>+'Compra -HOJA1'!#REF!</f>
        <v>#REF!</v>
      </c>
      <c r="X324" s="1659" t="e">
        <f>+'Compra -HOJA1'!#REF!</f>
        <v>#REF!</v>
      </c>
      <c r="Y324" s="1659" t="e">
        <f>+'Compra -HOJA1'!#REF!</f>
        <v>#REF!</v>
      </c>
      <c r="Z324" s="1659" t="e">
        <f>+'Compra -HOJA1'!#REF!</f>
        <v>#REF!</v>
      </c>
      <c r="AA324" s="1659" t="e">
        <f>+'Compra -HOJA1'!#REF!</f>
        <v>#REF!</v>
      </c>
      <c r="AB324" s="1659" t="e">
        <f>+'Compra -HOJA1'!#REF!</f>
        <v>#REF!</v>
      </c>
      <c r="AC324" s="1659" t="e">
        <f>+'Compra -HOJA1'!#REF!</f>
        <v>#REF!</v>
      </c>
      <c r="AD324" s="1659" t="e">
        <f>+'Compra -HOJA1'!#REF!</f>
        <v>#REF!</v>
      </c>
      <c r="AE324" s="1659" t="e">
        <f>+'Compra -HOJA1'!#REF!</f>
        <v>#REF!</v>
      </c>
      <c r="AG324" s="1490" t="e">
        <f t="shared" si="111"/>
        <v>#REF!</v>
      </c>
      <c r="AH324" s="1490" t="e">
        <f t="shared" si="111"/>
        <v>#REF!</v>
      </c>
      <c r="AI324" s="1490" t="e">
        <f t="shared" si="111"/>
        <v>#REF!</v>
      </c>
    </row>
    <row r="325" spans="1:35" ht="62.1" customHeight="1" x14ac:dyDescent="0.45">
      <c r="A325" s="5256"/>
      <c r="B325" s="4098" t="s">
        <v>927</v>
      </c>
      <c r="C325" s="4098"/>
      <c r="D325" s="4098"/>
      <c r="E325" s="1679">
        <f>+'Compra -HOJA1'!G243</f>
        <v>0</v>
      </c>
      <c r="F325" s="1680">
        <f t="shared" si="104"/>
        <v>0</v>
      </c>
      <c r="G325" s="1680">
        <f t="shared" si="105"/>
        <v>0</v>
      </c>
      <c r="H325" s="1680">
        <f t="shared" si="106"/>
        <v>0</v>
      </c>
      <c r="I325" s="1680">
        <f t="shared" ca="1" si="107"/>
        <v>0</v>
      </c>
      <c r="J325" s="1680">
        <f t="shared" ca="1" si="108"/>
        <v>0</v>
      </c>
      <c r="K325" s="1680">
        <f t="shared" ca="1" si="109"/>
        <v>0</v>
      </c>
      <c r="L325" s="1681"/>
      <c r="M325" s="1681"/>
      <c r="N325" s="1681"/>
      <c r="O325" s="1681"/>
      <c r="P325" s="1619"/>
      <c r="Q325" s="1619"/>
      <c r="R325" s="1619"/>
      <c r="S325" s="5256"/>
      <c r="T325" s="4098" t="s">
        <v>927</v>
      </c>
      <c r="U325" s="4098"/>
      <c r="V325" s="4098"/>
      <c r="W325" s="1659">
        <f>+'Compra -HOJA1'!I243</f>
        <v>0</v>
      </c>
      <c r="X325" s="1659">
        <f>+'Compra -HOJA1'!J243</f>
        <v>0</v>
      </c>
      <c r="Y325" s="1659">
        <f>+'Compra -HOJA1'!K243</f>
        <v>0</v>
      </c>
      <c r="Z325" s="1659">
        <f ca="1">+'Compra -HOJA1'!L243</f>
        <v>0</v>
      </c>
      <c r="AA325" s="1659">
        <f ca="1">+'Compra -HOJA1'!M243</f>
        <v>0</v>
      </c>
      <c r="AB325" s="1659">
        <f ca="1">+'Compra -HOJA1'!N243</f>
        <v>0</v>
      </c>
      <c r="AC325" s="1659">
        <f ca="1">+'Compra -HOJA1'!O243</f>
        <v>0</v>
      </c>
      <c r="AD325" s="1659">
        <f ca="1">+'Compra -HOJA1'!P243</f>
        <v>0</v>
      </c>
      <c r="AE325" s="1659">
        <f ca="1">+'Compra -HOJA1'!Q243</f>
        <v>0</v>
      </c>
      <c r="AG325" s="1490">
        <f t="shared" ca="1" si="111"/>
        <v>0</v>
      </c>
      <c r="AH325" s="1490">
        <f t="shared" ca="1" si="111"/>
        <v>0</v>
      </c>
      <c r="AI325" s="1490">
        <f t="shared" ca="1" si="111"/>
        <v>0</v>
      </c>
    </row>
    <row r="326" spans="1:35" ht="62.1" customHeight="1" x14ac:dyDescent="0.45">
      <c r="A326" s="5256"/>
      <c r="B326" s="3690" t="s">
        <v>45</v>
      </c>
      <c r="C326" s="5342" t="s">
        <v>64</v>
      </c>
      <c r="D326" s="5342"/>
      <c r="E326" s="1679">
        <f>+'Compra -HOJA1'!G244</f>
        <v>0</v>
      </c>
      <c r="F326" s="1680">
        <f t="shared" si="104"/>
        <v>0</v>
      </c>
      <c r="G326" s="1680">
        <f t="shared" si="105"/>
        <v>0</v>
      </c>
      <c r="H326" s="1680">
        <f t="shared" si="106"/>
        <v>0</v>
      </c>
      <c r="I326" s="1680">
        <f t="shared" ca="1" si="107"/>
        <v>0</v>
      </c>
      <c r="J326" s="1680">
        <f t="shared" ca="1" si="108"/>
        <v>0</v>
      </c>
      <c r="K326" s="1680">
        <f t="shared" ca="1" si="109"/>
        <v>0</v>
      </c>
      <c r="L326" s="1681"/>
      <c r="M326" s="1681"/>
      <c r="N326" s="1681"/>
      <c r="O326" s="1681"/>
      <c r="P326" s="1619">
        <f t="shared" ca="1" si="110"/>
        <v>0</v>
      </c>
      <c r="Q326" s="1619">
        <f t="shared" ca="1" si="110"/>
        <v>0</v>
      </c>
      <c r="R326" s="1619">
        <f t="shared" ca="1" si="110"/>
        <v>0</v>
      </c>
      <c r="S326" s="5256"/>
      <c r="T326" s="3690" t="s">
        <v>45</v>
      </c>
      <c r="U326" s="5342" t="s">
        <v>64</v>
      </c>
      <c r="V326" s="5342"/>
      <c r="W326" s="1659">
        <f>+'Compra -HOJA1'!I244</f>
        <v>0</v>
      </c>
      <c r="X326" s="1659">
        <f>+'Compra -HOJA1'!J244</f>
        <v>0</v>
      </c>
      <c r="Y326" s="1659">
        <f>+'Compra -HOJA1'!K244</f>
        <v>0</v>
      </c>
      <c r="Z326" s="1659">
        <f ca="1">+'Compra -HOJA1'!L244</f>
        <v>0</v>
      </c>
      <c r="AA326" s="1659">
        <f ca="1">+'Compra -HOJA1'!M244</f>
        <v>0</v>
      </c>
      <c r="AB326" s="1659">
        <f ca="1">+'Compra -HOJA1'!N244</f>
        <v>0</v>
      </c>
      <c r="AC326" s="1659">
        <f ca="1">+'Compra -HOJA1'!O244</f>
        <v>0</v>
      </c>
      <c r="AD326" s="1659">
        <f ca="1">+'Compra -HOJA1'!P244</f>
        <v>0</v>
      </c>
      <c r="AE326" s="1659">
        <f ca="1">+'Compra -HOJA1'!Q244</f>
        <v>0</v>
      </c>
      <c r="AG326" s="1490">
        <f t="shared" ca="1" si="111"/>
        <v>0</v>
      </c>
      <c r="AH326" s="1490">
        <f t="shared" ca="1" si="111"/>
        <v>0</v>
      </c>
      <c r="AI326" s="1490">
        <f t="shared" ca="1" si="111"/>
        <v>0</v>
      </c>
    </row>
    <row r="327" spans="1:35" ht="62.1" customHeight="1" x14ac:dyDescent="0.45">
      <c r="A327" s="5256"/>
      <c r="B327" s="3690"/>
      <c r="C327" s="5260" t="s">
        <v>65</v>
      </c>
      <c r="D327" s="5260"/>
      <c r="E327" s="1679">
        <f>+'Compra -HOJA1'!G248</f>
        <v>0</v>
      </c>
      <c r="F327" s="1680">
        <f t="shared" si="104"/>
        <v>0</v>
      </c>
      <c r="G327" s="1680">
        <f t="shared" si="105"/>
        <v>0</v>
      </c>
      <c r="H327" s="1680">
        <f t="shared" si="106"/>
        <v>0</v>
      </c>
      <c r="I327" s="1680">
        <f t="shared" ca="1" si="107"/>
        <v>0</v>
      </c>
      <c r="J327" s="1680">
        <f t="shared" ca="1" si="108"/>
        <v>0</v>
      </c>
      <c r="K327" s="1680">
        <f t="shared" ca="1" si="109"/>
        <v>0</v>
      </c>
      <c r="L327" s="1681"/>
      <c r="M327" s="1681"/>
      <c r="N327" s="1681"/>
      <c r="O327" s="1681"/>
      <c r="P327" s="1619">
        <f t="shared" ca="1" si="110"/>
        <v>0</v>
      </c>
      <c r="Q327" s="1619">
        <f t="shared" ca="1" si="110"/>
        <v>0</v>
      </c>
      <c r="R327" s="1619">
        <f t="shared" ca="1" si="110"/>
        <v>0</v>
      </c>
      <c r="S327" s="5256"/>
      <c r="T327" s="3690"/>
      <c r="U327" s="5260" t="s">
        <v>65</v>
      </c>
      <c r="V327" s="5260"/>
      <c r="W327" s="1659">
        <f>+'Compra -HOJA1'!I248</f>
        <v>0</v>
      </c>
      <c r="X327" s="1659">
        <f>+'Compra -HOJA1'!J248</f>
        <v>0</v>
      </c>
      <c r="Y327" s="1659">
        <f>+'Compra -HOJA1'!K248</f>
        <v>0</v>
      </c>
      <c r="Z327" s="1659">
        <f ca="1">+'Compra -HOJA1'!L248</f>
        <v>0</v>
      </c>
      <c r="AA327" s="1659">
        <f ca="1">+'Compra -HOJA1'!M248</f>
        <v>0</v>
      </c>
      <c r="AB327" s="1659">
        <f ca="1">+'Compra -HOJA1'!N248</f>
        <v>0</v>
      </c>
      <c r="AC327" s="1659">
        <f ca="1">+'Compra -HOJA1'!O248</f>
        <v>0</v>
      </c>
      <c r="AD327" s="1659">
        <f ca="1">+'Compra -HOJA1'!P248</f>
        <v>0</v>
      </c>
      <c r="AE327" s="1659">
        <f ca="1">+'Compra -HOJA1'!Q248</f>
        <v>0</v>
      </c>
      <c r="AG327" s="1490">
        <f t="shared" ca="1" si="111"/>
        <v>0</v>
      </c>
      <c r="AH327" s="1490">
        <f t="shared" ca="1" si="111"/>
        <v>0</v>
      </c>
      <c r="AI327" s="1490">
        <f t="shared" ca="1" si="111"/>
        <v>0</v>
      </c>
    </row>
    <row r="328" spans="1:35" ht="62.1" customHeight="1" x14ac:dyDescent="0.5">
      <c r="A328" s="5256"/>
      <c r="B328" s="1611" t="s">
        <v>66</v>
      </c>
      <c r="C328" s="5325" t="s">
        <v>51</v>
      </c>
      <c r="D328" s="5325"/>
      <c r="E328" s="1679" t="e">
        <f>+'Compra -HOJA1'!#REF!</f>
        <v>#REF!</v>
      </c>
      <c r="F328" s="1680" t="e">
        <f t="shared" si="104"/>
        <v>#REF!</v>
      </c>
      <c r="G328" s="1680" t="e">
        <f t="shared" si="105"/>
        <v>#REF!</v>
      </c>
      <c r="H328" s="1680" t="e">
        <f t="shared" si="106"/>
        <v>#REF!</v>
      </c>
      <c r="I328" s="1680" t="e">
        <f t="shared" si="107"/>
        <v>#REF!</v>
      </c>
      <c r="J328" s="1680" t="e">
        <f t="shared" si="108"/>
        <v>#REF!</v>
      </c>
      <c r="K328" s="1680" t="e">
        <f t="shared" si="109"/>
        <v>#REF!</v>
      </c>
      <c r="L328" s="1681"/>
      <c r="M328" s="1681"/>
      <c r="N328" s="1681"/>
      <c r="O328" s="1681"/>
      <c r="P328" s="1619" t="e">
        <f t="shared" si="110"/>
        <v>#REF!</v>
      </c>
      <c r="Q328" s="1619" t="e">
        <f t="shared" si="110"/>
        <v>#REF!</v>
      </c>
      <c r="R328" s="1619" t="e">
        <f t="shared" si="110"/>
        <v>#REF!</v>
      </c>
      <c r="S328" s="5256"/>
      <c r="T328" s="1611" t="s">
        <v>66</v>
      </c>
      <c r="U328" s="5325" t="s">
        <v>51</v>
      </c>
      <c r="V328" s="5325"/>
      <c r="W328" s="1659" t="e">
        <f>+'Compra -HOJA1'!#REF!</f>
        <v>#REF!</v>
      </c>
      <c r="X328" s="1659" t="e">
        <f>+'Compra -HOJA1'!#REF!</f>
        <v>#REF!</v>
      </c>
      <c r="Y328" s="1659" t="e">
        <f>+'Compra -HOJA1'!#REF!</f>
        <v>#REF!</v>
      </c>
      <c r="Z328" s="1659" t="e">
        <f>+'Compra -HOJA1'!#REF!</f>
        <v>#REF!</v>
      </c>
      <c r="AA328" s="1659" t="e">
        <f>+'Compra -HOJA1'!#REF!</f>
        <v>#REF!</v>
      </c>
      <c r="AB328" s="1659" t="e">
        <f>+'Compra -HOJA1'!#REF!</f>
        <v>#REF!</v>
      </c>
      <c r="AC328" s="1659" t="e">
        <f>+'Compra -HOJA1'!#REF!</f>
        <v>#REF!</v>
      </c>
      <c r="AD328" s="1659" t="e">
        <f>+'Compra -HOJA1'!#REF!</f>
        <v>#REF!</v>
      </c>
      <c r="AE328" s="1659" t="e">
        <f>+'Compra -HOJA1'!#REF!</f>
        <v>#REF!</v>
      </c>
      <c r="AG328" s="1490" t="e">
        <f t="shared" si="111"/>
        <v>#REF!</v>
      </c>
      <c r="AH328" s="1490" t="e">
        <f t="shared" si="111"/>
        <v>#REF!</v>
      </c>
      <c r="AI328" s="1490" t="e">
        <f t="shared" si="111"/>
        <v>#REF!</v>
      </c>
    </row>
    <row r="329" spans="1:35" ht="62.1" customHeight="1" x14ac:dyDescent="0.45">
      <c r="A329" s="5324" t="s">
        <v>67</v>
      </c>
      <c r="B329" s="3907" t="s">
        <v>164</v>
      </c>
      <c r="C329" s="3907"/>
      <c r="D329" s="3907"/>
      <c r="E329" s="1679">
        <f>+'Compra -HOJA1'!G252</f>
        <v>0</v>
      </c>
      <c r="F329" s="1680">
        <f t="shared" si="104"/>
        <v>0</v>
      </c>
      <c r="G329" s="1680">
        <f t="shared" si="105"/>
        <v>0</v>
      </c>
      <c r="H329" s="1680">
        <f t="shared" si="106"/>
        <v>0</v>
      </c>
      <c r="I329" s="1680">
        <f t="shared" ca="1" si="107"/>
        <v>0</v>
      </c>
      <c r="J329" s="1680">
        <f t="shared" ca="1" si="108"/>
        <v>0</v>
      </c>
      <c r="K329" s="1680">
        <f t="shared" ca="1" si="109"/>
        <v>0</v>
      </c>
      <c r="L329" s="1681"/>
      <c r="M329" s="1681"/>
      <c r="N329" s="1681"/>
      <c r="O329" s="1681"/>
      <c r="P329" s="1619">
        <f t="shared" ca="1" si="110"/>
        <v>0</v>
      </c>
      <c r="Q329" s="1619">
        <f t="shared" ca="1" si="110"/>
        <v>0</v>
      </c>
      <c r="R329" s="1619">
        <f t="shared" ca="1" si="110"/>
        <v>0</v>
      </c>
      <c r="S329" s="5324" t="s">
        <v>67</v>
      </c>
      <c r="T329" s="3907" t="s">
        <v>164</v>
      </c>
      <c r="U329" s="3907"/>
      <c r="V329" s="3907"/>
      <c r="W329" s="1659">
        <f>+'Compra -HOJA1'!I252</f>
        <v>0</v>
      </c>
      <c r="X329" s="1659">
        <f>+'Compra -HOJA1'!J252</f>
        <v>0</v>
      </c>
      <c r="Y329" s="1659">
        <f>+'Compra -HOJA1'!K252</f>
        <v>0</v>
      </c>
      <c r="Z329" s="1659">
        <f ca="1">+'Compra -HOJA1'!L252</f>
        <v>0</v>
      </c>
      <c r="AA329" s="1659">
        <f ca="1">+'Compra -HOJA1'!M252</f>
        <v>0</v>
      </c>
      <c r="AB329" s="1659">
        <f ca="1">+'Compra -HOJA1'!N252</f>
        <v>0</v>
      </c>
      <c r="AC329" s="1659">
        <f ca="1">+'Compra -HOJA1'!O252</f>
        <v>0</v>
      </c>
      <c r="AD329" s="1659">
        <f ca="1">+'Compra -HOJA1'!P252</f>
        <v>0</v>
      </c>
      <c r="AE329" s="1659">
        <f ca="1">+'Compra -HOJA1'!Q252</f>
        <v>0</v>
      </c>
      <c r="AG329" s="1490">
        <f t="shared" ca="1" si="111"/>
        <v>0</v>
      </c>
      <c r="AH329" s="1490">
        <f t="shared" ca="1" si="111"/>
        <v>0</v>
      </c>
      <c r="AI329" s="1490">
        <f t="shared" ca="1" si="111"/>
        <v>0</v>
      </c>
    </row>
    <row r="330" spans="1:35" ht="62.1" customHeight="1" x14ac:dyDescent="0.45">
      <c r="A330" s="5324"/>
      <c r="B330" s="4025" t="s">
        <v>179</v>
      </c>
      <c r="C330" s="3913"/>
      <c r="D330" s="4021"/>
      <c r="E330" s="1679">
        <f>+'Compra -HOJA1'!G254</f>
        <v>0</v>
      </c>
      <c r="F330" s="1680">
        <f t="shared" si="104"/>
        <v>0</v>
      </c>
      <c r="G330" s="1680">
        <f t="shared" si="105"/>
        <v>0</v>
      </c>
      <c r="H330" s="1680">
        <f t="shared" si="106"/>
        <v>0</v>
      </c>
      <c r="I330" s="1680">
        <f t="shared" ca="1" si="107"/>
        <v>0</v>
      </c>
      <c r="J330" s="1680">
        <f t="shared" ca="1" si="108"/>
        <v>0</v>
      </c>
      <c r="K330" s="1680">
        <f t="shared" ca="1" si="109"/>
        <v>0</v>
      </c>
      <c r="L330" s="1681"/>
      <c r="M330" s="1681"/>
      <c r="N330" s="1681"/>
      <c r="O330" s="1681"/>
      <c r="P330" s="1619"/>
      <c r="Q330" s="1619"/>
      <c r="R330" s="1619"/>
      <c r="S330" s="5324"/>
      <c r="T330" s="4025" t="s">
        <v>179</v>
      </c>
      <c r="U330" s="3913"/>
      <c r="V330" s="4021"/>
      <c r="W330" s="1659">
        <f>+'Compra -HOJA1'!I254</f>
        <v>0</v>
      </c>
      <c r="X330" s="1659">
        <f>+'Compra -HOJA1'!J254</f>
        <v>0</v>
      </c>
      <c r="Y330" s="1659">
        <f>+'Compra -HOJA1'!K254</f>
        <v>0</v>
      </c>
      <c r="Z330" s="1659">
        <f ca="1">+'Compra -HOJA1'!L254</f>
        <v>0</v>
      </c>
      <c r="AA330" s="1659">
        <f ca="1">+'Compra -HOJA1'!M254</f>
        <v>0</v>
      </c>
      <c r="AB330" s="1659">
        <f ca="1">+'Compra -HOJA1'!N254</f>
        <v>0</v>
      </c>
      <c r="AC330" s="1659">
        <f ca="1">+'Compra -HOJA1'!O254</f>
        <v>0</v>
      </c>
      <c r="AD330" s="1659">
        <f ca="1">+'Compra -HOJA1'!P254</f>
        <v>0</v>
      </c>
      <c r="AE330" s="1659">
        <f ca="1">+'Compra -HOJA1'!Q254</f>
        <v>0</v>
      </c>
      <c r="AG330" s="1490">
        <f t="shared" ca="1" si="111"/>
        <v>0</v>
      </c>
      <c r="AH330" s="1490">
        <f t="shared" ca="1" si="111"/>
        <v>0</v>
      </c>
      <c r="AI330" s="1490">
        <f t="shared" ca="1" si="111"/>
        <v>0</v>
      </c>
    </row>
    <row r="331" spans="1:35" ht="62.1" customHeight="1" x14ac:dyDescent="0.45">
      <c r="A331" s="5324"/>
      <c r="B331" s="4098" t="s">
        <v>927</v>
      </c>
      <c r="C331" s="4098"/>
      <c r="D331" s="4098"/>
      <c r="E331" s="1679" t="e">
        <f>+'Compra -HOJA1'!#REF!</f>
        <v>#REF!</v>
      </c>
      <c r="F331" s="1680" t="e">
        <f t="shared" si="104"/>
        <v>#REF!</v>
      </c>
      <c r="G331" s="1680" t="e">
        <f t="shared" si="105"/>
        <v>#REF!</v>
      </c>
      <c r="H331" s="1680" t="e">
        <f t="shared" si="106"/>
        <v>#REF!</v>
      </c>
      <c r="I331" s="1680" t="e">
        <f t="shared" si="107"/>
        <v>#REF!</v>
      </c>
      <c r="J331" s="1680" t="e">
        <f t="shared" si="108"/>
        <v>#REF!</v>
      </c>
      <c r="K331" s="1680" t="e">
        <f t="shared" si="109"/>
        <v>#REF!</v>
      </c>
      <c r="L331" s="1681"/>
      <c r="M331" s="1681"/>
      <c r="N331" s="1681"/>
      <c r="O331" s="1681"/>
      <c r="P331" s="1619"/>
      <c r="Q331" s="1619"/>
      <c r="R331" s="1619"/>
      <c r="S331" s="5324"/>
      <c r="T331" s="4098" t="s">
        <v>927</v>
      </c>
      <c r="U331" s="4098"/>
      <c r="V331" s="4098"/>
      <c r="W331" s="1659" t="e">
        <f>+'Compra -HOJA1'!#REF!</f>
        <v>#REF!</v>
      </c>
      <c r="X331" s="1659" t="e">
        <f>+'Compra -HOJA1'!#REF!</f>
        <v>#REF!</v>
      </c>
      <c r="Y331" s="1659" t="e">
        <f>+'Compra -HOJA1'!#REF!</f>
        <v>#REF!</v>
      </c>
      <c r="Z331" s="1659" t="e">
        <f>+'Compra -HOJA1'!#REF!</f>
        <v>#REF!</v>
      </c>
      <c r="AA331" s="1659" t="e">
        <f>+'Compra -HOJA1'!#REF!</f>
        <v>#REF!</v>
      </c>
      <c r="AB331" s="1659" t="e">
        <f>+'Compra -HOJA1'!#REF!</f>
        <v>#REF!</v>
      </c>
      <c r="AC331" s="1659" t="e">
        <f>+'Compra -HOJA1'!#REF!</f>
        <v>#REF!</v>
      </c>
      <c r="AD331" s="1659" t="e">
        <f>+'Compra -HOJA1'!#REF!</f>
        <v>#REF!</v>
      </c>
      <c r="AE331" s="1659" t="e">
        <f>+'Compra -HOJA1'!#REF!</f>
        <v>#REF!</v>
      </c>
      <c r="AG331" s="1490" t="e">
        <f t="shared" si="111"/>
        <v>#REF!</v>
      </c>
      <c r="AH331" s="1490" t="e">
        <f t="shared" si="111"/>
        <v>#REF!</v>
      </c>
      <c r="AI331" s="1490" t="e">
        <f t="shared" si="111"/>
        <v>#REF!</v>
      </c>
    </row>
    <row r="332" spans="1:35" ht="62.1" customHeight="1" x14ac:dyDescent="0.45">
      <c r="A332" s="5324"/>
      <c r="B332" s="3690" t="s">
        <v>45</v>
      </c>
      <c r="C332" s="5342" t="s">
        <v>68</v>
      </c>
      <c r="D332" s="5342"/>
      <c r="E332" s="1679">
        <f>+'Compra -HOJA1'!G262</f>
        <v>0</v>
      </c>
      <c r="F332" s="1680">
        <f t="shared" si="104"/>
        <v>0</v>
      </c>
      <c r="G332" s="1680">
        <f t="shared" si="105"/>
        <v>0</v>
      </c>
      <c r="H332" s="1680">
        <f t="shared" si="106"/>
        <v>0</v>
      </c>
      <c r="I332" s="1680">
        <f t="shared" ca="1" si="107"/>
        <v>0</v>
      </c>
      <c r="J332" s="1680">
        <f t="shared" ca="1" si="108"/>
        <v>0</v>
      </c>
      <c r="K332" s="1680">
        <f t="shared" ca="1" si="109"/>
        <v>0</v>
      </c>
      <c r="L332" s="1681"/>
      <c r="M332" s="1681"/>
      <c r="N332" s="1681"/>
      <c r="O332" s="1681"/>
      <c r="P332" s="1619"/>
      <c r="Q332" s="1619"/>
      <c r="R332" s="1619"/>
      <c r="S332" s="5324"/>
      <c r="T332" s="3690" t="s">
        <v>45</v>
      </c>
      <c r="U332" s="5342" t="s">
        <v>68</v>
      </c>
      <c r="V332" s="5342"/>
      <c r="W332" s="1659">
        <f>+'Compra -HOJA1'!I262</f>
        <v>0</v>
      </c>
      <c r="X332" s="1659">
        <f>+'Compra -HOJA1'!J262</f>
        <v>0</v>
      </c>
      <c r="Y332" s="1659">
        <f>+'Compra -HOJA1'!K262</f>
        <v>0</v>
      </c>
      <c r="Z332" s="1659">
        <f ca="1">+'Compra -HOJA1'!L262</f>
        <v>0</v>
      </c>
      <c r="AA332" s="1659">
        <f ca="1">+'Compra -HOJA1'!M262</f>
        <v>0</v>
      </c>
      <c r="AB332" s="1659">
        <f ca="1">+'Compra -HOJA1'!N262</f>
        <v>0</v>
      </c>
      <c r="AC332" s="1659">
        <f ca="1">+'Compra -HOJA1'!O262</f>
        <v>0</v>
      </c>
      <c r="AD332" s="1659">
        <f ca="1">+'Compra -HOJA1'!P262</f>
        <v>0</v>
      </c>
      <c r="AE332" s="1659">
        <f ca="1">+'Compra -HOJA1'!Q262</f>
        <v>0</v>
      </c>
      <c r="AG332" s="1490">
        <f t="shared" ca="1" si="111"/>
        <v>0</v>
      </c>
      <c r="AH332" s="1490">
        <f t="shared" ca="1" si="111"/>
        <v>0</v>
      </c>
      <c r="AI332" s="1490">
        <f t="shared" ca="1" si="111"/>
        <v>0</v>
      </c>
    </row>
    <row r="333" spans="1:35" ht="62.1" customHeight="1" x14ac:dyDescent="0.45">
      <c r="A333" s="5324"/>
      <c r="B333" s="3690"/>
      <c r="C333" s="5260" t="s">
        <v>69</v>
      </c>
      <c r="D333" s="5260"/>
      <c r="E333" s="1679">
        <f>+'Compra -HOJA1'!G263</f>
        <v>0</v>
      </c>
      <c r="F333" s="1680">
        <f t="shared" si="104"/>
        <v>0</v>
      </c>
      <c r="G333" s="1680">
        <f t="shared" si="105"/>
        <v>0</v>
      </c>
      <c r="H333" s="1680">
        <f t="shared" si="106"/>
        <v>0</v>
      </c>
      <c r="I333" s="1680">
        <f t="shared" ca="1" si="107"/>
        <v>0</v>
      </c>
      <c r="J333" s="1680">
        <f t="shared" ca="1" si="108"/>
        <v>0</v>
      </c>
      <c r="K333" s="1680">
        <f t="shared" ca="1" si="109"/>
        <v>0</v>
      </c>
      <c r="L333" s="1681"/>
      <c r="M333" s="1681"/>
      <c r="N333" s="1681"/>
      <c r="O333" s="1681"/>
      <c r="P333" s="1619"/>
      <c r="Q333" s="1619"/>
      <c r="R333" s="1619"/>
      <c r="S333" s="5324"/>
      <c r="T333" s="3690"/>
      <c r="U333" s="5260" t="s">
        <v>69</v>
      </c>
      <c r="V333" s="5260"/>
      <c r="W333" s="1659">
        <f>+'Compra -HOJA1'!I263</f>
        <v>0</v>
      </c>
      <c r="X333" s="1659">
        <f>+'Compra -HOJA1'!J263</f>
        <v>0</v>
      </c>
      <c r="Y333" s="1659">
        <f>+'Compra -HOJA1'!K263</f>
        <v>0</v>
      </c>
      <c r="Z333" s="1659">
        <f ca="1">+'Compra -HOJA1'!L263</f>
        <v>0</v>
      </c>
      <c r="AA333" s="1659">
        <f ca="1">+'Compra -HOJA1'!M263</f>
        <v>0</v>
      </c>
      <c r="AB333" s="1659">
        <f ca="1">+'Compra -HOJA1'!N263</f>
        <v>0</v>
      </c>
      <c r="AC333" s="1659">
        <f ca="1">+'Compra -HOJA1'!O263</f>
        <v>0</v>
      </c>
      <c r="AD333" s="1659">
        <f ca="1">+'Compra -HOJA1'!P263</f>
        <v>0</v>
      </c>
      <c r="AE333" s="1659">
        <f ca="1">+'Compra -HOJA1'!Q263</f>
        <v>0</v>
      </c>
      <c r="AG333" s="1490">
        <f t="shared" ca="1" si="111"/>
        <v>0</v>
      </c>
      <c r="AH333" s="1490">
        <f t="shared" ca="1" si="111"/>
        <v>0</v>
      </c>
      <c r="AI333" s="1490">
        <f t="shared" ca="1" si="111"/>
        <v>0</v>
      </c>
    </row>
    <row r="334" spans="1:35" ht="62.1" customHeight="1" thickBot="1" x14ac:dyDescent="0.55000000000000004">
      <c r="A334" s="5324"/>
      <c r="B334" s="1578" t="s">
        <v>66</v>
      </c>
      <c r="C334" s="5325" t="s">
        <v>51</v>
      </c>
      <c r="D334" s="5325"/>
      <c r="E334" s="1679">
        <f>+'Compra -HOJA1'!G267</f>
        <v>0</v>
      </c>
      <c r="F334" s="1680">
        <f t="shared" si="104"/>
        <v>0</v>
      </c>
      <c r="G334" s="1680">
        <f t="shared" si="105"/>
        <v>0</v>
      </c>
      <c r="H334" s="1680">
        <f t="shared" si="106"/>
        <v>0</v>
      </c>
      <c r="I334" s="1680">
        <f t="shared" ca="1" si="107"/>
        <v>0</v>
      </c>
      <c r="J334" s="1680">
        <f t="shared" ca="1" si="108"/>
        <v>0</v>
      </c>
      <c r="K334" s="1680">
        <f t="shared" ca="1" si="109"/>
        <v>0</v>
      </c>
      <c r="L334" s="1681"/>
      <c r="M334" s="1681"/>
      <c r="N334" s="1681"/>
      <c r="O334" s="1681"/>
      <c r="P334" s="1619">
        <f t="shared" ca="1" si="110"/>
        <v>0</v>
      </c>
      <c r="Q334" s="1619">
        <f t="shared" ca="1" si="110"/>
        <v>0</v>
      </c>
      <c r="R334" s="1619">
        <f t="shared" ca="1" si="110"/>
        <v>0</v>
      </c>
      <c r="S334" s="5324"/>
      <c r="T334" s="1578" t="s">
        <v>66</v>
      </c>
      <c r="U334" s="5325" t="s">
        <v>51</v>
      </c>
      <c r="V334" s="5325"/>
      <c r="W334" s="1659">
        <f>+'Compra -HOJA1'!I267</f>
        <v>0</v>
      </c>
      <c r="X334" s="1659">
        <f>+'Compra -HOJA1'!J267</f>
        <v>0</v>
      </c>
      <c r="Y334" s="1659">
        <f>+'Compra -HOJA1'!K267</f>
        <v>0</v>
      </c>
      <c r="Z334" s="1659">
        <f ca="1">+'Compra -HOJA1'!L267</f>
        <v>0</v>
      </c>
      <c r="AA334" s="1659">
        <f ca="1">+'Compra -HOJA1'!M267</f>
        <v>0</v>
      </c>
      <c r="AB334" s="1659">
        <f ca="1">+'Compra -HOJA1'!N267</f>
        <v>0</v>
      </c>
      <c r="AC334" s="1659">
        <f ca="1">+'Compra -HOJA1'!O267</f>
        <v>0</v>
      </c>
      <c r="AD334" s="1659">
        <f ca="1">+'Compra -HOJA1'!P267</f>
        <v>0</v>
      </c>
      <c r="AE334" s="1659">
        <f ca="1">+'Compra -HOJA1'!Q267</f>
        <v>0</v>
      </c>
      <c r="AG334" s="1490">
        <f t="shared" ca="1" si="111"/>
        <v>0</v>
      </c>
      <c r="AH334" s="1490">
        <f t="shared" ca="1" si="111"/>
        <v>0</v>
      </c>
      <c r="AI334" s="1490">
        <f t="shared" ca="1" si="111"/>
        <v>0</v>
      </c>
    </row>
    <row r="335" spans="1:35" ht="62.1" customHeight="1" thickBot="1" x14ac:dyDescent="0.5">
      <c r="A335" s="1612" t="s">
        <v>21</v>
      </c>
      <c r="B335" s="5649" t="s">
        <v>70</v>
      </c>
      <c r="C335" s="5650"/>
      <c r="D335" s="5651"/>
      <c r="E335" s="1679">
        <f>+'Compra -HOJA1'!G269</f>
        <v>0</v>
      </c>
      <c r="F335" s="1680">
        <f t="shared" si="104"/>
        <v>0</v>
      </c>
      <c r="G335" s="1680">
        <f t="shared" si="105"/>
        <v>0</v>
      </c>
      <c r="H335" s="1680">
        <f t="shared" si="106"/>
        <v>0</v>
      </c>
      <c r="I335" s="1680">
        <f t="shared" ca="1" si="107"/>
        <v>0</v>
      </c>
      <c r="J335" s="1680">
        <f t="shared" ca="1" si="108"/>
        <v>0</v>
      </c>
      <c r="K335" s="1680">
        <f t="shared" ca="1" si="109"/>
        <v>0</v>
      </c>
      <c r="L335" s="1681"/>
      <c r="M335" s="1681"/>
      <c r="N335" s="1681"/>
      <c r="O335" s="1681"/>
      <c r="P335" s="1619">
        <f t="shared" ca="1" si="110"/>
        <v>0</v>
      </c>
      <c r="Q335" s="1619">
        <f t="shared" ca="1" si="110"/>
        <v>0</v>
      </c>
      <c r="R335" s="1619">
        <f t="shared" ca="1" si="110"/>
        <v>0</v>
      </c>
      <c r="S335" s="1612" t="s">
        <v>21</v>
      </c>
      <c r="T335" s="5649" t="s">
        <v>70</v>
      </c>
      <c r="U335" s="5650"/>
      <c r="V335" s="5651"/>
      <c r="W335" s="1659">
        <f>+'Compra -HOJA1'!I269</f>
        <v>0</v>
      </c>
      <c r="X335" s="1659">
        <f>+'Compra -HOJA1'!J269</f>
        <v>0</v>
      </c>
      <c r="Y335" s="1659">
        <f>+'Compra -HOJA1'!K269</f>
        <v>0</v>
      </c>
      <c r="Z335" s="1659">
        <f ca="1">+'Compra -HOJA1'!L269</f>
        <v>0</v>
      </c>
      <c r="AA335" s="1659">
        <f ca="1">+'Compra -HOJA1'!M269</f>
        <v>0</v>
      </c>
      <c r="AB335" s="1659">
        <f ca="1">+'Compra -HOJA1'!N269</f>
        <v>0</v>
      </c>
      <c r="AC335" s="1659">
        <f ca="1">+'Compra -HOJA1'!O269</f>
        <v>0</v>
      </c>
      <c r="AD335" s="1659">
        <f ca="1">+'Compra -HOJA1'!P269</f>
        <v>0</v>
      </c>
      <c r="AE335" s="1659">
        <f ca="1">+'Compra -HOJA1'!Q269</f>
        <v>0</v>
      </c>
      <c r="AG335" s="1490">
        <f t="shared" ca="1" si="111"/>
        <v>0</v>
      </c>
      <c r="AH335" s="1490">
        <f t="shared" ca="1" si="111"/>
        <v>0</v>
      </c>
      <c r="AI335" s="1490">
        <f t="shared" ca="1" si="111"/>
        <v>0</v>
      </c>
    </row>
    <row r="336" spans="1:35" ht="62.1" customHeight="1" thickBot="1" x14ac:dyDescent="0.5">
      <c r="A336" s="1613" t="s">
        <v>71</v>
      </c>
      <c r="B336" s="5652" t="s">
        <v>72</v>
      </c>
      <c r="C336" s="5653"/>
      <c r="D336" s="5654"/>
      <c r="E336" s="1679">
        <f>+'Compra -HOJA1'!G271</f>
        <v>0</v>
      </c>
      <c r="F336" s="1680">
        <f t="shared" si="104"/>
        <v>0</v>
      </c>
      <c r="G336" s="1680">
        <f t="shared" si="105"/>
        <v>0</v>
      </c>
      <c r="H336" s="1680">
        <f t="shared" si="106"/>
        <v>0</v>
      </c>
      <c r="I336" s="1680">
        <f t="shared" ca="1" si="107"/>
        <v>0</v>
      </c>
      <c r="J336" s="1680">
        <f t="shared" ca="1" si="108"/>
        <v>0</v>
      </c>
      <c r="K336" s="1680">
        <f t="shared" ca="1" si="109"/>
        <v>0</v>
      </c>
      <c r="L336" s="1681"/>
      <c r="M336" s="1681"/>
      <c r="N336" s="1681"/>
      <c r="O336" s="1681"/>
      <c r="P336" s="1619">
        <f t="shared" ca="1" si="110"/>
        <v>0</v>
      </c>
      <c r="Q336" s="1619">
        <f t="shared" ca="1" si="110"/>
        <v>0</v>
      </c>
      <c r="R336" s="1619">
        <f t="shared" ca="1" si="110"/>
        <v>0</v>
      </c>
      <c r="S336" s="1613" t="s">
        <v>71</v>
      </c>
      <c r="T336" s="5652" t="s">
        <v>72</v>
      </c>
      <c r="U336" s="5653"/>
      <c r="V336" s="5654"/>
      <c r="W336" s="1659">
        <f>+'Compra -HOJA1'!I271</f>
        <v>0</v>
      </c>
      <c r="X336" s="1659">
        <f>+'Compra -HOJA1'!J271</f>
        <v>0</v>
      </c>
      <c r="Y336" s="1659">
        <f>+'Compra -HOJA1'!K271</f>
        <v>0</v>
      </c>
      <c r="Z336" s="1659">
        <f ca="1">+'Compra -HOJA1'!L271</f>
        <v>0</v>
      </c>
      <c r="AA336" s="1659">
        <f ca="1">+'Compra -HOJA1'!M271</f>
        <v>0</v>
      </c>
      <c r="AB336" s="1659">
        <f ca="1">+'Compra -HOJA1'!N271</f>
        <v>0</v>
      </c>
      <c r="AC336" s="1659">
        <f ca="1">+'Compra -HOJA1'!O271</f>
        <v>0</v>
      </c>
      <c r="AD336" s="1659">
        <f ca="1">+'Compra -HOJA1'!P271</f>
        <v>0</v>
      </c>
      <c r="AE336" s="1659">
        <f ca="1">+'Compra -HOJA1'!Q271</f>
        <v>0</v>
      </c>
      <c r="AG336" s="1490">
        <f t="shared" ca="1" si="111"/>
        <v>0</v>
      </c>
      <c r="AH336" s="1490">
        <f t="shared" ca="1" si="111"/>
        <v>0</v>
      </c>
      <c r="AI336" s="1490">
        <f t="shared" ca="1" si="111"/>
        <v>0</v>
      </c>
    </row>
    <row r="337" spans="1:31" ht="62.1" customHeight="1" x14ac:dyDescent="0.45">
      <c r="A337" s="1579"/>
      <c r="B337" s="1614"/>
      <c r="C337" s="1578"/>
      <c r="D337" s="1552"/>
      <c r="E337" s="1679"/>
      <c r="F337" s="1680">
        <f t="shared" si="104"/>
        <v>0</v>
      </c>
      <c r="G337" s="1680">
        <f t="shared" si="105"/>
        <v>0</v>
      </c>
      <c r="H337" s="1680">
        <f t="shared" si="106"/>
        <v>0</v>
      </c>
      <c r="I337" s="1680">
        <f t="shared" si="107"/>
        <v>0</v>
      </c>
      <c r="J337" s="1680">
        <f t="shared" si="108"/>
        <v>0</v>
      </c>
      <c r="K337" s="1680">
        <f t="shared" si="109"/>
        <v>0</v>
      </c>
      <c r="L337" s="1681"/>
      <c r="M337" s="1681"/>
      <c r="N337" s="1681"/>
      <c r="O337" s="1681"/>
      <c r="P337" s="1619">
        <f t="shared" si="110"/>
        <v>0</v>
      </c>
      <c r="Q337" s="1619">
        <f t="shared" si="110"/>
        <v>0</v>
      </c>
      <c r="R337" s="1619">
        <f t="shared" si="110"/>
        <v>0</v>
      </c>
      <c r="T337" s="1614"/>
      <c r="U337" s="1615"/>
      <c r="V337" s="1615"/>
      <c r="W337" s="1659"/>
      <c r="X337" s="1659"/>
      <c r="Y337" s="1659"/>
      <c r="Z337" s="1659"/>
      <c r="AA337" s="1659"/>
      <c r="AB337" s="1659"/>
      <c r="AC337" s="1659"/>
      <c r="AD337" s="1548"/>
      <c r="AE337" s="1548"/>
    </row>
    <row r="338" spans="1:31" ht="62.1" customHeight="1" x14ac:dyDescent="0.45">
      <c r="A338" s="1579"/>
      <c r="B338" s="1615"/>
      <c r="C338" s="1578"/>
      <c r="D338" s="1552"/>
      <c r="E338" s="1679"/>
      <c r="F338" s="1680">
        <f t="shared" si="104"/>
        <v>0</v>
      </c>
      <c r="G338" s="1680">
        <f t="shared" si="105"/>
        <v>0</v>
      </c>
      <c r="H338" s="1680">
        <f t="shared" si="106"/>
        <v>0</v>
      </c>
      <c r="I338" s="1680">
        <f t="shared" si="107"/>
        <v>0</v>
      </c>
      <c r="J338" s="1680">
        <f t="shared" si="108"/>
        <v>0</v>
      </c>
      <c r="K338" s="1680">
        <f t="shared" si="109"/>
        <v>0</v>
      </c>
      <c r="L338" s="1681"/>
      <c r="M338" s="1681"/>
      <c r="N338" s="1681"/>
      <c r="O338" s="1681"/>
      <c r="P338" s="1619">
        <f t="shared" si="110"/>
        <v>0</v>
      </c>
      <c r="Q338" s="1619">
        <f t="shared" si="110"/>
        <v>0</v>
      </c>
      <c r="R338" s="1619">
        <f t="shared" si="110"/>
        <v>0</v>
      </c>
      <c r="T338" s="1552"/>
      <c r="U338" s="1552"/>
      <c r="V338" s="1552"/>
      <c r="W338" s="1659"/>
      <c r="X338" s="1659"/>
      <c r="Y338" s="1659"/>
      <c r="Z338" s="1659"/>
      <c r="AA338" s="1659"/>
      <c r="AB338" s="1659"/>
      <c r="AC338" s="1659"/>
      <c r="AD338" s="1548"/>
      <c r="AE338" s="1548"/>
    </row>
    <row r="339" spans="1:31" ht="62.1" customHeight="1" x14ac:dyDescent="0.45">
      <c r="A339" s="1579"/>
      <c r="B339" s="1552"/>
      <c r="C339" s="1578"/>
      <c r="D339" s="1552"/>
      <c r="E339" s="1679"/>
      <c r="F339" s="1680">
        <f t="shared" si="104"/>
        <v>0</v>
      </c>
      <c r="G339" s="1680">
        <f t="shared" si="105"/>
        <v>0</v>
      </c>
      <c r="H339" s="1680">
        <f t="shared" si="106"/>
        <v>0</v>
      </c>
      <c r="I339" s="1680">
        <f t="shared" si="107"/>
        <v>0</v>
      </c>
      <c r="J339" s="1680">
        <f t="shared" si="108"/>
        <v>0</v>
      </c>
      <c r="K339" s="1680">
        <f t="shared" si="109"/>
        <v>0</v>
      </c>
      <c r="L339" s="1681"/>
      <c r="M339" s="1681"/>
      <c r="N339" s="1681"/>
      <c r="O339" s="1681"/>
      <c r="P339" s="1619">
        <f t="shared" si="110"/>
        <v>0</v>
      </c>
      <c r="Q339" s="1619">
        <f t="shared" si="110"/>
        <v>0</v>
      </c>
      <c r="R339" s="1619">
        <f t="shared" si="110"/>
        <v>0</v>
      </c>
      <c r="T339" s="1552"/>
      <c r="U339" s="1552"/>
      <c r="V339" s="1552"/>
      <c r="W339" s="1659"/>
      <c r="X339" s="1659"/>
      <c r="Y339" s="1659"/>
      <c r="Z339" s="1659"/>
      <c r="AA339" s="1659"/>
      <c r="AB339" s="1659"/>
      <c r="AC339" s="1659"/>
      <c r="AD339" s="1548"/>
      <c r="AE339" s="1548"/>
    </row>
    <row r="340" spans="1:31" ht="62.1" customHeight="1" x14ac:dyDescent="0.45">
      <c r="A340" s="1579"/>
      <c r="B340" s="1552"/>
      <c r="C340" s="1578"/>
      <c r="D340" s="1552"/>
      <c r="E340" s="1679"/>
      <c r="F340" s="1680">
        <f t="shared" si="104"/>
        <v>0</v>
      </c>
      <c r="G340" s="1680">
        <f t="shared" si="105"/>
        <v>0</v>
      </c>
      <c r="H340" s="1680">
        <f t="shared" si="106"/>
        <v>0</v>
      </c>
      <c r="I340" s="1680">
        <f t="shared" si="107"/>
        <v>0</v>
      </c>
      <c r="J340" s="1680">
        <f t="shared" si="108"/>
        <v>0</v>
      </c>
      <c r="K340" s="1680">
        <f t="shared" si="109"/>
        <v>0</v>
      </c>
      <c r="L340" s="1681"/>
      <c r="M340" s="1681"/>
      <c r="N340" s="1681"/>
      <c r="O340" s="1681"/>
      <c r="P340" s="1619">
        <f t="shared" si="110"/>
        <v>0</v>
      </c>
      <c r="Q340" s="1619">
        <f t="shared" si="110"/>
        <v>0</v>
      </c>
      <c r="R340" s="1619">
        <f t="shared" si="110"/>
        <v>0</v>
      </c>
      <c r="T340" s="1531"/>
      <c r="U340" s="1531"/>
      <c r="V340" s="1531"/>
      <c r="W340" s="1659"/>
      <c r="X340" s="1659"/>
      <c r="Y340" s="1659"/>
      <c r="Z340" s="1659"/>
      <c r="AA340" s="1659"/>
      <c r="AB340" s="1659"/>
      <c r="AC340" s="1659"/>
      <c r="AD340" s="1548"/>
      <c r="AE340" s="1548"/>
    </row>
    <row r="341" spans="1:31" ht="62.1" customHeight="1" x14ac:dyDescent="0.45">
      <c r="A341" s="1579"/>
      <c r="B341" s="1552"/>
      <c r="C341" s="1578"/>
      <c r="D341" s="1531"/>
      <c r="E341" s="1679"/>
      <c r="F341" s="1680">
        <f t="shared" si="104"/>
        <v>0</v>
      </c>
      <c r="G341" s="1680">
        <f t="shared" si="105"/>
        <v>0</v>
      </c>
      <c r="H341" s="1680">
        <f t="shared" si="106"/>
        <v>0</v>
      </c>
      <c r="I341" s="1680">
        <f t="shared" si="107"/>
        <v>0</v>
      </c>
      <c r="J341" s="1680">
        <f t="shared" si="108"/>
        <v>0</v>
      </c>
      <c r="K341" s="1680">
        <f t="shared" si="109"/>
        <v>0</v>
      </c>
      <c r="L341" s="1681"/>
      <c r="M341" s="1681"/>
      <c r="N341" s="1681"/>
      <c r="O341" s="1681"/>
      <c r="P341" s="1619"/>
      <c r="Q341" s="1619"/>
      <c r="R341" s="1619"/>
      <c r="T341" s="1531"/>
      <c r="U341" s="1531"/>
      <c r="V341" s="1531"/>
      <c r="W341" s="1659"/>
      <c r="X341" s="1659"/>
      <c r="Y341" s="1659"/>
      <c r="Z341" s="1659"/>
      <c r="AA341" s="1659"/>
      <c r="AB341" s="1659"/>
      <c r="AC341" s="1659"/>
      <c r="AD341" s="1548"/>
      <c r="AE341" s="1548"/>
    </row>
    <row r="342" spans="1:31" ht="62.1" customHeight="1" x14ac:dyDescent="0.45">
      <c r="A342" s="1579"/>
      <c r="B342" s="1552"/>
      <c r="C342" s="1578"/>
      <c r="D342" s="1531"/>
      <c r="E342" s="1679"/>
      <c r="F342" s="1680">
        <f t="shared" si="104"/>
        <v>0</v>
      </c>
      <c r="G342" s="1680">
        <f t="shared" si="105"/>
        <v>0</v>
      </c>
      <c r="H342" s="1680">
        <f t="shared" si="106"/>
        <v>0</v>
      </c>
      <c r="I342" s="1680">
        <f t="shared" si="107"/>
        <v>0</v>
      </c>
      <c r="J342" s="1680">
        <f t="shared" si="108"/>
        <v>0</v>
      </c>
      <c r="K342" s="1680">
        <f t="shared" si="109"/>
        <v>0</v>
      </c>
      <c r="L342" s="1681"/>
      <c r="M342" s="1681"/>
      <c r="N342" s="1681"/>
      <c r="O342" s="1681"/>
      <c r="P342" s="1619"/>
      <c r="Q342" s="1619"/>
      <c r="R342" s="1619"/>
      <c r="T342" s="1531"/>
      <c r="U342" s="1531"/>
      <c r="V342" s="1531"/>
      <c r="W342" s="1659"/>
      <c r="X342" s="1659"/>
      <c r="Y342" s="1659"/>
      <c r="Z342" s="1659"/>
      <c r="AA342" s="1659"/>
      <c r="AB342" s="1659"/>
      <c r="AC342" s="1659"/>
      <c r="AD342" s="1548"/>
      <c r="AE342" s="1548"/>
    </row>
    <row r="343" spans="1:31" ht="62.1" customHeight="1" x14ac:dyDescent="0.45">
      <c r="A343" s="1579"/>
      <c r="B343" s="1531"/>
      <c r="C343" s="1578"/>
      <c r="D343" s="1531"/>
      <c r="E343" s="1679"/>
      <c r="F343" s="1680">
        <f t="shared" si="104"/>
        <v>0</v>
      </c>
      <c r="G343" s="1680">
        <f t="shared" si="105"/>
        <v>0</v>
      </c>
      <c r="H343" s="1680">
        <f t="shared" si="106"/>
        <v>0</v>
      </c>
      <c r="I343" s="1680">
        <f t="shared" si="107"/>
        <v>0</v>
      </c>
      <c r="J343" s="1680">
        <f t="shared" si="108"/>
        <v>0</v>
      </c>
      <c r="K343" s="1680">
        <f t="shared" si="109"/>
        <v>0</v>
      </c>
      <c r="L343" s="1681"/>
      <c r="M343" s="1681"/>
      <c r="N343" s="1681"/>
      <c r="O343" s="1681"/>
      <c r="P343" s="1619"/>
      <c r="Q343" s="1619"/>
      <c r="R343" s="1619"/>
      <c r="T343" s="1531"/>
      <c r="U343" s="1531"/>
      <c r="V343" s="1531"/>
      <c r="W343" s="1659"/>
      <c r="X343" s="1659"/>
      <c r="Y343" s="1659"/>
      <c r="Z343" s="1659"/>
      <c r="AA343" s="1659"/>
      <c r="AB343" s="1659"/>
      <c r="AC343" s="1659"/>
      <c r="AD343" s="1548"/>
      <c r="AE343" s="1548"/>
    </row>
    <row r="344" spans="1:31" ht="62.1" customHeight="1" x14ac:dyDescent="0.45">
      <c r="A344" s="1579"/>
      <c r="B344" s="1531"/>
      <c r="C344" s="1578"/>
      <c r="D344" s="1531"/>
      <c r="E344" s="1679"/>
      <c r="F344" s="1680">
        <f t="shared" si="104"/>
        <v>0</v>
      </c>
      <c r="G344" s="1680">
        <f t="shared" si="105"/>
        <v>0</v>
      </c>
      <c r="H344" s="1680">
        <f t="shared" si="106"/>
        <v>0</v>
      </c>
      <c r="I344" s="1680">
        <f t="shared" si="107"/>
        <v>0</v>
      </c>
      <c r="J344" s="1680">
        <f t="shared" si="108"/>
        <v>0</v>
      </c>
      <c r="K344" s="1680">
        <f t="shared" si="109"/>
        <v>0</v>
      </c>
      <c r="L344" s="1681"/>
      <c r="M344" s="1681"/>
      <c r="N344" s="1681"/>
      <c r="O344" s="1681"/>
      <c r="P344" s="1619">
        <f t="shared" si="110"/>
        <v>0</v>
      </c>
      <c r="Q344" s="1619">
        <f t="shared" si="110"/>
        <v>0</v>
      </c>
      <c r="R344" s="1619">
        <f t="shared" si="110"/>
        <v>0</v>
      </c>
      <c r="T344" s="1531"/>
      <c r="U344" s="1531"/>
      <c r="V344" s="1531"/>
      <c r="W344" s="1659"/>
      <c r="X344" s="1659"/>
      <c r="Y344" s="1659"/>
      <c r="Z344" s="1659"/>
      <c r="AA344" s="1659"/>
      <c r="AB344" s="1659"/>
      <c r="AC344" s="1659"/>
      <c r="AD344" s="1548"/>
      <c r="AE344" s="1548"/>
    </row>
    <row r="345" spans="1:31" ht="62.1" customHeight="1" x14ac:dyDescent="0.45">
      <c r="A345" s="1579"/>
      <c r="B345" s="1532"/>
      <c r="C345" s="1551"/>
      <c r="D345" s="1591"/>
      <c r="E345" s="1679"/>
      <c r="F345" s="1680">
        <f t="shared" si="104"/>
        <v>0</v>
      </c>
      <c r="G345" s="1680">
        <f t="shared" si="105"/>
        <v>0</v>
      </c>
      <c r="H345" s="1680">
        <f t="shared" si="106"/>
        <v>0</v>
      </c>
      <c r="I345" s="1680">
        <f t="shared" si="107"/>
        <v>0</v>
      </c>
      <c r="J345" s="1680">
        <f t="shared" si="108"/>
        <v>0</v>
      </c>
      <c r="K345" s="1680">
        <f t="shared" si="109"/>
        <v>0</v>
      </c>
      <c r="L345" s="1681"/>
      <c r="M345" s="1681"/>
      <c r="N345" s="1681"/>
      <c r="O345" s="1681"/>
      <c r="P345" s="1619">
        <f t="shared" si="110"/>
        <v>0</v>
      </c>
      <c r="Q345" s="1619">
        <f t="shared" si="110"/>
        <v>0</v>
      </c>
      <c r="R345" s="1619">
        <f t="shared" si="110"/>
        <v>0</v>
      </c>
      <c r="T345" s="1532"/>
      <c r="U345" s="1532"/>
      <c r="V345" s="1532"/>
      <c r="W345" s="1659"/>
      <c r="X345" s="1659"/>
      <c r="Y345" s="1659"/>
      <c r="Z345" s="1659"/>
      <c r="AA345" s="1659"/>
      <c r="AB345" s="1659"/>
      <c r="AC345" s="1659"/>
      <c r="AD345" s="1548"/>
      <c r="AE345" s="1548"/>
    </row>
    <row r="346" spans="1:31" ht="62.1" customHeight="1" x14ac:dyDescent="0.45">
      <c r="A346" s="1616"/>
      <c r="B346" s="1588"/>
      <c r="C346" s="1589"/>
      <c r="D346" s="1590"/>
      <c r="E346" s="1679"/>
      <c r="F346" s="1680">
        <f t="shared" si="104"/>
        <v>0</v>
      </c>
      <c r="G346" s="1680">
        <f t="shared" si="105"/>
        <v>0</v>
      </c>
      <c r="H346" s="1680">
        <f t="shared" si="106"/>
        <v>0</v>
      </c>
      <c r="I346" s="1680">
        <f t="shared" si="107"/>
        <v>0</v>
      </c>
      <c r="J346" s="1680">
        <f t="shared" si="108"/>
        <v>0</v>
      </c>
      <c r="K346" s="1680">
        <f t="shared" si="109"/>
        <v>0</v>
      </c>
      <c r="L346" s="1681"/>
      <c r="M346" s="1681"/>
      <c r="N346" s="1681"/>
      <c r="O346" s="1681"/>
      <c r="P346" s="1619">
        <f t="shared" si="110"/>
        <v>0</v>
      </c>
      <c r="Q346" s="1619">
        <f t="shared" si="110"/>
        <v>0</v>
      </c>
      <c r="R346" s="1619">
        <f t="shared" si="110"/>
        <v>0</v>
      </c>
      <c r="T346" s="1588"/>
      <c r="U346" s="1588"/>
      <c r="V346" s="1588"/>
      <c r="W346" s="1659"/>
      <c r="X346" s="1659"/>
      <c r="Y346" s="1659"/>
      <c r="Z346" s="1659"/>
      <c r="AA346" s="1659"/>
      <c r="AB346" s="1659"/>
      <c r="AC346" s="1659"/>
      <c r="AD346" s="1548"/>
      <c r="AE346" s="1548"/>
    </row>
    <row r="347" spans="1:31" ht="62.1" customHeight="1" x14ac:dyDescent="0.45">
      <c r="A347" s="1616"/>
      <c r="B347" s="1617"/>
      <c r="C347" s="1551"/>
      <c r="D347" s="1618"/>
      <c r="E347" s="1679"/>
      <c r="F347" s="1680">
        <f t="shared" si="104"/>
        <v>0</v>
      </c>
      <c r="G347" s="1680">
        <f t="shared" si="105"/>
        <v>0</v>
      </c>
      <c r="H347" s="1680">
        <f t="shared" si="106"/>
        <v>0</v>
      </c>
      <c r="I347" s="1680">
        <f t="shared" si="107"/>
        <v>0</v>
      </c>
      <c r="J347" s="1680">
        <f t="shared" si="108"/>
        <v>0</v>
      </c>
      <c r="K347" s="1680">
        <f t="shared" si="109"/>
        <v>0</v>
      </c>
      <c r="L347" s="1681"/>
      <c r="M347" s="1681"/>
      <c r="N347" s="1681"/>
      <c r="O347" s="1681"/>
      <c r="P347" s="1619">
        <f t="shared" si="110"/>
        <v>0</v>
      </c>
      <c r="Q347" s="1619">
        <f t="shared" si="110"/>
        <v>0</v>
      </c>
      <c r="R347" s="1619">
        <f t="shared" si="110"/>
        <v>0</v>
      </c>
      <c r="T347" s="1617"/>
      <c r="U347" s="1617"/>
      <c r="V347" s="1617"/>
      <c r="W347" s="1659"/>
      <c r="X347" s="1659"/>
      <c r="Y347" s="1659"/>
      <c r="Z347" s="1659"/>
      <c r="AA347" s="1659"/>
      <c r="AB347" s="1659"/>
      <c r="AC347" s="1659"/>
      <c r="AD347" s="1548"/>
      <c r="AE347" s="1548"/>
    </row>
    <row r="348" spans="1:31" ht="62.1" customHeight="1" x14ac:dyDescent="0.45">
      <c r="A348" s="1616"/>
      <c r="B348" s="1614"/>
      <c r="C348" s="1578"/>
      <c r="D348" s="1552"/>
      <c r="E348" s="1679"/>
      <c r="F348" s="1680">
        <f t="shared" si="104"/>
        <v>0</v>
      </c>
      <c r="G348" s="1680">
        <f t="shared" si="105"/>
        <v>0</v>
      </c>
      <c r="H348" s="1680">
        <f t="shared" si="106"/>
        <v>0</v>
      </c>
      <c r="I348" s="1680">
        <f t="shared" si="107"/>
        <v>0</v>
      </c>
      <c r="J348" s="1680">
        <f t="shared" si="108"/>
        <v>0</v>
      </c>
      <c r="K348" s="1680">
        <f t="shared" si="109"/>
        <v>0</v>
      </c>
      <c r="L348" s="1681"/>
      <c r="M348" s="1681"/>
      <c r="N348" s="1681"/>
      <c r="O348" s="1681"/>
      <c r="P348" s="1619">
        <f t="shared" si="110"/>
        <v>0</v>
      </c>
      <c r="Q348" s="1619">
        <f t="shared" si="110"/>
        <v>0</v>
      </c>
      <c r="R348" s="1619">
        <f t="shared" si="110"/>
        <v>0</v>
      </c>
      <c r="T348" s="1614"/>
      <c r="U348" s="1615"/>
      <c r="V348" s="1615"/>
      <c r="W348" s="1659"/>
      <c r="X348" s="1659"/>
      <c r="Y348" s="1659"/>
      <c r="Z348" s="1659"/>
      <c r="AA348" s="1659"/>
      <c r="AB348" s="1659"/>
      <c r="AC348" s="1659"/>
      <c r="AD348" s="1548"/>
      <c r="AE348" s="1548"/>
    </row>
    <row r="349" spans="1:31" ht="62.1" customHeight="1" x14ac:dyDescent="0.45">
      <c r="A349" s="1616"/>
      <c r="B349" s="1615"/>
      <c r="C349" s="1578"/>
      <c r="D349" s="1552"/>
      <c r="E349" s="1679"/>
      <c r="F349" s="1680">
        <f t="shared" si="104"/>
        <v>0</v>
      </c>
      <c r="G349" s="1680">
        <f t="shared" si="105"/>
        <v>0</v>
      </c>
      <c r="H349" s="1680">
        <f t="shared" si="106"/>
        <v>0</v>
      </c>
      <c r="I349" s="1680">
        <f t="shared" si="107"/>
        <v>0</v>
      </c>
      <c r="J349" s="1680">
        <f t="shared" si="108"/>
        <v>0</v>
      </c>
      <c r="K349" s="1680">
        <f t="shared" si="109"/>
        <v>0</v>
      </c>
      <c r="L349" s="1681"/>
      <c r="M349" s="1681"/>
      <c r="N349" s="1681"/>
      <c r="O349" s="1681"/>
      <c r="P349" s="1619">
        <f t="shared" si="110"/>
        <v>0</v>
      </c>
      <c r="Q349" s="1619">
        <f t="shared" si="110"/>
        <v>0</v>
      </c>
      <c r="R349" s="1619">
        <f t="shared" si="110"/>
        <v>0</v>
      </c>
      <c r="T349" s="1552"/>
      <c r="U349" s="1552"/>
      <c r="V349" s="1552"/>
      <c r="W349" s="1659"/>
      <c r="X349" s="1659"/>
      <c r="Y349" s="1659"/>
      <c r="Z349" s="1659"/>
      <c r="AA349" s="1659"/>
      <c r="AB349" s="1659"/>
      <c r="AC349" s="1659"/>
      <c r="AD349" s="1548"/>
      <c r="AE349" s="1548"/>
    </row>
    <row r="350" spans="1:31" ht="62.1" customHeight="1" x14ac:dyDescent="0.45">
      <c r="A350" s="1616"/>
      <c r="B350" s="1552"/>
      <c r="C350" s="1578"/>
      <c r="D350" s="1552"/>
      <c r="E350" s="1679"/>
      <c r="F350" s="1680">
        <f t="shared" si="104"/>
        <v>0</v>
      </c>
      <c r="G350" s="1680">
        <f t="shared" si="105"/>
        <v>0</v>
      </c>
      <c r="H350" s="1680">
        <f t="shared" si="106"/>
        <v>0</v>
      </c>
      <c r="I350" s="1680">
        <f t="shared" si="107"/>
        <v>0</v>
      </c>
      <c r="J350" s="1680">
        <f t="shared" si="108"/>
        <v>0</v>
      </c>
      <c r="K350" s="1680">
        <f t="shared" si="109"/>
        <v>0</v>
      </c>
      <c r="L350" s="1681"/>
      <c r="M350" s="1681"/>
      <c r="N350" s="1681"/>
      <c r="O350" s="1681"/>
      <c r="P350" s="1619">
        <f t="shared" si="110"/>
        <v>0</v>
      </c>
      <c r="Q350" s="1619">
        <f t="shared" si="110"/>
        <v>0</v>
      </c>
      <c r="R350" s="1619">
        <f t="shared" si="110"/>
        <v>0</v>
      </c>
      <c r="T350" s="1552"/>
      <c r="U350" s="1552"/>
      <c r="V350" s="1552"/>
      <c r="W350" s="1659"/>
      <c r="X350" s="1659"/>
      <c r="Y350" s="1659"/>
      <c r="Z350" s="1659"/>
      <c r="AA350" s="1659"/>
      <c r="AB350" s="1659"/>
      <c r="AC350" s="1659"/>
      <c r="AD350" s="1548"/>
      <c r="AE350" s="1548"/>
    </row>
    <row r="351" spans="1:31" ht="62.1" customHeight="1" x14ac:dyDescent="0.45">
      <c r="A351" s="1616"/>
      <c r="B351" s="1552"/>
      <c r="C351" s="1578"/>
      <c r="D351" s="1552"/>
      <c r="E351" s="1679"/>
      <c r="F351" s="1680">
        <f t="shared" si="104"/>
        <v>0</v>
      </c>
      <c r="G351" s="1680">
        <f t="shared" si="105"/>
        <v>0</v>
      </c>
      <c r="H351" s="1680">
        <f t="shared" si="106"/>
        <v>0</v>
      </c>
      <c r="I351" s="1680">
        <f t="shared" si="107"/>
        <v>0</v>
      </c>
      <c r="J351" s="1680">
        <f t="shared" si="108"/>
        <v>0</v>
      </c>
      <c r="K351" s="1680">
        <f t="shared" si="109"/>
        <v>0</v>
      </c>
      <c r="L351" s="1681"/>
      <c r="M351" s="1681"/>
      <c r="N351" s="1681"/>
      <c r="O351" s="1681"/>
      <c r="P351" s="1619"/>
      <c r="Q351" s="1619"/>
      <c r="R351" s="1619"/>
      <c r="T351" s="1531"/>
      <c r="U351" s="1531"/>
      <c r="V351" s="1531"/>
      <c r="W351" s="1659"/>
      <c r="X351" s="1659"/>
      <c r="Y351" s="1659"/>
      <c r="Z351" s="1659"/>
      <c r="AA351" s="1659"/>
      <c r="AB351" s="1659"/>
      <c r="AC351" s="1659"/>
      <c r="AD351" s="1548"/>
      <c r="AE351" s="1548"/>
    </row>
    <row r="352" spans="1:31" ht="62.1" customHeight="1" x14ac:dyDescent="0.45">
      <c r="A352" s="1616"/>
      <c r="B352" s="1552"/>
      <c r="C352" s="1578"/>
      <c r="D352" s="1531"/>
      <c r="E352" s="1679"/>
      <c r="F352" s="1680">
        <f t="shared" si="104"/>
        <v>0</v>
      </c>
      <c r="G352" s="1680">
        <f t="shared" si="105"/>
        <v>0</v>
      </c>
      <c r="H352" s="1680">
        <f t="shared" si="106"/>
        <v>0</v>
      </c>
      <c r="I352" s="1680">
        <f t="shared" si="107"/>
        <v>0</v>
      </c>
      <c r="J352" s="1680">
        <f t="shared" si="108"/>
        <v>0</v>
      </c>
      <c r="K352" s="1680">
        <f t="shared" si="109"/>
        <v>0</v>
      </c>
      <c r="L352" s="1681"/>
      <c r="M352" s="1681"/>
      <c r="N352" s="1681"/>
      <c r="O352" s="1681"/>
      <c r="P352" s="1619"/>
      <c r="Q352" s="1619"/>
      <c r="R352" s="1619"/>
      <c r="T352" s="1531"/>
      <c r="U352" s="1531"/>
      <c r="V352" s="1531"/>
      <c r="W352" s="1659"/>
      <c r="X352" s="1659"/>
      <c r="Y352" s="1659"/>
      <c r="Z352" s="1659"/>
      <c r="AA352" s="1659"/>
      <c r="AB352" s="1659"/>
      <c r="AC352" s="1659"/>
      <c r="AD352" s="1548"/>
      <c r="AE352" s="1548"/>
    </row>
    <row r="353" spans="1:31" ht="62.1" customHeight="1" x14ac:dyDescent="0.45">
      <c r="A353" s="1616"/>
      <c r="B353" s="1552"/>
      <c r="C353" s="1578"/>
      <c r="D353" s="1531"/>
      <c r="E353" s="1679"/>
      <c r="F353" s="1680">
        <f t="shared" si="104"/>
        <v>0</v>
      </c>
      <c r="G353" s="1680">
        <f t="shared" si="105"/>
        <v>0</v>
      </c>
      <c r="H353" s="1680">
        <f t="shared" si="106"/>
        <v>0</v>
      </c>
      <c r="I353" s="1680">
        <f t="shared" si="107"/>
        <v>0</v>
      </c>
      <c r="J353" s="1680">
        <f t="shared" si="108"/>
        <v>0</v>
      </c>
      <c r="K353" s="1680">
        <f t="shared" si="109"/>
        <v>0</v>
      </c>
      <c r="L353" s="1681"/>
      <c r="M353" s="1681"/>
      <c r="N353" s="1681"/>
      <c r="O353" s="1681"/>
      <c r="P353" s="1619"/>
      <c r="Q353" s="1619"/>
      <c r="R353" s="1619"/>
      <c r="T353" s="1531"/>
      <c r="U353" s="1531"/>
      <c r="V353" s="1531"/>
      <c r="W353" s="1659"/>
      <c r="X353" s="1659"/>
      <c r="Y353" s="1659"/>
      <c r="Z353" s="1659"/>
      <c r="AA353" s="1659"/>
      <c r="AB353" s="1659"/>
      <c r="AC353" s="1659"/>
      <c r="AD353" s="1548"/>
      <c r="AE353" s="1548"/>
    </row>
    <row r="354" spans="1:31" ht="62.1" customHeight="1" x14ac:dyDescent="0.45">
      <c r="A354" s="1616"/>
      <c r="B354" s="1531"/>
      <c r="C354" s="1578"/>
      <c r="D354" s="1531"/>
      <c r="E354" s="1679"/>
      <c r="F354" s="1680">
        <f t="shared" si="104"/>
        <v>0</v>
      </c>
      <c r="G354" s="1680">
        <f t="shared" si="105"/>
        <v>0</v>
      </c>
      <c r="H354" s="1680">
        <f t="shared" si="106"/>
        <v>0</v>
      </c>
      <c r="I354" s="1680">
        <f t="shared" si="107"/>
        <v>0</v>
      </c>
      <c r="J354" s="1680">
        <f t="shared" si="108"/>
        <v>0</v>
      </c>
      <c r="K354" s="1680">
        <f t="shared" si="109"/>
        <v>0</v>
      </c>
      <c r="L354" s="1681"/>
      <c r="M354" s="1681"/>
      <c r="N354" s="1681"/>
      <c r="O354" s="1681"/>
      <c r="P354" s="1619"/>
      <c r="Q354" s="1619"/>
      <c r="R354" s="1619"/>
      <c r="T354" s="1531"/>
      <c r="U354" s="1531"/>
      <c r="V354" s="1531"/>
      <c r="W354" s="1659"/>
      <c r="X354" s="1659"/>
      <c r="Y354" s="1659"/>
      <c r="Z354" s="1659"/>
      <c r="AA354" s="1659"/>
      <c r="AB354" s="1659"/>
      <c r="AC354" s="1659"/>
      <c r="AD354" s="1548"/>
      <c r="AE354" s="1548"/>
    </row>
    <row r="355" spans="1:31" ht="62.1" customHeight="1" x14ac:dyDescent="0.45">
      <c r="A355" s="1616"/>
      <c r="B355" s="1531"/>
      <c r="C355" s="1578"/>
      <c r="D355" s="1531"/>
      <c r="E355" s="1679"/>
      <c r="F355" s="1680">
        <f t="shared" si="104"/>
        <v>0</v>
      </c>
      <c r="G355" s="1680">
        <f t="shared" si="105"/>
        <v>0</v>
      </c>
      <c r="H355" s="1680">
        <f t="shared" si="106"/>
        <v>0</v>
      </c>
      <c r="I355" s="1680">
        <f t="shared" si="107"/>
        <v>0</v>
      </c>
      <c r="J355" s="1680">
        <f t="shared" si="108"/>
        <v>0</v>
      </c>
      <c r="K355" s="1680">
        <f t="shared" si="109"/>
        <v>0</v>
      </c>
      <c r="L355" s="1681"/>
      <c r="M355" s="1681"/>
      <c r="N355" s="1681"/>
      <c r="O355" s="1681"/>
      <c r="P355" s="1619"/>
      <c r="Q355" s="1619"/>
      <c r="R355" s="1619"/>
      <c r="T355" s="1531"/>
      <c r="U355" s="1531"/>
      <c r="V355" s="1531"/>
      <c r="W355" s="1659"/>
      <c r="X355" s="1659"/>
      <c r="Y355" s="1659"/>
      <c r="Z355" s="1659"/>
      <c r="AA355" s="1659"/>
      <c r="AB355" s="1659"/>
      <c r="AC355" s="1659"/>
      <c r="AD355" s="1548"/>
      <c r="AE355" s="1548"/>
    </row>
    <row r="356" spans="1:31" ht="62.1" customHeight="1" thickBot="1" x14ac:dyDescent="0.5">
      <c r="A356" s="1616"/>
      <c r="B356" s="1532"/>
      <c r="C356" s="1551"/>
      <c r="D356" s="1591"/>
      <c r="E356" s="1679"/>
      <c r="F356" s="1680">
        <f t="shared" si="104"/>
        <v>0</v>
      </c>
      <c r="G356" s="1680">
        <f t="shared" si="105"/>
        <v>0</v>
      </c>
      <c r="H356" s="1680">
        <f t="shared" si="106"/>
        <v>0</v>
      </c>
      <c r="I356" s="1680">
        <f t="shared" si="107"/>
        <v>0</v>
      </c>
      <c r="J356" s="1680">
        <f t="shared" si="108"/>
        <v>0</v>
      </c>
      <c r="K356" s="1680">
        <f t="shared" si="109"/>
        <v>0</v>
      </c>
      <c r="L356" s="1681"/>
      <c r="M356" s="1681"/>
      <c r="N356" s="1681"/>
      <c r="O356" s="1681"/>
      <c r="P356" s="1619"/>
      <c r="Q356" s="1619"/>
      <c r="R356" s="1619"/>
      <c r="T356" s="1532"/>
      <c r="U356" s="1532"/>
      <c r="V356" s="1532"/>
      <c r="W356" s="1659"/>
      <c r="X356" s="1659"/>
      <c r="Y356" s="1659"/>
      <c r="Z356" s="1659"/>
      <c r="AA356" s="1659"/>
      <c r="AB356" s="1659"/>
      <c r="AC356" s="1659"/>
      <c r="AD356" s="1548"/>
      <c r="AE356" s="1548"/>
    </row>
    <row r="357" spans="1:31" ht="62.1" customHeight="1" thickBot="1" x14ac:dyDescent="0.5">
      <c r="A357" s="1612"/>
      <c r="B357" s="1620"/>
      <c r="C357" s="1621"/>
      <c r="D357" s="1622"/>
      <c r="E357" s="1679"/>
      <c r="F357" s="1680">
        <f t="shared" si="104"/>
        <v>0</v>
      </c>
      <c r="G357" s="1680">
        <f t="shared" si="105"/>
        <v>0</v>
      </c>
      <c r="H357" s="1680">
        <f t="shared" si="106"/>
        <v>0</v>
      </c>
      <c r="I357" s="1680">
        <f t="shared" si="107"/>
        <v>0</v>
      </c>
      <c r="J357" s="1680">
        <f t="shared" si="108"/>
        <v>0</v>
      </c>
      <c r="K357" s="1680">
        <f t="shared" si="109"/>
        <v>0</v>
      </c>
      <c r="L357" s="1681"/>
      <c r="M357" s="1681"/>
      <c r="N357" s="1681"/>
      <c r="O357" s="1681"/>
      <c r="P357" s="1619"/>
      <c r="Q357" s="1619"/>
      <c r="R357" s="1619"/>
      <c r="T357" s="1682"/>
      <c r="U357" s="1683"/>
      <c r="V357" s="1683"/>
      <c r="W357" s="1659"/>
      <c r="X357" s="1659"/>
      <c r="Y357" s="1659"/>
      <c r="Z357" s="1659"/>
      <c r="AA357" s="1659"/>
      <c r="AB357" s="1659"/>
      <c r="AC357" s="1659"/>
      <c r="AD357" s="1548"/>
      <c r="AE357" s="1548"/>
    </row>
    <row r="358" spans="1:31" ht="62.1" customHeight="1" thickBot="1" x14ac:dyDescent="0.5">
      <c r="A358" s="1613"/>
      <c r="B358" s="1624"/>
      <c r="C358" s="1625"/>
      <c r="D358" s="1626"/>
      <c r="E358" s="1679"/>
      <c r="F358" s="1680">
        <f t="shared" si="104"/>
        <v>0</v>
      </c>
      <c r="G358" s="1680">
        <f t="shared" si="105"/>
        <v>0</v>
      </c>
      <c r="H358" s="1680">
        <f t="shared" si="106"/>
        <v>0</v>
      </c>
      <c r="I358" s="1680">
        <f t="shared" si="107"/>
        <v>0</v>
      </c>
      <c r="J358" s="1680">
        <f t="shared" si="108"/>
        <v>0</v>
      </c>
      <c r="K358" s="1680">
        <f t="shared" si="109"/>
        <v>0</v>
      </c>
      <c r="L358" s="1681"/>
      <c r="M358" s="1681"/>
      <c r="N358" s="1681"/>
      <c r="O358" s="1681"/>
      <c r="P358" s="1619"/>
      <c r="Q358" s="1619"/>
      <c r="R358" s="1619"/>
      <c r="T358" s="1684"/>
      <c r="U358" s="1685"/>
      <c r="V358" s="1685"/>
      <c r="W358" s="1659"/>
      <c r="X358" s="1659"/>
      <c r="Y358" s="1659"/>
      <c r="Z358" s="1659"/>
      <c r="AA358" s="1659"/>
      <c r="AB358" s="1659"/>
      <c r="AC358" s="1659"/>
      <c r="AD358" s="1548"/>
      <c r="AE358" s="1548"/>
    </row>
    <row r="359" spans="1:31" ht="62.1" customHeight="1" x14ac:dyDescent="0.45">
      <c r="A359" s="4288" t="s">
        <v>417</v>
      </c>
      <c r="B359" s="4289"/>
      <c r="C359" s="4289"/>
      <c r="D359" s="4290"/>
      <c r="E359" s="1679" t="e">
        <f>+'Compra -HOJA1'!#REF!</f>
        <v>#REF!</v>
      </c>
      <c r="F359" s="1680">
        <f>(W359)</f>
        <v>0</v>
      </c>
      <c r="G359" s="1680">
        <f>(Y359)</f>
        <v>0</v>
      </c>
      <c r="H359" s="1680">
        <f>(X359)</f>
        <v>0</v>
      </c>
      <c r="I359" s="1680">
        <f>(Z359)</f>
        <v>0</v>
      </c>
      <c r="J359" s="1680">
        <f>(AB359)</f>
        <v>0</v>
      </c>
      <c r="K359" s="1680">
        <f>(AA359)</f>
        <v>0</v>
      </c>
      <c r="L359" s="1681"/>
      <c r="M359" s="1681"/>
      <c r="N359" s="1681"/>
      <c r="O359" s="1681"/>
      <c r="P359" s="1619">
        <f t="shared" si="110"/>
        <v>0</v>
      </c>
      <c r="Q359" s="1619">
        <f t="shared" si="110"/>
        <v>0</v>
      </c>
      <c r="R359" s="1619">
        <f t="shared" si="110"/>
        <v>0</v>
      </c>
      <c r="T359" s="1531" t="s">
        <v>470</v>
      </c>
      <c r="U359" s="1531"/>
      <c r="V359" s="1531"/>
      <c r="W359" s="1659">
        <f>+'Compra -HOJA1'!H67</f>
        <v>0</v>
      </c>
      <c r="X359" s="1659">
        <f>+'Compra -HOJA1'!I67</f>
        <v>0</v>
      </c>
      <c r="Y359" s="1659">
        <f>+'Compra -HOJA1'!J67</f>
        <v>0</v>
      </c>
      <c r="Z359" s="1659">
        <f>+'Compra -HOJA1'!K67</f>
        <v>0</v>
      </c>
      <c r="AA359" s="1659">
        <f>+'Compra -HOJA1'!L67</f>
        <v>0</v>
      </c>
      <c r="AB359" s="1659">
        <f>+'Compra -HOJA1'!M67</f>
        <v>0</v>
      </c>
      <c r="AC359" s="1659">
        <f>+'Compra -HOJA1'!N67</f>
        <v>0</v>
      </c>
      <c r="AD359" s="1659">
        <f>+'Compra -HOJA1'!O67</f>
        <v>0</v>
      </c>
      <c r="AE359" s="1659">
        <f>+'Compra -HOJA1'!P67</f>
        <v>0</v>
      </c>
    </row>
    <row r="360" spans="1:31" ht="62.1" customHeight="1" x14ac:dyDescent="0.45">
      <c r="T360" s="1531"/>
      <c r="U360" s="1686"/>
      <c r="V360" s="1686"/>
      <c r="W360" s="1490"/>
      <c r="X360" s="1490"/>
      <c r="Y360" s="1490"/>
      <c r="Z360" s="1490"/>
      <c r="AA360" s="1490"/>
      <c r="AB360" s="1490"/>
      <c r="AC360" s="1490"/>
    </row>
    <row r="361" spans="1:31" ht="62.1" customHeight="1" x14ac:dyDescent="0.5">
      <c r="A361" s="5048" t="s">
        <v>471</v>
      </c>
      <c r="B361" s="5048"/>
      <c r="C361" s="5048"/>
      <c r="D361" s="5049"/>
      <c r="E361" s="1687"/>
      <c r="F361" s="1632" t="e">
        <f t="shared" ref="F361:K361" si="112">SUM(F300:F359)</f>
        <v>#REF!</v>
      </c>
      <c r="G361" s="1632" t="e">
        <f t="shared" si="112"/>
        <v>#REF!</v>
      </c>
      <c r="H361" s="1632" t="e">
        <f t="shared" si="112"/>
        <v>#REF!</v>
      </c>
      <c r="I361" s="1632" t="e">
        <f t="shared" ca="1" si="112"/>
        <v>#REF!</v>
      </c>
      <c r="J361" s="1632" t="e">
        <f t="shared" ca="1" si="112"/>
        <v>#REF!</v>
      </c>
      <c r="K361" s="1632" t="e">
        <f t="shared" ca="1" si="112"/>
        <v>#REF!</v>
      </c>
      <c r="L361" s="1632" t="e">
        <f>SUM(F361:H361)</f>
        <v>#REF!</v>
      </c>
      <c r="M361" s="1632" t="e">
        <f ca="1">SUM(I361:K361)</f>
        <v>#REF!</v>
      </c>
      <c r="N361" s="1632" t="e">
        <f ca="1">+M361+L361</f>
        <v>#REF!</v>
      </c>
      <c r="O361" s="1632"/>
      <c r="P361" s="1632" t="e">
        <f ca="1">SUM(P300:P359)</f>
        <v>#REF!</v>
      </c>
      <c r="Q361" s="1632" t="e">
        <f ca="1">SUM(Q300:Q359)</f>
        <v>#REF!</v>
      </c>
      <c r="R361" s="1632" t="e">
        <f ca="1">SUM(R300:R359)</f>
        <v>#REF!</v>
      </c>
      <c r="T361" s="1688" t="e">
        <f>SUM(W361:AE361)</f>
        <v>#REF!</v>
      </c>
      <c r="U361" s="1689"/>
      <c r="V361" s="1689"/>
      <c r="W361" s="1690" t="e">
        <f>SUM(W300:W360)</f>
        <v>#REF!</v>
      </c>
      <c r="X361" s="1690" t="e">
        <f t="shared" ref="X361:AE361" si="113">SUM(X300:X360)</f>
        <v>#REF!</v>
      </c>
      <c r="Y361" s="1690" t="e">
        <f t="shared" si="113"/>
        <v>#REF!</v>
      </c>
      <c r="Z361" s="1690" t="e">
        <f t="shared" ca="1" si="113"/>
        <v>#REF!</v>
      </c>
      <c r="AA361" s="1690" t="e">
        <f t="shared" ca="1" si="113"/>
        <v>#REF!</v>
      </c>
      <c r="AB361" s="1690" t="e">
        <f t="shared" ca="1" si="113"/>
        <v>#REF!</v>
      </c>
      <c r="AC361" s="1490" t="e">
        <f t="shared" ca="1" si="113"/>
        <v>#REF!</v>
      </c>
      <c r="AD361" s="1573" t="e">
        <f t="shared" ca="1" si="113"/>
        <v>#REF!</v>
      </c>
      <c r="AE361" s="1573" t="e">
        <f t="shared" ca="1" si="113"/>
        <v>#REF!</v>
      </c>
    </row>
    <row r="362" spans="1:31" s="1540" customFormat="1" ht="62.1" customHeight="1" x14ac:dyDescent="0.5">
      <c r="A362" s="1691"/>
      <c r="B362" s="1691"/>
      <c r="C362" s="1691"/>
      <c r="D362" s="1691"/>
      <c r="E362" s="1692"/>
      <c r="F362" s="1693"/>
      <c r="G362" s="1693"/>
      <c r="H362" s="1693"/>
      <c r="I362" s="1693"/>
      <c r="J362" s="1693"/>
      <c r="K362" s="1693"/>
      <c r="L362" s="1693"/>
      <c r="M362" s="1693"/>
      <c r="N362" s="1693">
        <f>+'Compra -HOJA1'!F10</f>
        <v>0</v>
      </c>
      <c r="O362" s="1693"/>
      <c r="P362" s="1693"/>
      <c r="Q362" s="1694"/>
      <c r="R362" s="1695"/>
    </row>
    <row r="363" spans="1:31" ht="62.1" customHeight="1" x14ac:dyDescent="0.45">
      <c r="F363" s="4237" t="s">
        <v>304</v>
      </c>
      <c r="G363" s="4238"/>
      <c r="H363" s="4240"/>
      <c r="I363" s="4237" t="s">
        <v>439</v>
      </c>
      <c r="J363" s="4238"/>
      <c r="K363" s="4240"/>
      <c r="L363" s="1635"/>
      <c r="M363" s="1635"/>
      <c r="N363" s="1635"/>
      <c r="O363" s="1518"/>
      <c r="P363" s="4237" t="s">
        <v>449</v>
      </c>
      <c r="Q363" s="4238"/>
      <c r="R363" s="4240"/>
    </row>
    <row r="364" spans="1:31" ht="62.1" customHeight="1" x14ac:dyDescent="0.45">
      <c r="A364" s="1594" t="s">
        <v>875</v>
      </c>
      <c r="B364" s="1594"/>
      <c r="C364" s="1594"/>
      <c r="D364" s="1594"/>
      <c r="E364" s="1594"/>
      <c r="F364" s="1515" t="s">
        <v>287</v>
      </c>
      <c r="G364" s="1515" t="s">
        <v>289</v>
      </c>
      <c r="H364" s="1515" t="s">
        <v>288</v>
      </c>
      <c r="I364" s="1515" t="s">
        <v>287</v>
      </c>
      <c r="J364" s="1515" t="s">
        <v>289</v>
      </c>
      <c r="K364" s="1515" t="s">
        <v>288</v>
      </c>
      <c r="L364" s="1515"/>
      <c r="M364" s="1515"/>
      <c r="N364" s="1515"/>
      <c r="O364" s="1581"/>
      <c r="P364" s="1515" t="s">
        <v>287</v>
      </c>
      <c r="Q364" s="1515" t="s">
        <v>289</v>
      </c>
      <c r="R364" s="1515" t="s">
        <v>288</v>
      </c>
    </row>
    <row r="365" spans="1:31" ht="62.1" customHeight="1" x14ac:dyDescent="0.45">
      <c r="A365" s="1639" t="s">
        <v>445</v>
      </c>
      <c r="B365" s="1640"/>
      <c r="C365" s="1640"/>
      <c r="D365" s="1639" t="s">
        <v>446</v>
      </c>
      <c r="E365" s="1639"/>
      <c r="F365" s="1639" t="s">
        <v>447</v>
      </c>
      <c r="G365" s="4264" t="s">
        <v>304</v>
      </c>
      <c r="H365" s="4264"/>
      <c r="I365" s="4264"/>
      <c r="J365" s="4264" t="s">
        <v>448</v>
      </c>
      <c r="K365" s="4264"/>
      <c r="L365" s="4264"/>
      <c r="M365" s="4264"/>
      <c r="N365" s="4264"/>
      <c r="O365" s="4264"/>
      <c r="P365" s="4264"/>
      <c r="Q365" s="4510" t="s">
        <v>449</v>
      </c>
      <c r="R365" s="4510"/>
      <c r="S365" s="4510"/>
    </row>
    <row r="366" spans="1:31" ht="62.1" customHeight="1" x14ac:dyDescent="0.45">
      <c r="A366" s="1639"/>
      <c r="B366" s="1640"/>
      <c r="C366" s="1640"/>
      <c r="D366" s="1639"/>
      <c r="E366" s="1639"/>
      <c r="F366" s="1639"/>
      <c r="G366" s="1641" t="s">
        <v>287</v>
      </c>
      <c r="H366" s="1641" t="s">
        <v>450</v>
      </c>
      <c r="I366" s="1641" t="s">
        <v>288</v>
      </c>
      <c r="J366" s="1641" t="s">
        <v>287</v>
      </c>
      <c r="K366" s="1641" t="s">
        <v>450</v>
      </c>
      <c r="L366" s="1641"/>
      <c r="M366" s="1641"/>
      <c r="N366" s="1641"/>
      <c r="O366" s="1642"/>
      <c r="P366" s="1641" t="s">
        <v>288</v>
      </c>
      <c r="Q366" s="1515" t="s">
        <v>287</v>
      </c>
      <c r="R366" s="1515" t="s">
        <v>289</v>
      </c>
      <c r="S366" s="1515" t="s">
        <v>288</v>
      </c>
    </row>
    <row r="367" spans="1:31" ht="62.1" customHeight="1" thickBot="1" x14ac:dyDescent="0.5">
      <c r="A367" s="1510"/>
      <c r="B367" s="1510"/>
      <c r="C367" s="1510"/>
      <c r="D367" s="1510"/>
      <c r="E367" s="1510"/>
      <c r="F367" s="1510"/>
      <c r="G367" s="1510"/>
      <c r="H367" s="1510"/>
      <c r="I367" s="1510"/>
    </row>
    <row r="368" spans="1:31" ht="62.1" customHeight="1" thickBot="1" x14ac:dyDescent="0.5">
      <c r="A368" s="1643" t="s">
        <v>23</v>
      </c>
      <c r="B368" s="1644" t="s">
        <v>454</v>
      </c>
      <c r="C368" s="1645"/>
      <c r="D368" s="1646">
        <f>'Compra -HOJA1'!K57</f>
        <v>0</v>
      </c>
      <c r="E368" s="1646"/>
      <c r="F368" s="1646">
        <f>IF('Compra -HOJA1'!J57=0,0,'Compra -HOJA1'!J57/D368)</f>
        <v>0</v>
      </c>
      <c r="G368" s="1667">
        <f>+(W368)</f>
        <v>0</v>
      </c>
      <c r="H368" s="1667">
        <f>+(Y368)</f>
        <v>0</v>
      </c>
      <c r="I368" s="1667">
        <f>+(X368)</f>
        <v>0</v>
      </c>
      <c r="J368" s="1667">
        <f>+(Z368)</f>
        <v>0</v>
      </c>
      <c r="K368" s="1667">
        <f>+(AB368)</f>
        <v>0</v>
      </c>
      <c r="L368" s="1666"/>
      <c r="M368" s="1666"/>
      <c r="N368" s="1666"/>
      <c r="O368" s="1667"/>
      <c r="P368" s="1666">
        <f>+(AA368)</f>
        <v>0</v>
      </c>
      <c r="Q368" s="1648">
        <f>+G368+J368</f>
        <v>0</v>
      </c>
      <c r="R368" s="1648">
        <f>+H368+K368</f>
        <v>0</v>
      </c>
      <c r="S368" s="1649">
        <f>+I368+P368</f>
        <v>0</v>
      </c>
      <c r="W368" s="1548">
        <f>'Compra -HOJA1'!G57</f>
        <v>0</v>
      </c>
      <c r="X368" s="1548">
        <f>'Compra -HOJA1'!H57</f>
        <v>0</v>
      </c>
      <c r="Y368" s="1548">
        <f>'Compra -HOJA1'!I57</f>
        <v>0</v>
      </c>
      <c r="Z368" s="1548">
        <f>+'Compra -HOJA1'!L57</f>
        <v>0</v>
      </c>
      <c r="AA368" s="1548">
        <f>+'Compra -HOJA1'!M57</f>
        <v>0</v>
      </c>
      <c r="AB368" s="1548">
        <f>+'Compra -HOJA1'!N57</f>
        <v>0</v>
      </c>
      <c r="AC368" s="1548">
        <f>+'Compra -HOJA1'!O57</f>
        <v>0</v>
      </c>
      <c r="AD368" s="1548">
        <f>+'Compra -HOJA1'!P57</f>
        <v>0</v>
      </c>
      <c r="AE368" s="1548">
        <f>+'Compra -HOJA1'!Q57</f>
        <v>0</v>
      </c>
    </row>
    <row r="369" spans="1:31" ht="62.1" customHeight="1" x14ac:dyDescent="0.45">
      <c r="A369" s="1643" t="s">
        <v>24</v>
      </c>
      <c r="B369" s="1644" t="s">
        <v>454</v>
      </c>
      <c r="C369" s="1645"/>
      <c r="D369" s="1646">
        <f>'Compra -HOJA1'!K58</f>
        <v>0</v>
      </c>
      <c r="E369" s="1646"/>
      <c r="F369" s="1646">
        <f>IF('Compra -HOJA1'!J58=0,0,'Compra -HOJA1'!J58/D369)</f>
        <v>0</v>
      </c>
      <c r="G369" s="1667">
        <f>+(W369)</f>
        <v>0</v>
      </c>
      <c r="H369" s="1667">
        <f>+(Y369)</f>
        <v>0</v>
      </c>
      <c r="I369" s="1667">
        <f>+(X369)</f>
        <v>0</v>
      </c>
      <c r="J369" s="1667">
        <f>+(Z369)</f>
        <v>0</v>
      </c>
      <c r="K369" s="1667">
        <f>+(AB369)</f>
        <v>0</v>
      </c>
      <c r="L369" s="1666"/>
      <c r="M369" s="1666"/>
      <c r="N369" s="1666"/>
      <c r="O369" s="1667"/>
      <c r="P369" s="1666">
        <f>+(AA369)</f>
        <v>0</v>
      </c>
      <c r="Q369" s="1648">
        <f>+G369+J369</f>
        <v>0</v>
      </c>
      <c r="R369" s="1648">
        <f>+H369+K369</f>
        <v>0</v>
      </c>
      <c r="S369" s="1649">
        <f>+I369+P369</f>
        <v>0</v>
      </c>
      <c r="T369" s="1573"/>
      <c r="U369" s="1573"/>
      <c r="V369" s="1573"/>
      <c r="W369" s="1696">
        <f>'Compra -HOJA1'!G58</f>
        <v>0</v>
      </c>
      <c r="X369" s="1696">
        <f>'Compra -HOJA1'!H58</f>
        <v>0</v>
      </c>
      <c r="Y369" s="1696">
        <f>'Compra -HOJA1'!I58</f>
        <v>0</v>
      </c>
      <c r="Z369" s="1696">
        <f>+'Compra -HOJA1'!L58</f>
        <v>0</v>
      </c>
      <c r="AA369" s="1696">
        <f>+'Compra -HOJA1'!M58</f>
        <v>0</v>
      </c>
      <c r="AB369" s="1696">
        <f>+'Compra -HOJA1'!N58</f>
        <v>0</v>
      </c>
      <c r="AC369" s="1548">
        <f>+'Compra -HOJA1'!O58</f>
        <v>0</v>
      </c>
      <c r="AD369" s="1548">
        <f>+'Compra -HOJA1'!P58</f>
        <v>0</v>
      </c>
      <c r="AE369" s="1548">
        <f>+'Compra -HOJA1'!Q58</f>
        <v>0</v>
      </c>
    </row>
    <row r="370" spans="1:31" ht="62.1" customHeight="1" x14ac:dyDescent="0.45">
      <c r="A370" s="1697" t="s">
        <v>471</v>
      </c>
      <c r="B370" s="1697"/>
      <c r="C370" s="1697"/>
      <c r="D370" s="1656">
        <f>SUM(D368:D369)</f>
        <v>0</v>
      </c>
      <c r="E370" s="1656"/>
      <c r="F370" s="1656">
        <f t="shared" ref="F370:S370" si="114">SUM(F368:F369)</f>
        <v>0</v>
      </c>
      <c r="G370" s="1650">
        <f t="shared" si="114"/>
        <v>0</v>
      </c>
      <c r="H370" s="1650">
        <f t="shared" si="114"/>
        <v>0</v>
      </c>
      <c r="I370" s="1650">
        <f t="shared" si="114"/>
        <v>0</v>
      </c>
      <c r="J370" s="1650">
        <f t="shared" si="114"/>
        <v>0</v>
      </c>
      <c r="K370" s="1650">
        <f t="shared" si="114"/>
        <v>0</v>
      </c>
      <c r="L370" s="1650"/>
      <c r="M370" s="1650"/>
      <c r="N370" s="1650"/>
      <c r="O370" s="1650"/>
      <c r="P370" s="1650">
        <f t="shared" si="114"/>
        <v>0</v>
      </c>
      <c r="Q370" s="1650">
        <f t="shared" si="114"/>
        <v>0</v>
      </c>
      <c r="R370" s="1650">
        <f t="shared" si="114"/>
        <v>0</v>
      </c>
      <c r="S370" s="1650">
        <f t="shared" si="114"/>
        <v>0</v>
      </c>
      <c r="T370" s="1490"/>
      <c r="U370" s="1490"/>
      <c r="V370" s="1490"/>
      <c r="W370" s="1490"/>
      <c r="AA370" s="1490"/>
      <c r="AB370" s="1698"/>
      <c r="AC370" s="1698"/>
      <c r="AD370" s="1489">
        <f>IF(AB370=0,0,AB370/AC370)</f>
        <v>0</v>
      </c>
    </row>
    <row r="371" spans="1:31" ht="62.1" customHeight="1" x14ac:dyDescent="0.45">
      <c r="G371" s="1573">
        <f>+'Compra -HOJA1'!G46</f>
        <v>0</v>
      </c>
      <c r="H371" s="1573">
        <f>+'Compra -HOJA1'!H46</f>
        <v>0</v>
      </c>
      <c r="I371" s="1573">
        <f>+'Compra -HOJA1'!I46</f>
        <v>0</v>
      </c>
      <c r="J371" s="1573">
        <f>+'Compra -HOJA1'!L46</f>
        <v>0</v>
      </c>
      <c r="K371" s="1573">
        <f>+'Compra -HOJA1'!M46</f>
        <v>0</v>
      </c>
      <c r="L371" s="1573"/>
      <c r="M371" s="1573"/>
      <c r="N371" s="1573"/>
      <c r="P371" s="1653">
        <f>+'Compra -HOJA1'!N46</f>
        <v>0</v>
      </c>
    </row>
    <row r="372" spans="1:31" ht="62.1" customHeight="1" x14ac:dyDescent="0.45">
      <c r="AB372" s="1699"/>
      <c r="AC372" s="1699"/>
    </row>
    <row r="373" spans="1:31" ht="62.1" customHeight="1" x14ac:dyDescent="0.45">
      <c r="AB373" s="1699"/>
      <c r="AC373" s="1699"/>
    </row>
    <row r="374" spans="1:31" ht="62.1" customHeight="1" x14ac:dyDescent="0.45">
      <c r="A374" s="1594" t="s">
        <v>452</v>
      </c>
      <c r="B374" s="1594"/>
      <c r="C374" s="1594"/>
      <c r="D374" s="1594"/>
      <c r="E374" s="1594"/>
      <c r="F374" s="1594"/>
      <c r="G374" s="1594"/>
      <c r="H374" s="1594"/>
      <c r="I374" s="1594"/>
      <c r="AB374" s="1699"/>
      <c r="AC374" s="1699"/>
    </row>
    <row r="375" spans="1:31" ht="62.1" customHeight="1" x14ac:dyDescent="0.45">
      <c r="A375" s="1639" t="s">
        <v>445</v>
      </c>
      <c r="B375" s="1640"/>
      <c r="C375" s="1640"/>
      <c r="D375" s="1639" t="s">
        <v>446</v>
      </c>
      <c r="E375" s="1639"/>
      <c r="F375" s="1639" t="s">
        <v>447</v>
      </c>
      <c r="G375" s="4274" t="s">
        <v>304</v>
      </c>
      <c r="H375" s="4274"/>
      <c r="I375" s="4274"/>
      <c r="J375" s="4274" t="s">
        <v>453</v>
      </c>
      <c r="K375" s="4274"/>
      <c r="L375" s="4274"/>
      <c r="M375" s="4274"/>
      <c r="N375" s="4274"/>
      <c r="O375" s="4274"/>
      <c r="P375" s="4274"/>
      <c r="Q375" s="4237" t="s">
        <v>449</v>
      </c>
      <c r="R375" s="4238"/>
      <c r="S375" s="4240"/>
      <c r="AB375" s="1699"/>
      <c r="AC375" s="1699"/>
    </row>
    <row r="376" spans="1:31" ht="62.1" customHeight="1" x14ac:dyDescent="0.45">
      <c r="A376" s="1639"/>
      <c r="B376" s="1640"/>
      <c r="C376" s="1640"/>
      <c r="D376" s="1639"/>
      <c r="E376" s="1639"/>
      <c r="F376" s="1639"/>
      <c r="G376" s="1640" t="s">
        <v>287</v>
      </c>
      <c r="H376" s="1640" t="s">
        <v>450</v>
      </c>
      <c r="I376" s="1640" t="s">
        <v>288</v>
      </c>
      <c r="J376" s="1640" t="s">
        <v>287</v>
      </c>
      <c r="K376" s="1640" t="s">
        <v>450</v>
      </c>
      <c r="L376" s="1640"/>
      <c r="M376" s="1640"/>
      <c r="N376" s="1640"/>
      <c r="O376" s="1651"/>
      <c r="P376" s="1640" t="s">
        <v>288</v>
      </c>
      <c r="Q376" s="1515" t="s">
        <v>287</v>
      </c>
      <c r="R376" s="1515" t="s">
        <v>289</v>
      </c>
      <c r="S376" s="1515" t="s">
        <v>288</v>
      </c>
      <c r="AB376" s="1699"/>
      <c r="AC376" s="1699"/>
    </row>
    <row r="377" spans="1:31" ht="62.1" customHeight="1" x14ac:dyDescent="0.45">
      <c r="A377" s="1510"/>
      <c r="B377" s="1510"/>
      <c r="C377" s="1510"/>
      <c r="D377" s="1510"/>
      <c r="E377" s="1510"/>
      <c r="F377" s="1510"/>
      <c r="G377" s="1510"/>
      <c r="H377" s="1510"/>
      <c r="I377" s="1510"/>
      <c r="AB377" s="1699"/>
      <c r="AC377" s="1699"/>
    </row>
    <row r="378" spans="1:31" ht="62.1" customHeight="1" x14ac:dyDescent="0.45">
      <c r="A378" s="1652" t="s">
        <v>24</v>
      </c>
      <c r="B378" s="1645" t="s">
        <v>454</v>
      </c>
      <c r="C378" s="1645"/>
      <c r="D378" s="1646">
        <f>'Compra -HOJA1'!K59</f>
        <v>0</v>
      </c>
      <c r="E378" s="1646"/>
      <c r="F378" s="1646">
        <f>IF('Compra -HOJA1'!J59=0,0,('Compra -HOJA1'!J59)/D378)</f>
        <v>0</v>
      </c>
      <c r="G378" s="1700">
        <f>+(W378)</f>
        <v>0</v>
      </c>
      <c r="H378" s="1700">
        <f>+(Y378)</f>
        <v>0</v>
      </c>
      <c r="I378" s="1700">
        <f>+(X378)</f>
        <v>0</v>
      </c>
      <c r="J378" s="1700">
        <f>+(Z378)</f>
        <v>0</v>
      </c>
      <c r="K378" s="1700">
        <f>+(AB378)</f>
        <v>0</v>
      </c>
      <c r="L378" s="1666"/>
      <c r="M378" s="1666"/>
      <c r="N378" s="1666"/>
      <c r="O378" s="1667"/>
      <c r="P378" s="1666">
        <f>+(AA378)</f>
        <v>0</v>
      </c>
      <c r="Q378" s="1653">
        <f>+G378+J378</f>
        <v>0</v>
      </c>
      <c r="R378" s="1653">
        <f>+H378+K378</f>
        <v>0</v>
      </c>
      <c r="S378" s="1573">
        <f>+I378+P378</f>
        <v>0</v>
      </c>
      <c r="W378" s="1701">
        <f>'Compra -HOJA1'!G59</f>
        <v>0</v>
      </c>
      <c r="X378" s="1701">
        <f>'Compra -HOJA1'!H59</f>
        <v>0</v>
      </c>
      <c r="Y378" s="1701">
        <f>'Compra -HOJA1'!I59</f>
        <v>0</v>
      </c>
      <c r="Z378" s="1696">
        <f>+'Compra -HOJA1'!L59</f>
        <v>0</v>
      </c>
      <c r="AA378" s="1696">
        <f>+'Compra -HOJA1'!M59</f>
        <v>0</v>
      </c>
      <c r="AB378" s="1696">
        <f>+'Compra -HOJA1'!N59</f>
        <v>0</v>
      </c>
      <c r="AC378" s="1548">
        <f>+'Compra -HOJA1'!O59</f>
        <v>0</v>
      </c>
    </row>
    <row r="379" spans="1:31" ht="62.1" customHeight="1" x14ac:dyDescent="0.45">
      <c r="A379" s="1654"/>
      <c r="B379" s="1654"/>
      <c r="C379" s="1654"/>
      <c r="D379" s="1655"/>
      <c r="E379" s="1655"/>
      <c r="F379" s="1655"/>
      <c r="G379" s="1655"/>
      <c r="H379" s="1655"/>
      <c r="I379" s="1655"/>
      <c r="AA379" s="1489">
        <f>'Compra -HOJA1'!F44</f>
        <v>0</v>
      </c>
      <c r="AB379" s="1699">
        <f>'Compra -HOJA1'!J44</f>
        <v>0</v>
      </c>
      <c r="AC379" s="1699">
        <f>'Compra -HOJA1'!K44</f>
        <v>0</v>
      </c>
    </row>
    <row r="380" spans="1:31" ht="62.1" customHeight="1" x14ac:dyDescent="0.45">
      <c r="A380" s="1697" t="s">
        <v>471</v>
      </c>
      <c r="B380" s="1697"/>
      <c r="C380" s="1697"/>
      <c r="D380" s="1656">
        <f>SUM(D378:D379)</f>
        <v>0</v>
      </c>
      <c r="E380" s="1656"/>
      <c r="F380" s="1656">
        <f>SUM(F378:F379)</f>
        <v>0</v>
      </c>
      <c r="G380" s="1656">
        <f>SUM(G378:G378)</f>
        <v>0</v>
      </c>
      <c r="H380" s="1656">
        <f>SUM(H378:H378)</f>
        <v>0</v>
      </c>
      <c r="I380" s="1656">
        <f>SUM(I378:I378)</f>
        <v>0</v>
      </c>
      <c r="J380" s="1656">
        <f t="shared" ref="J380:S380" si="115">SUM(J378:J378)</f>
        <v>0</v>
      </c>
      <c r="K380" s="1656">
        <f t="shared" si="115"/>
        <v>0</v>
      </c>
      <c r="L380" s="1656"/>
      <c r="M380" s="1656"/>
      <c r="N380" s="1656"/>
      <c r="O380" s="1650"/>
      <c r="P380" s="1656">
        <f t="shared" si="115"/>
        <v>0</v>
      </c>
      <c r="Q380" s="1656">
        <f t="shared" si="115"/>
        <v>0</v>
      </c>
      <c r="R380" s="1656">
        <f t="shared" si="115"/>
        <v>0</v>
      </c>
      <c r="S380" s="1656">
        <f t="shared" si="115"/>
        <v>0</v>
      </c>
      <c r="W380" s="1573"/>
      <c r="AA380" s="1489" t="e">
        <f>'Compra -HOJA1'!#REF!</f>
        <v>#REF!</v>
      </c>
      <c r="AB380" s="1699" t="e">
        <f>'Compra -HOJA1'!#REF!</f>
        <v>#REF!</v>
      </c>
      <c r="AC380" s="1699" t="e">
        <f>'Compra -HOJA1'!#REF!</f>
        <v>#REF!</v>
      </c>
    </row>
    <row r="381" spans="1:31" ht="62.1" customHeight="1" x14ac:dyDescent="0.45">
      <c r="G381" s="1573">
        <f>+'Compra -HOJA1'!G53</f>
        <v>0</v>
      </c>
      <c r="H381" s="1573">
        <f>+'Compra -HOJA1'!H53</f>
        <v>0</v>
      </c>
      <c r="I381" s="1573">
        <f>+'Compra -HOJA1'!I53</f>
        <v>0</v>
      </c>
      <c r="J381" s="1573">
        <f>+'Compra -HOJA1'!L53</f>
        <v>0</v>
      </c>
      <c r="K381" s="1573">
        <f>+'Compra -HOJA1'!M53</f>
        <v>0</v>
      </c>
      <c r="L381" s="1573"/>
      <c r="M381" s="1573"/>
      <c r="N381" s="1573"/>
      <c r="P381" s="1653">
        <f>+'Compra -HOJA1'!N53</f>
        <v>0</v>
      </c>
    </row>
    <row r="382" spans="1:31" ht="62.1" customHeight="1" x14ac:dyDescent="0.45">
      <c r="AB382" s="1573"/>
    </row>
    <row r="383" spans="1:31" ht="62.1" customHeight="1" x14ac:dyDescent="0.45">
      <c r="W383" s="1490" t="e">
        <f t="shared" ref="W383:AB383" si="116">+W378+W369+W361</f>
        <v>#REF!</v>
      </c>
      <c r="X383" s="1490" t="e">
        <f t="shared" si="116"/>
        <v>#REF!</v>
      </c>
      <c r="Y383" s="1490" t="e">
        <f t="shared" si="116"/>
        <v>#REF!</v>
      </c>
      <c r="Z383" s="1490" t="e">
        <f t="shared" ca="1" si="116"/>
        <v>#REF!</v>
      </c>
      <c r="AA383" s="1490" t="e">
        <f t="shared" ca="1" si="116"/>
        <v>#REF!</v>
      </c>
      <c r="AB383" s="1490" t="e">
        <f t="shared" ca="1" si="116"/>
        <v>#REF!</v>
      </c>
    </row>
    <row r="384" spans="1:31" ht="62.1" customHeight="1" x14ac:dyDescent="0.45">
      <c r="A384" s="1594" t="s">
        <v>456</v>
      </c>
      <c r="B384" s="1594"/>
      <c r="C384" s="1594"/>
      <c r="D384" s="1594"/>
      <c r="E384" s="1594"/>
      <c r="F384" s="1594"/>
      <c r="G384" s="1594"/>
      <c r="H384" s="1594"/>
      <c r="I384" s="1594"/>
      <c r="J384" s="1594"/>
      <c r="K384" s="1594"/>
      <c r="L384" s="1594"/>
      <c r="M384" s="1594"/>
      <c r="N384" s="1594"/>
      <c r="O384" s="1657"/>
      <c r="P384" s="1658"/>
      <c r="Q384" s="1658"/>
      <c r="R384" s="1658"/>
      <c r="S384" s="1594"/>
      <c r="T384" s="1594"/>
      <c r="U384" s="1594"/>
      <c r="V384" s="1594"/>
      <c r="W384" s="1594"/>
    </row>
    <row r="385" spans="1:31" ht="62.1" customHeight="1" x14ac:dyDescent="0.45">
      <c r="A385" s="1594"/>
      <c r="B385" s="1594"/>
      <c r="C385" s="1594"/>
      <c r="D385" s="1594"/>
      <c r="E385" s="1594"/>
      <c r="F385" s="1594"/>
      <c r="G385" s="1594"/>
      <c r="H385" s="1594"/>
      <c r="I385" s="1594"/>
      <c r="J385" s="1594"/>
      <c r="K385" s="1594"/>
      <c r="L385" s="1594"/>
      <c r="M385" s="1594"/>
      <c r="N385" s="1594"/>
      <c r="O385" s="1657"/>
      <c r="P385" s="1658"/>
      <c r="Q385" s="1658"/>
      <c r="R385" s="1658"/>
      <c r="S385" s="1594"/>
      <c r="T385" s="1594"/>
      <c r="U385" s="1594"/>
      <c r="V385" s="1594"/>
      <c r="W385" s="1657" t="e">
        <f ca="1">+W383+Z383</f>
        <v>#REF!</v>
      </c>
      <c r="X385" s="1657" t="e">
        <f ca="1">+X383+AA383</f>
        <v>#REF!</v>
      </c>
      <c r="Y385" s="1657" t="e">
        <f ca="1">+Y383+AB383</f>
        <v>#REF!</v>
      </c>
    </row>
    <row r="386" spans="1:31" ht="62.1" customHeight="1" x14ac:dyDescent="0.45">
      <c r="W386" s="1573">
        <f>+'Compra -HOJA1'!G10</f>
        <v>0</v>
      </c>
      <c r="X386" s="1573">
        <f>+'Compra -HOJA1'!H10</f>
        <v>0</v>
      </c>
      <c r="Y386" s="1573">
        <f>+'Compra -HOJA1'!I10</f>
        <v>0</v>
      </c>
    </row>
    <row r="387" spans="1:31" ht="62.1" customHeight="1" x14ac:dyDescent="0.45">
      <c r="A387" s="1639" t="s">
        <v>457</v>
      </c>
      <c r="B387" s="1640"/>
      <c r="C387" s="1640"/>
      <c r="D387" s="1639" t="s">
        <v>26</v>
      </c>
      <c r="E387" s="1639"/>
      <c r="F387" s="1639" t="s">
        <v>458</v>
      </c>
      <c r="G387" s="4274" t="s">
        <v>304</v>
      </c>
      <c r="H387" s="4274"/>
      <c r="I387" s="4274"/>
      <c r="J387" s="4274" t="s">
        <v>453</v>
      </c>
      <c r="K387" s="4274"/>
      <c r="L387" s="4274"/>
      <c r="M387" s="4274"/>
      <c r="N387" s="4274"/>
      <c r="O387" s="4274"/>
      <c r="P387" s="4274"/>
      <c r="Q387" s="4237" t="s">
        <v>449</v>
      </c>
      <c r="R387" s="4238"/>
      <c r="S387" s="4240"/>
      <c r="W387" s="1490" t="e">
        <f ca="1">+W386-W385</f>
        <v>#REF!</v>
      </c>
      <c r="X387" s="1490" t="e">
        <f ca="1">+X386-X385</f>
        <v>#REF!</v>
      </c>
      <c r="Y387" s="1490" t="e">
        <f ca="1">+Y386-Y385</f>
        <v>#REF!</v>
      </c>
    </row>
    <row r="388" spans="1:31" ht="62.1" customHeight="1" x14ac:dyDescent="0.45">
      <c r="A388" s="1639"/>
      <c r="B388" s="1640"/>
      <c r="C388" s="1640"/>
      <c r="D388" s="1639"/>
      <c r="E388" s="1639"/>
      <c r="F388" s="1639"/>
      <c r="G388" s="1640" t="s">
        <v>287</v>
      </c>
      <c r="H388" s="1640" t="s">
        <v>450</v>
      </c>
      <c r="I388" s="1640" t="s">
        <v>288</v>
      </c>
      <c r="J388" s="1640" t="s">
        <v>287</v>
      </c>
      <c r="K388" s="1640" t="s">
        <v>450</v>
      </c>
      <c r="L388" s="1640"/>
      <c r="M388" s="1640"/>
      <c r="N388" s="1640"/>
      <c r="O388" s="1651"/>
      <c r="P388" s="1640" t="s">
        <v>288</v>
      </c>
      <c r="Q388" s="1515" t="s">
        <v>287</v>
      </c>
      <c r="R388" s="1515" t="s">
        <v>289</v>
      </c>
      <c r="S388" s="1515" t="s">
        <v>288</v>
      </c>
    </row>
    <row r="389" spans="1:31" ht="62.1" customHeight="1" x14ac:dyDescent="0.45"/>
    <row r="390" spans="1:31" ht="62.1" customHeight="1" x14ac:dyDescent="0.45">
      <c r="A390" s="1652" t="s">
        <v>23</v>
      </c>
      <c r="B390" s="1645"/>
      <c r="C390" s="1645"/>
      <c r="D390" s="1549">
        <f>'Compra -HOJA1'!K24</f>
        <v>0</v>
      </c>
      <c r="E390" s="1549"/>
      <c r="F390" s="1549">
        <f ca="1">'Compra -HOJA1'!J24</f>
        <v>0</v>
      </c>
      <c r="G390" s="1666">
        <f ca="1">+(W390)</f>
        <v>0</v>
      </c>
      <c r="H390" s="1666">
        <f ca="1">+(Y390)</f>
        <v>0</v>
      </c>
      <c r="I390" s="1666">
        <f ca="1">+(X390)</f>
        <v>0</v>
      </c>
      <c r="J390" s="1666">
        <f ca="1">+(Z390)</f>
        <v>0</v>
      </c>
      <c r="K390" s="1666">
        <f ca="1">+(AB390)</f>
        <v>0</v>
      </c>
      <c r="L390" s="1666"/>
      <c r="M390" s="1666"/>
      <c r="N390" s="1666"/>
      <c r="O390" s="1667"/>
      <c r="P390" s="1666">
        <f ca="1">+(AA390)</f>
        <v>0</v>
      </c>
      <c r="Q390" s="1661">
        <f ca="1">+J390+G390</f>
        <v>0</v>
      </c>
      <c r="R390" s="1661">
        <f ca="1">+K390+H390</f>
        <v>0</v>
      </c>
      <c r="S390" s="1662">
        <f ca="1">+P390+I390</f>
        <v>0</v>
      </c>
      <c r="W390" s="1489">
        <f ca="1">'Compra -HOJA1'!G24</f>
        <v>0</v>
      </c>
      <c r="X390" s="1489">
        <f ca="1">'Compra -HOJA1'!H24</f>
        <v>0</v>
      </c>
      <c r="Y390" s="1489">
        <f ca="1">'Compra -HOJA1'!I24</f>
        <v>0</v>
      </c>
      <c r="Z390" s="1489">
        <f ca="1">+'Compra -HOJA1'!L24</f>
        <v>0</v>
      </c>
      <c r="AA390" s="1489">
        <f ca="1">+'Compra -HOJA1'!M24</f>
        <v>0</v>
      </c>
      <c r="AB390" s="1489">
        <f ca="1">+'Compra -HOJA1'!N24</f>
        <v>0</v>
      </c>
      <c r="AC390" s="1489">
        <f ca="1">+'Compra -HOJA1'!O24</f>
        <v>0</v>
      </c>
      <c r="AD390" s="1489">
        <f ca="1">+'Compra -HOJA1'!P24</f>
        <v>0</v>
      </c>
      <c r="AE390" s="1489">
        <f ca="1">+'Compra -HOJA1'!Q24</f>
        <v>0</v>
      </c>
    </row>
    <row r="391" spans="1:31" ht="62.1" customHeight="1" x14ac:dyDescent="0.45">
      <c r="A391" s="1652" t="s">
        <v>24</v>
      </c>
      <c r="B391" s="1645"/>
      <c r="C391" s="1645"/>
      <c r="D391" s="1549">
        <f>'Compra -HOJA1'!K27</f>
        <v>0</v>
      </c>
      <c r="E391" s="1549"/>
      <c r="F391" s="1549">
        <f ca="1">'Compra -HOJA1'!J27</f>
        <v>0</v>
      </c>
      <c r="G391" s="1666">
        <f ca="1">+(W391)</f>
        <v>0</v>
      </c>
      <c r="H391" s="1666">
        <f ca="1">+(Y391)</f>
        <v>0</v>
      </c>
      <c r="I391" s="1666">
        <f ca="1">+(X391)</f>
        <v>0</v>
      </c>
      <c r="J391" s="1666">
        <f ca="1">+(Z391)</f>
        <v>0</v>
      </c>
      <c r="K391" s="1666">
        <f ca="1">+(AB391)</f>
        <v>0</v>
      </c>
      <c r="L391" s="1666"/>
      <c r="M391" s="1666"/>
      <c r="N391" s="1666"/>
      <c r="O391" s="1667"/>
      <c r="P391" s="1666">
        <f ca="1">+(AA391)</f>
        <v>0</v>
      </c>
      <c r="Q391" s="1661">
        <f ca="1">+J391+G391</f>
        <v>0</v>
      </c>
      <c r="R391" s="1661">
        <f ca="1">+K391+H391</f>
        <v>0</v>
      </c>
      <c r="S391" s="1662">
        <f ca="1">+P391+I391</f>
        <v>0</v>
      </c>
      <c r="W391" s="1489">
        <f ca="1">+'Compra -HOJA1'!G27</f>
        <v>0</v>
      </c>
      <c r="X391" s="1489">
        <f ca="1">+'Compra -HOJA1'!H27</f>
        <v>0</v>
      </c>
      <c r="Y391" s="1489">
        <f ca="1">+'Compra -HOJA1'!I27</f>
        <v>0</v>
      </c>
      <c r="Z391" s="1489">
        <f ca="1">'Compra -HOJA1'!L27</f>
        <v>0</v>
      </c>
      <c r="AA391" s="1489">
        <f ca="1">'Compra -HOJA1'!M27</f>
        <v>0</v>
      </c>
      <c r="AB391" s="1489">
        <f ca="1">'Compra -HOJA1'!N27</f>
        <v>0</v>
      </c>
      <c r="AC391" s="1489">
        <f ca="1">'Compra -HOJA1'!O27</f>
        <v>0</v>
      </c>
      <c r="AD391" s="1489">
        <f ca="1">'Compra -HOJA1'!P27</f>
        <v>0</v>
      </c>
      <c r="AE391" s="1489">
        <f ca="1">'Compra -HOJA1'!Q27</f>
        <v>0</v>
      </c>
    </row>
    <row r="392" spans="1:31" ht="62.1" customHeight="1" x14ac:dyDescent="0.5">
      <c r="A392" s="1702" t="s">
        <v>471</v>
      </c>
      <c r="B392" s="1702"/>
      <c r="C392" s="1702"/>
      <c r="D392" s="1663">
        <f>SUM(D390:D391)</f>
        <v>0</v>
      </c>
      <c r="E392" s="1663"/>
      <c r="F392" s="1663">
        <f t="shared" ref="F392:P392" ca="1" si="117">SUM(F390:F391)</f>
        <v>0</v>
      </c>
      <c r="G392" s="1663">
        <f t="shared" ca="1" si="117"/>
        <v>0</v>
      </c>
      <c r="H392" s="1663">
        <f t="shared" ca="1" si="117"/>
        <v>0</v>
      </c>
      <c r="I392" s="1663">
        <f t="shared" ca="1" si="117"/>
        <v>0</v>
      </c>
      <c r="J392" s="1663">
        <f t="shared" ca="1" si="117"/>
        <v>0</v>
      </c>
      <c r="K392" s="1663">
        <f t="shared" ca="1" si="117"/>
        <v>0</v>
      </c>
      <c r="L392" s="1663"/>
      <c r="M392" s="1663"/>
      <c r="N392" s="1663"/>
      <c r="O392" s="1631"/>
      <c r="P392" s="1664">
        <f t="shared" ca="1" si="117"/>
        <v>0</v>
      </c>
      <c r="Q392" s="1664">
        <f ca="1">SUM(Q390:Q391)</f>
        <v>0</v>
      </c>
      <c r="R392" s="1664">
        <f ca="1">SUM(R390:R391)</f>
        <v>0</v>
      </c>
      <c r="S392" s="1663">
        <f ca="1">SUM(S390:S391)</f>
        <v>0</v>
      </c>
      <c r="W392" s="1573"/>
    </row>
    <row r="393" spans="1:31" s="1540" customFormat="1" ht="62.1" customHeight="1" x14ac:dyDescent="0.5">
      <c r="A393" s="1703"/>
      <c r="B393" s="1703"/>
      <c r="C393" s="1703"/>
      <c r="D393" s="1593"/>
      <c r="E393" s="1593"/>
      <c r="F393" s="1593"/>
      <c r="G393" s="1704">
        <f ca="1">+'Compra -HOJA1'!G29</f>
        <v>0</v>
      </c>
      <c r="H393" s="1704">
        <f ca="1">+'Compra -HOJA1'!H29</f>
        <v>0</v>
      </c>
      <c r="I393" s="1704">
        <f ca="1">+'Compra -HOJA1'!I29</f>
        <v>0</v>
      </c>
      <c r="J393" s="1704">
        <f ca="1">+'Compra -HOJA1'!L29</f>
        <v>0</v>
      </c>
      <c r="K393" s="1704">
        <f ca="1">+'Compra -HOJA1'!M29</f>
        <v>0</v>
      </c>
      <c r="L393" s="1704"/>
      <c r="M393" s="1704"/>
      <c r="N393" s="1704"/>
      <c r="O393" s="1705"/>
      <c r="P393" s="1706">
        <f ca="1">+'Compra -HOJA1'!N29</f>
        <v>0</v>
      </c>
      <c r="Q393" s="1706"/>
      <c r="R393" s="1706"/>
      <c r="S393" s="1704"/>
      <c r="W393" s="1574"/>
    </row>
    <row r="394" spans="1:31" ht="62.1" customHeight="1" x14ac:dyDescent="0.5">
      <c r="B394" s="1665" t="s">
        <v>429</v>
      </c>
      <c r="C394" s="1665"/>
      <c r="G394" s="1666" t="e">
        <f>+(W394)</f>
        <v>#REF!</v>
      </c>
      <c r="H394" s="1666" t="e">
        <f>+(Y394)</f>
        <v>#REF!</v>
      </c>
      <c r="I394" s="1666" t="e">
        <f>+(X394)</f>
        <v>#REF!</v>
      </c>
      <c r="J394" s="1666" t="e">
        <f>+(Z394)</f>
        <v>#REF!</v>
      </c>
      <c r="K394" s="1666" t="e">
        <f>+(AB394)</f>
        <v>#REF!</v>
      </c>
      <c r="L394" s="1666"/>
      <c r="M394" s="1666"/>
      <c r="N394" s="1666"/>
      <c r="O394" s="1667"/>
      <c r="P394" s="1666" t="e">
        <f>+(AA394)</f>
        <v>#REF!</v>
      </c>
      <c r="Q394" s="1661" t="e">
        <f>+J394+G394</f>
        <v>#REF!</v>
      </c>
      <c r="R394" s="1661" t="e">
        <f>+K394+H394</f>
        <v>#REF!</v>
      </c>
      <c r="S394" s="1662" t="e">
        <f>+P394+I394</f>
        <v>#REF!</v>
      </c>
      <c r="W394" s="1489" t="e">
        <f>+'Compra -HOJA1'!#REF!</f>
        <v>#REF!</v>
      </c>
      <c r="X394" s="1489" t="e">
        <f>+'Compra -HOJA1'!#REF!</f>
        <v>#REF!</v>
      </c>
      <c r="Y394" s="1489" t="e">
        <f>+'Compra -HOJA1'!#REF!</f>
        <v>#REF!</v>
      </c>
      <c r="Z394" s="1489" t="e">
        <f>+'Compra -HOJA1'!#REF!</f>
        <v>#REF!</v>
      </c>
      <c r="AA394" s="1489" t="e">
        <f>+'Compra -HOJA1'!#REF!</f>
        <v>#REF!</v>
      </c>
      <c r="AB394" s="1489" t="e">
        <f>+'Compra -HOJA1'!#REF!</f>
        <v>#REF!</v>
      </c>
      <c r="AC394" s="1489" t="e">
        <f>+'Compra -HOJA1'!#REF!</f>
        <v>#REF!</v>
      </c>
      <c r="AD394" s="1489" t="e">
        <f>+'Compra -HOJA1'!#REF!</f>
        <v>#REF!</v>
      </c>
      <c r="AE394" s="1489" t="e">
        <f>+'Compra -HOJA1'!#REF!</f>
        <v>#REF!</v>
      </c>
    </row>
    <row r="395" spans="1:31" ht="62.1" customHeight="1" x14ac:dyDescent="0.5">
      <c r="A395" s="1498"/>
      <c r="B395" s="1665" t="s">
        <v>430</v>
      </c>
      <c r="C395" s="1498"/>
      <c r="D395" s="1498"/>
      <c r="E395" s="1498"/>
      <c r="F395" s="1498"/>
      <c r="G395" s="1666">
        <f>+(W395)</f>
        <v>0</v>
      </c>
      <c r="H395" s="1666">
        <f>+(Y395)</f>
        <v>0</v>
      </c>
      <c r="I395" s="1666">
        <f>+(X395)</f>
        <v>0</v>
      </c>
      <c r="J395" s="1666"/>
      <c r="K395" s="1666"/>
      <c r="L395" s="1666"/>
      <c r="M395" s="1666"/>
      <c r="N395" s="1666"/>
      <c r="O395" s="1667"/>
      <c r="P395" s="1666"/>
      <c r="Q395" s="1661">
        <f>+J395+G395</f>
        <v>0</v>
      </c>
      <c r="R395" s="1661">
        <f>+K395+H395</f>
        <v>0</v>
      </c>
      <c r="S395" s="1662">
        <f>+P395+I395</f>
        <v>0</v>
      </c>
      <c r="T395" s="1498"/>
      <c r="U395" s="1498"/>
      <c r="V395" s="1498"/>
      <c r="W395" s="1498">
        <f>'Compra -HOJA1'!G14</f>
        <v>0</v>
      </c>
      <c r="X395" s="1498">
        <f>'Compra -HOJA1'!H14</f>
        <v>0</v>
      </c>
      <c r="Y395" s="1498">
        <f>'Compra -HOJA1'!I14</f>
        <v>0</v>
      </c>
    </row>
    <row r="396" spans="1:31" ht="62.1" customHeight="1" x14ac:dyDescent="0.45">
      <c r="A396" s="1668"/>
      <c r="B396" s="5331" t="s">
        <v>460</v>
      </c>
      <c r="C396" s="5331"/>
      <c r="D396" s="5331"/>
      <c r="E396" s="5331"/>
      <c r="F396" s="5331"/>
      <c r="G396" s="1669" t="e">
        <f t="shared" ref="G396:P396" si="118">SUM(G394:G395)</f>
        <v>#REF!</v>
      </c>
      <c r="H396" s="1669" t="e">
        <f t="shared" si="118"/>
        <v>#REF!</v>
      </c>
      <c r="I396" s="1669" t="e">
        <f t="shared" si="118"/>
        <v>#REF!</v>
      </c>
      <c r="J396" s="1669" t="e">
        <f t="shared" si="118"/>
        <v>#REF!</v>
      </c>
      <c r="K396" s="1669" t="e">
        <f t="shared" si="118"/>
        <v>#REF!</v>
      </c>
      <c r="L396" s="1669"/>
      <c r="M396" s="1669"/>
      <c r="N396" s="1669"/>
      <c r="O396" s="1670"/>
      <c r="P396" s="1671" t="e">
        <f t="shared" si="118"/>
        <v>#REF!</v>
      </c>
      <c r="Q396" s="1671" t="e">
        <f>SUM(Q394:Q395)</f>
        <v>#REF!</v>
      </c>
      <c r="R396" s="1671" t="e">
        <f>SUM(R394:R395)</f>
        <v>#REF!</v>
      </c>
      <c r="S396" s="1669" t="e">
        <f>SUM(S394:S395)</f>
        <v>#REF!</v>
      </c>
    </row>
    <row r="397" spans="1:31" ht="62.1" customHeight="1" x14ac:dyDescent="0.45">
      <c r="A397" s="1672"/>
      <c r="B397" s="1672"/>
      <c r="C397" s="1672"/>
      <c r="G397" s="4264" t="s">
        <v>304</v>
      </c>
      <c r="H397" s="4264"/>
      <c r="I397" s="4264"/>
      <c r="J397" s="4264" t="s">
        <v>453</v>
      </c>
      <c r="K397" s="4264"/>
      <c r="L397" s="4264"/>
      <c r="M397" s="4264"/>
      <c r="N397" s="4264"/>
      <c r="O397" s="4264"/>
      <c r="P397" s="4264"/>
      <c r="Q397" s="4510" t="s">
        <v>449</v>
      </c>
      <c r="R397" s="4510"/>
      <c r="S397" s="4510"/>
    </row>
    <row r="398" spans="1:31" ht="62.1" customHeight="1" x14ac:dyDescent="0.45">
      <c r="A398" s="1672"/>
      <c r="B398" s="1672"/>
      <c r="C398" s="1672"/>
      <c r="G398" s="1641" t="s">
        <v>287</v>
      </c>
      <c r="H398" s="1641" t="s">
        <v>450</v>
      </c>
      <c r="I398" s="1641" t="s">
        <v>288</v>
      </c>
      <c r="J398" s="1641" t="s">
        <v>287</v>
      </c>
      <c r="K398" s="1641" t="s">
        <v>450</v>
      </c>
      <c r="L398" s="1641"/>
      <c r="M398" s="1641"/>
      <c r="N398" s="1641"/>
      <c r="O398" s="1642"/>
      <c r="P398" s="1641" t="s">
        <v>288</v>
      </c>
      <c r="Q398" s="1515" t="s">
        <v>287</v>
      </c>
      <c r="R398" s="1515" t="s">
        <v>289</v>
      </c>
      <c r="S398" s="1515" t="s">
        <v>288</v>
      </c>
      <c r="W398" s="1490" t="e">
        <f t="shared" ref="W398:AB398" si="119">+W378+W369+W361</f>
        <v>#REF!</v>
      </c>
      <c r="X398" s="1490" t="e">
        <f t="shared" si="119"/>
        <v>#REF!</v>
      </c>
      <c r="Y398" s="1490" t="e">
        <f t="shared" si="119"/>
        <v>#REF!</v>
      </c>
      <c r="Z398" s="1490" t="e">
        <f t="shared" ca="1" si="119"/>
        <v>#REF!</v>
      </c>
      <c r="AA398" s="1490" t="e">
        <f t="shared" ca="1" si="119"/>
        <v>#REF!</v>
      </c>
      <c r="AB398" s="1490" t="e">
        <f t="shared" ca="1" si="119"/>
        <v>#REF!</v>
      </c>
    </row>
    <row r="399" spans="1:31" ht="62.1" customHeight="1" x14ac:dyDescent="0.45">
      <c r="A399" s="4264" t="s">
        <v>431</v>
      </c>
      <c r="B399" s="4264"/>
      <c r="C399" s="4264"/>
      <c r="D399" s="4264"/>
      <c r="E399" s="4264"/>
      <c r="F399" s="4278"/>
      <c r="G399" s="1673" t="e">
        <f ca="1">+F361+G370+G380+G392+G396</f>
        <v>#REF!</v>
      </c>
      <c r="H399" s="1673" t="e">
        <f ca="1">+G361+H370+H380+H392+H396</f>
        <v>#REF!</v>
      </c>
      <c r="I399" s="1673" t="e">
        <f ca="1">+H361+I370+I380+I392+I396</f>
        <v>#REF!</v>
      </c>
      <c r="J399" s="1673" t="e">
        <f ca="1">+I361+J370+J380+J392+J396</f>
        <v>#REF!</v>
      </c>
      <c r="K399" s="1673" t="e">
        <f ca="1">+J361+K370+K380+K392+K396</f>
        <v>#REF!</v>
      </c>
      <c r="L399" s="1673"/>
      <c r="M399" s="1673"/>
      <c r="N399" s="1673"/>
      <c r="O399" s="1642"/>
      <c r="P399" s="1673" t="e">
        <f ca="1">+K361+P370+P380+P392+P396</f>
        <v>#REF!</v>
      </c>
      <c r="Q399" s="1673" t="e">
        <f ca="1">+G399+J399</f>
        <v>#REF!</v>
      </c>
      <c r="R399" s="1673" t="e">
        <f ca="1">+H399+K399</f>
        <v>#REF!</v>
      </c>
      <c r="S399" s="1673" t="e">
        <f ca="1">+I399+P399</f>
        <v>#REF!</v>
      </c>
    </row>
    <row r="400" spans="1:31" ht="62.1" customHeight="1" x14ac:dyDescent="0.45">
      <c r="A400" s="1641"/>
      <c r="B400" s="1641"/>
      <c r="C400" s="1641"/>
      <c r="D400" s="1641"/>
      <c r="E400" s="1641"/>
      <c r="F400" s="1641"/>
      <c r="G400" s="4395" t="s">
        <v>449</v>
      </c>
      <c r="H400" s="4323"/>
      <c r="I400" s="4396"/>
      <c r="W400" s="1490" t="e">
        <f ca="1">+W398+Z398</f>
        <v>#REF!</v>
      </c>
      <c r="X400" s="1490" t="e">
        <f ca="1">+X398+AA398</f>
        <v>#REF!</v>
      </c>
      <c r="Y400" s="1490" t="e">
        <f ca="1">+Y398+AB398</f>
        <v>#REF!</v>
      </c>
    </row>
    <row r="401" spans="1:31" ht="62.1" customHeight="1" x14ac:dyDescent="0.45">
      <c r="A401" s="4264" t="s">
        <v>431</v>
      </c>
      <c r="B401" s="4264"/>
      <c r="C401" s="4264"/>
      <c r="D401" s="4264"/>
      <c r="E401" s="4264"/>
      <c r="F401" s="4264"/>
      <c r="G401" s="1674" t="e">
        <f ca="1">+G399+J399</f>
        <v>#REF!</v>
      </c>
      <c r="H401" s="1674" t="e">
        <f ca="1">+H399+K399</f>
        <v>#REF!</v>
      </c>
      <c r="I401" s="1674" t="e">
        <f ca="1">+I399+P399</f>
        <v>#REF!</v>
      </c>
      <c r="J401" s="1707" t="e">
        <f ca="1">+J399/G399</f>
        <v>#REF!</v>
      </c>
      <c r="K401" s="1707" t="e">
        <f ca="1">+K399/H399</f>
        <v>#REF!</v>
      </c>
      <c r="L401" s="1573"/>
      <c r="M401" s="1573"/>
      <c r="N401" s="1573"/>
      <c r="P401" s="1653">
        <v>574588</v>
      </c>
      <c r="W401" s="1573">
        <f>+'Compra -HOJA1'!G10</f>
        <v>0</v>
      </c>
      <c r="X401" s="1573">
        <f>+'Compra -HOJA1'!H10</f>
        <v>0</v>
      </c>
      <c r="Y401" s="1573">
        <f>+'Compra -HOJA1'!I10</f>
        <v>0</v>
      </c>
    </row>
    <row r="402" spans="1:31" ht="62.1" customHeight="1" x14ac:dyDescent="0.45">
      <c r="A402" s="4264" t="s">
        <v>433</v>
      </c>
      <c r="B402" s="4264"/>
      <c r="C402" s="4264"/>
      <c r="D402" s="4264"/>
      <c r="E402" s="4264"/>
      <c r="F402" s="4264"/>
      <c r="G402" s="1675">
        <f>+'Compra -HOJA1'!G10</f>
        <v>0</v>
      </c>
      <c r="H402" s="1675">
        <f>+'Compra -HOJA1'!I10</f>
        <v>0</v>
      </c>
      <c r="I402" s="1675">
        <f>+'Compra -HOJA1'!H10</f>
        <v>0</v>
      </c>
      <c r="J402" s="1573"/>
      <c r="K402" s="1573"/>
      <c r="L402" s="1573"/>
      <c r="M402" s="1573"/>
      <c r="N402" s="1573"/>
      <c r="P402" s="1653" t="e">
        <f ca="1">+I401-P401</f>
        <v>#REF!</v>
      </c>
      <c r="W402" s="1573" t="e">
        <f ca="1">+W400-W401</f>
        <v>#REF!</v>
      </c>
      <c r="X402" s="1573" t="e">
        <f ca="1">+X400-X401</f>
        <v>#REF!</v>
      </c>
      <c r="Y402" s="1573" t="e">
        <f ca="1">+Y400-Y401</f>
        <v>#REF!</v>
      </c>
    </row>
    <row r="403" spans="1:31" ht="62.1" customHeight="1" x14ac:dyDescent="0.45">
      <c r="A403" s="1676"/>
      <c r="B403" s="1676"/>
      <c r="C403" s="1676"/>
    </row>
    <row r="404" spans="1:31" ht="62.1" customHeight="1" x14ac:dyDescent="0.45">
      <c r="A404" s="1676"/>
      <c r="B404" s="1676"/>
      <c r="C404" s="1676"/>
      <c r="D404" s="1489" t="s">
        <v>435</v>
      </c>
      <c r="G404" s="1573" t="e">
        <f ca="1">IF((G402-G401)=0,"O.K.","VERIFICAR¨")</f>
        <v>#REF!</v>
      </c>
      <c r="H404" s="1573" t="e">
        <f ca="1">IF((H402-H401)=0,"O.K.","VERIFICAR¨")</f>
        <v>#REF!</v>
      </c>
      <c r="I404" s="1573" t="e">
        <f ca="1">IF((I402-I401)=0,"O.K.","VERIFICAR¨")</f>
        <v>#REF!</v>
      </c>
    </row>
    <row r="405" spans="1:31" ht="62.1" customHeight="1" x14ac:dyDescent="0.45">
      <c r="A405" s="1677"/>
      <c r="B405" s="1677"/>
      <c r="C405" s="1677"/>
      <c r="G405" s="1708" t="e">
        <f ca="1">+G402-G401</f>
        <v>#REF!</v>
      </c>
      <c r="H405" s="1708" t="e">
        <f ca="1">+H402-H401</f>
        <v>#REF!</v>
      </c>
      <c r="I405" s="1708" t="e">
        <f ca="1">+I402-I401</f>
        <v>#REF!</v>
      </c>
      <c r="T405" s="1489" t="s">
        <v>157</v>
      </c>
      <c r="W405" s="1610">
        <v>156746.49797894555</v>
      </c>
      <c r="X405" s="1610">
        <v>309925.00195551571</v>
      </c>
      <c r="Y405" s="1610">
        <v>119409.50006553871</v>
      </c>
      <c r="Z405" s="1709">
        <v>10627.412562972509</v>
      </c>
      <c r="AA405" s="1709">
        <v>21012.915132583963</v>
      </c>
      <c r="AB405" s="1709">
        <v>8095.9641044435248</v>
      </c>
      <c r="AC405" s="1610">
        <f>SUM(W405:AB405)</f>
        <v>625817.29180000001</v>
      </c>
      <c r="AD405" s="1489">
        <v>330937.91708809964</v>
      </c>
      <c r="AE405" s="1489">
        <v>127505.46416998224</v>
      </c>
    </row>
    <row r="406" spans="1:31" ht="62.1" customHeight="1" x14ac:dyDescent="0.45">
      <c r="A406" s="1677"/>
      <c r="B406" s="1677"/>
      <c r="C406" s="1677"/>
      <c r="G406" s="1573"/>
      <c r="H406" s="1573"/>
      <c r="I406" s="1573"/>
      <c r="T406" s="1489" t="s">
        <v>158</v>
      </c>
      <c r="W406" s="1610">
        <v>132079.20000000001</v>
      </c>
      <c r="X406" s="1610">
        <v>48028.799999999996</v>
      </c>
      <c r="Y406" s="1610">
        <v>220132.00000000003</v>
      </c>
      <c r="Z406" s="1709">
        <v>8954.96976</v>
      </c>
      <c r="AA406" s="1709">
        <v>3256.3526399999996</v>
      </c>
      <c r="AB406" s="1709">
        <v>14924.949600000002</v>
      </c>
      <c r="AC406" s="1610">
        <f>SUM(W406:AB406)</f>
        <v>427376.272</v>
      </c>
      <c r="AD406" s="1489">
        <v>51285.152639999993</v>
      </c>
      <c r="AE406" s="1489">
        <v>235056.94960000002</v>
      </c>
    </row>
    <row r="407" spans="1:31" ht="62.1" customHeight="1" x14ac:dyDescent="0.45">
      <c r="A407" s="1677"/>
      <c r="B407" s="1677"/>
      <c r="C407" s="1677"/>
      <c r="G407" s="1573"/>
      <c r="H407" s="1573"/>
      <c r="I407" s="1573"/>
      <c r="T407" s="1489" t="s">
        <v>21</v>
      </c>
      <c r="W407" s="1710" t="e">
        <f>+'Compra -HOJA1'!#REF!</f>
        <v>#REF!</v>
      </c>
      <c r="X407" s="1710" t="e">
        <f>+'Compra -HOJA1'!#REF!</f>
        <v>#REF!</v>
      </c>
      <c r="Y407" s="1710" t="e">
        <f>+'Compra -HOJA1'!#REF!</f>
        <v>#REF!</v>
      </c>
      <c r="Z407" s="1711" t="e">
        <f>+'Compra -HOJA1'!#REF!</f>
        <v>#REF!</v>
      </c>
      <c r="AA407" s="1711" t="e">
        <f>+'Compra -HOJA1'!#REF!</f>
        <v>#REF!</v>
      </c>
      <c r="AB407" s="1711" t="e">
        <f>+'Compra -HOJA1'!#REF!</f>
        <v>#REF!</v>
      </c>
      <c r="AC407" s="1610" t="e">
        <f>SUM(W407:AB407)</f>
        <v>#REF!</v>
      </c>
    </row>
    <row r="408" spans="1:31" ht="62.1" customHeight="1" x14ac:dyDescent="0.45">
      <c r="D408" s="1597" t="s">
        <v>478</v>
      </c>
      <c r="E408" s="1597"/>
      <c r="F408" s="1597"/>
      <c r="G408" s="1597"/>
      <c r="H408" s="1597"/>
      <c r="I408" s="1597"/>
      <c r="T408" s="1489" t="s">
        <v>71</v>
      </c>
      <c r="W408" s="1710" t="e">
        <f>+'Compra -HOJA1'!#REF!</f>
        <v>#REF!</v>
      </c>
      <c r="X408" s="1710" t="e">
        <f>+'Compra -HOJA1'!#REF!</f>
        <v>#REF!</v>
      </c>
      <c r="Y408" s="1710" t="e">
        <f>+'Compra -HOJA1'!#REF!</f>
        <v>#REF!</v>
      </c>
      <c r="Z408" s="1711" t="e">
        <f>+'Compra -HOJA1'!#REF!</f>
        <v>#REF!</v>
      </c>
      <c r="AA408" s="1711" t="e">
        <f>+'Compra -HOJA1'!#REF!</f>
        <v>#REF!</v>
      </c>
      <c r="AB408" s="1711" t="e">
        <f>+'Compra -HOJA1'!#REF!</f>
        <v>#REF!</v>
      </c>
      <c r="AC408" s="1610" t="e">
        <f>SUM(W408:AB408)</f>
        <v>#REF!</v>
      </c>
    </row>
    <row r="409" spans="1:31" ht="62.1" customHeight="1" x14ac:dyDescent="0.45">
      <c r="D409" s="1597"/>
      <c r="E409" s="1597"/>
      <c r="F409" s="1597"/>
      <c r="G409" s="1597"/>
      <c r="H409" s="1597"/>
      <c r="I409" s="1597"/>
      <c r="T409" s="1489">
        <v>5000</v>
      </c>
      <c r="W409" s="1710">
        <f>+SUM('Compra -HOJA1'!I287:I371)</f>
        <v>0</v>
      </c>
      <c r="X409" s="1710">
        <f>+SUM('Compra -HOJA1'!J287:J371)</f>
        <v>0</v>
      </c>
      <c r="Y409" s="1710">
        <f>+SUM('Compra -HOJA1'!K287:K371)</f>
        <v>0</v>
      </c>
      <c r="Z409" s="1711">
        <f ca="1">+SUM('Compra -HOJA1'!L287:L371)</f>
        <v>0</v>
      </c>
      <c r="AA409" s="1711">
        <f ca="1">+SUM('Compra -HOJA1'!M287:M371)</f>
        <v>0</v>
      </c>
      <c r="AB409" s="1711">
        <f ca="1">+SUM('Compra -HOJA1'!N287:N371)</f>
        <v>0</v>
      </c>
      <c r="AC409" s="1610">
        <f ca="1">SUM(W409:AB409)</f>
        <v>0</v>
      </c>
    </row>
    <row r="410" spans="1:31" ht="62.1" customHeight="1" x14ac:dyDescent="0.5">
      <c r="A410" s="1676"/>
      <c r="B410" s="1676"/>
      <c r="C410" s="1676"/>
      <c r="D410" s="1597"/>
      <c r="E410" s="1597"/>
      <c r="F410" s="1597"/>
      <c r="G410" s="1597"/>
      <c r="H410" s="1597"/>
      <c r="I410" s="1597"/>
      <c r="AC410" s="1504" t="e">
        <f>SUM(AC405:AC409)</f>
        <v>#REF!</v>
      </c>
      <c r="AD410" s="1573">
        <f>+'Compra -HOJA1'!F10</f>
        <v>0</v>
      </c>
      <c r="AE410" s="1573" t="e">
        <f>+AC410-AD410</f>
        <v>#REF!</v>
      </c>
    </row>
    <row r="411" spans="1:31" ht="62.1" customHeight="1" x14ac:dyDescent="0.45"/>
    <row r="412" spans="1:31" ht="62.1" customHeight="1" x14ac:dyDescent="0.45">
      <c r="A412" s="1640" t="s">
        <v>479</v>
      </c>
      <c r="B412" s="1640"/>
      <c r="C412" s="1640"/>
    </row>
    <row r="413" spans="1:31" ht="62.1" customHeight="1" x14ac:dyDescent="0.45">
      <c r="T413" s="1489" t="s">
        <v>157</v>
      </c>
      <c r="W413" s="1573">
        <f t="shared" ref="W413:AB413" si="120">+W369+W378</f>
        <v>0</v>
      </c>
      <c r="X413" s="1573">
        <f t="shared" si="120"/>
        <v>0</v>
      </c>
      <c r="Y413" s="1573">
        <f t="shared" si="120"/>
        <v>0</v>
      </c>
      <c r="Z413" s="1711">
        <f t="shared" si="120"/>
        <v>0</v>
      </c>
      <c r="AA413" s="1711">
        <f t="shared" si="120"/>
        <v>0</v>
      </c>
      <c r="AB413" s="1711">
        <f t="shared" si="120"/>
        <v>0</v>
      </c>
      <c r="AC413" s="1712">
        <f>SUM(W413:AB413)</f>
        <v>0</v>
      </c>
    </row>
    <row r="414" spans="1:31" ht="62.1" customHeight="1" x14ac:dyDescent="0.45">
      <c r="T414" s="1489" t="s">
        <v>158</v>
      </c>
      <c r="W414" s="1490">
        <f t="shared" ref="W414:AB414" si="121">+W359</f>
        <v>0</v>
      </c>
      <c r="X414" s="1490">
        <f t="shared" si="121"/>
        <v>0</v>
      </c>
      <c r="Y414" s="1490">
        <f t="shared" si="121"/>
        <v>0</v>
      </c>
      <c r="Z414" s="1713">
        <f t="shared" si="121"/>
        <v>0</v>
      </c>
      <c r="AA414" s="1713">
        <f t="shared" si="121"/>
        <v>0</v>
      </c>
      <c r="AB414" s="1713">
        <f t="shared" si="121"/>
        <v>0</v>
      </c>
      <c r="AC414" s="1712">
        <f>SUM(W414:AB414)</f>
        <v>0</v>
      </c>
    </row>
    <row r="415" spans="1:31" ht="62.1" customHeight="1" x14ac:dyDescent="0.45">
      <c r="T415" s="1489" t="s">
        <v>21</v>
      </c>
      <c r="W415" s="1714">
        <f t="shared" ref="W415:AB416" si="122">+W357</f>
        <v>0</v>
      </c>
      <c r="X415" s="1714">
        <f t="shared" si="122"/>
        <v>0</v>
      </c>
      <c r="Y415" s="1714">
        <f t="shared" si="122"/>
        <v>0</v>
      </c>
      <c r="Z415" s="1715">
        <f t="shared" si="122"/>
        <v>0</v>
      </c>
      <c r="AA415" s="1715">
        <f t="shared" si="122"/>
        <v>0</v>
      </c>
      <c r="AB415" s="1715">
        <f t="shared" si="122"/>
        <v>0</v>
      </c>
      <c r="AC415" s="1712">
        <f>SUM(W415:AB415)</f>
        <v>0</v>
      </c>
    </row>
    <row r="416" spans="1:31" ht="62.1" customHeight="1" x14ac:dyDescent="0.45">
      <c r="T416" s="1489" t="s">
        <v>71</v>
      </c>
      <c r="W416" s="1714">
        <f t="shared" si="122"/>
        <v>0</v>
      </c>
      <c r="X416" s="1714">
        <f t="shared" si="122"/>
        <v>0</v>
      </c>
      <c r="Y416" s="1714">
        <f t="shared" si="122"/>
        <v>0</v>
      </c>
      <c r="Z416" s="1715">
        <f t="shared" si="122"/>
        <v>0</v>
      </c>
      <c r="AA416" s="1715">
        <f t="shared" si="122"/>
        <v>0</v>
      </c>
      <c r="AB416" s="1715">
        <f t="shared" si="122"/>
        <v>0</v>
      </c>
      <c r="AC416" s="1712">
        <f>SUM(W416:AB416)</f>
        <v>0</v>
      </c>
    </row>
    <row r="417" spans="15:31" ht="62.1" customHeight="1" x14ac:dyDescent="0.45">
      <c r="T417" s="1489">
        <v>5000</v>
      </c>
      <c r="W417" s="1714" t="e">
        <f t="shared" ref="W417:AB417" si="123">+SUM(W300:W356)</f>
        <v>#REF!</v>
      </c>
      <c r="X417" s="1714" t="e">
        <f t="shared" si="123"/>
        <v>#REF!</v>
      </c>
      <c r="Y417" s="1714" t="e">
        <f t="shared" si="123"/>
        <v>#REF!</v>
      </c>
      <c r="Z417" s="1714" t="e">
        <f t="shared" ca="1" si="123"/>
        <v>#REF!</v>
      </c>
      <c r="AA417" s="1714" t="e">
        <f t="shared" ca="1" si="123"/>
        <v>#REF!</v>
      </c>
      <c r="AB417" s="1714" t="e">
        <f t="shared" ca="1" si="123"/>
        <v>#REF!</v>
      </c>
      <c r="AC417" s="1712" t="e">
        <f>SUM(W417:AB417)</f>
        <v>#REF!</v>
      </c>
    </row>
    <row r="418" spans="15:31" ht="62.1" customHeight="1" x14ac:dyDescent="0.5">
      <c r="W418" s="1716" t="e">
        <f t="shared" ref="W418:AB418" si="124">SUM(W415:W417)</f>
        <v>#REF!</v>
      </c>
      <c r="X418" s="1716" t="e">
        <f t="shared" si="124"/>
        <v>#REF!</v>
      </c>
      <c r="Y418" s="1716" t="e">
        <f t="shared" si="124"/>
        <v>#REF!</v>
      </c>
      <c r="Z418" s="1716" t="e">
        <f t="shared" ca="1" si="124"/>
        <v>#REF!</v>
      </c>
      <c r="AA418" s="1716" t="e">
        <f t="shared" ca="1" si="124"/>
        <v>#REF!</v>
      </c>
      <c r="AB418" s="1716" t="e">
        <f t="shared" ca="1" si="124"/>
        <v>#REF!</v>
      </c>
      <c r="AC418" s="1712" t="e">
        <f>SUM(AC413:AC417)</f>
        <v>#REF!</v>
      </c>
      <c r="AD418" s="1573">
        <f>+AD410</f>
        <v>0</v>
      </c>
      <c r="AE418" s="1573" t="e">
        <f>+AC418-AD418</f>
        <v>#REF!</v>
      </c>
    </row>
    <row r="419" spans="15:31" ht="62.1" customHeight="1" x14ac:dyDescent="0.45"/>
    <row r="420" spans="15:31" ht="62.1" customHeight="1" x14ac:dyDescent="0.45">
      <c r="T420" s="5047" t="s">
        <v>480</v>
      </c>
      <c r="U420" s="5047"/>
      <c r="V420" s="5047"/>
      <c r="W420" s="5047"/>
      <c r="X420" s="5047"/>
      <c r="Y420" s="5047"/>
      <c r="Z420" s="5047"/>
      <c r="AA420" s="5047"/>
      <c r="AB420" s="5047"/>
      <c r="AC420" s="5047"/>
    </row>
    <row r="421" spans="15:31" ht="62.1" customHeight="1" x14ac:dyDescent="0.5">
      <c r="T421" s="1519" t="s">
        <v>157</v>
      </c>
      <c r="U421" s="1717"/>
      <c r="V421" s="1717"/>
      <c r="W421" s="1573">
        <f>+'Compra -HOJA1'!H75</f>
        <v>0</v>
      </c>
      <c r="X421" s="1573">
        <f>+'Compra -HOJA1'!I75</f>
        <v>0</v>
      </c>
      <c r="Y421" s="1573">
        <f>+'Compra -HOJA1'!J75</f>
        <v>0</v>
      </c>
      <c r="Z421" s="1573">
        <f>+'Compra -HOJA1'!K75</f>
        <v>0</v>
      </c>
      <c r="AA421" s="1573">
        <f>+'Compra -HOJA1'!L75</f>
        <v>0</v>
      </c>
      <c r="AB421" s="1573">
        <f>+'Compra -HOJA1'!M75</f>
        <v>0</v>
      </c>
    </row>
    <row r="422" spans="15:31" ht="62.1" customHeight="1" x14ac:dyDescent="0.5">
      <c r="O422" s="1489"/>
      <c r="P422" s="1489"/>
      <c r="Q422" s="1489"/>
      <c r="R422" s="1489"/>
      <c r="T422" s="1519" t="s">
        <v>158</v>
      </c>
      <c r="U422" s="1717"/>
      <c r="V422" s="1717"/>
      <c r="W422" s="1573">
        <f>+'Compra -HOJA1'!H76</f>
        <v>0</v>
      </c>
      <c r="X422" s="1573">
        <f>+'Compra -HOJA1'!I76</f>
        <v>0</v>
      </c>
      <c r="Y422" s="1573">
        <f>+'Compra -HOJA1'!J76</f>
        <v>0</v>
      </c>
      <c r="Z422" s="1573">
        <f>+'Compra -HOJA1'!K76</f>
        <v>0</v>
      </c>
      <c r="AA422" s="1573">
        <f>+'Compra -HOJA1'!L76</f>
        <v>0</v>
      </c>
      <c r="AB422" s="1573">
        <f>+'Compra -HOJA1'!M76</f>
        <v>0</v>
      </c>
    </row>
    <row r="423" spans="15:31" ht="62.1" customHeight="1" x14ac:dyDescent="0.5">
      <c r="O423" s="1489"/>
      <c r="P423" s="1489"/>
      <c r="Q423" s="1489"/>
      <c r="R423" s="1489"/>
      <c r="T423" s="1519" t="s">
        <v>481</v>
      </c>
      <c r="U423" s="1717"/>
      <c r="V423" s="1717"/>
      <c r="W423" s="1573" t="e">
        <f>+'Compra -HOJA1'!#REF!</f>
        <v>#REF!</v>
      </c>
      <c r="X423" s="1573" t="e">
        <f>+'Compra -HOJA1'!#REF!</f>
        <v>#REF!</v>
      </c>
      <c r="Y423" s="1573" t="e">
        <f>+'Compra -HOJA1'!#REF!</f>
        <v>#REF!</v>
      </c>
      <c r="Z423" s="1573" t="e">
        <f>+'Compra -HOJA1'!#REF!</f>
        <v>#REF!</v>
      </c>
      <c r="AA423" s="1573" t="e">
        <f>+'Compra -HOJA1'!#REF!</f>
        <v>#REF!</v>
      </c>
      <c r="AB423" s="1573" t="e">
        <f>+'Compra -HOJA1'!#REF!</f>
        <v>#REF!</v>
      </c>
    </row>
    <row r="424" spans="15:31" ht="62.1" customHeight="1" x14ac:dyDescent="0.45">
      <c r="O424" s="1489"/>
      <c r="P424" s="1489"/>
      <c r="Q424" s="1489"/>
      <c r="R424" s="1489"/>
      <c r="W424" s="1573" t="e">
        <f t="shared" ref="W424:AB424" si="125">SUM(W421:W423)</f>
        <v>#REF!</v>
      </c>
      <c r="X424" s="1573" t="e">
        <f t="shared" si="125"/>
        <v>#REF!</v>
      </c>
      <c r="Y424" s="1573" t="e">
        <f t="shared" si="125"/>
        <v>#REF!</v>
      </c>
      <c r="Z424" s="1573" t="e">
        <f t="shared" si="125"/>
        <v>#REF!</v>
      </c>
      <c r="AA424" s="1573" t="e">
        <f t="shared" si="125"/>
        <v>#REF!</v>
      </c>
      <c r="AB424" s="1573" t="e">
        <f t="shared" si="125"/>
        <v>#REF!</v>
      </c>
    </row>
    <row r="425" spans="15:31" ht="62.1" customHeight="1" x14ac:dyDescent="0.45"/>
    <row r="426" spans="15:31" ht="62.1" customHeight="1" x14ac:dyDescent="0.45">
      <c r="O426" s="1489"/>
      <c r="P426" s="1489"/>
      <c r="Q426" s="1489"/>
      <c r="R426" s="1489"/>
      <c r="W426" s="1718" t="e">
        <f>+W424+Z424</f>
        <v>#REF!</v>
      </c>
      <c r="X426" s="1718" t="e">
        <f>+X424+AA424</f>
        <v>#REF!</v>
      </c>
      <c r="Y426" s="1718" t="e">
        <f>+Y424+AB424</f>
        <v>#REF!</v>
      </c>
      <c r="Z426" s="1711" t="e">
        <f ca="1">+Z418-Z423</f>
        <v>#REF!</v>
      </c>
      <c r="AA426" s="1711" t="e">
        <f ca="1">+AA418-AA423</f>
        <v>#REF!</v>
      </c>
      <c r="AB426" s="1711" t="e">
        <f ca="1">+AB418-AB423</f>
        <v>#REF!</v>
      </c>
      <c r="AC426" s="1573" t="e">
        <f ca="1">SUM(Z426:AB426)</f>
        <v>#REF!</v>
      </c>
    </row>
    <row r="427" spans="15:31" x14ac:dyDescent="0.45">
      <c r="O427" s="1489"/>
      <c r="P427" s="1489"/>
      <c r="Q427" s="1489"/>
      <c r="R427" s="1489"/>
      <c r="W427" s="1573">
        <f>+'Compra -HOJA1'!G10</f>
        <v>0</v>
      </c>
      <c r="X427" s="1573">
        <f>+'Compra -HOJA1'!H10</f>
        <v>0</v>
      </c>
      <c r="Y427" s="1573">
        <f>+'Compra -HOJA1'!I10</f>
        <v>0</v>
      </c>
    </row>
  </sheetData>
  <mergeCells count="410">
    <mergeCell ref="A401:F401"/>
    <mergeCell ref="A402:F402"/>
    <mergeCell ref="T420:AC420"/>
    <mergeCell ref="B396:F396"/>
    <mergeCell ref="G397:I397"/>
    <mergeCell ref="J397:P397"/>
    <mergeCell ref="Q397:S397"/>
    <mergeCell ref="A399:F399"/>
    <mergeCell ref="G400:I400"/>
    <mergeCell ref="G375:I375"/>
    <mergeCell ref="J375:P375"/>
    <mergeCell ref="Q375:S375"/>
    <mergeCell ref="G387:I387"/>
    <mergeCell ref="J387:P387"/>
    <mergeCell ref="Q387:S387"/>
    <mergeCell ref="A359:D359"/>
    <mergeCell ref="A361:D361"/>
    <mergeCell ref="F363:H363"/>
    <mergeCell ref="I363:K363"/>
    <mergeCell ref="P363:R363"/>
    <mergeCell ref="G365:I365"/>
    <mergeCell ref="J365:P365"/>
    <mergeCell ref="Q365:S365"/>
    <mergeCell ref="B335:D335"/>
    <mergeCell ref="T335:V335"/>
    <mergeCell ref="B336:D336"/>
    <mergeCell ref="T336:V336"/>
    <mergeCell ref="B332:B333"/>
    <mergeCell ref="C332:D332"/>
    <mergeCell ref="T332:T333"/>
    <mergeCell ref="U332:V332"/>
    <mergeCell ref="C333:D333"/>
    <mergeCell ref="U333:V333"/>
    <mergeCell ref="A329:A334"/>
    <mergeCell ref="B329:D329"/>
    <mergeCell ref="S329:S334"/>
    <mergeCell ref="T329:V329"/>
    <mergeCell ref="B330:D330"/>
    <mergeCell ref="T330:V330"/>
    <mergeCell ref="B331:D331"/>
    <mergeCell ref="T331:V331"/>
    <mergeCell ref="C334:D334"/>
    <mergeCell ref="U334:V334"/>
    <mergeCell ref="B326:B327"/>
    <mergeCell ref="C326:D326"/>
    <mergeCell ref="T326:T327"/>
    <mergeCell ref="U326:V326"/>
    <mergeCell ref="C327:D327"/>
    <mergeCell ref="U327:V327"/>
    <mergeCell ref="C322:D322"/>
    <mergeCell ref="U322:V322"/>
    <mergeCell ref="A323:A328"/>
    <mergeCell ref="B323:D323"/>
    <mergeCell ref="S323:S328"/>
    <mergeCell ref="T323:V323"/>
    <mergeCell ref="B324:D324"/>
    <mergeCell ref="T324:V324"/>
    <mergeCell ref="B325:D325"/>
    <mergeCell ref="T325:V325"/>
    <mergeCell ref="A317:A322"/>
    <mergeCell ref="C328:D328"/>
    <mergeCell ref="U328:V328"/>
    <mergeCell ref="B319:D319"/>
    <mergeCell ref="T319:V319"/>
    <mergeCell ref="B320:B321"/>
    <mergeCell ref="C320:D320"/>
    <mergeCell ref="T320:T321"/>
    <mergeCell ref="U320:V320"/>
    <mergeCell ref="C321:D321"/>
    <mergeCell ref="U321:V321"/>
    <mergeCell ref="C315:D315"/>
    <mergeCell ref="U315:V315"/>
    <mergeCell ref="C316:D316"/>
    <mergeCell ref="U316:V316"/>
    <mergeCell ref="B317:D317"/>
    <mergeCell ref="S317:S322"/>
    <mergeCell ref="T317:V317"/>
    <mergeCell ref="B318:D318"/>
    <mergeCell ref="T318:V318"/>
    <mergeCell ref="A308:A316"/>
    <mergeCell ref="B308:D308"/>
    <mergeCell ref="S308:S316"/>
    <mergeCell ref="T308:V308"/>
    <mergeCell ref="B309:D309"/>
    <mergeCell ref="T309:V309"/>
    <mergeCell ref="B310:D310"/>
    <mergeCell ref="T310:V310"/>
    <mergeCell ref="B311:D311"/>
    <mergeCell ref="T311:V311"/>
    <mergeCell ref="B312:B315"/>
    <mergeCell ref="C312:D312"/>
    <mergeCell ref="T312:T315"/>
    <mergeCell ref="U312:V312"/>
    <mergeCell ref="C313:D313"/>
    <mergeCell ref="U313:V313"/>
    <mergeCell ref="C314:D314"/>
    <mergeCell ref="U314:V314"/>
    <mergeCell ref="Z298:AB298"/>
    <mergeCell ref="AC298:AE298"/>
    <mergeCell ref="A300:A307"/>
    <mergeCell ref="B300:D300"/>
    <mergeCell ref="S300:S307"/>
    <mergeCell ref="T300:V300"/>
    <mergeCell ref="B301:D301"/>
    <mergeCell ref="T301:V301"/>
    <mergeCell ref="B302:D302"/>
    <mergeCell ref="T302:V302"/>
    <mergeCell ref="B303:B306"/>
    <mergeCell ref="C303:D303"/>
    <mergeCell ref="T303:T306"/>
    <mergeCell ref="U303:V303"/>
    <mergeCell ref="C304:D304"/>
    <mergeCell ref="U304:V304"/>
    <mergeCell ref="C305:D305"/>
    <mergeCell ref="U305:V305"/>
    <mergeCell ref="C306:D306"/>
    <mergeCell ref="U306:V306"/>
    <mergeCell ref="C307:D307"/>
    <mergeCell ref="U307:V307"/>
    <mergeCell ref="A288:F288"/>
    <mergeCell ref="A289:F289"/>
    <mergeCell ref="F298:H298"/>
    <mergeCell ref="I298:K298"/>
    <mergeCell ref="P298:R298"/>
    <mergeCell ref="W298:Y298"/>
    <mergeCell ref="B283:F283"/>
    <mergeCell ref="G284:I284"/>
    <mergeCell ref="J284:P284"/>
    <mergeCell ref="Q284:S284"/>
    <mergeCell ref="A286:F286"/>
    <mergeCell ref="G287:I287"/>
    <mergeCell ref="A258:C258"/>
    <mergeCell ref="G263:I263"/>
    <mergeCell ref="J263:P263"/>
    <mergeCell ref="Q263:S263"/>
    <mergeCell ref="A268:C268"/>
    <mergeCell ref="G275:I275"/>
    <mergeCell ref="J275:P275"/>
    <mergeCell ref="Q275:S275"/>
    <mergeCell ref="P249:R249"/>
    <mergeCell ref="D253:D254"/>
    <mergeCell ref="F253:F254"/>
    <mergeCell ref="G253:I253"/>
    <mergeCell ref="J253:P253"/>
    <mergeCell ref="Q253:S253"/>
    <mergeCell ref="B222:D222"/>
    <mergeCell ref="B223:D223"/>
    <mergeCell ref="A246:D246"/>
    <mergeCell ref="A248:D248"/>
    <mergeCell ref="F249:H249"/>
    <mergeCell ref="I249:K249"/>
    <mergeCell ref="A216:A221"/>
    <mergeCell ref="B216:D216"/>
    <mergeCell ref="B217:D217"/>
    <mergeCell ref="B218:D218"/>
    <mergeCell ref="B219:B220"/>
    <mergeCell ref="C219:D219"/>
    <mergeCell ref="C220:D220"/>
    <mergeCell ref="C221:D221"/>
    <mergeCell ref="A210:A215"/>
    <mergeCell ref="B210:D210"/>
    <mergeCell ref="B211:D211"/>
    <mergeCell ref="B212:D212"/>
    <mergeCell ref="B213:B214"/>
    <mergeCell ref="C213:D213"/>
    <mergeCell ref="C214:D214"/>
    <mergeCell ref="C215:D215"/>
    <mergeCell ref="A204:A209"/>
    <mergeCell ref="B204:D204"/>
    <mergeCell ref="B205:D205"/>
    <mergeCell ref="B206:D206"/>
    <mergeCell ref="B207:B208"/>
    <mergeCell ref="C207:D207"/>
    <mergeCell ref="C208:D208"/>
    <mergeCell ref="C209:D209"/>
    <mergeCell ref="A195:A203"/>
    <mergeCell ref="B195:D195"/>
    <mergeCell ref="B196:D196"/>
    <mergeCell ref="B197:D197"/>
    <mergeCell ref="B198:D198"/>
    <mergeCell ref="A177:E177"/>
    <mergeCell ref="F185:H185"/>
    <mergeCell ref="I185:K185"/>
    <mergeCell ref="L185:N185"/>
    <mergeCell ref="B199:B202"/>
    <mergeCell ref="C199:D199"/>
    <mergeCell ref="C200:D200"/>
    <mergeCell ref="C201:D201"/>
    <mergeCell ref="C202:D202"/>
    <mergeCell ref="C203:D203"/>
    <mergeCell ref="C190:D190"/>
    <mergeCell ref="C191:D191"/>
    <mergeCell ref="C192:D192"/>
    <mergeCell ref="C193:D193"/>
    <mergeCell ref="C194:D194"/>
    <mergeCell ref="P185:R185"/>
    <mergeCell ref="A187:A194"/>
    <mergeCell ref="B187:D187"/>
    <mergeCell ref="B188:D188"/>
    <mergeCell ref="B189:D189"/>
    <mergeCell ref="B190:B193"/>
    <mergeCell ref="A166:E171"/>
    <mergeCell ref="F166:H166"/>
    <mergeCell ref="I166:K166"/>
    <mergeCell ref="P166:R166"/>
    <mergeCell ref="F169:H169"/>
    <mergeCell ref="A173:E175"/>
    <mergeCell ref="F173:H173"/>
    <mergeCell ref="P173:R173"/>
    <mergeCell ref="A156:E160"/>
    <mergeCell ref="F156:H156"/>
    <mergeCell ref="I156:K156"/>
    <mergeCell ref="P156:R156"/>
    <mergeCell ref="F159:H159"/>
    <mergeCell ref="A162:E164"/>
    <mergeCell ref="F162:H162"/>
    <mergeCell ref="A147:K147"/>
    <mergeCell ref="A148:A154"/>
    <mergeCell ref="F148:H148"/>
    <mergeCell ref="I148:K148"/>
    <mergeCell ref="P148:R148"/>
    <mergeCell ref="B152:E154"/>
    <mergeCell ref="F153:H153"/>
    <mergeCell ref="A138:K138"/>
    <mergeCell ref="A139:A145"/>
    <mergeCell ref="F139:H139"/>
    <mergeCell ref="I139:K139"/>
    <mergeCell ref="P139:R139"/>
    <mergeCell ref="B143:E145"/>
    <mergeCell ref="F144:H144"/>
    <mergeCell ref="A132:A136"/>
    <mergeCell ref="F132:H132"/>
    <mergeCell ref="I132:K132"/>
    <mergeCell ref="P132:R132"/>
    <mergeCell ref="B135:E136"/>
    <mergeCell ref="F135:H135"/>
    <mergeCell ref="A124:D128"/>
    <mergeCell ref="F124:H124"/>
    <mergeCell ref="I124:K124"/>
    <mergeCell ref="P124:R124"/>
    <mergeCell ref="F127:H127"/>
    <mergeCell ref="A131:K131"/>
    <mergeCell ref="E112:E114"/>
    <mergeCell ref="F112:H112"/>
    <mergeCell ref="A115:R116"/>
    <mergeCell ref="A117:D122"/>
    <mergeCell ref="E117:E118"/>
    <mergeCell ref="F117:H117"/>
    <mergeCell ref="I117:K117"/>
    <mergeCell ref="P117:R117"/>
    <mergeCell ref="E120:E122"/>
    <mergeCell ref="F120:H120"/>
    <mergeCell ref="DM101:DQ101"/>
    <mergeCell ref="E104:E106"/>
    <mergeCell ref="F104:H104"/>
    <mergeCell ref="A107:R108"/>
    <mergeCell ref="A109:D114"/>
    <mergeCell ref="E109:E110"/>
    <mergeCell ref="F109:H109"/>
    <mergeCell ref="I109:K109"/>
    <mergeCell ref="P109:R109"/>
    <mergeCell ref="DM109:DP109"/>
    <mergeCell ref="A96:D96"/>
    <mergeCell ref="A97:E99"/>
    <mergeCell ref="F97:H97"/>
    <mergeCell ref="A100:R100"/>
    <mergeCell ref="A101:D106"/>
    <mergeCell ref="E101:E102"/>
    <mergeCell ref="F101:H101"/>
    <mergeCell ref="I101:K101"/>
    <mergeCell ref="P101:R101"/>
    <mergeCell ref="AQ75:AS75"/>
    <mergeCell ref="A77:A95"/>
    <mergeCell ref="C77:D77"/>
    <mergeCell ref="C78:D78"/>
    <mergeCell ref="C79:D79"/>
    <mergeCell ref="C80:D80"/>
    <mergeCell ref="C81:C94"/>
    <mergeCell ref="T75:X75"/>
    <mergeCell ref="Y75:AA75"/>
    <mergeCell ref="AB75:AD75"/>
    <mergeCell ref="AE75:AG75"/>
    <mergeCell ref="AH75:AJ75"/>
    <mergeCell ref="AK75:AM75"/>
    <mergeCell ref="B72:D72"/>
    <mergeCell ref="A73:R74"/>
    <mergeCell ref="A75:D76"/>
    <mergeCell ref="E75:E76"/>
    <mergeCell ref="F75:H75"/>
    <mergeCell ref="I75:K75"/>
    <mergeCell ref="L75:N75"/>
    <mergeCell ref="P75:R75"/>
    <mergeCell ref="AN64:AP64"/>
    <mergeCell ref="AN75:AP75"/>
    <mergeCell ref="AQ64:AS64"/>
    <mergeCell ref="DM64:DQ64"/>
    <mergeCell ref="A66:A71"/>
    <mergeCell ref="C66:D66"/>
    <mergeCell ref="C67:D67"/>
    <mergeCell ref="C68:D68"/>
    <mergeCell ref="C69:C70"/>
    <mergeCell ref="C71:D71"/>
    <mergeCell ref="T64:X64"/>
    <mergeCell ref="Y64:AA64"/>
    <mergeCell ref="AB64:AD64"/>
    <mergeCell ref="AE64:AG64"/>
    <mergeCell ref="AH64:AJ64"/>
    <mergeCell ref="AK64:AM64"/>
    <mergeCell ref="B61:D61"/>
    <mergeCell ref="A62:R63"/>
    <mergeCell ref="A64:D65"/>
    <mergeCell ref="E64:E65"/>
    <mergeCell ref="F64:H64"/>
    <mergeCell ref="I64:K64"/>
    <mergeCell ref="L64:N64"/>
    <mergeCell ref="P64:R64"/>
    <mergeCell ref="AN53:AP53"/>
    <mergeCell ref="AQ53:AS53"/>
    <mergeCell ref="DM53:DQ53"/>
    <mergeCell ref="A55:A60"/>
    <mergeCell ref="C55:D55"/>
    <mergeCell ref="C56:D56"/>
    <mergeCell ref="C57:D57"/>
    <mergeCell ref="C58:C59"/>
    <mergeCell ref="C60:D60"/>
    <mergeCell ref="T53:X53"/>
    <mergeCell ref="Y53:AA53"/>
    <mergeCell ref="AB53:AD53"/>
    <mergeCell ref="AE53:AG53"/>
    <mergeCell ref="AH53:AJ53"/>
    <mergeCell ref="AK53:AM53"/>
    <mergeCell ref="B50:D50"/>
    <mergeCell ref="A51:R52"/>
    <mergeCell ref="A53:D54"/>
    <mergeCell ref="E53:E54"/>
    <mergeCell ref="F53:H53"/>
    <mergeCell ref="I53:K53"/>
    <mergeCell ref="L53:N53"/>
    <mergeCell ref="P53:R53"/>
    <mergeCell ref="AK42:AM42"/>
    <mergeCell ref="DM42:DQ42"/>
    <mergeCell ref="A44:A49"/>
    <mergeCell ref="C44:D44"/>
    <mergeCell ref="C45:D45"/>
    <mergeCell ref="C46:D46"/>
    <mergeCell ref="C47:C48"/>
    <mergeCell ref="C49:D49"/>
    <mergeCell ref="P42:R42"/>
    <mergeCell ref="T42:X42"/>
    <mergeCell ref="Y42:AA42"/>
    <mergeCell ref="AB42:AD42"/>
    <mergeCell ref="AE42:AG42"/>
    <mergeCell ref="AH42:AJ42"/>
    <mergeCell ref="B39:D39"/>
    <mergeCell ref="A42:D43"/>
    <mergeCell ref="E42:E43"/>
    <mergeCell ref="F42:H42"/>
    <mergeCell ref="I42:K42"/>
    <mergeCell ref="L42:N42"/>
    <mergeCell ref="AN28:AP28"/>
    <mergeCell ref="AQ28:AS28"/>
    <mergeCell ref="DM28:DQ28"/>
    <mergeCell ref="A30:A38"/>
    <mergeCell ref="C30:D30"/>
    <mergeCell ref="C31:D31"/>
    <mergeCell ref="C32:D32"/>
    <mergeCell ref="C33:D33"/>
    <mergeCell ref="C34:C37"/>
    <mergeCell ref="C38:D38"/>
    <mergeCell ref="T28:X28"/>
    <mergeCell ref="Y28:AA28"/>
    <mergeCell ref="AB28:AD28"/>
    <mergeCell ref="AE28:AG28"/>
    <mergeCell ref="AH28:AJ28"/>
    <mergeCell ref="AK28:AM28"/>
    <mergeCell ref="AN42:AP42"/>
    <mergeCell ref="AQ42:AS42"/>
    <mergeCell ref="B25:D25"/>
    <mergeCell ref="A26:R27"/>
    <mergeCell ref="A28:D29"/>
    <mergeCell ref="E28:E29"/>
    <mergeCell ref="F28:H28"/>
    <mergeCell ref="I28:K28"/>
    <mergeCell ref="L28:N28"/>
    <mergeCell ref="P28:R28"/>
    <mergeCell ref="DM15:DQ15"/>
    <mergeCell ref="A17:A24"/>
    <mergeCell ref="C17:D17"/>
    <mergeCell ref="C18:D18"/>
    <mergeCell ref="C19:D19"/>
    <mergeCell ref="C20:C23"/>
    <mergeCell ref="C24:D24"/>
    <mergeCell ref="A15:D16"/>
    <mergeCell ref="E15:E16"/>
    <mergeCell ref="F15:H15"/>
    <mergeCell ref="I15:K15"/>
    <mergeCell ref="L15:N15"/>
    <mergeCell ref="P15:R15"/>
    <mergeCell ref="B8:D8"/>
    <mergeCell ref="B9:D9"/>
    <mergeCell ref="A10:C10"/>
    <mergeCell ref="D10:K10"/>
    <mergeCell ref="A11:C11"/>
    <mergeCell ref="A13:K14"/>
    <mergeCell ref="A1:R1"/>
    <mergeCell ref="A2:H2"/>
    <mergeCell ref="B4:D4"/>
    <mergeCell ref="B5:D5"/>
    <mergeCell ref="B6:D6"/>
    <mergeCell ref="B7:D7"/>
  </mergeCells>
  <pageMargins left="0.7" right="0.7" top="0.75" bottom="0.75" header="0.3" footer="0.3"/>
  <drawing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9"/>
  <dimension ref="A1:Z261"/>
  <sheetViews>
    <sheetView topLeftCell="L1" workbookViewId="0">
      <selection activeCell="P6" sqref="P6"/>
    </sheetView>
  </sheetViews>
  <sheetFormatPr baseColWidth="10" defaultColWidth="11.42578125" defaultRowHeight="12.75" x14ac:dyDescent="0.2"/>
  <cols>
    <col min="4" max="4" width="10.85546875" customWidth="1"/>
    <col min="14" max="14" width="10.85546875" style="214"/>
    <col min="15" max="15" width="10.140625" customWidth="1"/>
    <col min="17" max="17" width="11" customWidth="1"/>
    <col min="21" max="21" width="10.85546875" style="1906"/>
    <col min="25" max="25" width="10.85546875" style="1906"/>
  </cols>
  <sheetData>
    <row r="1" spans="1:25" x14ac:dyDescent="0.2">
      <c r="A1" s="5656"/>
      <c r="B1" s="5656"/>
      <c r="C1" s="5656"/>
      <c r="D1" s="5656"/>
      <c r="E1" s="5657" t="s">
        <v>965</v>
      </c>
      <c r="F1" s="5657"/>
      <c r="G1" s="5657"/>
      <c r="H1" s="5657"/>
      <c r="I1" s="5657"/>
      <c r="J1" s="5657"/>
      <c r="K1" s="5657"/>
      <c r="L1" s="5657"/>
      <c r="N1" s="5656"/>
      <c r="O1" s="5656"/>
      <c r="P1" s="5656"/>
      <c r="Q1" s="5656"/>
      <c r="R1" s="5657" t="s">
        <v>966</v>
      </c>
      <c r="S1" s="5657"/>
      <c r="T1" s="5657"/>
      <c r="U1" s="5657"/>
      <c r="V1" s="5657"/>
      <c r="W1" s="5657"/>
      <c r="X1" s="5657"/>
      <c r="Y1" s="5657"/>
    </row>
    <row r="2" spans="1:25" x14ac:dyDescent="0.2">
      <c r="A2" s="5663" t="s">
        <v>967</v>
      </c>
      <c r="B2" s="5659" t="s">
        <v>968</v>
      </c>
      <c r="C2" s="5660" t="s">
        <v>969</v>
      </c>
      <c r="D2" s="5661" t="s">
        <v>970</v>
      </c>
      <c r="E2" s="5663" t="s">
        <v>971</v>
      </c>
      <c r="F2" s="5663"/>
      <c r="G2" s="5663"/>
      <c r="H2" s="5663"/>
      <c r="I2" s="5663" t="s">
        <v>972</v>
      </c>
      <c r="J2" s="5663"/>
      <c r="K2" s="5663"/>
      <c r="L2" s="5663"/>
      <c r="N2" s="5658" t="s">
        <v>967</v>
      </c>
      <c r="O2" s="5659" t="s">
        <v>968</v>
      </c>
      <c r="P2" s="5660" t="s">
        <v>969</v>
      </c>
      <c r="Q2" s="5661" t="s">
        <v>970</v>
      </c>
      <c r="R2" s="5662" t="s">
        <v>973</v>
      </c>
      <c r="S2" s="5663"/>
      <c r="T2" s="5663"/>
      <c r="U2" s="5663"/>
      <c r="V2" s="5662" t="s">
        <v>974</v>
      </c>
      <c r="W2" s="5663"/>
      <c r="X2" s="5663"/>
      <c r="Y2" s="5663"/>
    </row>
    <row r="3" spans="1:25" x14ac:dyDescent="0.2">
      <c r="A3" s="5663" t="s">
        <v>967</v>
      </c>
      <c r="B3" s="5659" t="s">
        <v>968</v>
      </c>
      <c r="C3" s="5660" t="s">
        <v>969</v>
      </c>
      <c r="D3" s="5661" t="s">
        <v>970</v>
      </c>
      <c r="E3" s="498" t="s">
        <v>975</v>
      </c>
      <c r="F3" s="498" t="s">
        <v>976</v>
      </c>
      <c r="G3" s="498" t="s">
        <v>977</v>
      </c>
      <c r="H3" s="498" t="s">
        <v>978</v>
      </c>
      <c r="I3" s="498" t="s">
        <v>975</v>
      </c>
      <c r="J3" s="498" t="s">
        <v>976</v>
      </c>
      <c r="K3" s="498" t="s">
        <v>979</v>
      </c>
      <c r="L3" s="498" t="s">
        <v>978</v>
      </c>
      <c r="N3" s="5658" t="s">
        <v>967</v>
      </c>
      <c r="O3" s="5659" t="s">
        <v>968</v>
      </c>
      <c r="P3" s="5660" t="s">
        <v>969</v>
      </c>
      <c r="Q3" s="5661" t="s">
        <v>970</v>
      </c>
      <c r="R3" s="498" t="s">
        <v>975</v>
      </c>
      <c r="S3" s="498" t="s">
        <v>976</v>
      </c>
      <c r="T3" s="498" t="s">
        <v>977</v>
      </c>
      <c r="U3" s="1904" t="s">
        <v>980</v>
      </c>
      <c r="V3" s="498" t="s">
        <v>975</v>
      </c>
      <c r="W3" s="498" t="s">
        <v>976</v>
      </c>
      <c r="X3" s="498" t="s">
        <v>979</v>
      </c>
      <c r="Y3" s="1904" t="s">
        <v>980</v>
      </c>
    </row>
    <row r="4" spans="1:25" x14ac:dyDescent="0.2">
      <c r="A4" s="499" t="s">
        <v>322</v>
      </c>
      <c r="B4" s="500">
        <v>5030</v>
      </c>
      <c r="C4" s="501">
        <f>+P4</f>
        <v>0</v>
      </c>
      <c r="D4" s="501"/>
      <c r="E4" s="1926">
        <f>+R4/1000</f>
        <v>0</v>
      </c>
      <c r="F4" s="1926">
        <f t="shared" ref="F4:L4" si="0">+S4/1000</f>
        <v>0</v>
      </c>
      <c r="G4" s="1926">
        <f t="shared" si="0"/>
        <v>0</v>
      </c>
      <c r="H4" s="1926">
        <f t="shared" si="0"/>
        <v>0</v>
      </c>
      <c r="I4" s="1926">
        <f t="shared" ca="1" si="0"/>
        <v>0</v>
      </c>
      <c r="J4" s="1926">
        <f t="shared" ca="1" si="0"/>
        <v>0</v>
      </c>
      <c r="K4" s="1926">
        <f t="shared" ca="1" si="0"/>
        <v>0</v>
      </c>
      <c r="L4" s="1926">
        <f t="shared" ca="1" si="0"/>
        <v>0</v>
      </c>
      <c r="N4" s="499" t="s">
        <v>322</v>
      </c>
      <c r="O4" s="500">
        <v>5030</v>
      </c>
      <c r="P4" s="515">
        <f>+'DDJJ EPEC S-II'!E17</f>
        <v>0</v>
      </c>
      <c r="Q4" s="501"/>
      <c r="R4" s="1922">
        <f>+'DDJJ EPEC S-II'!F17</f>
        <v>0</v>
      </c>
      <c r="S4" s="1922">
        <f>+'DDJJ EPEC S-II'!H17</f>
        <v>0</v>
      </c>
      <c r="T4" s="1922">
        <f>+'DDJJ EPEC S-II'!G17</f>
        <v>0</v>
      </c>
      <c r="U4" s="1907">
        <f>+SUM(R4:T4)</f>
        <v>0</v>
      </c>
      <c r="V4" s="1922">
        <f ca="1">+'DDJJ EPEC S-II'!I17</f>
        <v>0</v>
      </c>
      <c r="W4" s="1922">
        <f ca="1">+'DDJJ EPEC S-II'!K17</f>
        <v>0</v>
      </c>
      <c r="X4" s="1922">
        <f ca="1">+'DDJJ EPEC S-II'!J17</f>
        <v>0</v>
      </c>
      <c r="Y4" s="1907">
        <f ca="1">SUM(V4:X4)</f>
        <v>0</v>
      </c>
    </row>
    <row r="5" spans="1:25" x14ac:dyDescent="0.2">
      <c r="A5" s="499" t="s">
        <v>322</v>
      </c>
      <c r="B5" s="500">
        <v>5040</v>
      </c>
      <c r="C5" s="501">
        <f>+P5</f>
        <v>0</v>
      </c>
      <c r="D5" s="501"/>
      <c r="E5" s="1926">
        <f t="shared" ref="E5:E37" si="1">+R5/1000</f>
        <v>0</v>
      </c>
      <c r="F5" s="1926">
        <f t="shared" ref="F5:F37" si="2">+S5/1000</f>
        <v>0</v>
      </c>
      <c r="G5" s="1926">
        <f t="shared" ref="G5:G37" si="3">+T5/1000</f>
        <v>0</v>
      </c>
      <c r="H5" s="1926">
        <f t="shared" ref="H5:H37" si="4">+U5/1000</f>
        <v>0</v>
      </c>
      <c r="I5" s="1926">
        <f t="shared" ref="I5:I37" ca="1" si="5">+V5/1000</f>
        <v>0</v>
      </c>
      <c r="J5" s="1926">
        <f t="shared" ref="J5:J37" ca="1" si="6">+W5/1000</f>
        <v>0</v>
      </c>
      <c r="K5" s="1926">
        <f t="shared" ref="K5:K37" ca="1" si="7">+X5/1000</f>
        <v>0</v>
      </c>
      <c r="L5" s="1926">
        <f t="shared" ref="L5:L37" ca="1" si="8">+Y5/1000</f>
        <v>0</v>
      </c>
      <c r="N5" s="499" t="s">
        <v>322</v>
      </c>
      <c r="O5" s="500">
        <v>5040</v>
      </c>
      <c r="P5" s="515">
        <f>+'DDJJ EPEC S-II'!E18+'DDJJ EPEC S-II'!E20+'DDJJ EPEC S-II'!E21+'DDJJ EPEC S-II'!E22+'DDJJ EPEC S-II'!E23</f>
        <v>0</v>
      </c>
      <c r="Q5" s="501"/>
      <c r="R5" s="1922">
        <f>+'DDJJ EPEC S-II'!F18+'DDJJ EPEC S-II'!F20+'DDJJ EPEC S-II'!F21+'DDJJ EPEC S-II'!F22+'DDJJ EPEC S-II'!F23</f>
        <v>0</v>
      </c>
      <c r="S5" s="1922">
        <f>+'DDJJ EPEC S-II'!H18+'DDJJ EPEC S-II'!H20+'DDJJ EPEC S-II'!H21+'DDJJ EPEC S-II'!H22+'DDJJ EPEC S-II'!H23</f>
        <v>0</v>
      </c>
      <c r="T5" s="1922">
        <f>+'DDJJ EPEC S-II'!G18+'DDJJ EPEC S-II'!G20+'DDJJ EPEC S-II'!G21+'DDJJ EPEC S-II'!G22+'DDJJ EPEC S-II'!G23</f>
        <v>0</v>
      </c>
      <c r="U5" s="1907">
        <f>+SUM(R5:T5)</f>
        <v>0</v>
      </c>
      <c r="V5" s="1922">
        <f ca="1">+'DDJJ EPEC S-II'!I18+'DDJJ EPEC S-II'!I20+'DDJJ EPEC S-II'!I21+'DDJJ EPEC S-II'!I22+'DDJJ EPEC S-II'!I23</f>
        <v>0</v>
      </c>
      <c r="W5" s="1922">
        <f ca="1">+'DDJJ EPEC S-II'!K18+'DDJJ EPEC S-II'!K20+'DDJJ EPEC S-II'!K21+'DDJJ EPEC S-II'!K22+'DDJJ EPEC S-II'!K23</f>
        <v>0</v>
      </c>
      <c r="X5" s="1922">
        <f ca="1">+'DDJJ EPEC S-II'!J18+'DDJJ EPEC S-II'!J20+'DDJJ EPEC S-II'!J21+'DDJJ EPEC S-II'!J22+'DDJJ EPEC S-II'!J23</f>
        <v>0</v>
      </c>
      <c r="Y5" s="1907">
        <f ca="1">SUM(V5:X5)</f>
        <v>0</v>
      </c>
    </row>
    <row r="6" spans="1:25" x14ac:dyDescent="0.2">
      <c r="A6" s="499" t="s">
        <v>322</v>
      </c>
      <c r="B6" s="500">
        <v>5050</v>
      </c>
      <c r="C6" s="501">
        <f>+P6</f>
        <v>0</v>
      </c>
      <c r="D6" s="501"/>
      <c r="E6" s="1926">
        <f t="shared" si="1"/>
        <v>0</v>
      </c>
      <c r="F6" s="1926">
        <f t="shared" si="2"/>
        <v>0</v>
      </c>
      <c r="G6" s="1926">
        <f t="shared" si="3"/>
        <v>0</v>
      </c>
      <c r="H6" s="1926">
        <f t="shared" si="4"/>
        <v>0</v>
      </c>
      <c r="I6" s="1926">
        <f t="shared" ca="1" si="5"/>
        <v>0</v>
      </c>
      <c r="J6" s="1926">
        <f t="shared" ca="1" si="6"/>
        <v>0</v>
      </c>
      <c r="K6" s="1926">
        <f t="shared" ca="1" si="7"/>
        <v>0</v>
      </c>
      <c r="L6" s="1926">
        <f t="shared" ca="1" si="8"/>
        <v>0</v>
      </c>
      <c r="N6" s="499" t="s">
        <v>322</v>
      </c>
      <c r="O6" s="500">
        <v>5050</v>
      </c>
      <c r="P6" s="515">
        <f>+'DDJJ EPEC S-II'!E19</f>
        <v>0</v>
      </c>
      <c r="Q6" s="501"/>
      <c r="R6" s="1922">
        <f>+'DDJJ EPEC S-II'!F19</f>
        <v>0</v>
      </c>
      <c r="S6" s="1922">
        <f>+'DDJJ EPEC S-II'!H19</f>
        <v>0</v>
      </c>
      <c r="T6" s="1922">
        <f>+'DDJJ EPEC S-II'!G19</f>
        <v>0</v>
      </c>
      <c r="U6" s="1907">
        <f>+SUM(R6:T6)</f>
        <v>0</v>
      </c>
      <c r="V6" s="1922">
        <f ca="1">+'DDJJ EPEC S-II'!I19</f>
        <v>0</v>
      </c>
      <c r="W6" s="1922">
        <f ca="1">+'DDJJ EPEC S-II'!K19</f>
        <v>0</v>
      </c>
      <c r="X6" s="1922">
        <f ca="1">+'DDJJ EPEC S-II'!J19</f>
        <v>0</v>
      </c>
      <c r="Y6" s="1907">
        <f ca="1">SUM(V6:X6)</f>
        <v>0</v>
      </c>
    </row>
    <row r="7" spans="1:25" x14ac:dyDescent="0.2">
      <c r="A7" s="502" t="s">
        <v>322</v>
      </c>
      <c r="B7" s="503">
        <v>6000</v>
      </c>
      <c r="C7" s="504" t="e">
        <f t="shared" ref="C7:C37" si="9">+P7</f>
        <v>#REF!</v>
      </c>
      <c r="D7" s="504"/>
      <c r="E7" s="1927" t="e">
        <f t="shared" si="1"/>
        <v>#REF!</v>
      </c>
      <c r="F7" s="1927" t="e">
        <f t="shared" si="2"/>
        <v>#REF!</v>
      </c>
      <c r="G7" s="1927" t="e">
        <f t="shared" si="3"/>
        <v>#REF!</v>
      </c>
      <c r="H7" s="1927" t="e">
        <f t="shared" si="4"/>
        <v>#REF!</v>
      </c>
      <c r="I7" s="1927" t="e">
        <f t="shared" si="5"/>
        <v>#REF!</v>
      </c>
      <c r="J7" s="1927" t="e">
        <f t="shared" si="6"/>
        <v>#REF!</v>
      </c>
      <c r="K7" s="1927" t="e">
        <f t="shared" si="7"/>
        <v>#REF!</v>
      </c>
      <c r="L7" s="1927" t="e">
        <f t="shared" si="8"/>
        <v>#REF!</v>
      </c>
      <c r="N7" s="502" t="s">
        <v>322</v>
      </c>
      <c r="O7" s="503">
        <v>6000</v>
      </c>
      <c r="P7" s="516" t="e">
        <f>+'DDJJ EPEC S-II'!#REF!</f>
        <v>#REF!</v>
      </c>
      <c r="Q7" s="504"/>
      <c r="R7" s="1923" t="e">
        <f>+'DDJJ EPEC S-II'!#REF!</f>
        <v>#REF!</v>
      </c>
      <c r="S7" s="1923" t="e">
        <f>+'DDJJ EPEC S-II'!#REF!</f>
        <v>#REF!</v>
      </c>
      <c r="T7" s="1923" t="e">
        <f>+'DDJJ EPEC S-II'!#REF!</f>
        <v>#REF!</v>
      </c>
      <c r="U7" s="1908" t="e">
        <f>+SUM(R7:T7)</f>
        <v>#REF!</v>
      </c>
      <c r="V7" s="1923" t="e">
        <f>+'DDJJ EPEC S-II'!#REF!</f>
        <v>#REF!</v>
      </c>
      <c r="W7" s="1923" t="e">
        <f>+'DDJJ EPEC S-II'!#REF!</f>
        <v>#REF!</v>
      </c>
      <c r="X7" s="1923" t="e">
        <f>+'DDJJ EPEC S-II'!#REF!</f>
        <v>#REF!</v>
      </c>
      <c r="Y7" s="1908" t="e">
        <f>SUM(V7:X7)</f>
        <v>#REF!</v>
      </c>
    </row>
    <row r="8" spans="1:25" x14ac:dyDescent="0.2">
      <c r="A8" s="505" t="s">
        <v>322</v>
      </c>
      <c r="B8" s="506" t="s">
        <v>290</v>
      </c>
      <c r="C8" s="507" t="e">
        <f t="shared" si="9"/>
        <v>#REF!</v>
      </c>
      <c r="D8" s="507"/>
      <c r="E8" s="1928" t="e">
        <f t="shared" si="1"/>
        <v>#REF!</v>
      </c>
      <c r="F8" s="1928" t="e">
        <f t="shared" si="2"/>
        <v>#REF!</v>
      </c>
      <c r="G8" s="1928" t="e">
        <f t="shared" si="3"/>
        <v>#REF!</v>
      </c>
      <c r="H8" s="1928" t="e">
        <f t="shared" si="4"/>
        <v>#REF!</v>
      </c>
      <c r="I8" s="1928" t="e">
        <f t="shared" ca="1" si="5"/>
        <v>#REF!</v>
      </c>
      <c r="J8" s="1928" t="e">
        <f t="shared" ca="1" si="6"/>
        <v>#REF!</v>
      </c>
      <c r="K8" s="1928" t="e">
        <f t="shared" ca="1" si="7"/>
        <v>#REF!</v>
      </c>
      <c r="L8" s="1928" t="e">
        <f t="shared" ca="1" si="8"/>
        <v>#REF!</v>
      </c>
      <c r="N8" s="505" t="s">
        <v>322</v>
      </c>
      <c r="O8" s="506" t="s">
        <v>290</v>
      </c>
      <c r="P8" s="1905" t="e">
        <f>SUM(P4:P7)</f>
        <v>#REF!</v>
      </c>
      <c r="Q8" s="1914"/>
      <c r="R8" s="1909" t="e">
        <f>SUM(R4:R7)</f>
        <v>#REF!</v>
      </c>
      <c r="S8" s="1909" t="e">
        <f>SUM(S4:S7)</f>
        <v>#REF!</v>
      </c>
      <c r="T8" s="1909" t="e">
        <f>SUM(T4:T7)</f>
        <v>#REF!</v>
      </c>
      <c r="U8" s="1909" t="e">
        <f t="shared" ref="U8:Y8" si="10">SUM(U4:U7)</f>
        <v>#REF!</v>
      </c>
      <c r="V8" s="1909" t="e">
        <f t="shared" ca="1" si="10"/>
        <v>#REF!</v>
      </c>
      <c r="W8" s="1909" t="e">
        <f ca="1">SUM(W4:W7)</f>
        <v>#REF!</v>
      </c>
      <c r="X8" s="1909" t="e">
        <f ca="1">SUM(X4:X7)</f>
        <v>#REF!</v>
      </c>
      <c r="Y8" s="1909" t="e">
        <f t="shared" ca="1" si="10"/>
        <v>#REF!</v>
      </c>
    </row>
    <row r="9" spans="1:25" x14ac:dyDescent="0.2">
      <c r="A9" s="499" t="s">
        <v>323</v>
      </c>
      <c r="B9" s="500">
        <v>5030</v>
      </c>
      <c r="C9" s="507">
        <f t="shared" si="9"/>
        <v>0</v>
      </c>
      <c r="D9" s="501"/>
      <c r="E9" s="1928">
        <f t="shared" si="1"/>
        <v>0</v>
      </c>
      <c r="F9" s="1928">
        <f t="shared" si="2"/>
        <v>0</v>
      </c>
      <c r="G9" s="1928">
        <f t="shared" si="3"/>
        <v>0</v>
      </c>
      <c r="H9" s="1928">
        <f t="shared" si="4"/>
        <v>0</v>
      </c>
      <c r="I9" s="1928">
        <f t="shared" ca="1" si="5"/>
        <v>0</v>
      </c>
      <c r="J9" s="1928">
        <f t="shared" ca="1" si="6"/>
        <v>0</v>
      </c>
      <c r="K9" s="1928">
        <f t="shared" ca="1" si="7"/>
        <v>0</v>
      </c>
      <c r="L9" s="1928">
        <f t="shared" ca="1" si="8"/>
        <v>0</v>
      </c>
      <c r="N9" s="499" t="s">
        <v>323</v>
      </c>
      <c r="O9" s="500">
        <v>5030</v>
      </c>
      <c r="P9" s="515">
        <f>+'DDJJ EPEC S-II'!E37</f>
        <v>0</v>
      </c>
      <c r="Q9" s="501"/>
      <c r="R9" s="1922">
        <f>+'DDJJ EPEC S-II'!F37</f>
        <v>0</v>
      </c>
      <c r="S9" s="1922">
        <f>+'DDJJ EPEC S-II'!H37</f>
        <v>0</v>
      </c>
      <c r="T9" s="1922">
        <f>+'DDJJ EPEC S-II'!G37</f>
        <v>0</v>
      </c>
      <c r="U9" s="1910">
        <f>+SUM(R9:T9)</f>
        <v>0</v>
      </c>
      <c r="V9" s="1922">
        <f ca="1">+'DDJJ EPEC S-II'!I37</f>
        <v>0</v>
      </c>
      <c r="W9" s="1922">
        <f ca="1">+'DDJJ EPEC S-II'!K37</f>
        <v>0</v>
      </c>
      <c r="X9" s="1922">
        <f ca="1">+'DDJJ EPEC S-II'!J37</f>
        <v>0</v>
      </c>
      <c r="Y9" s="1910">
        <f ca="1">SUM(V9:X9)</f>
        <v>0</v>
      </c>
    </row>
    <row r="10" spans="1:25" x14ac:dyDescent="0.2">
      <c r="A10" s="499" t="s">
        <v>323</v>
      </c>
      <c r="B10" s="500">
        <v>5040</v>
      </c>
      <c r="C10" s="507">
        <f t="shared" si="9"/>
        <v>0</v>
      </c>
      <c r="D10" s="501"/>
      <c r="E10" s="1928">
        <f t="shared" si="1"/>
        <v>0</v>
      </c>
      <c r="F10" s="1928">
        <f t="shared" si="2"/>
        <v>0</v>
      </c>
      <c r="G10" s="1928">
        <f t="shared" si="3"/>
        <v>0</v>
      </c>
      <c r="H10" s="1928">
        <f t="shared" si="4"/>
        <v>0</v>
      </c>
      <c r="I10" s="1928">
        <f t="shared" ca="1" si="5"/>
        <v>0</v>
      </c>
      <c r="J10" s="1928">
        <f t="shared" ca="1" si="6"/>
        <v>0</v>
      </c>
      <c r="K10" s="1928">
        <f t="shared" ca="1" si="7"/>
        <v>0</v>
      </c>
      <c r="L10" s="1928">
        <f t="shared" ca="1" si="8"/>
        <v>0</v>
      </c>
      <c r="N10" s="499" t="s">
        <v>323</v>
      </c>
      <c r="O10" s="500">
        <v>5040</v>
      </c>
      <c r="P10" s="515">
        <f>+'DDJJ EPEC S-II'!E38+'DDJJ EPEC S-II'!E44+'DDJJ EPEC S-II'!E45+'DDJJ EPEC S-II'!E47+'DDJJ EPEC S-II'!E48</f>
        <v>0</v>
      </c>
      <c r="Q10" s="501"/>
      <c r="R10" s="1922">
        <f>+'DDJJ EPEC S-II'!F38+'DDJJ EPEC S-II'!F44+'DDJJ EPEC S-II'!F45+'DDJJ EPEC S-II'!F47+'DDJJ EPEC S-II'!F48</f>
        <v>0</v>
      </c>
      <c r="S10" s="1922">
        <f>+'DDJJ EPEC S-II'!H38+'DDJJ EPEC S-II'!H44+'DDJJ EPEC S-II'!H45+'DDJJ EPEC S-II'!H47+'DDJJ EPEC S-II'!H48</f>
        <v>0</v>
      </c>
      <c r="T10" s="1922">
        <f>+'DDJJ EPEC S-II'!G38+'DDJJ EPEC S-II'!G44+'DDJJ EPEC S-II'!G45+'DDJJ EPEC S-II'!G47+'DDJJ EPEC S-II'!G48</f>
        <v>0</v>
      </c>
      <c r="U10" s="1910">
        <f>+SUM(R10:T10)</f>
        <v>0</v>
      </c>
      <c r="V10" s="1922">
        <f ca="1">+'DDJJ EPEC S-II'!I38+'DDJJ EPEC S-II'!I44+'DDJJ EPEC S-II'!I45+'DDJJ EPEC S-II'!I47+'DDJJ EPEC S-II'!I48</f>
        <v>0</v>
      </c>
      <c r="W10" s="1922">
        <f ca="1">+'DDJJ EPEC S-II'!K38+'DDJJ EPEC S-II'!K44+'DDJJ EPEC S-II'!K45+'DDJJ EPEC S-II'!K47+'DDJJ EPEC S-II'!K48</f>
        <v>0</v>
      </c>
      <c r="X10" s="1922">
        <f ca="1">+'DDJJ EPEC S-II'!J38+'DDJJ EPEC S-II'!J44+'DDJJ EPEC S-II'!J45+'DDJJ EPEC S-II'!J47+'DDJJ EPEC S-II'!J48</f>
        <v>0</v>
      </c>
      <c r="Y10" s="1910">
        <f ca="1">SUM(V10:X10)</f>
        <v>0</v>
      </c>
    </row>
    <row r="11" spans="1:25" x14ac:dyDescent="0.2">
      <c r="A11" s="499" t="s">
        <v>323</v>
      </c>
      <c r="B11" s="500">
        <v>5050</v>
      </c>
      <c r="C11" s="507">
        <f t="shared" si="9"/>
        <v>0</v>
      </c>
      <c r="D11" s="501"/>
      <c r="E11" s="1928">
        <f t="shared" si="1"/>
        <v>0</v>
      </c>
      <c r="F11" s="1928">
        <f t="shared" si="2"/>
        <v>0</v>
      </c>
      <c r="G11" s="1928">
        <f t="shared" si="3"/>
        <v>0</v>
      </c>
      <c r="H11" s="1928">
        <f t="shared" si="4"/>
        <v>0</v>
      </c>
      <c r="I11" s="1928">
        <f t="shared" ca="1" si="5"/>
        <v>0</v>
      </c>
      <c r="J11" s="1928">
        <f t="shared" ca="1" si="6"/>
        <v>0</v>
      </c>
      <c r="K11" s="1928">
        <f t="shared" ca="1" si="7"/>
        <v>0</v>
      </c>
      <c r="L11" s="1928">
        <f t="shared" ca="1" si="8"/>
        <v>0</v>
      </c>
      <c r="N11" s="499" t="s">
        <v>323</v>
      </c>
      <c r="O11" s="500">
        <v>5050</v>
      </c>
      <c r="P11" s="515">
        <f>+'DDJJ EPEC S-II'!E41</f>
        <v>0</v>
      </c>
      <c r="Q11" s="501"/>
      <c r="R11" s="1922">
        <f>+'DDJJ EPEC S-II'!F41</f>
        <v>0</v>
      </c>
      <c r="S11" s="1922">
        <f>+'DDJJ EPEC S-II'!H41</f>
        <v>0</v>
      </c>
      <c r="T11" s="1922">
        <f>+'DDJJ EPEC S-II'!G41</f>
        <v>0</v>
      </c>
      <c r="U11" s="1910">
        <f>+SUM(R11:T11)</f>
        <v>0</v>
      </c>
      <c r="V11" s="1922">
        <f ca="1">+'DDJJ EPEC S-II'!I41</f>
        <v>0</v>
      </c>
      <c r="W11" s="1922">
        <f ca="1">+'DDJJ EPEC S-II'!K41</f>
        <v>0</v>
      </c>
      <c r="X11" s="1922">
        <f ca="1">+'DDJJ EPEC S-II'!J41</f>
        <v>0</v>
      </c>
      <c r="Y11" s="1910">
        <f ca="1">SUM(V11:X11)</f>
        <v>0</v>
      </c>
    </row>
    <row r="12" spans="1:25" x14ac:dyDescent="0.2">
      <c r="A12" s="499" t="s">
        <v>323</v>
      </c>
      <c r="B12" s="500">
        <v>5055</v>
      </c>
      <c r="C12" s="507" t="e">
        <f t="shared" si="9"/>
        <v>#REF!</v>
      </c>
      <c r="D12" s="501"/>
      <c r="E12" s="1928" t="e">
        <f t="shared" si="1"/>
        <v>#REF!</v>
      </c>
      <c r="F12" s="1928" t="e">
        <f t="shared" si="2"/>
        <v>#REF!</v>
      </c>
      <c r="G12" s="1928" t="e">
        <f t="shared" si="3"/>
        <v>#REF!</v>
      </c>
      <c r="H12" s="1928" t="e">
        <f t="shared" si="4"/>
        <v>#REF!</v>
      </c>
      <c r="I12" s="1928" t="e">
        <f t="shared" si="5"/>
        <v>#REF!</v>
      </c>
      <c r="J12" s="1928" t="e">
        <f t="shared" si="6"/>
        <v>#REF!</v>
      </c>
      <c r="K12" s="1928" t="e">
        <f t="shared" si="7"/>
        <v>#REF!</v>
      </c>
      <c r="L12" s="1928" t="e">
        <f t="shared" si="8"/>
        <v>#REF!</v>
      </c>
      <c r="N12" s="499" t="s">
        <v>323</v>
      </c>
      <c r="O12" s="500">
        <v>5055</v>
      </c>
      <c r="P12" s="515" t="e">
        <f>+'DDJJ EPEC S-II'!#REF!</f>
        <v>#REF!</v>
      </c>
      <c r="Q12" s="501"/>
      <c r="R12" s="1922" t="e">
        <f>+'DDJJ EPEC S-II'!#REF!</f>
        <v>#REF!</v>
      </c>
      <c r="S12" s="1922" t="e">
        <f>+'DDJJ EPEC S-II'!#REF!</f>
        <v>#REF!</v>
      </c>
      <c r="T12" s="1922" t="e">
        <f>+'DDJJ EPEC S-II'!#REF!</f>
        <v>#REF!</v>
      </c>
      <c r="U12" s="1910" t="e">
        <f>+SUM(R12:T12)</f>
        <v>#REF!</v>
      </c>
      <c r="V12" s="1922" t="e">
        <f>+'DDJJ EPEC S-II'!#REF!</f>
        <v>#REF!</v>
      </c>
      <c r="W12" s="1922" t="e">
        <f>+'DDJJ EPEC S-II'!#REF!</f>
        <v>#REF!</v>
      </c>
      <c r="X12" s="1922" t="e">
        <f>+'DDJJ EPEC S-II'!#REF!</f>
        <v>#REF!</v>
      </c>
      <c r="Y12" s="1910" t="e">
        <f>SUM(V12:X12)</f>
        <v>#REF!</v>
      </c>
    </row>
    <row r="13" spans="1:25" x14ac:dyDescent="0.2">
      <c r="A13" s="502" t="s">
        <v>323</v>
      </c>
      <c r="B13" s="503">
        <v>6000</v>
      </c>
      <c r="C13" s="504" t="e">
        <f t="shared" si="9"/>
        <v>#REF!</v>
      </c>
      <c r="D13" s="504"/>
      <c r="E13" s="1927" t="e">
        <f t="shared" si="1"/>
        <v>#REF!</v>
      </c>
      <c r="F13" s="1927" t="e">
        <f t="shared" si="2"/>
        <v>#REF!</v>
      </c>
      <c r="G13" s="1927" t="e">
        <f t="shared" si="3"/>
        <v>#REF!</v>
      </c>
      <c r="H13" s="1927" t="e">
        <f t="shared" si="4"/>
        <v>#REF!</v>
      </c>
      <c r="I13" s="1927" t="e">
        <f t="shared" si="5"/>
        <v>#REF!</v>
      </c>
      <c r="J13" s="1927" t="e">
        <f t="shared" si="6"/>
        <v>#REF!</v>
      </c>
      <c r="K13" s="1927" t="e">
        <f t="shared" si="7"/>
        <v>#REF!</v>
      </c>
      <c r="L13" s="1927" t="e">
        <f t="shared" si="8"/>
        <v>#REF!</v>
      </c>
      <c r="N13" s="502" t="s">
        <v>323</v>
      </c>
      <c r="O13" s="503">
        <v>6000</v>
      </c>
      <c r="P13" s="516" t="e">
        <f>+'DDJJ EPEC S-II'!#REF!</f>
        <v>#REF!</v>
      </c>
      <c r="Q13" s="504"/>
      <c r="R13" s="1923" t="e">
        <f>+'DDJJ EPEC S-II'!#REF!</f>
        <v>#REF!</v>
      </c>
      <c r="S13" s="1923" t="e">
        <f>+'DDJJ EPEC S-II'!#REF!</f>
        <v>#REF!</v>
      </c>
      <c r="T13" s="1923" t="e">
        <f>+'DDJJ EPEC S-II'!#REF!</f>
        <v>#REF!</v>
      </c>
      <c r="U13" s="1911" t="e">
        <f>+SUM(R13:T13)</f>
        <v>#REF!</v>
      </c>
      <c r="V13" s="1923" t="e">
        <f>+'DDJJ EPEC S-II'!#REF!</f>
        <v>#REF!</v>
      </c>
      <c r="W13" s="1923" t="e">
        <f>+'DDJJ EPEC S-II'!#REF!</f>
        <v>#REF!</v>
      </c>
      <c r="X13" s="1923" t="e">
        <f>+'DDJJ EPEC S-II'!#REF!</f>
        <v>#REF!</v>
      </c>
      <c r="Y13" s="1911" t="e">
        <f>SUM(V13:X13)</f>
        <v>#REF!</v>
      </c>
    </row>
    <row r="14" spans="1:25" x14ac:dyDescent="0.2">
      <c r="A14" s="505" t="s">
        <v>323</v>
      </c>
      <c r="B14" s="506" t="s">
        <v>290</v>
      </c>
      <c r="C14" s="507" t="e">
        <f t="shared" si="9"/>
        <v>#REF!</v>
      </c>
      <c r="D14" s="507"/>
      <c r="E14" s="1928" t="e">
        <f t="shared" si="1"/>
        <v>#REF!</v>
      </c>
      <c r="F14" s="1928" t="e">
        <f t="shared" si="2"/>
        <v>#REF!</v>
      </c>
      <c r="G14" s="1928" t="e">
        <f t="shared" si="3"/>
        <v>#REF!</v>
      </c>
      <c r="H14" s="1928" t="e">
        <f t="shared" si="4"/>
        <v>#REF!</v>
      </c>
      <c r="I14" s="1928" t="e">
        <f t="shared" ca="1" si="5"/>
        <v>#REF!</v>
      </c>
      <c r="J14" s="1928" t="e">
        <f t="shared" ca="1" si="6"/>
        <v>#REF!</v>
      </c>
      <c r="K14" s="1928" t="e">
        <f t="shared" ca="1" si="7"/>
        <v>#REF!</v>
      </c>
      <c r="L14" s="1928" t="e">
        <f t="shared" ca="1" si="8"/>
        <v>#REF!</v>
      </c>
      <c r="N14" s="505" t="s">
        <v>323</v>
      </c>
      <c r="O14" s="506" t="s">
        <v>290</v>
      </c>
      <c r="P14" s="1905" t="e">
        <f>SUM(P9:P13)</f>
        <v>#REF!</v>
      </c>
      <c r="Q14" s="1905"/>
      <c r="R14" s="1909" t="e">
        <f t="shared" ref="R14:Y14" si="11">SUM(R9:R13)</f>
        <v>#REF!</v>
      </c>
      <c r="S14" s="1909" t="e">
        <f>SUM(S9:S13)</f>
        <v>#REF!</v>
      </c>
      <c r="T14" s="1909" t="e">
        <f>SUM(T9:T13)</f>
        <v>#REF!</v>
      </c>
      <c r="U14" s="1909" t="e">
        <f t="shared" si="11"/>
        <v>#REF!</v>
      </c>
      <c r="V14" s="1909" t="e">
        <f t="shared" ca="1" si="11"/>
        <v>#REF!</v>
      </c>
      <c r="W14" s="1909" t="e">
        <f ca="1">SUM(W9:W13)</f>
        <v>#REF!</v>
      </c>
      <c r="X14" s="1909" t="e">
        <f ca="1">SUM(X9:X13)</f>
        <v>#REF!</v>
      </c>
      <c r="Y14" s="1909" t="e">
        <f t="shared" ca="1" si="11"/>
        <v>#REF!</v>
      </c>
    </row>
    <row r="15" spans="1:25" x14ac:dyDescent="0.2">
      <c r="A15" s="499" t="s">
        <v>324</v>
      </c>
      <c r="B15" s="500">
        <v>5030</v>
      </c>
      <c r="C15" s="501">
        <f t="shared" si="9"/>
        <v>0</v>
      </c>
      <c r="D15" s="501"/>
      <c r="E15" s="1926">
        <f t="shared" si="1"/>
        <v>0</v>
      </c>
      <c r="F15" s="1926">
        <f t="shared" si="2"/>
        <v>0</v>
      </c>
      <c r="G15" s="1926">
        <f t="shared" si="3"/>
        <v>0</v>
      </c>
      <c r="H15" s="1926">
        <f t="shared" si="4"/>
        <v>0</v>
      </c>
      <c r="I15" s="1926">
        <f t="shared" ca="1" si="5"/>
        <v>0</v>
      </c>
      <c r="J15" s="1926">
        <f t="shared" ca="1" si="6"/>
        <v>0</v>
      </c>
      <c r="K15" s="1926">
        <f t="shared" ca="1" si="7"/>
        <v>0</v>
      </c>
      <c r="L15" s="1926">
        <f t="shared" ca="1" si="8"/>
        <v>0</v>
      </c>
      <c r="N15" s="499" t="s">
        <v>324</v>
      </c>
      <c r="O15" s="500">
        <v>5030</v>
      </c>
      <c r="P15" s="515">
        <f>+'DDJJ EPEC S-II'!E65</f>
        <v>0</v>
      </c>
      <c r="Q15" s="501"/>
      <c r="R15" s="1922">
        <f>+'DDJJ EPEC S-II'!F65</f>
        <v>0</v>
      </c>
      <c r="S15" s="1922">
        <f>+'DDJJ EPEC S-II'!H65</f>
        <v>0</v>
      </c>
      <c r="T15" s="1922">
        <f>+'DDJJ EPEC S-II'!G65</f>
        <v>0</v>
      </c>
      <c r="U15" s="1910">
        <f>+SUM(R15:T15)</f>
        <v>0</v>
      </c>
      <c r="V15" s="1922">
        <f ca="1">+'DDJJ EPEC S-II'!I65</f>
        <v>0</v>
      </c>
      <c r="W15" s="1922">
        <f ca="1">+'DDJJ EPEC S-II'!K65</f>
        <v>0</v>
      </c>
      <c r="X15" s="1922">
        <f ca="1">+'DDJJ EPEC S-II'!J65</f>
        <v>0</v>
      </c>
      <c r="Y15" s="1910">
        <f ca="1">SUM(V15:X15)</f>
        <v>0</v>
      </c>
    </row>
    <row r="16" spans="1:25" x14ac:dyDescent="0.2">
      <c r="A16" s="499" t="s">
        <v>324</v>
      </c>
      <c r="B16" s="500">
        <v>5040</v>
      </c>
      <c r="C16" s="501">
        <f t="shared" si="9"/>
        <v>0</v>
      </c>
      <c r="D16" s="501"/>
      <c r="E16" s="1926">
        <f t="shared" si="1"/>
        <v>0</v>
      </c>
      <c r="F16" s="1926">
        <f t="shared" si="2"/>
        <v>0</v>
      </c>
      <c r="G16" s="1926">
        <f t="shared" si="3"/>
        <v>0</v>
      </c>
      <c r="H16" s="1926">
        <f t="shared" si="4"/>
        <v>0</v>
      </c>
      <c r="I16" s="1926">
        <f t="shared" ca="1" si="5"/>
        <v>0</v>
      </c>
      <c r="J16" s="1926">
        <f t="shared" ca="1" si="6"/>
        <v>0</v>
      </c>
      <c r="K16" s="1926">
        <f t="shared" ca="1" si="7"/>
        <v>0</v>
      </c>
      <c r="L16" s="1926">
        <f t="shared" ca="1" si="8"/>
        <v>0</v>
      </c>
      <c r="N16" s="499" t="s">
        <v>324</v>
      </c>
      <c r="O16" s="500">
        <v>5040</v>
      </c>
      <c r="P16" s="515">
        <f>+'DDJJ EPEC S-II'!E66+'DDJJ EPEC S-II'!E72+'DDJJ EPEC S-II'!E74</f>
        <v>0</v>
      </c>
      <c r="Q16" s="501"/>
      <c r="R16" s="1922">
        <f>+'DDJJ EPEC S-II'!F66+'DDJJ EPEC S-II'!F72+'DDJJ EPEC S-II'!F74</f>
        <v>0</v>
      </c>
      <c r="S16" s="1922">
        <f>+'DDJJ EPEC S-II'!H66+'DDJJ EPEC S-II'!H72+'DDJJ EPEC S-II'!H74</f>
        <v>0</v>
      </c>
      <c r="T16" s="1922">
        <f>+'DDJJ EPEC S-II'!G66+'DDJJ EPEC S-II'!G72+'DDJJ EPEC S-II'!G74</f>
        <v>0</v>
      </c>
      <c r="U16" s="1910">
        <f>+SUM(R16:T16)</f>
        <v>0</v>
      </c>
      <c r="V16" s="1922">
        <f ca="1">+'DDJJ EPEC S-II'!I66+'DDJJ EPEC S-II'!I72+'DDJJ EPEC S-II'!I74</f>
        <v>0</v>
      </c>
      <c r="W16" s="1922">
        <f ca="1">+'DDJJ EPEC S-II'!K66+'DDJJ EPEC S-II'!K72+'DDJJ EPEC S-II'!K74</f>
        <v>0</v>
      </c>
      <c r="X16" s="1922">
        <f ca="1">+'DDJJ EPEC S-II'!J66+'DDJJ EPEC S-II'!J72+'DDJJ EPEC S-II'!J74</f>
        <v>0</v>
      </c>
      <c r="Y16" s="1910">
        <f ca="1">SUM(V16:X16)</f>
        <v>0</v>
      </c>
    </row>
    <row r="17" spans="1:25" x14ac:dyDescent="0.2">
      <c r="A17" s="499" t="s">
        <v>324</v>
      </c>
      <c r="B17" s="500">
        <v>5055</v>
      </c>
      <c r="C17" s="501">
        <f t="shared" si="9"/>
        <v>0</v>
      </c>
      <c r="D17" s="501"/>
      <c r="E17" s="1926">
        <f t="shared" si="1"/>
        <v>0</v>
      </c>
      <c r="F17" s="1926">
        <f t="shared" si="2"/>
        <v>0</v>
      </c>
      <c r="G17" s="1926">
        <f t="shared" si="3"/>
        <v>0</v>
      </c>
      <c r="H17" s="1926">
        <f t="shared" si="4"/>
        <v>0</v>
      </c>
      <c r="I17" s="1926">
        <f t="shared" ca="1" si="5"/>
        <v>0</v>
      </c>
      <c r="J17" s="1926">
        <f t="shared" ca="1" si="6"/>
        <v>0</v>
      </c>
      <c r="K17" s="1926">
        <f t="shared" ca="1" si="7"/>
        <v>0</v>
      </c>
      <c r="L17" s="1926">
        <f t="shared" ca="1" si="8"/>
        <v>0</v>
      </c>
      <c r="N17" s="499" t="s">
        <v>324</v>
      </c>
      <c r="O17" s="500">
        <v>5055</v>
      </c>
      <c r="P17" s="515">
        <f>+'DDJJ EPEC S-II'!E69</f>
        <v>0</v>
      </c>
      <c r="Q17" s="501"/>
      <c r="R17" s="1922">
        <f>+'DDJJ EPEC S-II'!F69</f>
        <v>0</v>
      </c>
      <c r="S17" s="1922">
        <f>+'DDJJ EPEC S-II'!H69</f>
        <v>0</v>
      </c>
      <c r="T17" s="1922">
        <f>+'DDJJ EPEC S-II'!G69</f>
        <v>0</v>
      </c>
      <c r="U17" s="1910">
        <f>+SUM(R17:T17)</f>
        <v>0</v>
      </c>
      <c r="V17" s="1922">
        <f ca="1">+'DDJJ EPEC S-II'!I69</f>
        <v>0</v>
      </c>
      <c r="W17" s="1922">
        <f ca="1">+'DDJJ EPEC S-II'!K69</f>
        <v>0</v>
      </c>
      <c r="X17" s="1922">
        <f ca="1">+'DDJJ EPEC S-II'!J69</f>
        <v>0</v>
      </c>
      <c r="Y17" s="1910">
        <f ca="1">SUM(V17:X17)</f>
        <v>0</v>
      </c>
    </row>
    <row r="18" spans="1:25" x14ac:dyDescent="0.2">
      <c r="A18" s="502" t="s">
        <v>324</v>
      </c>
      <c r="B18" s="503">
        <v>6000</v>
      </c>
      <c r="C18" s="504" t="e">
        <f t="shared" si="9"/>
        <v>#REF!</v>
      </c>
      <c r="D18" s="504"/>
      <c r="E18" s="1927" t="e">
        <f t="shared" si="1"/>
        <v>#REF!</v>
      </c>
      <c r="F18" s="1927" t="e">
        <f t="shared" si="2"/>
        <v>#REF!</v>
      </c>
      <c r="G18" s="1927" t="e">
        <f t="shared" si="3"/>
        <v>#REF!</v>
      </c>
      <c r="H18" s="1927" t="e">
        <f t="shared" si="4"/>
        <v>#REF!</v>
      </c>
      <c r="I18" s="1927" t="e">
        <f t="shared" si="5"/>
        <v>#REF!</v>
      </c>
      <c r="J18" s="1927" t="e">
        <f t="shared" si="6"/>
        <v>#REF!</v>
      </c>
      <c r="K18" s="1927" t="e">
        <f t="shared" si="7"/>
        <v>#REF!</v>
      </c>
      <c r="L18" s="1927" t="e">
        <f t="shared" si="8"/>
        <v>#REF!</v>
      </c>
      <c r="N18" s="502" t="s">
        <v>324</v>
      </c>
      <c r="O18" s="503">
        <v>6000</v>
      </c>
      <c r="P18" s="516" t="e">
        <f>+'DDJJ EPEC S-II'!#REF!</f>
        <v>#REF!</v>
      </c>
      <c r="Q18" s="504"/>
      <c r="R18" s="1923" t="e">
        <f>+'DDJJ EPEC S-II'!#REF!</f>
        <v>#REF!</v>
      </c>
      <c r="S18" s="1923" t="e">
        <f>+'DDJJ EPEC S-II'!#REF!</f>
        <v>#REF!</v>
      </c>
      <c r="T18" s="1923" t="e">
        <f>+'DDJJ EPEC S-II'!#REF!</f>
        <v>#REF!</v>
      </c>
      <c r="U18" s="1911" t="e">
        <f>+SUM(R18:T18)</f>
        <v>#REF!</v>
      </c>
      <c r="V18" s="1923" t="e">
        <f>+'DDJJ EPEC S-II'!#REF!</f>
        <v>#REF!</v>
      </c>
      <c r="W18" s="1923" t="e">
        <f>+'DDJJ EPEC S-II'!#REF!</f>
        <v>#REF!</v>
      </c>
      <c r="X18" s="1923" t="e">
        <f>+'DDJJ EPEC S-II'!#REF!</f>
        <v>#REF!</v>
      </c>
      <c r="Y18" s="1911" t="e">
        <f>SUM(V18:X18)</f>
        <v>#REF!</v>
      </c>
    </row>
    <row r="19" spans="1:25" x14ac:dyDescent="0.2">
      <c r="A19" s="505" t="s">
        <v>324</v>
      </c>
      <c r="B19" s="506" t="s">
        <v>290</v>
      </c>
      <c r="C19" s="507" t="e">
        <f t="shared" si="9"/>
        <v>#REF!</v>
      </c>
      <c r="D19" s="507"/>
      <c r="E19" s="1928" t="e">
        <f t="shared" si="1"/>
        <v>#REF!</v>
      </c>
      <c r="F19" s="1928" t="e">
        <f t="shared" si="2"/>
        <v>#REF!</v>
      </c>
      <c r="G19" s="1928" t="e">
        <f t="shared" si="3"/>
        <v>#REF!</v>
      </c>
      <c r="H19" s="1928" t="e">
        <f t="shared" si="4"/>
        <v>#REF!</v>
      </c>
      <c r="I19" s="1928" t="e">
        <f t="shared" ca="1" si="5"/>
        <v>#REF!</v>
      </c>
      <c r="J19" s="1928" t="e">
        <f t="shared" ca="1" si="6"/>
        <v>#REF!</v>
      </c>
      <c r="K19" s="1928" t="e">
        <f t="shared" ca="1" si="7"/>
        <v>#REF!</v>
      </c>
      <c r="L19" s="1928" t="e">
        <f t="shared" ca="1" si="8"/>
        <v>#REF!</v>
      </c>
      <c r="N19" s="505" t="s">
        <v>324</v>
      </c>
      <c r="O19" s="506" t="s">
        <v>290</v>
      </c>
      <c r="P19" s="1905" t="e">
        <f>SUM(P15:P18)</f>
        <v>#REF!</v>
      </c>
      <c r="Q19" s="1905"/>
      <c r="R19" s="1909" t="e">
        <f t="shared" ref="R19:Y19" si="12">SUM(R15:R18)</f>
        <v>#REF!</v>
      </c>
      <c r="S19" s="1909" t="e">
        <f>SUM(S15:S18)</f>
        <v>#REF!</v>
      </c>
      <c r="T19" s="1909" t="e">
        <f>SUM(T15:T18)</f>
        <v>#REF!</v>
      </c>
      <c r="U19" s="1909" t="e">
        <f t="shared" si="12"/>
        <v>#REF!</v>
      </c>
      <c r="V19" s="1909" t="e">
        <f t="shared" ca="1" si="12"/>
        <v>#REF!</v>
      </c>
      <c r="W19" s="1909" t="e">
        <f ca="1">SUM(W15:W18)</f>
        <v>#REF!</v>
      </c>
      <c r="X19" s="1909" t="e">
        <f ca="1">SUM(X15:X18)</f>
        <v>#REF!</v>
      </c>
      <c r="Y19" s="1909" t="e">
        <f t="shared" ca="1" si="12"/>
        <v>#REF!</v>
      </c>
    </row>
    <row r="20" spans="1:25" x14ac:dyDescent="0.2">
      <c r="A20" s="499" t="s">
        <v>325</v>
      </c>
      <c r="B20" s="500">
        <v>5030</v>
      </c>
      <c r="C20" s="501">
        <f t="shared" si="9"/>
        <v>0</v>
      </c>
      <c r="D20" s="501"/>
      <c r="E20" s="1926">
        <f t="shared" si="1"/>
        <v>0</v>
      </c>
      <c r="F20" s="1926">
        <f t="shared" si="2"/>
        <v>0</v>
      </c>
      <c r="G20" s="1926">
        <f t="shared" si="3"/>
        <v>0</v>
      </c>
      <c r="H20" s="1926">
        <f t="shared" si="4"/>
        <v>0</v>
      </c>
      <c r="I20" s="1926">
        <f t="shared" ca="1" si="5"/>
        <v>0</v>
      </c>
      <c r="J20" s="1926">
        <f t="shared" ca="1" si="6"/>
        <v>0</v>
      </c>
      <c r="K20" s="1926">
        <f t="shared" ca="1" si="7"/>
        <v>0</v>
      </c>
      <c r="L20" s="1926">
        <f t="shared" ca="1" si="8"/>
        <v>0</v>
      </c>
      <c r="N20" s="499" t="s">
        <v>325</v>
      </c>
      <c r="O20" s="500">
        <v>5030</v>
      </c>
      <c r="P20" s="515">
        <f>+'DDJJ EPEC S-II'!E87</f>
        <v>0</v>
      </c>
      <c r="Q20" s="501"/>
      <c r="R20" s="1922">
        <f>+'DDJJ EPEC S-II'!F87</f>
        <v>0</v>
      </c>
      <c r="S20" s="1922">
        <f>+'DDJJ EPEC S-II'!H87</f>
        <v>0</v>
      </c>
      <c r="T20" s="1922">
        <f>+'DDJJ EPEC S-II'!G87</f>
        <v>0</v>
      </c>
      <c r="U20" s="1910">
        <f>+SUM(R20:T20)</f>
        <v>0</v>
      </c>
      <c r="V20" s="1922">
        <f ca="1">+'DDJJ EPEC S-II'!I87</f>
        <v>0</v>
      </c>
      <c r="W20" s="1922">
        <f ca="1">+'DDJJ EPEC S-II'!K87</f>
        <v>0</v>
      </c>
      <c r="X20" s="1922">
        <f ca="1">+'DDJJ EPEC S-II'!J87</f>
        <v>0</v>
      </c>
      <c r="Y20" s="1910">
        <f ca="1">SUM(V20:X20)</f>
        <v>0</v>
      </c>
    </row>
    <row r="21" spans="1:25" x14ac:dyDescent="0.2">
      <c r="A21" s="499" t="s">
        <v>325</v>
      </c>
      <c r="B21" s="500">
        <v>5040</v>
      </c>
      <c r="C21" s="501">
        <f t="shared" si="9"/>
        <v>0</v>
      </c>
      <c r="D21" s="501"/>
      <c r="E21" s="1926">
        <f t="shared" si="1"/>
        <v>0</v>
      </c>
      <c r="F21" s="1926">
        <f t="shared" si="2"/>
        <v>0</v>
      </c>
      <c r="G21" s="1926">
        <f t="shared" si="3"/>
        <v>0</v>
      </c>
      <c r="H21" s="1926">
        <f t="shared" si="4"/>
        <v>0</v>
      </c>
      <c r="I21" s="1926">
        <f t="shared" ca="1" si="5"/>
        <v>0</v>
      </c>
      <c r="J21" s="1926">
        <f t="shared" ca="1" si="6"/>
        <v>0</v>
      </c>
      <c r="K21" s="1926">
        <f t="shared" ca="1" si="7"/>
        <v>0</v>
      </c>
      <c r="L21" s="1926">
        <f t="shared" ca="1" si="8"/>
        <v>0</v>
      </c>
      <c r="N21" s="499" t="s">
        <v>325</v>
      </c>
      <c r="O21" s="500">
        <v>5040</v>
      </c>
      <c r="P21" s="515">
        <f>+'DDJJ EPEC S-II'!E88+'DDJJ EPEC S-II'!E94+'DDJJ EPEC S-II'!E96</f>
        <v>0</v>
      </c>
      <c r="Q21" s="501"/>
      <c r="R21" s="1922">
        <f>+'DDJJ EPEC S-II'!F88+'DDJJ EPEC S-II'!F94+'DDJJ EPEC S-II'!F96</f>
        <v>0</v>
      </c>
      <c r="S21" s="1922">
        <f>+'DDJJ EPEC S-II'!H88+'DDJJ EPEC S-II'!H94+'DDJJ EPEC S-II'!H96</f>
        <v>0</v>
      </c>
      <c r="T21" s="1922">
        <f>+'DDJJ EPEC S-II'!G88+'DDJJ EPEC S-II'!G94+'DDJJ EPEC S-II'!G96</f>
        <v>0</v>
      </c>
      <c r="U21" s="1910">
        <f>+SUM(R21:T21)</f>
        <v>0</v>
      </c>
      <c r="V21" s="1922">
        <f ca="1">+'DDJJ EPEC S-II'!I88+'DDJJ EPEC S-II'!I94+'DDJJ EPEC S-II'!I96</f>
        <v>0</v>
      </c>
      <c r="W21" s="1922">
        <f ca="1">+'DDJJ EPEC S-II'!K88+'DDJJ EPEC S-II'!K94+'DDJJ EPEC S-II'!K96</f>
        <v>0</v>
      </c>
      <c r="X21" s="1922">
        <f ca="1">+'DDJJ EPEC S-II'!J88+'DDJJ EPEC S-II'!J94+'DDJJ EPEC S-II'!J96</f>
        <v>0</v>
      </c>
      <c r="Y21" s="1910">
        <f ca="1">SUM(V21:X21)</f>
        <v>0</v>
      </c>
    </row>
    <row r="22" spans="1:25" x14ac:dyDescent="0.2">
      <c r="A22" s="499" t="s">
        <v>325</v>
      </c>
      <c r="B22" s="500">
        <v>5055</v>
      </c>
      <c r="C22" s="501" t="e">
        <f t="shared" si="9"/>
        <v>#REF!</v>
      </c>
      <c r="D22" s="501"/>
      <c r="E22" s="1926" t="e">
        <f t="shared" si="1"/>
        <v>#REF!</v>
      </c>
      <c r="F22" s="1926" t="e">
        <f t="shared" si="2"/>
        <v>#REF!</v>
      </c>
      <c r="G22" s="1926" t="e">
        <f t="shared" si="3"/>
        <v>#REF!</v>
      </c>
      <c r="H22" s="1926" t="e">
        <f t="shared" si="4"/>
        <v>#REF!</v>
      </c>
      <c r="I22" s="1926" t="e">
        <f t="shared" si="5"/>
        <v>#REF!</v>
      </c>
      <c r="J22" s="1926" t="e">
        <f t="shared" si="6"/>
        <v>#REF!</v>
      </c>
      <c r="K22" s="1926" t="e">
        <f t="shared" si="7"/>
        <v>#REF!</v>
      </c>
      <c r="L22" s="1926" t="e">
        <f t="shared" si="8"/>
        <v>#REF!</v>
      </c>
      <c r="N22" s="499" t="s">
        <v>325</v>
      </c>
      <c r="O22" s="500">
        <v>5055</v>
      </c>
      <c r="P22" s="515" t="e">
        <f>+'DDJJ EPEC S-II'!#REF!</f>
        <v>#REF!</v>
      </c>
      <c r="Q22" s="501"/>
      <c r="R22" s="1922" t="e">
        <f>+'DDJJ EPEC S-II'!#REF!</f>
        <v>#REF!</v>
      </c>
      <c r="S22" s="1922" t="e">
        <f>+'DDJJ EPEC S-II'!#REF!</f>
        <v>#REF!</v>
      </c>
      <c r="T22" s="1922" t="e">
        <f>+'DDJJ EPEC S-II'!#REF!</f>
        <v>#REF!</v>
      </c>
      <c r="U22" s="1910" t="e">
        <f>+SUM(R22:T22)</f>
        <v>#REF!</v>
      </c>
      <c r="V22" s="1922" t="e">
        <f>+'DDJJ EPEC S-II'!#REF!</f>
        <v>#REF!</v>
      </c>
      <c r="W22" s="1922" t="e">
        <f>+'DDJJ EPEC S-II'!#REF!</f>
        <v>#REF!</v>
      </c>
      <c r="X22" s="1922" t="e">
        <f>+'DDJJ EPEC S-II'!#REF!</f>
        <v>#REF!</v>
      </c>
      <c r="Y22" s="1910" t="e">
        <f>SUM(V22:X22)</f>
        <v>#REF!</v>
      </c>
    </row>
    <row r="23" spans="1:25" x14ac:dyDescent="0.2">
      <c r="A23" s="502" t="s">
        <v>325</v>
      </c>
      <c r="B23" s="503">
        <v>6000</v>
      </c>
      <c r="C23" s="504" t="e">
        <f t="shared" si="9"/>
        <v>#REF!</v>
      </c>
      <c r="D23" s="504"/>
      <c r="E23" s="1927" t="e">
        <f t="shared" si="1"/>
        <v>#REF!</v>
      </c>
      <c r="F23" s="1927" t="e">
        <f t="shared" si="2"/>
        <v>#REF!</v>
      </c>
      <c r="G23" s="1927">
        <f t="shared" si="3"/>
        <v>0</v>
      </c>
      <c r="H23" s="1927" t="e">
        <f t="shared" si="4"/>
        <v>#REF!</v>
      </c>
      <c r="I23" s="1927" t="e">
        <f t="shared" si="5"/>
        <v>#REF!</v>
      </c>
      <c r="J23" s="1927" t="e">
        <f t="shared" si="6"/>
        <v>#REF!</v>
      </c>
      <c r="K23" s="1927" t="e">
        <f t="shared" si="7"/>
        <v>#REF!</v>
      </c>
      <c r="L23" s="1927" t="e">
        <f t="shared" si="8"/>
        <v>#REF!</v>
      </c>
      <c r="N23" s="502" t="s">
        <v>325</v>
      </c>
      <c r="O23" s="503">
        <v>6000</v>
      </c>
      <c r="P23" s="516" t="e">
        <f>+'DDJJ EPEC S-II'!#REF!</f>
        <v>#REF!</v>
      </c>
      <c r="Q23" s="504"/>
      <c r="R23" s="1923" t="e">
        <f>+'DDJJ EPEC S-II'!#REF!</f>
        <v>#REF!</v>
      </c>
      <c r="S23" s="1923" t="e">
        <f>+'DDJJ EPEC S-II'!#REF!</f>
        <v>#REF!</v>
      </c>
      <c r="T23" s="1923">
        <f>+'SECCION I-II'!F69</f>
        <v>0</v>
      </c>
      <c r="U23" s="1911" t="e">
        <f>+SUM(R23:T23)</f>
        <v>#REF!</v>
      </c>
      <c r="V23" s="1923" t="e">
        <f>+'DDJJ EPEC S-II'!#REF!</f>
        <v>#REF!</v>
      </c>
      <c r="W23" s="1923" t="e">
        <f>+'DDJJ EPEC S-II'!#REF!</f>
        <v>#REF!</v>
      </c>
      <c r="X23" s="1923" t="e">
        <f>+'DDJJ EPEC S-II'!#REF!</f>
        <v>#REF!</v>
      </c>
      <c r="Y23" s="1911" t="e">
        <f>SUM(V23:X23)</f>
        <v>#REF!</v>
      </c>
    </row>
    <row r="24" spans="1:25" x14ac:dyDescent="0.2">
      <c r="A24" s="505" t="s">
        <v>325</v>
      </c>
      <c r="B24" s="506" t="s">
        <v>290</v>
      </c>
      <c r="C24" s="507" t="e">
        <f t="shared" si="9"/>
        <v>#REF!</v>
      </c>
      <c r="D24" s="507"/>
      <c r="E24" s="1928" t="e">
        <f t="shared" si="1"/>
        <v>#REF!</v>
      </c>
      <c r="F24" s="1928" t="e">
        <f t="shared" si="2"/>
        <v>#REF!</v>
      </c>
      <c r="G24" s="1928" t="e">
        <f t="shared" si="3"/>
        <v>#REF!</v>
      </c>
      <c r="H24" s="1928" t="e">
        <f t="shared" si="4"/>
        <v>#REF!</v>
      </c>
      <c r="I24" s="1928" t="e">
        <f t="shared" ca="1" si="5"/>
        <v>#REF!</v>
      </c>
      <c r="J24" s="1928" t="e">
        <f t="shared" ca="1" si="6"/>
        <v>#REF!</v>
      </c>
      <c r="K24" s="1928" t="e">
        <f t="shared" ca="1" si="7"/>
        <v>#REF!</v>
      </c>
      <c r="L24" s="1928" t="e">
        <f t="shared" ca="1" si="8"/>
        <v>#REF!</v>
      </c>
      <c r="N24" s="505" t="s">
        <v>325</v>
      </c>
      <c r="O24" s="506" t="s">
        <v>290</v>
      </c>
      <c r="P24" s="1905" t="e">
        <f>SUM(P20:P23)</f>
        <v>#REF!</v>
      </c>
      <c r="Q24" s="1905"/>
      <c r="R24" s="1909" t="e">
        <f t="shared" ref="R24:Y24" si="13">SUM(R20:R23)</f>
        <v>#REF!</v>
      </c>
      <c r="S24" s="1909" t="e">
        <f>SUM(S20:S23)</f>
        <v>#REF!</v>
      </c>
      <c r="T24" s="1909" t="e">
        <f>SUM(T20:T23)</f>
        <v>#REF!</v>
      </c>
      <c r="U24" s="1909" t="e">
        <f t="shared" si="13"/>
        <v>#REF!</v>
      </c>
      <c r="V24" s="1909" t="e">
        <f t="shared" ca="1" si="13"/>
        <v>#REF!</v>
      </c>
      <c r="W24" s="1909" t="e">
        <f ca="1">SUM(W20:W23)</f>
        <v>#REF!</v>
      </c>
      <c r="X24" s="1909" t="e">
        <f ca="1">SUM(X20:X23)</f>
        <v>#REF!</v>
      </c>
      <c r="Y24" s="1909" t="e">
        <f t="shared" ca="1" si="13"/>
        <v>#REF!</v>
      </c>
    </row>
    <row r="25" spans="1:25" x14ac:dyDescent="0.2">
      <c r="A25" s="499" t="s">
        <v>326</v>
      </c>
      <c r="B25" s="500">
        <v>5030</v>
      </c>
      <c r="C25" s="501">
        <f t="shared" si="9"/>
        <v>0</v>
      </c>
      <c r="D25" s="501"/>
      <c r="E25" s="1926">
        <f t="shared" si="1"/>
        <v>0</v>
      </c>
      <c r="F25" s="1926">
        <f t="shared" si="2"/>
        <v>0</v>
      </c>
      <c r="G25" s="1926">
        <f t="shared" si="3"/>
        <v>0</v>
      </c>
      <c r="H25" s="1926">
        <f t="shared" si="4"/>
        <v>0</v>
      </c>
      <c r="I25" s="1926">
        <f t="shared" ca="1" si="5"/>
        <v>0</v>
      </c>
      <c r="J25" s="1926">
        <f t="shared" ca="1" si="6"/>
        <v>0</v>
      </c>
      <c r="K25" s="1926">
        <f t="shared" ca="1" si="7"/>
        <v>0</v>
      </c>
      <c r="L25" s="1926">
        <f t="shared" ca="1" si="8"/>
        <v>0</v>
      </c>
      <c r="N25" s="499" t="s">
        <v>326</v>
      </c>
      <c r="O25" s="500">
        <v>5030</v>
      </c>
      <c r="P25" s="515">
        <f>+'DDJJ EPEC S-II'!E109</f>
        <v>0</v>
      </c>
      <c r="Q25" s="501"/>
      <c r="R25" s="1922">
        <f>+'DDJJ EPEC S-II'!F109</f>
        <v>0</v>
      </c>
      <c r="S25" s="1922">
        <f>+'DDJJ EPEC S-II'!H109</f>
        <v>0</v>
      </c>
      <c r="T25" s="1922">
        <f>+'DDJJ EPEC S-II'!G109</f>
        <v>0</v>
      </c>
      <c r="U25" s="1910">
        <f>+SUM(R25:T25)</f>
        <v>0</v>
      </c>
      <c r="V25" s="1922">
        <f ca="1">+'DDJJ EPEC S-II'!I109</f>
        <v>0</v>
      </c>
      <c r="W25" s="1922">
        <f ca="1">+'DDJJ EPEC S-II'!K109</f>
        <v>0</v>
      </c>
      <c r="X25" s="1922">
        <f ca="1">+'DDJJ EPEC S-II'!J109</f>
        <v>0</v>
      </c>
      <c r="Y25" s="1910">
        <f ca="1">SUM(V25:X25)</f>
        <v>0</v>
      </c>
    </row>
    <row r="26" spans="1:25" x14ac:dyDescent="0.2">
      <c r="A26" s="499" t="s">
        <v>326</v>
      </c>
      <c r="B26" s="500">
        <v>5040</v>
      </c>
      <c r="C26" s="501">
        <f t="shared" si="9"/>
        <v>0</v>
      </c>
      <c r="D26" s="501"/>
      <c r="E26" s="1926">
        <f t="shared" si="1"/>
        <v>0</v>
      </c>
      <c r="F26" s="1926">
        <f t="shared" si="2"/>
        <v>0</v>
      </c>
      <c r="G26" s="1926">
        <f t="shared" si="3"/>
        <v>0</v>
      </c>
      <c r="H26" s="1926">
        <f t="shared" si="4"/>
        <v>0</v>
      </c>
      <c r="I26" s="1926">
        <f t="shared" ca="1" si="5"/>
        <v>0</v>
      </c>
      <c r="J26" s="1926">
        <f t="shared" ca="1" si="6"/>
        <v>0</v>
      </c>
      <c r="K26" s="1926">
        <f t="shared" ca="1" si="7"/>
        <v>0</v>
      </c>
      <c r="L26" s="1926">
        <f t="shared" ca="1" si="8"/>
        <v>0</v>
      </c>
      <c r="N26" s="499" t="s">
        <v>326</v>
      </c>
      <c r="O26" s="500">
        <v>5040</v>
      </c>
      <c r="P26" s="515">
        <f>+'DDJJ EPEC S-II'!E110+'DDJJ EPEC S-II'!E116+'DDJJ EPEC S-II'!E118</f>
        <v>0</v>
      </c>
      <c r="Q26" s="501"/>
      <c r="R26" s="1922">
        <f>+'DDJJ EPEC S-II'!F110+'DDJJ EPEC S-II'!F116+'DDJJ EPEC S-II'!F118</f>
        <v>0</v>
      </c>
      <c r="S26" s="1922">
        <f>+'DDJJ EPEC S-II'!H110+'DDJJ EPEC S-II'!H116+'DDJJ EPEC S-II'!H118</f>
        <v>0</v>
      </c>
      <c r="T26" s="1922">
        <f>+'DDJJ EPEC S-II'!G110+'DDJJ EPEC S-II'!G116+'DDJJ EPEC S-II'!G118</f>
        <v>0</v>
      </c>
      <c r="U26" s="1910">
        <f>+SUM(R26:T26)</f>
        <v>0</v>
      </c>
      <c r="V26" s="1922">
        <f ca="1">+'DDJJ EPEC S-II'!I110+'DDJJ EPEC S-II'!I116+'DDJJ EPEC S-II'!I118</f>
        <v>0</v>
      </c>
      <c r="W26" s="1922">
        <f ca="1">+'DDJJ EPEC S-II'!K110+'DDJJ EPEC S-II'!K116+'DDJJ EPEC S-II'!K118</f>
        <v>0</v>
      </c>
      <c r="X26" s="1922">
        <f ca="1">+'DDJJ EPEC S-II'!J110+'DDJJ EPEC S-II'!J116+'DDJJ EPEC S-II'!J118</f>
        <v>0</v>
      </c>
      <c r="Y26" s="1910">
        <f ca="1">SUM(V26:X26)</f>
        <v>0</v>
      </c>
    </row>
    <row r="27" spans="1:25" x14ac:dyDescent="0.2">
      <c r="A27" s="499" t="s">
        <v>326</v>
      </c>
      <c r="B27" s="500">
        <v>5055</v>
      </c>
      <c r="C27" s="501" t="e">
        <f t="shared" si="9"/>
        <v>#REF!</v>
      </c>
      <c r="D27" s="501"/>
      <c r="E27" s="1926" t="e">
        <f t="shared" si="1"/>
        <v>#REF!</v>
      </c>
      <c r="F27" s="1926" t="e">
        <f t="shared" si="2"/>
        <v>#REF!</v>
      </c>
      <c r="G27" s="1926" t="e">
        <f t="shared" si="3"/>
        <v>#REF!</v>
      </c>
      <c r="H27" s="1926" t="e">
        <f t="shared" si="4"/>
        <v>#REF!</v>
      </c>
      <c r="I27" s="1926" t="e">
        <f t="shared" si="5"/>
        <v>#REF!</v>
      </c>
      <c r="J27" s="1926" t="e">
        <f t="shared" si="6"/>
        <v>#REF!</v>
      </c>
      <c r="K27" s="1926" t="e">
        <f t="shared" si="7"/>
        <v>#REF!</v>
      </c>
      <c r="L27" s="1926" t="e">
        <f t="shared" si="8"/>
        <v>#REF!</v>
      </c>
      <c r="N27" s="499" t="s">
        <v>326</v>
      </c>
      <c r="O27" s="500">
        <v>5055</v>
      </c>
      <c r="P27" s="515" t="e">
        <f>+'DDJJ EPEC S-II'!#REF!</f>
        <v>#REF!</v>
      </c>
      <c r="Q27" s="501"/>
      <c r="R27" s="1922" t="e">
        <f>+'DDJJ EPEC S-II'!#REF!</f>
        <v>#REF!</v>
      </c>
      <c r="S27" s="1922" t="e">
        <f>+'DDJJ EPEC S-II'!#REF!</f>
        <v>#REF!</v>
      </c>
      <c r="T27" s="1922" t="e">
        <f>+'DDJJ EPEC S-II'!#REF!</f>
        <v>#REF!</v>
      </c>
      <c r="U27" s="1910" t="e">
        <f>+SUM(R27:T27)</f>
        <v>#REF!</v>
      </c>
      <c r="V27" s="1922" t="e">
        <f>+'DDJJ EPEC S-II'!#REF!</f>
        <v>#REF!</v>
      </c>
      <c r="W27" s="1922" t="e">
        <f>+'DDJJ EPEC S-II'!#REF!</f>
        <v>#REF!</v>
      </c>
      <c r="X27" s="1922" t="e">
        <f>+'DDJJ EPEC S-II'!#REF!</f>
        <v>#REF!</v>
      </c>
      <c r="Y27" s="1910" t="e">
        <f>SUM(V27:X27)</f>
        <v>#REF!</v>
      </c>
    </row>
    <row r="28" spans="1:25" x14ac:dyDescent="0.2">
      <c r="A28" s="502" t="s">
        <v>326</v>
      </c>
      <c r="B28" s="503">
        <v>6000</v>
      </c>
      <c r="C28" s="504" t="e">
        <f t="shared" si="9"/>
        <v>#REF!</v>
      </c>
      <c r="D28" s="504"/>
      <c r="E28" s="1927" t="e">
        <f t="shared" si="1"/>
        <v>#REF!</v>
      </c>
      <c r="F28" s="1927" t="e">
        <f t="shared" si="2"/>
        <v>#REF!</v>
      </c>
      <c r="G28" s="1927" t="e">
        <f t="shared" si="3"/>
        <v>#REF!</v>
      </c>
      <c r="H28" s="1927" t="e">
        <f t="shared" si="4"/>
        <v>#REF!</v>
      </c>
      <c r="I28" s="1927" t="e">
        <f t="shared" si="5"/>
        <v>#REF!</v>
      </c>
      <c r="J28" s="1927" t="e">
        <f t="shared" si="6"/>
        <v>#REF!</v>
      </c>
      <c r="K28" s="1927" t="e">
        <f t="shared" si="7"/>
        <v>#REF!</v>
      </c>
      <c r="L28" s="1927" t="e">
        <f t="shared" si="8"/>
        <v>#REF!</v>
      </c>
      <c r="N28" s="502" t="s">
        <v>326</v>
      </c>
      <c r="O28" s="503">
        <v>6000</v>
      </c>
      <c r="P28" s="516" t="e">
        <f>+'DDJJ EPEC S-II'!#REF!</f>
        <v>#REF!</v>
      </c>
      <c r="Q28" s="504"/>
      <c r="R28" s="1923" t="e">
        <f>+'DDJJ EPEC S-II'!#REF!</f>
        <v>#REF!</v>
      </c>
      <c r="S28" s="1923" t="e">
        <f>+'DDJJ EPEC S-II'!#REF!</f>
        <v>#REF!</v>
      </c>
      <c r="T28" s="1923" t="e">
        <f>+'DDJJ EPEC S-II'!#REF!</f>
        <v>#REF!</v>
      </c>
      <c r="U28" s="1911" t="e">
        <f>+SUM(R28:T28)</f>
        <v>#REF!</v>
      </c>
      <c r="V28" s="1923" t="e">
        <f>+'DDJJ EPEC S-II'!#REF!</f>
        <v>#REF!</v>
      </c>
      <c r="W28" s="1923" t="e">
        <f>+'DDJJ EPEC S-II'!#REF!</f>
        <v>#REF!</v>
      </c>
      <c r="X28" s="1923" t="e">
        <f>+'DDJJ EPEC S-II'!#REF!</f>
        <v>#REF!</v>
      </c>
      <c r="Y28" s="1911" t="e">
        <f>SUM(V28:X28)</f>
        <v>#REF!</v>
      </c>
    </row>
    <row r="29" spans="1:25" x14ac:dyDescent="0.2">
      <c r="A29" s="505" t="s">
        <v>326</v>
      </c>
      <c r="B29" s="506" t="s">
        <v>290</v>
      </c>
      <c r="C29" s="507" t="e">
        <f t="shared" si="9"/>
        <v>#REF!</v>
      </c>
      <c r="D29" s="507"/>
      <c r="E29" s="1928" t="e">
        <f t="shared" si="1"/>
        <v>#REF!</v>
      </c>
      <c r="F29" s="1928" t="e">
        <f t="shared" si="2"/>
        <v>#REF!</v>
      </c>
      <c r="G29" s="1928" t="e">
        <f t="shared" si="3"/>
        <v>#REF!</v>
      </c>
      <c r="H29" s="1928" t="e">
        <f t="shared" si="4"/>
        <v>#REF!</v>
      </c>
      <c r="I29" s="1928" t="e">
        <f t="shared" ca="1" si="5"/>
        <v>#REF!</v>
      </c>
      <c r="J29" s="1928" t="e">
        <f t="shared" ca="1" si="6"/>
        <v>#REF!</v>
      </c>
      <c r="K29" s="1928" t="e">
        <f t="shared" ca="1" si="7"/>
        <v>#REF!</v>
      </c>
      <c r="L29" s="1928" t="e">
        <f t="shared" ca="1" si="8"/>
        <v>#REF!</v>
      </c>
      <c r="N29" s="505" t="s">
        <v>326</v>
      </c>
      <c r="O29" s="506" t="s">
        <v>290</v>
      </c>
      <c r="P29" s="1905" t="e">
        <f>SUM(P25:P28)</f>
        <v>#REF!</v>
      </c>
      <c r="Q29" s="1905"/>
      <c r="R29" s="1909" t="e">
        <f t="shared" ref="R29:Y29" si="14">SUM(R25:R28)</f>
        <v>#REF!</v>
      </c>
      <c r="S29" s="1909" t="e">
        <f>SUM(S25:S28)</f>
        <v>#REF!</v>
      </c>
      <c r="T29" s="1909" t="e">
        <f>SUM(T25:T28)</f>
        <v>#REF!</v>
      </c>
      <c r="U29" s="1909" t="e">
        <f t="shared" si="14"/>
        <v>#REF!</v>
      </c>
      <c r="V29" s="1909" t="e">
        <f t="shared" ca="1" si="14"/>
        <v>#REF!</v>
      </c>
      <c r="W29" s="1909" t="e">
        <f ca="1">SUM(W25:W28)</f>
        <v>#REF!</v>
      </c>
      <c r="X29" s="1909" t="e">
        <f ca="1">SUM(X25:X28)</f>
        <v>#REF!</v>
      </c>
      <c r="Y29" s="1909" t="e">
        <f t="shared" ca="1" si="14"/>
        <v>#REF!</v>
      </c>
    </row>
    <row r="30" spans="1:25" x14ac:dyDescent="0.2">
      <c r="A30" s="508" t="s">
        <v>22</v>
      </c>
      <c r="B30" s="509">
        <v>7500</v>
      </c>
      <c r="C30" s="510">
        <f t="shared" si="9"/>
        <v>0</v>
      </c>
      <c r="D30" s="510"/>
      <c r="E30" s="1929">
        <f t="shared" si="1"/>
        <v>0</v>
      </c>
      <c r="F30" s="1929">
        <f t="shared" si="2"/>
        <v>0</v>
      </c>
      <c r="G30" s="1929">
        <f t="shared" si="3"/>
        <v>0</v>
      </c>
      <c r="H30" s="1929">
        <f t="shared" si="4"/>
        <v>0</v>
      </c>
      <c r="I30" s="1929">
        <f t="shared" si="5"/>
        <v>0</v>
      </c>
      <c r="J30" s="1929">
        <f t="shared" si="6"/>
        <v>0</v>
      </c>
      <c r="K30" s="1929">
        <f t="shared" si="7"/>
        <v>0</v>
      </c>
      <c r="L30" s="1929">
        <f t="shared" si="8"/>
        <v>0</v>
      </c>
      <c r="N30" s="508" t="s">
        <v>22</v>
      </c>
      <c r="O30" s="509">
        <v>7500</v>
      </c>
      <c r="P30" s="517">
        <f>+'DDJJ EPEC S-II'!E221</f>
        <v>0</v>
      </c>
      <c r="Q30" s="510"/>
      <c r="R30" s="1924">
        <f>+'DDJJ EPEC S-II'!F221</f>
        <v>0</v>
      </c>
      <c r="S30" s="1924">
        <f>+'DDJJ EPEC S-II'!H221</f>
        <v>0</v>
      </c>
      <c r="T30" s="1924">
        <f>+'DDJJ EPEC S-II'!G221</f>
        <v>0</v>
      </c>
      <c r="U30" s="1912">
        <f t="shared" ref="U30:U35" si="15">+SUM(R30:T30)</f>
        <v>0</v>
      </c>
      <c r="V30" s="1924">
        <f>+'DDJJ EPEC S-II'!I221</f>
        <v>0</v>
      </c>
      <c r="W30" s="1924">
        <f>+'DDJJ EPEC S-II'!K221</f>
        <v>0</v>
      </c>
      <c r="X30" s="1924">
        <f>+'DDJJ EPEC S-II'!J221</f>
        <v>0</v>
      </c>
      <c r="Y30" s="1912">
        <f t="shared" ref="Y30:Y35" si="16">SUM(V30:X30)</f>
        <v>0</v>
      </c>
    </row>
    <row r="31" spans="1:25" x14ac:dyDescent="0.2">
      <c r="A31" s="508" t="s">
        <v>21</v>
      </c>
      <c r="B31" s="509">
        <v>7500</v>
      </c>
      <c r="C31" s="510">
        <f t="shared" si="9"/>
        <v>0</v>
      </c>
      <c r="D31" s="510"/>
      <c r="E31" s="1929">
        <f t="shared" si="1"/>
        <v>0</v>
      </c>
      <c r="F31" s="1929">
        <f t="shared" si="2"/>
        <v>0</v>
      </c>
      <c r="G31" s="1929">
        <f t="shared" si="3"/>
        <v>0</v>
      </c>
      <c r="H31" s="1929">
        <f t="shared" si="4"/>
        <v>0</v>
      </c>
      <c r="I31" s="1929">
        <f t="shared" ca="1" si="5"/>
        <v>0</v>
      </c>
      <c r="J31" s="1929">
        <f t="shared" ca="1" si="6"/>
        <v>0</v>
      </c>
      <c r="K31" s="1929">
        <f t="shared" ca="1" si="7"/>
        <v>0</v>
      </c>
      <c r="L31" s="1929">
        <f t="shared" ca="1" si="8"/>
        <v>0</v>
      </c>
      <c r="N31" s="508" t="s">
        <v>21</v>
      </c>
      <c r="O31" s="509">
        <v>7500</v>
      </c>
      <c r="P31" s="517">
        <f>+'DDJJ EPEC S-II'!E203</f>
        <v>0</v>
      </c>
      <c r="Q31" s="510"/>
      <c r="R31" s="1924">
        <f>+'DDJJ EPEC S-II'!F203</f>
        <v>0</v>
      </c>
      <c r="S31" s="1924">
        <f>+'DDJJ EPEC S-II'!H203</f>
        <v>0</v>
      </c>
      <c r="T31" s="1924">
        <f>+'DDJJ EPEC S-II'!G203</f>
        <v>0</v>
      </c>
      <c r="U31" s="1912">
        <f t="shared" si="15"/>
        <v>0</v>
      </c>
      <c r="V31" s="1924">
        <f ca="1">+'DDJJ EPEC S-II'!I203</f>
        <v>0</v>
      </c>
      <c r="W31" s="1924">
        <f ca="1">+'DDJJ EPEC S-II'!K203</f>
        <v>0</v>
      </c>
      <c r="X31" s="1924">
        <f ca="1">+'DDJJ EPEC S-II'!J203</f>
        <v>0</v>
      </c>
      <c r="Y31" s="1912">
        <f t="shared" ca="1" si="16"/>
        <v>0</v>
      </c>
    </row>
    <row r="32" spans="1:25" x14ac:dyDescent="0.2">
      <c r="A32" s="508" t="s">
        <v>71</v>
      </c>
      <c r="B32" s="509">
        <v>7500</v>
      </c>
      <c r="C32" s="510">
        <f t="shared" si="9"/>
        <v>0</v>
      </c>
      <c r="D32" s="510"/>
      <c r="E32" s="1929">
        <f t="shared" si="1"/>
        <v>0</v>
      </c>
      <c r="F32" s="1929">
        <f t="shared" si="2"/>
        <v>0</v>
      </c>
      <c r="G32" s="1929">
        <f t="shared" si="3"/>
        <v>0</v>
      </c>
      <c r="H32" s="1929">
        <f t="shared" si="4"/>
        <v>0</v>
      </c>
      <c r="I32" s="1929">
        <f t="shared" ca="1" si="5"/>
        <v>0</v>
      </c>
      <c r="J32" s="1929">
        <f t="shared" ca="1" si="6"/>
        <v>0</v>
      </c>
      <c r="K32" s="1929">
        <f t="shared" ca="1" si="7"/>
        <v>0</v>
      </c>
      <c r="L32" s="1929">
        <f t="shared" ca="1" si="8"/>
        <v>0</v>
      </c>
      <c r="N32" s="508" t="s">
        <v>71</v>
      </c>
      <c r="O32" s="509">
        <v>7500</v>
      </c>
      <c r="P32" s="517">
        <f>+'DDJJ EPEC S-II'!E212</f>
        <v>0</v>
      </c>
      <c r="Q32" s="510"/>
      <c r="R32" s="1924">
        <f>+'DDJJ EPEC S-II'!F212</f>
        <v>0</v>
      </c>
      <c r="S32" s="1924">
        <f>+'DDJJ EPEC S-II'!H212</f>
        <v>0</v>
      </c>
      <c r="T32" s="1924">
        <f>+'DDJJ EPEC S-II'!G212</f>
        <v>0</v>
      </c>
      <c r="U32" s="1912">
        <f t="shared" si="15"/>
        <v>0</v>
      </c>
      <c r="V32" s="1924">
        <f ca="1">+'DDJJ EPEC S-II'!I212</f>
        <v>0</v>
      </c>
      <c r="W32" s="1924">
        <f ca="1">+'DDJJ EPEC S-II'!K212</f>
        <v>0</v>
      </c>
      <c r="X32" s="1924">
        <f ca="1">+'DDJJ EPEC S-II'!J212</f>
        <v>0</v>
      </c>
      <c r="Y32" s="1912">
        <f t="shared" ca="1" si="16"/>
        <v>0</v>
      </c>
    </row>
    <row r="33" spans="1:26" x14ac:dyDescent="0.2">
      <c r="A33" s="508" t="s">
        <v>888</v>
      </c>
      <c r="B33" s="509">
        <v>7500</v>
      </c>
      <c r="C33" s="510">
        <f t="shared" si="9"/>
        <v>0</v>
      </c>
      <c r="D33" s="510"/>
      <c r="E33" s="1929">
        <f t="shared" si="1"/>
        <v>0</v>
      </c>
      <c r="F33" s="1929">
        <f t="shared" si="2"/>
        <v>0</v>
      </c>
      <c r="G33" s="1929">
        <f t="shared" si="3"/>
        <v>0</v>
      </c>
      <c r="H33" s="1929">
        <f t="shared" si="4"/>
        <v>0</v>
      </c>
      <c r="I33" s="1929">
        <f t="shared" si="5"/>
        <v>0</v>
      </c>
      <c r="J33" s="1929">
        <f t="shared" si="6"/>
        <v>0</v>
      </c>
      <c r="K33" s="1929">
        <f t="shared" si="7"/>
        <v>0</v>
      </c>
      <c r="L33" s="1929">
        <f t="shared" si="8"/>
        <v>0</v>
      </c>
      <c r="N33" s="508" t="s">
        <v>888</v>
      </c>
      <c r="O33" s="509">
        <v>7500</v>
      </c>
      <c r="P33" s="517">
        <f>+'DDJJ EPEC S-II'!C273+'DDJJ EPEC S-II'!C272</f>
        <v>0</v>
      </c>
      <c r="Q33" s="510"/>
      <c r="R33" s="1924">
        <f>+'DDJJ EPEC S-II'!F274</f>
        <v>0</v>
      </c>
      <c r="S33" s="1924">
        <f>+'DDJJ EPEC S-II'!H274</f>
        <v>0</v>
      </c>
      <c r="T33" s="1924">
        <f>+'DDJJ EPEC S-II'!G274</f>
        <v>0</v>
      </c>
      <c r="U33" s="1912">
        <f t="shared" si="15"/>
        <v>0</v>
      </c>
      <c r="V33" s="1924">
        <f>+'DDJJ EPEC S-II'!I273</f>
        <v>0</v>
      </c>
      <c r="W33" s="1924">
        <f>+'DDJJ EPEC S-II'!K273</f>
        <v>0</v>
      </c>
      <c r="X33" s="1924">
        <f>+'DDJJ EPEC S-II'!J273</f>
        <v>0</v>
      </c>
      <c r="Y33" s="1912">
        <f t="shared" si="16"/>
        <v>0</v>
      </c>
    </row>
    <row r="34" spans="1:26" x14ac:dyDescent="0.2">
      <c r="A34" s="508" t="s">
        <v>258</v>
      </c>
      <c r="B34" s="509">
        <v>7500</v>
      </c>
      <c r="C34" s="510">
        <f t="shared" si="9"/>
        <v>0</v>
      </c>
      <c r="D34" s="510"/>
      <c r="E34" s="1929">
        <f t="shared" si="1"/>
        <v>0</v>
      </c>
      <c r="F34" s="1929">
        <f t="shared" si="2"/>
        <v>0</v>
      </c>
      <c r="G34" s="1929">
        <f t="shared" si="3"/>
        <v>0</v>
      </c>
      <c r="H34" s="1929">
        <f t="shared" si="4"/>
        <v>0</v>
      </c>
      <c r="I34" s="1929">
        <f t="shared" si="5"/>
        <v>0</v>
      </c>
      <c r="J34" s="1929">
        <f t="shared" si="6"/>
        <v>0</v>
      </c>
      <c r="K34" s="1929">
        <f t="shared" si="7"/>
        <v>0</v>
      </c>
      <c r="L34" s="1929">
        <f t="shared" si="8"/>
        <v>0</v>
      </c>
      <c r="N34" s="508" t="s">
        <v>258</v>
      </c>
      <c r="O34" s="509">
        <v>7500</v>
      </c>
      <c r="P34" s="517">
        <f>+'DDJJ EPEC S-II'!C265</f>
        <v>0</v>
      </c>
      <c r="Q34" s="510"/>
      <c r="R34" s="1924">
        <f>+'DDJJ EPEC S-II'!F265</f>
        <v>0</v>
      </c>
      <c r="S34" s="1924">
        <f>+'DDJJ EPEC S-II'!H265</f>
        <v>0</v>
      </c>
      <c r="T34" s="1924">
        <f>+'DDJJ EPEC S-II'!G265</f>
        <v>0</v>
      </c>
      <c r="U34" s="1912">
        <f t="shared" si="15"/>
        <v>0</v>
      </c>
      <c r="V34" s="1924">
        <f>+'DDJJ EPEC S-II'!I265</f>
        <v>0</v>
      </c>
      <c r="W34" s="1924">
        <f>+'DDJJ EPEC S-II'!K265</f>
        <v>0</v>
      </c>
      <c r="X34" s="1924">
        <f>+'DDJJ EPEC S-II'!J265</f>
        <v>0</v>
      </c>
      <c r="Y34" s="1912">
        <f t="shared" si="16"/>
        <v>0</v>
      </c>
    </row>
    <row r="35" spans="1:26" x14ac:dyDescent="0.2">
      <c r="A35" s="511" t="s">
        <v>981</v>
      </c>
      <c r="B35" s="511">
        <v>7000</v>
      </c>
      <c r="C35" s="512">
        <f t="shared" si="9"/>
        <v>0</v>
      </c>
      <c r="D35" s="512"/>
      <c r="E35" s="1930">
        <f t="shared" ca="1" si="1"/>
        <v>0</v>
      </c>
      <c r="F35" s="1930">
        <f t="shared" ca="1" si="2"/>
        <v>0</v>
      </c>
      <c r="G35" s="1930">
        <f t="shared" ca="1" si="3"/>
        <v>0</v>
      </c>
      <c r="H35" s="1930">
        <f t="shared" ca="1" si="4"/>
        <v>0</v>
      </c>
      <c r="I35" s="1930">
        <f t="shared" ca="1" si="5"/>
        <v>0</v>
      </c>
      <c r="J35" s="1930">
        <f t="shared" ca="1" si="6"/>
        <v>0</v>
      </c>
      <c r="K35" s="1930">
        <f t="shared" ca="1" si="7"/>
        <v>0</v>
      </c>
      <c r="L35" s="1930">
        <f t="shared" ca="1" si="8"/>
        <v>0</v>
      </c>
      <c r="N35" s="1915" t="s">
        <v>981</v>
      </c>
      <c r="O35" s="511">
        <v>7000</v>
      </c>
      <c r="P35" s="519">
        <f>+'DDJJ EPEC S-II'!C282+'DDJJ EPEC S-II'!C281</f>
        <v>0</v>
      </c>
      <c r="Q35" s="512"/>
      <c r="R35" s="1925">
        <f ca="1">+'DDJJ EPEC S-II'!F283</f>
        <v>0</v>
      </c>
      <c r="S35" s="1925">
        <f ca="1">+'DDJJ EPEC S-II'!H283</f>
        <v>0</v>
      </c>
      <c r="T35" s="1925">
        <f ca="1">+'DDJJ EPEC S-II'!G283</f>
        <v>0</v>
      </c>
      <c r="U35" s="1913">
        <f t="shared" ca="1" si="15"/>
        <v>0</v>
      </c>
      <c r="V35" s="1925">
        <f ca="1">+'DDJJ EPEC S-II'!I283</f>
        <v>0</v>
      </c>
      <c r="W35" s="1925">
        <f ca="1">+'DDJJ EPEC S-II'!K283</f>
        <v>0</v>
      </c>
      <c r="X35" s="1925">
        <f ca="1">+'DDJJ EPEC S-II'!J283</f>
        <v>0</v>
      </c>
      <c r="Y35" s="1913">
        <f t="shared" ca="1" si="16"/>
        <v>0</v>
      </c>
    </row>
    <row r="36" spans="1:26" x14ac:dyDescent="0.2">
      <c r="A36" s="511" t="s">
        <v>982</v>
      </c>
      <c r="B36" s="511">
        <v>8000</v>
      </c>
      <c r="C36" s="512">
        <f t="shared" si="9"/>
        <v>0</v>
      </c>
      <c r="D36" s="512"/>
      <c r="E36" s="1930">
        <f t="shared" si="1"/>
        <v>0</v>
      </c>
      <c r="F36" s="1930">
        <f t="shared" si="2"/>
        <v>0</v>
      </c>
      <c r="G36" s="1930">
        <f t="shared" si="3"/>
        <v>0</v>
      </c>
      <c r="H36" s="1930">
        <f t="shared" si="4"/>
        <v>0</v>
      </c>
      <c r="I36" s="1930">
        <f t="shared" si="5"/>
        <v>0</v>
      </c>
      <c r="J36" s="1930">
        <f t="shared" si="6"/>
        <v>0</v>
      </c>
      <c r="K36" s="1930">
        <f t="shared" si="7"/>
        <v>0</v>
      </c>
      <c r="L36" s="1930">
        <f t="shared" si="8"/>
        <v>0</v>
      </c>
      <c r="N36" s="1915" t="s">
        <v>982</v>
      </c>
      <c r="O36" s="511">
        <v>8000</v>
      </c>
      <c r="P36" s="519"/>
      <c r="Q36" s="512"/>
      <c r="R36" s="1925"/>
      <c r="S36" s="1925"/>
      <c r="T36" s="1925"/>
      <c r="U36" s="1913"/>
      <c r="V36" s="1925"/>
      <c r="W36" s="1925"/>
      <c r="X36" s="1925"/>
      <c r="Y36" s="1913"/>
    </row>
    <row r="37" spans="1:26" ht="15.75" x14ac:dyDescent="0.2">
      <c r="A37" s="513" t="s">
        <v>471</v>
      </c>
      <c r="B37" s="514"/>
      <c r="C37" s="514" t="e">
        <f t="shared" si="9"/>
        <v>#REF!</v>
      </c>
      <c r="D37" s="514"/>
      <c r="E37" s="1931" t="e">
        <f t="shared" ca="1" si="1"/>
        <v>#REF!</v>
      </c>
      <c r="F37" s="1931" t="e">
        <f t="shared" ca="1" si="2"/>
        <v>#REF!</v>
      </c>
      <c r="G37" s="1931" t="e">
        <f t="shared" ca="1" si="3"/>
        <v>#REF!</v>
      </c>
      <c r="H37" s="1931" t="e">
        <f t="shared" ca="1" si="4"/>
        <v>#REF!</v>
      </c>
      <c r="I37" s="1931" t="e">
        <f t="shared" ca="1" si="5"/>
        <v>#REF!</v>
      </c>
      <c r="J37" s="1931" t="e">
        <f t="shared" ca="1" si="6"/>
        <v>#REF!</v>
      </c>
      <c r="K37" s="1931" t="e">
        <f t="shared" ca="1" si="7"/>
        <v>#REF!</v>
      </c>
      <c r="L37" s="1931" t="e">
        <f t="shared" ca="1" si="8"/>
        <v>#REF!</v>
      </c>
      <c r="N37" s="1933" t="s">
        <v>471</v>
      </c>
      <c r="O37" s="1934"/>
      <c r="P37" s="1932" t="e">
        <f>+P8+P14+P19+P24+P29+P30+P31+P32+P33+P34+P35</f>
        <v>#REF!</v>
      </c>
      <c r="Q37" s="1932">
        <f t="shared" ref="Q37:Y37" si="17">+Q8+Q14+Q19+Q24+Q29+Q30+Q31+Q32+Q33+Q34+Q35</f>
        <v>0</v>
      </c>
      <c r="R37" s="1932" t="e">
        <f t="shared" ca="1" si="17"/>
        <v>#REF!</v>
      </c>
      <c r="S37" s="1932" t="e">
        <f t="shared" ca="1" si="17"/>
        <v>#REF!</v>
      </c>
      <c r="T37" s="1932" t="e">
        <f t="shared" ca="1" si="17"/>
        <v>#REF!</v>
      </c>
      <c r="U37" s="1932" t="e">
        <f t="shared" ca="1" si="17"/>
        <v>#REF!</v>
      </c>
      <c r="V37" s="1932" t="e">
        <f t="shared" ca="1" si="17"/>
        <v>#REF!</v>
      </c>
      <c r="W37" s="1932" t="e">
        <f t="shared" ca="1" si="17"/>
        <v>#REF!</v>
      </c>
      <c r="X37" s="1932" t="e">
        <f t="shared" ca="1" si="17"/>
        <v>#REF!</v>
      </c>
      <c r="Y37" s="1932" t="e">
        <f t="shared" ca="1" si="17"/>
        <v>#REF!</v>
      </c>
      <c r="Z37" t="e">
        <f ca="1">+U37+Y37</f>
        <v>#REF!</v>
      </c>
    </row>
    <row r="38" spans="1:26" hidden="1" x14ac:dyDescent="0.2">
      <c r="A38" s="1917"/>
      <c r="B38" s="1918"/>
      <c r="C38" s="1918"/>
      <c r="D38" s="1918"/>
      <c r="E38" s="1918"/>
      <c r="F38" s="1918"/>
      <c r="G38" s="1918"/>
      <c r="H38" s="1918"/>
      <c r="I38" s="1918"/>
      <c r="J38" s="1918"/>
      <c r="K38" s="1918"/>
      <c r="L38" s="1918"/>
      <c r="N38" s="1919"/>
      <c r="O38" s="1918"/>
      <c r="P38" s="1920"/>
      <c r="Q38" s="1918"/>
      <c r="R38" s="1920"/>
      <c r="S38" s="1920"/>
      <c r="T38" s="1920"/>
      <c r="U38" s="1921"/>
      <c r="V38" s="1920"/>
      <c r="W38" s="1920"/>
      <c r="X38" s="1920"/>
      <c r="Y38" s="1921"/>
    </row>
    <row r="39" spans="1:26" hidden="1" x14ac:dyDescent="0.2">
      <c r="A39" s="1917"/>
      <c r="B39" s="1918"/>
      <c r="C39" s="1918"/>
      <c r="D39" s="1918"/>
      <c r="E39" s="1918"/>
      <c r="F39" s="1918"/>
      <c r="G39" s="1918"/>
      <c r="H39" s="1918"/>
      <c r="I39" s="1918"/>
      <c r="J39" s="1918"/>
      <c r="K39" s="1918"/>
      <c r="L39" s="1918"/>
      <c r="N39" s="1919"/>
      <c r="O39" s="1918"/>
      <c r="P39" s="1920"/>
      <c r="Q39" s="1918"/>
      <c r="R39" s="1935" t="e">
        <f ca="1">+R37+V37</f>
        <v>#REF!</v>
      </c>
      <c r="S39" s="1935" t="e">
        <f t="shared" ref="S39:T39" ca="1" si="18">+S37+W37</f>
        <v>#REF!</v>
      </c>
      <c r="T39" s="1935" t="e">
        <f t="shared" ca="1" si="18"/>
        <v>#REF!</v>
      </c>
      <c r="U39" s="1921"/>
      <c r="V39" s="1920"/>
      <c r="W39" s="1920"/>
      <c r="X39" s="1920"/>
      <c r="Y39" s="1921"/>
    </row>
    <row r="40" spans="1:26" hidden="1" x14ac:dyDescent="0.2">
      <c r="R40" s="1936">
        <f>+'Compra -HOJA1'!G10</f>
        <v>0</v>
      </c>
      <c r="S40" s="1936">
        <f>+'Compra -HOJA1'!H10</f>
        <v>0</v>
      </c>
      <c r="T40" s="1936">
        <f>+'Compra -HOJA1'!I10</f>
        <v>0</v>
      </c>
    </row>
    <row r="41" spans="1:26" hidden="1" x14ac:dyDescent="0.2">
      <c r="R41" s="72" t="e">
        <f ca="1">+R40-R39</f>
        <v>#REF!</v>
      </c>
      <c r="S41" s="72" t="e">
        <f t="shared" ref="S41:T41" ca="1" si="19">+S40-S39</f>
        <v>#REF!</v>
      </c>
      <c r="T41" s="72" t="e">
        <f t="shared" ca="1" si="19"/>
        <v>#REF!</v>
      </c>
    </row>
    <row r="42" spans="1:26" hidden="1" x14ac:dyDescent="0.2">
      <c r="N42" s="1719" t="s">
        <v>983</v>
      </c>
      <c r="O42" s="487" t="s">
        <v>984</v>
      </c>
      <c r="P42" s="72">
        <f>+'DDJJ EPEC S-II'!E196</f>
        <v>0</v>
      </c>
      <c r="R42" s="72">
        <f>+'DDJJ EPEC S-II'!F196</f>
        <v>0</v>
      </c>
      <c r="S42" s="72">
        <f>+'DDJJ EPEC S-II'!H196</f>
        <v>0</v>
      </c>
      <c r="T42" s="72">
        <f>+'DDJJ EPEC S-II'!G196</f>
        <v>0</v>
      </c>
      <c r="U42" s="1916">
        <f>SUM(R42:T42)</f>
        <v>0</v>
      </c>
      <c r="V42" s="72">
        <f ca="1">+'DDJJ EPEC S-II'!I196</f>
        <v>0</v>
      </c>
      <c r="W42" s="72">
        <f ca="1">+'DDJJ EPEC S-II'!K196</f>
        <v>0</v>
      </c>
      <c r="X42" s="72">
        <f ca="1">+'DDJJ EPEC S-II'!J196</f>
        <v>0</v>
      </c>
      <c r="Y42" s="1916">
        <f ca="1">SUM(V42:X42)</f>
        <v>0</v>
      </c>
    </row>
    <row r="43" spans="1:26" hidden="1" x14ac:dyDescent="0.2">
      <c r="N43" s="1719" t="s">
        <v>789</v>
      </c>
      <c r="P43" s="72" t="e">
        <f>+P8+P14+P19+P24+P29</f>
        <v>#REF!</v>
      </c>
      <c r="Q43" s="72">
        <f t="shared" ref="Q43:Y43" si="20">+Q8+Q14+Q19+Q24+Q29</f>
        <v>0</v>
      </c>
      <c r="R43" s="72" t="e">
        <f t="shared" si="20"/>
        <v>#REF!</v>
      </c>
      <c r="S43" s="72" t="e">
        <f t="shared" si="20"/>
        <v>#REF!</v>
      </c>
      <c r="T43" s="72" t="e">
        <f t="shared" si="20"/>
        <v>#REF!</v>
      </c>
      <c r="U43" s="72" t="e">
        <f t="shared" si="20"/>
        <v>#REF!</v>
      </c>
      <c r="V43" s="72" t="e">
        <f t="shared" ca="1" si="20"/>
        <v>#REF!</v>
      </c>
      <c r="W43" s="72" t="e">
        <f t="shared" ca="1" si="20"/>
        <v>#REF!</v>
      </c>
      <c r="X43" s="72" t="e">
        <f t="shared" ca="1" si="20"/>
        <v>#REF!</v>
      </c>
      <c r="Y43" s="72" t="e">
        <f t="shared" ca="1" si="20"/>
        <v>#REF!</v>
      </c>
    </row>
    <row r="44" spans="1:26" hidden="1" x14ac:dyDescent="0.2">
      <c r="N44" s="1719" t="s">
        <v>816</v>
      </c>
      <c r="P44" s="72" t="e">
        <f>+P42-P43</f>
        <v>#REF!</v>
      </c>
      <c r="Q44" s="72">
        <f t="shared" ref="Q44:Y44" si="21">+Q42-Q43</f>
        <v>0</v>
      </c>
      <c r="R44" s="72" t="e">
        <f t="shared" si="21"/>
        <v>#REF!</v>
      </c>
      <c r="S44" s="72" t="e">
        <f t="shared" si="21"/>
        <v>#REF!</v>
      </c>
      <c r="T44" s="72" t="e">
        <f t="shared" si="21"/>
        <v>#REF!</v>
      </c>
      <c r="U44" s="72" t="e">
        <f t="shared" si="21"/>
        <v>#REF!</v>
      </c>
      <c r="V44" s="72" t="e">
        <f t="shared" ca="1" si="21"/>
        <v>#REF!</v>
      </c>
      <c r="W44" s="72" t="e">
        <f t="shared" ca="1" si="21"/>
        <v>#REF!</v>
      </c>
      <c r="X44" s="72" t="e">
        <f t="shared" ca="1" si="21"/>
        <v>#REF!</v>
      </c>
      <c r="Y44" s="72" t="e">
        <f t="shared" ca="1" si="21"/>
        <v>#REF!</v>
      </c>
    </row>
    <row r="45" spans="1:26" hidden="1" x14ac:dyDescent="0.2">
      <c r="R45" s="72"/>
      <c r="S45" s="72"/>
      <c r="T45" s="72"/>
    </row>
    <row r="46" spans="1:26" hidden="1" x14ac:dyDescent="0.2">
      <c r="R46" s="72"/>
      <c r="S46" s="72"/>
      <c r="T46" s="72"/>
    </row>
    <row r="47" spans="1:26" hidden="1" x14ac:dyDescent="0.2">
      <c r="R47" s="72" t="s">
        <v>287</v>
      </c>
      <c r="S47" s="72" t="s">
        <v>289</v>
      </c>
      <c r="T47" s="72" t="s">
        <v>288</v>
      </c>
      <c r="V47" t="s">
        <v>287</v>
      </c>
      <c r="W47" t="s">
        <v>289</v>
      </c>
      <c r="X47" t="s">
        <v>288</v>
      </c>
    </row>
    <row r="48" spans="1:26" hidden="1" x14ac:dyDescent="0.2">
      <c r="O48" s="487" t="s">
        <v>322</v>
      </c>
      <c r="P48" s="72">
        <f>+'DDJJ EPEC S-II'!E32</f>
        <v>0</v>
      </c>
      <c r="R48" s="72">
        <f>+'DDJJ EPEC S-II'!F32</f>
        <v>0</v>
      </c>
      <c r="S48" s="72">
        <f>+'DDJJ EPEC S-II'!G32</f>
        <v>0</v>
      </c>
      <c r="T48" s="72">
        <f>+'DDJJ EPEC S-II'!H32</f>
        <v>0</v>
      </c>
      <c r="U48" s="1916">
        <f>SUM(R48:T48)</f>
        <v>0</v>
      </c>
      <c r="V48" s="72">
        <f ca="1">+'DDJJ EPEC S-II'!I32</f>
        <v>0</v>
      </c>
      <c r="W48" s="72">
        <f ca="1">+'DDJJ EPEC S-II'!J32</f>
        <v>0</v>
      </c>
      <c r="X48" s="72">
        <f ca="1">+'DDJJ EPEC S-II'!K32</f>
        <v>0</v>
      </c>
      <c r="Y48" s="72">
        <f ca="1">SUM(V48:X48)</f>
        <v>0</v>
      </c>
    </row>
    <row r="49" spans="15:25" hidden="1" x14ac:dyDescent="0.2">
      <c r="O49" s="487" t="s">
        <v>323</v>
      </c>
      <c r="P49" s="72">
        <f>+'DDJJ EPEC S-II'!E60</f>
        <v>0</v>
      </c>
      <c r="R49" s="72">
        <f>+'DDJJ EPEC S-II'!F60</f>
        <v>0</v>
      </c>
      <c r="S49" s="72">
        <f>+'DDJJ EPEC S-II'!G60</f>
        <v>0</v>
      </c>
      <c r="T49" s="72">
        <f>+'DDJJ EPEC S-II'!H60</f>
        <v>0</v>
      </c>
      <c r="U49" s="1916">
        <f t="shared" ref="U49:U52" si="22">SUM(R49:T49)</f>
        <v>0</v>
      </c>
      <c r="V49" s="72">
        <f ca="1">+'DDJJ EPEC S-II'!I60</f>
        <v>0</v>
      </c>
      <c r="W49" s="72">
        <f ca="1">+'DDJJ EPEC S-II'!J60</f>
        <v>0</v>
      </c>
      <c r="X49" s="72">
        <f ca="1">+'DDJJ EPEC S-II'!K60</f>
        <v>0</v>
      </c>
      <c r="Y49" s="72">
        <f t="shared" ref="Y49:Y52" ca="1" si="23">SUM(V49:X49)</f>
        <v>0</v>
      </c>
    </row>
    <row r="50" spans="15:25" hidden="1" x14ac:dyDescent="0.2">
      <c r="O50" s="487" t="s">
        <v>324</v>
      </c>
      <c r="P50" s="72">
        <f>+'DDJJ EPEC S-II'!E82</f>
        <v>0</v>
      </c>
      <c r="R50" s="72">
        <f>+'DDJJ EPEC S-II'!F82</f>
        <v>0</v>
      </c>
      <c r="S50" s="72">
        <f>+'DDJJ EPEC S-II'!G82</f>
        <v>0</v>
      </c>
      <c r="T50" s="72">
        <f>+'DDJJ EPEC S-II'!H82</f>
        <v>0</v>
      </c>
      <c r="U50" s="1916">
        <f t="shared" si="22"/>
        <v>0</v>
      </c>
      <c r="V50" s="72">
        <f ca="1">+'DDJJ EPEC S-II'!I82</f>
        <v>0</v>
      </c>
      <c r="W50" s="72">
        <f ca="1">+'DDJJ EPEC S-II'!J82</f>
        <v>0</v>
      </c>
      <c r="X50" s="72">
        <f ca="1">+'DDJJ EPEC S-II'!K82</f>
        <v>0</v>
      </c>
      <c r="Y50" s="72">
        <f t="shared" ca="1" si="23"/>
        <v>0</v>
      </c>
    </row>
    <row r="51" spans="15:25" hidden="1" x14ac:dyDescent="0.2">
      <c r="O51" s="487" t="s">
        <v>325</v>
      </c>
      <c r="P51" s="72">
        <f>+'DDJJ EPEC S-II'!E104</f>
        <v>0</v>
      </c>
      <c r="R51" s="72">
        <f>+'DDJJ EPEC S-II'!F104</f>
        <v>0</v>
      </c>
      <c r="S51" s="72">
        <f>+'DDJJ EPEC S-II'!G104</f>
        <v>0</v>
      </c>
      <c r="T51" s="72">
        <f>+'DDJJ EPEC S-II'!H104</f>
        <v>0</v>
      </c>
      <c r="U51" s="1916">
        <f t="shared" si="22"/>
        <v>0</v>
      </c>
      <c r="V51" s="72">
        <f ca="1">+'DDJJ EPEC S-II'!I104</f>
        <v>0</v>
      </c>
      <c r="W51" s="72">
        <f ca="1">+'DDJJ EPEC S-II'!J104</f>
        <v>0</v>
      </c>
      <c r="X51" s="72">
        <f ca="1">+'DDJJ EPEC S-II'!K104</f>
        <v>0</v>
      </c>
      <c r="Y51" s="72">
        <f t="shared" ca="1" si="23"/>
        <v>0</v>
      </c>
    </row>
    <row r="52" spans="15:25" hidden="1" x14ac:dyDescent="0.2">
      <c r="O52" s="487" t="s">
        <v>326</v>
      </c>
      <c r="P52" s="72">
        <f>+'DDJJ EPEC S-II'!E126</f>
        <v>0</v>
      </c>
      <c r="R52" s="72">
        <f>+'DDJJ EPEC S-II'!F126</f>
        <v>0</v>
      </c>
      <c r="S52" s="72">
        <f>+'DDJJ EPEC S-II'!G126</f>
        <v>0</v>
      </c>
      <c r="T52" s="72">
        <f>+'DDJJ EPEC S-II'!H126</f>
        <v>0</v>
      </c>
      <c r="U52" s="1916">
        <f t="shared" si="22"/>
        <v>0</v>
      </c>
      <c r="V52" s="72">
        <f ca="1">+'DDJJ EPEC S-II'!I126</f>
        <v>0</v>
      </c>
      <c r="W52" s="72">
        <f ca="1">+'DDJJ EPEC S-II'!J126</f>
        <v>0</v>
      </c>
      <c r="X52" s="72">
        <f ca="1">+'DDJJ EPEC S-II'!K126</f>
        <v>0</v>
      </c>
      <c r="Y52" s="72">
        <f t="shared" ca="1" si="23"/>
        <v>0</v>
      </c>
    </row>
    <row r="53" spans="15:25" hidden="1" x14ac:dyDescent="0.2">
      <c r="R53" t="s">
        <v>287</v>
      </c>
      <c r="S53" s="72" t="s">
        <v>288</v>
      </c>
      <c r="T53" s="72" t="s">
        <v>289</v>
      </c>
      <c r="V53" t="s">
        <v>287</v>
      </c>
      <c r="W53" s="72" t="s">
        <v>288</v>
      </c>
      <c r="X53" s="72" t="s">
        <v>289</v>
      </c>
    </row>
    <row r="54" spans="15:25" hidden="1" x14ac:dyDescent="0.2">
      <c r="O54" t="s">
        <v>322</v>
      </c>
      <c r="P54" s="72" t="e">
        <f>+P8</f>
        <v>#REF!</v>
      </c>
      <c r="Q54" s="72">
        <f t="shared" ref="Q54:R54" si="24">+Q8</f>
        <v>0</v>
      </c>
      <c r="R54" s="72" t="e">
        <f t="shared" si="24"/>
        <v>#REF!</v>
      </c>
      <c r="S54" s="72" t="e">
        <f t="shared" ref="S54:T54" si="25">+S8</f>
        <v>#REF!</v>
      </c>
      <c r="T54" s="72" t="e">
        <f t="shared" si="25"/>
        <v>#REF!</v>
      </c>
      <c r="U54" s="72" t="e">
        <f t="shared" ref="U54:Y54" si="26">+U8</f>
        <v>#REF!</v>
      </c>
      <c r="V54" s="72" t="e">
        <f t="shared" ca="1" si="26"/>
        <v>#REF!</v>
      </c>
      <c r="W54" s="72" t="e">
        <f t="shared" ref="W54:X54" ca="1" si="27">+W8</f>
        <v>#REF!</v>
      </c>
      <c r="X54" s="72" t="e">
        <f t="shared" ca="1" si="27"/>
        <v>#REF!</v>
      </c>
      <c r="Y54" s="72" t="e">
        <f t="shared" ca="1" si="26"/>
        <v>#REF!</v>
      </c>
    </row>
    <row r="55" spans="15:25" hidden="1" x14ac:dyDescent="0.2">
      <c r="O55" t="s">
        <v>323</v>
      </c>
      <c r="P55" s="72" t="e">
        <f>+P14</f>
        <v>#REF!</v>
      </c>
      <c r="Q55" s="72">
        <f t="shared" ref="Q55:R55" si="28">+Q14</f>
        <v>0</v>
      </c>
      <c r="R55" s="72" t="e">
        <f t="shared" si="28"/>
        <v>#REF!</v>
      </c>
      <c r="S55" s="72" t="e">
        <f t="shared" ref="S55:T55" si="29">+S14</f>
        <v>#REF!</v>
      </c>
      <c r="T55" s="72" t="e">
        <f t="shared" si="29"/>
        <v>#REF!</v>
      </c>
      <c r="U55" s="72" t="e">
        <f t="shared" ref="U55:Y55" si="30">+U14</f>
        <v>#REF!</v>
      </c>
      <c r="V55" s="72" t="e">
        <f t="shared" ca="1" si="30"/>
        <v>#REF!</v>
      </c>
      <c r="W55" s="72" t="e">
        <f t="shared" ref="W55:X55" ca="1" si="31">+W14</f>
        <v>#REF!</v>
      </c>
      <c r="X55" s="72" t="e">
        <f t="shared" ca="1" si="31"/>
        <v>#REF!</v>
      </c>
      <c r="Y55" s="72" t="e">
        <f t="shared" ca="1" si="30"/>
        <v>#REF!</v>
      </c>
    </row>
    <row r="56" spans="15:25" hidden="1" x14ac:dyDescent="0.2">
      <c r="O56" t="s">
        <v>324</v>
      </c>
      <c r="P56" s="72" t="e">
        <f>+P19</f>
        <v>#REF!</v>
      </c>
      <c r="Q56" s="72">
        <f t="shared" ref="Q56:R56" si="32">+Q19</f>
        <v>0</v>
      </c>
      <c r="R56" s="72" t="e">
        <f t="shared" si="32"/>
        <v>#REF!</v>
      </c>
      <c r="S56" s="72" t="e">
        <f t="shared" ref="S56:T56" si="33">+S19</f>
        <v>#REF!</v>
      </c>
      <c r="T56" s="72" t="e">
        <f t="shared" si="33"/>
        <v>#REF!</v>
      </c>
      <c r="U56" s="72" t="e">
        <f t="shared" ref="U56:Y56" si="34">+U19</f>
        <v>#REF!</v>
      </c>
      <c r="V56" s="72" t="e">
        <f t="shared" ca="1" si="34"/>
        <v>#REF!</v>
      </c>
      <c r="W56" s="72" t="e">
        <f t="shared" ref="W56:X56" ca="1" si="35">+W19</f>
        <v>#REF!</v>
      </c>
      <c r="X56" s="72" t="e">
        <f t="shared" ca="1" si="35"/>
        <v>#REF!</v>
      </c>
      <c r="Y56" s="72" t="e">
        <f t="shared" ca="1" si="34"/>
        <v>#REF!</v>
      </c>
    </row>
    <row r="57" spans="15:25" hidden="1" x14ac:dyDescent="0.2">
      <c r="O57" t="s">
        <v>325</v>
      </c>
      <c r="P57" s="72" t="e">
        <f>+P24</f>
        <v>#REF!</v>
      </c>
      <c r="Q57" s="72">
        <f t="shared" ref="Q57:R57" si="36">+Q24</f>
        <v>0</v>
      </c>
      <c r="R57" s="72" t="e">
        <f t="shared" si="36"/>
        <v>#REF!</v>
      </c>
      <c r="S57" s="72" t="e">
        <f t="shared" ref="S57:T57" si="37">+S24</f>
        <v>#REF!</v>
      </c>
      <c r="T57" s="72" t="e">
        <f t="shared" si="37"/>
        <v>#REF!</v>
      </c>
      <c r="U57" s="72" t="e">
        <f t="shared" ref="U57:Y57" si="38">+U24</f>
        <v>#REF!</v>
      </c>
      <c r="V57" s="72" t="e">
        <f t="shared" ca="1" si="38"/>
        <v>#REF!</v>
      </c>
      <c r="W57" s="72" t="e">
        <f t="shared" ref="W57:X57" ca="1" si="39">+W24</f>
        <v>#REF!</v>
      </c>
      <c r="X57" s="72" t="e">
        <f t="shared" ca="1" si="39"/>
        <v>#REF!</v>
      </c>
      <c r="Y57" s="72" t="e">
        <f t="shared" ca="1" si="38"/>
        <v>#REF!</v>
      </c>
    </row>
    <row r="58" spans="15:25" hidden="1" x14ac:dyDescent="0.2">
      <c r="O58" t="s">
        <v>326</v>
      </c>
      <c r="P58" s="72" t="e">
        <f>+P29</f>
        <v>#REF!</v>
      </c>
      <c r="Q58" s="72">
        <f t="shared" ref="Q58:R58" si="40">+Q29</f>
        <v>0</v>
      </c>
      <c r="R58" s="72" t="e">
        <f t="shared" si="40"/>
        <v>#REF!</v>
      </c>
      <c r="S58" s="72" t="e">
        <f t="shared" ref="S58:T58" si="41">+S29</f>
        <v>#REF!</v>
      </c>
      <c r="T58" s="72" t="e">
        <f t="shared" si="41"/>
        <v>#REF!</v>
      </c>
      <c r="U58" s="72" t="e">
        <f t="shared" ref="U58:Y58" si="42">+U29</f>
        <v>#REF!</v>
      </c>
      <c r="V58" s="72" t="e">
        <f t="shared" ca="1" si="42"/>
        <v>#REF!</v>
      </c>
      <c r="W58" s="72" t="e">
        <f t="shared" ref="W58:X58" ca="1" si="43">+W29</f>
        <v>#REF!</v>
      </c>
      <c r="X58" s="72" t="e">
        <f t="shared" ca="1" si="43"/>
        <v>#REF!</v>
      </c>
      <c r="Y58" s="72" t="e">
        <f t="shared" ca="1" si="42"/>
        <v>#REF!</v>
      </c>
    </row>
    <row r="59" spans="15:25" hidden="1" x14ac:dyDescent="0.2"/>
    <row r="60" spans="15:25" hidden="1" x14ac:dyDescent="0.2">
      <c r="O60" t="s">
        <v>322</v>
      </c>
      <c r="P60" s="72" t="e">
        <f>+P48-P54</f>
        <v>#REF!</v>
      </c>
      <c r="Q60" s="72">
        <f t="shared" ref="Q60:Y60" si="44">+Q48-Q54</f>
        <v>0</v>
      </c>
      <c r="R60" s="72" t="e">
        <f>+R48-R54</f>
        <v>#REF!</v>
      </c>
      <c r="S60" s="72" t="e">
        <f>+T48-S54</f>
        <v>#REF!</v>
      </c>
      <c r="T60" s="72" t="e">
        <f>+S48-T54</f>
        <v>#REF!</v>
      </c>
      <c r="U60" s="72" t="e">
        <f t="shared" si="44"/>
        <v>#REF!</v>
      </c>
      <c r="V60" s="72" t="e">
        <f t="shared" ca="1" si="44"/>
        <v>#REF!</v>
      </c>
      <c r="W60" s="72" t="e">
        <f ca="1">+X48-W54</f>
        <v>#REF!</v>
      </c>
      <c r="X60" s="72" t="e">
        <f ca="1">+W48-X54</f>
        <v>#REF!</v>
      </c>
      <c r="Y60" s="72" t="e">
        <f t="shared" ca="1" si="44"/>
        <v>#REF!</v>
      </c>
    </row>
    <row r="61" spans="15:25" hidden="1" x14ac:dyDescent="0.2">
      <c r="O61" t="s">
        <v>323</v>
      </c>
      <c r="P61" s="72" t="e">
        <f t="shared" ref="P61:Y61" si="45">+P49-P55</f>
        <v>#REF!</v>
      </c>
      <c r="Q61" s="72">
        <f t="shared" si="45"/>
        <v>0</v>
      </c>
      <c r="R61" s="72" t="e">
        <f t="shared" si="45"/>
        <v>#REF!</v>
      </c>
      <c r="S61" s="72" t="e">
        <f t="shared" ref="S61:S64" si="46">+T49-S55</f>
        <v>#REF!</v>
      </c>
      <c r="T61" s="72" t="e">
        <f t="shared" ref="T61:T64" si="47">+S49-T55</f>
        <v>#REF!</v>
      </c>
      <c r="U61" s="72" t="e">
        <f t="shared" ref="U61:V61" si="48">+U49-U55</f>
        <v>#REF!</v>
      </c>
      <c r="V61" s="72" t="e">
        <f t="shared" ca="1" si="48"/>
        <v>#REF!</v>
      </c>
      <c r="W61" s="72" t="e">
        <f t="shared" ref="W61:W64" ca="1" si="49">+X49-W55</f>
        <v>#REF!</v>
      </c>
      <c r="X61" s="72" t="e">
        <f t="shared" ref="X61:X64" ca="1" si="50">+W49-X55</f>
        <v>#REF!</v>
      </c>
      <c r="Y61" s="72" t="e">
        <f t="shared" ca="1" si="45"/>
        <v>#REF!</v>
      </c>
    </row>
    <row r="62" spans="15:25" hidden="1" x14ac:dyDescent="0.2">
      <c r="O62" t="s">
        <v>324</v>
      </c>
      <c r="P62" s="72" t="e">
        <f t="shared" ref="P62:Y62" si="51">+P50-P56</f>
        <v>#REF!</v>
      </c>
      <c r="Q62" s="72">
        <f t="shared" si="51"/>
        <v>0</v>
      </c>
      <c r="R62" s="72" t="e">
        <f t="shared" si="51"/>
        <v>#REF!</v>
      </c>
      <c r="S62" s="72" t="e">
        <f t="shared" si="46"/>
        <v>#REF!</v>
      </c>
      <c r="T62" s="72" t="e">
        <f t="shared" si="47"/>
        <v>#REF!</v>
      </c>
      <c r="U62" s="72" t="e">
        <f t="shared" ref="U62:V62" si="52">+U50-U56</f>
        <v>#REF!</v>
      </c>
      <c r="V62" s="72" t="e">
        <f t="shared" ca="1" si="52"/>
        <v>#REF!</v>
      </c>
      <c r="W62" s="72" t="e">
        <f t="shared" ca="1" si="49"/>
        <v>#REF!</v>
      </c>
      <c r="X62" s="72" t="e">
        <f t="shared" ca="1" si="50"/>
        <v>#REF!</v>
      </c>
      <c r="Y62" s="72" t="e">
        <f t="shared" ca="1" si="51"/>
        <v>#REF!</v>
      </c>
    </row>
    <row r="63" spans="15:25" hidden="1" x14ac:dyDescent="0.2">
      <c r="O63" t="s">
        <v>325</v>
      </c>
      <c r="P63" s="72" t="e">
        <f t="shared" ref="P63:Y63" si="53">+P51-P57</f>
        <v>#REF!</v>
      </c>
      <c r="Q63" s="72">
        <f t="shared" si="53"/>
        <v>0</v>
      </c>
      <c r="R63" s="72" t="e">
        <f t="shared" si="53"/>
        <v>#REF!</v>
      </c>
      <c r="S63" s="72" t="e">
        <f t="shared" si="46"/>
        <v>#REF!</v>
      </c>
      <c r="T63" s="72" t="e">
        <f t="shared" si="47"/>
        <v>#REF!</v>
      </c>
      <c r="U63" s="72" t="e">
        <f t="shared" ref="U63:V63" si="54">+U51-U57</f>
        <v>#REF!</v>
      </c>
      <c r="V63" s="72" t="e">
        <f t="shared" ca="1" si="54"/>
        <v>#REF!</v>
      </c>
      <c r="W63" s="72" t="e">
        <f t="shared" ca="1" si="49"/>
        <v>#REF!</v>
      </c>
      <c r="X63" s="72" t="e">
        <f t="shared" ca="1" si="50"/>
        <v>#REF!</v>
      </c>
      <c r="Y63" s="72" t="e">
        <f t="shared" ca="1" si="53"/>
        <v>#REF!</v>
      </c>
    </row>
    <row r="64" spans="15:25" hidden="1" x14ac:dyDescent="0.2">
      <c r="O64" t="s">
        <v>326</v>
      </c>
      <c r="P64" s="72" t="e">
        <f t="shared" ref="P64:Y64" si="55">+P52-P58</f>
        <v>#REF!</v>
      </c>
      <c r="Q64" s="72">
        <f t="shared" si="55"/>
        <v>0</v>
      </c>
      <c r="R64" s="72" t="e">
        <f t="shared" si="55"/>
        <v>#REF!</v>
      </c>
      <c r="S64" s="72" t="e">
        <f t="shared" si="46"/>
        <v>#REF!</v>
      </c>
      <c r="T64" s="72" t="e">
        <f t="shared" si="47"/>
        <v>#REF!</v>
      </c>
      <c r="U64" s="72" t="e">
        <f t="shared" ref="U64:V64" si="56">+U52-U58</f>
        <v>#REF!</v>
      </c>
      <c r="V64" s="72" t="e">
        <f t="shared" ca="1" si="56"/>
        <v>#REF!</v>
      </c>
      <c r="W64" s="72" t="e">
        <f t="shared" ca="1" si="49"/>
        <v>#REF!</v>
      </c>
      <c r="X64" s="72" t="e">
        <f t="shared" ca="1" si="50"/>
        <v>#REF!</v>
      </c>
      <c r="Y64" s="72" t="e">
        <f t="shared" ca="1" si="55"/>
        <v>#REF!</v>
      </c>
    </row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idden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  <row r="85" hidden="1" x14ac:dyDescent="0.2"/>
    <row r="86" hidden="1" x14ac:dyDescent="0.2"/>
    <row r="87" hidden="1" x14ac:dyDescent="0.2"/>
    <row r="88" hidden="1" x14ac:dyDescent="0.2"/>
    <row r="89" hidden="1" x14ac:dyDescent="0.2"/>
    <row r="90" hidden="1" x14ac:dyDescent="0.2"/>
    <row r="91" hidden="1" x14ac:dyDescent="0.2"/>
    <row r="92" hidden="1" x14ac:dyDescent="0.2"/>
    <row r="93" hidden="1" x14ac:dyDescent="0.2"/>
    <row r="94" hidden="1" x14ac:dyDescent="0.2"/>
    <row r="95" hidden="1" x14ac:dyDescent="0.2"/>
    <row r="9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</sheetData>
  <sheetProtection password="CA38" sheet="1" objects="1" scenarios="1"/>
  <mergeCells count="16">
    <mergeCell ref="A1:D1"/>
    <mergeCell ref="E1:L1"/>
    <mergeCell ref="A2:A3"/>
    <mergeCell ref="B2:B3"/>
    <mergeCell ref="C2:C3"/>
    <mergeCell ref="D2:D3"/>
    <mergeCell ref="E2:H2"/>
    <mergeCell ref="I2:L2"/>
    <mergeCell ref="N1:Q1"/>
    <mergeCell ref="R1:Y1"/>
    <mergeCell ref="N2:N3"/>
    <mergeCell ref="O2:O3"/>
    <mergeCell ref="P2:P3"/>
    <mergeCell ref="Q2:Q3"/>
    <mergeCell ref="R2:U2"/>
    <mergeCell ref="V2:Y2"/>
  </mergeCells>
  <phoneticPr fontId="242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5">
    <pageSetUpPr fitToPage="1"/>
  </sheetPr>
  <dimension ref="A1:F13"/>
  <sheetViews>
    <sheetView workbookViewId="0"/>
  </sheetViews>
  <sheetFormatPr baseColWidth="10" defaultColWidth="11.42578125" defaultRowHeight="12.75" x14ac:dyDescent="0.2"/>
  <cols>
    <col min="1" max="1" width="46.5703125" style="9" customWidth="1"/>
    <col min="2" max="2" width="14.5703125" style="9" customWidth="1"/>
    <col min="3" max="9" width="12.5703125" style="9" customWidth="1"/>
    <col min="10" max="10" width="1.42578125" style="9" customWidth="1"/>
    <col min="11" max="16384" width="11.42578125" style="9"/>
  </cols>
  <sheetData>
    <row r="1" spans="1:6" ht="23.25" x14ac:dyDescent="0.35">
      <c r="A1" s="29" t="s">
        <v>985</v>
      </c>
    </row>
    <row r="3" spans="1:6" ht="15.75" x14ac:dyDescent="0.25">
      <c r="A3" s="18" t="s">
        <v>986</v>
      </c>
    </row>
    <row r="4" spans="1:6" ht="15.75" x14ac:dyDescent="0.25">
      <c r="A4" s="18"/>
    </row>
    <row r="5" spans="1:6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6" x14ac:dyDescent="0.2">
      <c r="A6" s="34" t="s">
        <v>988</v>
      </c>
      <c r="B6" s="35">
        <f>'Compra -HOJA1'!F4</f>
        <v>45536</v>
      </c>
      <c r="C6" s="36"/>
      <c r="D6" s="36"/>
    </row>
    <row r="7" spans="1:6" ht="16.5" thickBot="1" x14ac:dyDescent="0.3">
      <c r="A7" s="18"/>
      <c r="B7" s="37"/>
    </row>
    <row r="8" spans="1:6" x14ac:dyDescent="0.2">
      <c r="A8" s="5665" t="s">
        <v>268</v>
      </c>
      <c r="B8" s="5667" t="s">
        <v>989</v>
      </c>
      <c r="C8" s="5667"/>
      <c r="D8" s="5667"/>
      <c r="E8" s="5668"/>
    </row>
    <row r="9" spans="1:6" x14ac:dyDescent="0.2">
      <c r="A9" s="5666"/>
      <c r="B9" s="38" t="s">
        <v>287</v>
      </c>
      <c r="C9" s="38" t="s">
        <v>289</v>
      </c>
      <c r="D9" s="38" t="s">
        <v>288</v>
      </c>
      <c r="E9" s="39" t="s">
        <v>290</v>
      </c>
    </row>
    <row r="10" spans="1:6" x14ac:dyDescent="0.2">
      <c r="A10" s="40">
        <f>'CAMMESA-SECCION I'!C7</f>
        <v>0</v>
      </c>
      <c r="B10" s="41" t="s">
        <v>990</v>
      </c>
      <c r="C10" s="41">
        <f ca="1">IF('Compra -HOJA1'!Q290=0,0,'Compra -HOJA1'!Q290)/1000</f>
        <v>0</v>
      </c>
      <c r="D10" s="41">
        <f ca="1">IF('Compra -HOJA1'!P290=0,0,'Compra -HOJA1'!P290)/1000</f>
        <v>0</v>
      </c>
      <c r="E10" s="42">
        <f ca="1">SUM(B10:D10)</f>
        <v>0</v>
      </c>
    </row>
    <row r="11" spans="1:6" x14ac:dyDescent="0.2">
      <c r="A11" s="33">
        <f>'Compra -HOJA1'!D2</f>
        <v>0</v>
      </c>
      <c r="B11" s="33" t="e">
        <f ca="1">'SECCION I-II'!F15/1000</f>
        <v>#REF!</v>
      </c>
      <c r="C11" s="33" t="e">
        <f ca="1">'SECCION I-II'!G15/1000</f>
        <v>#REF!</v>
      </c>
      <c r="D11" s="33" t="e">
        <f ca="1">'SECCION I-II'!H15/1000</f>
        <v>#REF!</v>
      </c>
      <c r="E11" s="33" t="e">
        <f ca="1">SUM(B11:D11)</f>
        <v>#REF!</v>
      </c>
      <c r="F11" s="830" t="s">
        <v>991</v>
      </c>
    </row>
    <row r="12" spans="1:6" x14ac:dyDescent="0.2">
      <c r="A12" s="33">
        <f>'Compra -HOJA1'!D3</f>
        <v>0</v>
      </c>
      <c r="B12" s="33">
        <f>'SECCION I-II'!F17/1000</f>
        <v>0</v>
      </c>
      <c r="C12" s="33">
        <f>'SECCION I-II'!G17/1000</f>
        <v>0</v>
      </c>
      <c r="D12" s="33">
        <f>'SECCION I-II'!H17/1000</f>
        <v>0</v>
      </c>
      <c r="E12" s="33">
        <f>SUM(B12:D12)</f>
        <v>0</v>
      </c>
      <c r="F12" s="830" t="s">
        <v>992</v>
      </c>
    </row>
    <row r="13" spans="1:6" x14ac:dyDescent="0.2">
      <c r="B13" s="33" t="e">
        <f ca="1">B12+B11</f>
        <v>#REF!</v>
      </c>
      <c r="C13" s="33" t="e">
        <f ca="1">C12+C11</f>
        <v>#REF!</v>
      </c>
      <c r="D13" s="33" t="e">
        <f ca="1">D12+D11</f>
        <v>#REF!</v>
      </c>
      <c r="E13" s="33" t="e">
        <f ca="1">E12+E11</f>
        <v>#REF!</v>
      </c>
      <c r="F13" s="830" t="s">
        <v>4</v>
      </c>
    </row>
  </sheetData>
  <mergeCells count="3">
    <mergeCell ref="B5:F5"/>
    <mergeCell ref="A8:A9"/>
    <mergeCell ref="B8:E8"/>
  </mergeCells>
  <phoneticPr fontId="7" type="noConversion"/>
  <pageMargins left="0.75" right="0.75" top="1" bottom="1" header="0" footer="0"/>
  <pageSetup paperSize="9" orientation="landscape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6">
    <pageSetUpPr fitToPage="1"/>
  </sheetPr>
  <dimension ref="A1:G23"/>
  <sheetViews>
    <sheetView workbookViewId="0"/>
  </sheetViews>
  <sheetFormatPr baseColWidth="10" defaultColWidth="11.42578125" defaultRowHeight="12.75" x14ac:dyDescent="0.2"/>
  <cols>
    <col min="1" max="1" width="45.42578125" style="9" customWidth="1"/>
    <col min="2" max="2" width="14.5703125" style="9" customWidth="1"/>
    <col min="3" max="9" width="12.5703125" style="9" customWidth="1"/>
    <col min="10" max="10" width="1.42578125" style="9" customWidth="1"/>
    <col min="11" max="16384" width="11.42578125" style="9"/>
  </cols>
  <sheetData>
    <row r="1" spans="1:6" ht="23.25" x14ac:dyDescent="0.35">
      <c r="A1" s="29" t="s">
        <v>985</v>
      </c>
    </row>
    <row r="3" spans="1:6" ht="15.75" x14ac:dyDescent="0.25">
      <c r="A3" s="18" t="s">
        <v>993</v>
      </c>
    </row>
    <row r="4" spans="1:6" ht="15.75" x14ac:dyDescent="0.25">
      <c r="A4" s="18"/>
    </row>
    <row r="5" spans="1:6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6" x14ac:dyDescent="0.2">
      <c r="A6" s="34" t="s">
        <v>988</v>
      </c>
      <c r="B6" s="35">
        <f>'Compra -HOJA1'!F4</f>
        <v>45536</v>
      </c>
      <c r="C6" s="36"/>
      <c r="D6" s="36"/>
    </row>
    <row r="7" spans="1:6" ht="16.5" thickBot="1" x14ac:dyDescent="0.3">
      <c r="A7" s="18"/>
      <c r="B7" s="37"/>
    </row>
    <row r="8" spans="1:6" x14ac:dyDescent="0.2">
      <c r="A8" s="5665" t="s">
        <v>268</v>
      </c>
      <c r="B8" s="5667" t="s">
        <v>989</v>
      </c>
      <c r="C8" s="5667"/>
      <c r="D8" s="5667"/>
      <c r="E8" s="5668"/>
    </row>
    <row r="9" spans="1:6" x14ac:dyDescent="0.2">
      <c r="A9" s="5666"/>
      <c r="B9" s="38" t="s">
        <v>287</v>
      </c>
      <c r="C9" s="38" t="s">
        <v>289</v>
      </c>
      <c r="D9" s="38" t="s">
        <v>288</v>
      </c>
      <c r="E9" s="39" t="s">
        <v>290</v>
      </c>
    </row>
    <row r="10" spans="1:6" x14ac:dyDescent="0.2">
      <c r="A10" s="80"/>
      <c r="B10" s="38"/>
      <c r="C10" s="38"/>
      <c r="D10" s="38"/>
      <c r="E10" s="39"/>
    </row>
    <row r="11" spans="1:6" x14ac:dyDescent="0.2">
      <c r="A11" s="40">
        <f>'CAMMESA-SECCION I'!C7</f>
        <v>0</v>
      </c>
      <c r="B11" s="41">
        <f ca="1">IF(SUM('Compra -HOJA1'!O291:O291)=0,0,SUM('Compra -HOJA1'!O291:O291))/1000</f>
        <v>0</v>
      </c>
      <c r="C11" s="41">
        <f ca="1">IF(SUM('Compra -HOJA1'!Q291:Q291)=0,0,SUM('Compra -HOJA1'!Q291:Q291))/1000</f>
        <v>0</v>
      </c>
      <c r="D11" s="41">
        <f ca="1">IF(SUM('Compra -HOJA1'!P291:P291)=0,0,SUM('Compra -HOJA1'!P291:P291))/1000</f>
        <v>0</v>
      </c>
      <c r="E11" s="42">
        <f t="shared" ref="E11:E22" ca="1" si="0">SUM(B11:D11)</f>
        <v>0</v>
      </c>
      <c r="F11" s="9" t="s">
        <v>323</v>
      </c>
    </row>
    <row r="12" spans="1:6" x14ac:dyDescent="0.2">
      <c r="A12" s="40"/>
      <c r="B12" s="41">
        <f ca="1">IF(SUM('Compra -HOJA1'!O295:O295)=0,0,SUM('Compra -HOJA1'!O295:O295))/1000</f>
        <v>0</v>
      </c>
      <c r="C12" s="41">
        <f ca="1">IF(SUM('Compra -HOJA1'!Q295:Q295)=0,0,SUM('Compra -HOJA1'!Q295:Q295))/1000</f>
        <v>0</v>
      </c>
      <c r="D12" s="41">
        <f ca="1">IF(SUM('Compra -HOJA1'!P295:P295)=0,0,SUM('Compra -HOJA1'!P295:P295))/1000</f>
        <v>0</v>
      </c>
      <c r="E12" s="42">
        <f ca="1">SUM(B12:D12)</f>
        <v>0</v>
      </c>
    </row>
    <row r="13" spans="1:6" x14ac:dyDescent="0.2">
      <c r="A13" s="40">
        <f>A11</f>
        <v>0</v>
      </c>
      <c r="B13" s="41">
        <f ca="1">IF(SUM('Compra -HOJA1'!O305:O305)=0,0,SUM('Compra -HOJA1'!O305:O305))/1000</f>
        <v>0</v>
      </c>
      <c r="C13" s="41">
        <f ca="1">IF(SUM('Compra -HOJA1'!Q305:Q305)=0,0,SUM('Compra -HOJA1'!Q305:Q305))/1000</f>
        <v>0</v>
      </c>
      <c r="D13" s="41">
        <f ca="1">IF(SUM('Compra -HOJA1'!P305:P305)=0,0,SUM('Compra -HOJA1'!P305:P305))/1000</f>
        <v>0</v>
      </c>
      <c r="E13" s="42">
        <f t="shared" ca="1" si="0"/>
        <v>0</v>
      </c>
      <c r="F13" s="9" t="s">
        <v>324</v>
      </c>
    </row>
    <row r="14" spans="1:6" x14ac:dyDescent="0.2">
      <c r="A14" s="40"/>
      <c r="B14" s="41" t="e">
        <f>IF(SUM('Compra -HOJA1'!#REF!)=0,0,SUM('Compra -HOJA1'!#REF!))/1000</f>
        <v>#REF!</v>
      </c>
      <c r="C14" s="41" t="e">
        <f>IF(SUM('Compra -HOJA1'!#REF!)=0,0,SUM('Compra -HOJA1'!#REF!))/1000</f>
        <v>#REF!</v>
      </c>
      <c r="D14" s="41" t="e">
        <f>IF(SUM('Compra -HOJA1'!#REF!)=0,0,SUM('Compra -HOJA1'!#REF!))/1000</f>
        <v>#REF!</v>
      </c>
      <c r="E14" s="42" t="e">
        <f>SUM(B14:D14)</f>
        <v>#REF!</v>
      </c>
    </row>
    <row r="15" spans="1:6" x14ac:dyDescent="0.2">
      <c r="A15" s="40">
        <f>A13</f>
        <v>0</v>
      </c>
      <c r="B15" s="41" t="e">
        <f>IF(SUM('Compra -HOJA1'!#REF!)=0,0,SUM('Compra -HOJA1'!#REF!))/1000</f>
        <v>#REF!</v>
      </c>
      <c r="C15" s="41" t="e">
        <f>IF(SUM('Compra -HOJA1'!#REF!)=0,0,SUM('Compra -HOJA1'!#REF!))/1000</f>
        <v>#REF!</v>
      </c>
      <c r="D15" s="41" t="e">
        <f>IF(SUM('Compra -HOJA1'!#REF!)=0,0,SUM('Compra -HOJA1'!#REF!))/1000</f>
        <v>#REF!</v>
      </c>
      <c r="E15" s="42" t="e">
        <f t="shared" si="0"/>
        <v>#REF!</v>
      </c>
      <c r="F15" s="9" t="s">
        <v>325</v>
      </c>
    </row>
    <row r="16" spans="1:6" x14ac:dyDescent="0.2">
      <c r="A16" s="40"/>
      <c r="B16" s="41" t="e">
        <f>IF(SUM('Compra -HOJA1'!#REF!)=0,0,SUM('Compra -HOJA1'!#REF!))/1000</f>
        <v>#REF!</v>
      </c>
      <c r="C16" s="41" t="e">
        <f>IF(SUM('Compra -HOJA1'!#REF!)=0,0,SUM('Compra -HOJA1'!#REF!))/1000</f>
        <v>#REF!</v>
      </c>
      <c r="D16" s="41" t="e">
        <f>IF(SUM('Compra -HOJA1'!#REF!)=0,0,SUM('Compra -HOJA1'!#REF!))/1000</f>
        <v>#REF!</v>
      </c>
      <c r="E16" s="42" t="e">
        <f>SUM(B16:D16)</f>
        <v>#REF!</v>
      </c>
    </row>
    <row r="17" spans="1:7" x14ac:dyDescent="0.2">
      <c r="A17" s="40">
        <f>A15</f>
        <v>0</v>
      </c>
      <c r="B17" s="41" t="e">
        <f>IF(SUM('Compra -HOJA1'!#REF!)=0,0,SUM('Compra -HOJA1'!#REF!))/1000</f>
        <v>#REF!</v>
      </c>
      <c r="C17" s="41" t="e">
        <f>IF(SUM('Compra -HOJA1'!#REF!)=0,0,SUM('Compra -HOJA1'!#REF!))/1000</f>
        <v>#REF!</v>
      </c>
      <c r="D17" s="41" t="e">
        <f>IF(SUM('Compra -HOJA1'!#REF!)=0,0,SUM('Compra -HOJA1'!#REF!))/1000</f>
        <v>#REF!</v>
      </c>
      <c r="E17" s="42" t="e">
        <f>SUM(B17:D17)</f>
        <v>#REF!</v>
      </c>
      <c r="F17" s="9" t="s">
        <v>326</v>
      </c>
    </row>
    <row r="18" spans="1:7" x14ac:dyDescent="0.2">
      <c r="A18" s="40"/>
      <c r="B18" s="41" t="e">
        <f>IF(SUM('Compra -HOJA1'!#REF!)=0,0,SUM('Compra -HOJA1'!#REF!))/1000</f>
        <v>#REF!</v>
      </c>
      <c r="C18" s="41" t="e">
        <f>IF(SUM('Compra -HOJA1'!#REF!)=0,0,SUM('Compra -HOJA1'!#REF!))/1000</f>
        <v>#REF!</v>
      </c>
      <c r="D18" s="41" t="e">
        <f>IF(SUM('Compra -HOJA1'!#REF!)=0,0,SUM('Compra -HOJA1'!#REF!))/1000</f>
        <v>#REF!</v>
      </c>
      <c r="E18" s="42" t="e">
        <f>SUM(B18:D18)</f>
        <v>#REF!</v>
      </c>
    </row>
    <row r="19" spans="1:7" x14ac:dyDescent="0.2">
      <c r="A19" s="40">
        <f>'CAMMESA-SECCION I'!C7</f>
        <v>0</v>
      </c>
      <c r="B19" s="41" t="e">
        <f>IF('Compra -HOJA1'!#REF!=0,0,'Compra -HOJA1'!#REF!)/1000</f>
        <v>#REF!</v>
      </c>
      <c r="C19" s="41" t="e">
        <f>IF('Compra -HOJA1'!#REF!=0,0,'Compra -HOJA1'!#REF!)/1000</f>
        <v>#REF!</v>
      </c>
      <c r="D19" s="41" t="e">
        <f>IF('Compra -HOJA1'!#REF!=0,0,'Compra -HOJA1'!#REF!)/1000</f>
        <v>#REF!</v>
      </c>
      <c r="E19" s="42" t="e">
        <f t="shared" si="0"/>
        <v>#REF!</v>
      </c>
      <c r="F19" s="830" t="s">
        <v>22</v>
      </c>
      <c r="G19" s="9" t="s">
        <v>565</v>
      </c>
    </row>
    <row r="20" spans="1:7" x14ac:dyDescent="0.2">
      <c r="A20" s="95"/>
      <c r="B20" s="41" t="e">
        <f>IF('Compra -HOJA1'!#REF!=0,0,'Compra -HOJA1'!#REF!)/1000</f>
        <v>#REF!</v>
      </c>
      <c r="C20" s="41" t="e">
        <f>IF('Compra -HOJA1'!#REF!=0,0,'Compra -HOJA1'!#REF!)/1000</f>
        <v>#REF!</v>
      </c>
      <c r="D20" s="41" t="e">
        <f>IF('Compra -HOJA1'!#REF!=0,0,'Compra -HOJA1'!#REF!)/1000</f>
        <v>#REF!</v>
      </c>
      <c r="E20" s="42" t="e">
        <f>SUM(B20:D20)</f>
        <v>#REF!</v>
      </c>
      <c r="F20" s="830"/>
    </row>
    <row r="21" spans="1:7" x14ac:dyDescent="0.2">
      <c r="A21" s="33">
        <f>'Compra -HOJA1'!D2</f>
        <v>0</v>
      </c>
      <c r="B21" s="33">
        <f>'SECCION I-II'!F17/1000</f>
        <v>0</v>
      </c>
      <c r="C21" s="33">
        <f>'SECCION I-II'!G17/1000</f>
        <v>0</v>
      </c>
      <c r="D21" s="33">
        <f>'SECCION I-II'!H17/1000</f>
        <v>0</v>
      </c>
      <c r="E21" s="33">
        <f t="shared" si="0"/>
        <v>0</v>
      </c>
      <c r="F21" s="9" t="s">
        <v>323</v>
      </c>
      <c r="G21" s="9" t="s">
        <v>994</v>
      </c>
    </row>
    <row r="22" spans="1:7" x14ac:dyDescent="0.2">
      <c r="A22" s="33">
        <f>'Compra -HOJA1'!D2</f>
        <v>0</v>
      </c>
      <c r="B22" s="33">
        <f>'SECCION I-II'!F195/1000</f>
        <v>0</v>
      </c>
      <c r="C22" s="33">
        <f>'SECCION I-II'!G195/1000</f>
        <v>0</v>
      </c>
      <c r="D22" s="33">
        <f>'SECCION I-II'!H195/1000</f>
        <v>0</v>
      </c>
      <c r="E22" s="33">
        <f t="shared" si="0"/>
        <v>0</v>
      </c>
      <c r="F22" s="9" t="s">
        <v>323</v>
      </c>
      <c r="G22" s="9" t="s">
        <v>565</v>
      </c>
    </row>
    <row r="23" spans="1:7" x14ac:dyDescent="0.2">
      <c r="A23" s="33">
        <f>'Compra -HOJA1'!D2</f>
        <v>0</v>
      </c>
      <c r="B23" s="9">
        <f>B22+B21</f>
        <v>0</v>
      </c>
      <c r="C23" s="9">
        <f>C22+C21</f>
        <v>0</v>
      </c>
      <c r="D23" s="9">
        <f>D22+D21</f>
        <v>0</v>
      </c>
      <c r="E23" s="9">
        <f>E22+E21</f>
        <v>0</v>
      </c>
    </row>
  </sheetData>
  <mergeCells count="3">
    <mergeCell ref="B5:F5"/>
    <mergeCell ref="A8:A9"/>
    <mergeCell ref="B8:E8"/>
  </mergeCells>
  <phoneticPr fontId="7" type="noConversion"/>
  <pageMargins left="0.75" right="0.75" top="1" bottom="1" header="0" footer="0"/>
  <pageSetup paperSize="9" orientation="landscape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7">
    <pageSetUpPr fitToPage="1"/>
  </sheetPr>
  <dimension ref="A1:F14"/>
  <sheetViews>
    <sheetView workbookViewId="0">
      <selection activeCell="B10" sqref="B10"/>
    </sheetView>
  </sheetViews>
  <sheetFormatPr baseColWidth="10" defaultColWidth="11.42578125" defaultRowHeight="12.75" x14ac:dyDescent="0.2"/>
  <cols>
    <col min="1" max="1" width="44.42578125" style="9" customWidth="1"/>
    <col min="2" max="2" width="14.5703125" style="9" customWidth="1"/>
    <col min="3" max="9" width="12.5703125" style="9" customWidth="1"/>
    <col min="10" max="10" width="1.42578125" style="9" customWidth="1"/>
    <col min="11" max="16384" width="11.42578125" style="9"/>
  </cols>
  <sheetData>
    <row r="1" spans="1:6" ht="23.25" x14ac:dyDescent="0.35">
      <c r="A1" s="29" t="s">
        <v>995</v>
      </c>
    </row>
    <row r="3" spans="1:6" ht="15.75" x14ac:dyDescent="0.25">
      <c r="A3" s="18" t="s">
        <v>996</v>
      </c>
    </row>
    <row r="4" spans="1:6" ht="15.75" x14ac:dyDescent="0.25">
      <c r="A4" s="18"/>
    </row>
    <row r="5" spans="1:6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6" x14ac:dyDescent="0.2">
      <c r="A6" s="34" t="s">
        <v>988</v>
      </c>
      <c r="B6" s="35">
        <f>'Compra -HOJA1'!F4</f>
        <v>45536</v>
      </c>
      <c r="C6" s="36"/>
      <c r="D6" s="36"/>
    </row>
    <row r="7" spans="1:6" ht="15.75" x14ac:dyDescent="0.25">
      <c r="A7" s="18"/>
    </row>
    <row r="8" spans="1:6" x14ac:dyDescent="0.2">
      <c r="A8" s="5669" t="s">
        <v>268</v>
      </c>
      <c r="B8" s="5671" t="s">
        <v>989</v>
      </c>
      <c r="C8" s="5671"/>
      <c r="D8" s="5671"/>
      <c r="E8" s="5671"/>
    </row>
    <row r="9" spans="1:6" x14ac:dyDescent="0.2">
      <c r="A9" s="5670"/>
      <c r="B9" s="38" t="s">
        <v>287</v>
      </c>
      <c r="C9" s="38" t="s">
        <v>289</v>
      </c>
      <c r="D9" s="38" t="s">
        <v>288</v>
      </c>
      <c r="E9" s="38" t="s">
        <v>290</v>
      </c>
    </row>
    <row r="10" spans="1:6" x14ac:dyDescent="0.2">
      <c r="A10" s="33">
        <f>'CAMMESA-SECCION I'!C7</f>
        <v>0</v>
      </c>
      <c r="B10" s="41">
        <f ca="1">IF(('Compra -HOJA1'!O379)=0,0,'Compra -HOJA1'!O379)/1000</f>
        <v>0</v>
      </c>
      <c r="C10" s="41">
        <f ca="1">IF(('Compra -HOJA1'!Q379)=0,0,'Compra -HOJA1'!Q379)/1000</f>
        <v>0</v>
      </c>
      <c r="D10" s="41">
        <f ca="1">IF(('Compra -HOJA1'!P379)=0,0,'Compra -HOJA1'!P379)/1000</f>
        <v>0</v>
      </c>
      <c r="E10" s="41">
        <f ca="1">SUM(B10:D10)</f>
        <v>0</v>
      </c>
      <c r="F10" s="830" t="s">
        <v>21</v>
      </c>
    </row>
    <row r="11" spans="1:6" x14ac:dyDescent="0.2">
      <c r="A11" s="33">
        <f>'CAMMESA-SECCION I'!C8</f>
        <v>45536</v>
      </c>
      <c r="B11" s="41" t="e">
        <f>IF(('Compra -HOJA1'!#REF!)=0,0,'Compra -HOJA1'!#REF!)/1000</f>
        <v>#REF!</v>
      </c>
      <c r="C11" s="41" t="e">
        <f>IF(('Compra -HOJA1'!#REF!)=0,0,'Compra -HOJA1'!#REF!)/1000</f>
        <v>#REF!</v>
      </c>
      <c r="D11" s="41" t="e">
        <f>IF(('Compra -HOJA1'!#REF!)=0,0,'Compra -HOJA1'!#REF!)/1000</f>
        <v>#REF!</v>
      </c>
      <c r="E11" s="41" t="e">
        <f>SUM(B11:D11)</f>
        <v>#REF!</v>
      </c>
      <c r="F11" s="830"/>
    </row>
    <row r="12" spans="1:6" x14ac:dyDescent="0.2">
      <c r="A12" s="33">
        <f>A10</f>
        <v>0</v>
      </c>
      <c r="B12" s="41">
        <f ca="1">IF(('Compra -HOJA1'!O381)=0,0,'Compra -HOJA1'!O381)/1000</f>
        <v>0</v>
      </c>
      <c r="C12" s="41">
        <f ca="1">IF(('Compra -HOJA1'!Q381)=0,0,'Compra -HOJA1'!Q381)/1000</f>
        <v>0</v>
      </c>
      <c r="D12" s="41">
        <f ca="1">IF(('Compra -HOJA1'!P381)=0,0,'Compra -HOJA1'!P381)/1000</f>
        <v>0</v>
      </c>
      <c r="E12" s="41">
        <f ca="1">SUM(B12:D12)</f>
        <v>0</v>
      </c>
      <c r="F12" s="830" t="s">
        <v>71</v>
      </c>
    </row>
    <row r="13" spans="1:6" x14ac:dyDescent="0.2">
      <c r="A13" s="33">
        <f>A11</f>
        <v>45536</v>
      </c>
      <c r="B13" s="41" t="e">
        <f>IF(('Compra -HOJA1'!#REF!)=0,0,'Compra -HOJA1'!#REF!)/1000</f>
        <v>#REF!</v>
      </c>
      <c r="C13" s="41" t="e">
        <f>IF(('Compra -HOJA1'!#REF!)=0,0,'Compra -HOJA1'!#REF!)/1000</f>
        <v>#REF!</v>
      </c>
      <c r="D13" s="41" t="e">
        <f>IF(('Compra -HOJA1'!#REF!)=0,0,'Compra -HOJA1'!#REF!)/1000</f>
        <v>#REF!</v>
      </c>
      <c r="E13" s="41" t="e">
        <f>SUM(B13:D13)</f>
        <v>#REF!</v>
      </c>
      <c r="F13" s="830"/>
    </row>
    <row r="14" spans="1:6" x14ac:dyDescent="0.2">
      <c r="A14" s="33">
        <f>'Compra -HOJA1'!D2</f>
        <v>0</v>
      </c>
      <c r="B14" s="33" t="e">
        <f>'SECCION I-II'!F61/1000</f>
        <v>#REF!</v>
      </c>
      <c r="C14" s="33" t="e">
        <f>'SECCION I-II'!G61/1000</f>
        <v>#REF!</v>
      </c>
      <c r="D14" s="33" t="e">
        <f>'SECCION I-II'!H61/1000</f>
        <v>#REF!</v>
      </c>
      <c r="E14" s="33" t="e">
        <f>SUM(B14:D14)</f>
        <v>#REF!</v>
      </c>
    </row>
  </sheetData>
  <mergeCells count="3">
    <mergeCell ref="B5:F5"/>
    <mergeCell ref="A8:A9"/>
    <mergeCell ref="B8:E8"/>
  </mergeCells>
  <phoneticPr fontId="7" type="noConversion"/>
  <pageMargins left="0.75" right="0.75" top="1" bottom="1" header="0" footer="0"/>
  <pageSetup paperSize="9" orientation="landscape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8">
    <pageSetUpPr fitToPage="1"/>
  </sheetPr>
  <dimension ref="A1:M43"/>
  <sheetViews>
    <sheetView workbookViewId="0"/>
  </sheetViews>
  <sheetFormatPr baseColWidth="10" defaultColWidth="11.42578125" defaultRowHeight="12.75" x14ac:dyDescent="0.2"/>
  <cols>
    <col min="1" max="1" width="39.42578125" style="9" customWidth="1"/>
    <col min="2" max="2" width="14.5703125" style="9" customWidth="1"/>
    <col min="3" max="4" width="13.42578125" style="9" customWidth="1"/>
    <col min="5" max="12" width="11.5703125" style="9" customWidth="1"/>
    <col min="13" max="13" width="1.42578125" style="9" customWidth="1"/>
    <col min="14" max="16384" width="11.42578125" style="9"/>
  </cols>
  <sheetData>
    <row r="1" spans="1:13" ht="23.25" x14ac:dyDescent="0.35">
      <c r="A1" s="29" t="s">
        <v>997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23.25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5.75" x14ac:dyDescent="0.25">
      <c r="A3" s="18" t="s">
        <v>998</v>
      </c>
    </row>
    <row r="4" spans="1:13" ht="15.75" x14ac:dyDescent="0.25">
      <c r="A4" s="18"/>
    </row>
    <row r="5" spans="1:13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13" x14ac:dyDescent="0.2">
      <c r="A6" s="34" t="s">
        <v>988</v>
      </c>
      <c r="B6" s="35">
        <f>'Compra -HOJA1'!F4</f>
        <v>45536</v>
      </c>
      <c r="C6" s="36"/>
      <c r="D6" s="36"/>
    </row>
    <row r="7" spans="1:13" ht="15.75" x14ac:dyDescent="0.25">
      <c r="A7" s="18"/>
    </row>
    <row r="8" spans="1:13" x14ac:dyDescent="0.2">
      <c r="E8" s="4142" t="s">
        <v>989</v>
      </c>
      <c r="F8" s="4142"/>
      <c r="G8" s="4142"/>
      <c r="H8" s="4142"/>
    </row>
    <row r="9" spans="1:13" ht="25.5" x14ac:dyDescent="0.2">
      <c r="A9" s="20" t="s">
        <v>268</v>
      </c>
      <c r="B9" s="20" t="s">
        <v>999</v>
      </c>
      <c r="C9" s="20" t="s">
        <v>276</v>
      </c>
      <c r="D9" s="20" t="s">
        <v>1000</v>
      </c>
      <c r="E9" s="22" t="s">
        <v>287</v>
      </c>
      <c r="F9" s="22" t="s">
        <v>289</v>
      </c>
      <c r="G9" s="22" t="s">
        <v>288</v>
      </c>
      <c r="H9" s="22" t="s">
        <v>290</v>
      </c>
      <c r="M9" s="32"/>
    </row>
    <row r="10" spans="1:13" x14ac:dyDescent="0.2">
      <c r="A10" s="33">
        <f>'CAMMESA-SECCION I'!$C$7</f>
        <v>0</v>
      </c>
      <c r="B10" s="33" t="e">
        <f>'Compra -HOJA1'!#REF!</f>
        <v>#REF!</v>
      </c>
      <c r="C10" s="43" t="e">
        <f>'Compra -HOJA1'!#REF!</f>
        <v>#REF!</v>
      </c>
      <c r="D10" s="41" t="e">
        <f>'Compra -HOJA1'!#REF!/1000</f>
        <v>#REF!</v>
      </c>
      <c r="E10" s="41" t="e">
        <f>IF($C10="MT",('Compra -HOJA1'!#REF!*1.0148)/1000,('Compra -HOJA1'!#REF!*1.0678)/1000)</f>
        <v>#REF!</v>
      </c>
      <c r="F10" s="41" t="e">
        <f>IF($C10="MT",('Compra -HOJA1'!#REF!*1.0148)/1000,('Compra -HOJA1'!#REF!*1.0678)/1000)</f>
        <v>#REF!</v>
      </c>
      <c r="G10" s="41" t="e">
        <f>IF($C10="MT",('Compra -HOJA1'!#REF!*1.0148)/1000,('Compra -HOJA1'!#REF!*1.0678)/1000)</f>
        <v>#REF!</v>
      </c>
      <c r="H10" s="41" t="e">
        <f t="shared" ref="H10:H20" si="0">SUM(E10:G10)</f>
        <v>#REF!</v>
      </c>
    </row>
    <row r="11" spans="1:13" x14ac:dyDescent="0.2">
      <c r="A11" s="33">
        <f>'CAMMESA-SECCION I'!$C$7</f>
        <v>0</v>
      </c>
      <c r="B11" s="33" t="e">
        <f>'Compra -HOJA1'!#REF!</f>
        <v>#REF!</v>
      </c>
      <c r="C11" s="43" t="e">
        <f>'Compra -HOJA1'!#REF!</f>
        <v>#REF!</v>
      </c>
      <c r="D11" s="41" t="e">
        <f>'Compra -HOJA1'!#REF!/1000</f>
        <v>#REF!</v>
      </c>
      <c r="E11" s="41" t="e">
        <f>IF($C11="MT",('Compra -HOJA1'!#REF!*1.0148)/1000,('Compra -HOJA1'!#REF!*1.0678)/1000)</f>
        <v>#REF!</v>
      </c>
      <c r="F11" s="41" t="e">
        <f>IF($C11="MT",('Compra -HOJA1'!#REF!*1.0148)/1000,('Compra -HOJA1'!#REF!*1.0678)/1000)</f>
        <v>#REF!</v>
      </c>
      <c r="G11" s="41" t="e">
        <f>IF($C11="MT",('Compra -HOJA1'!#REF!*1.0148)/1000,('Compra -HOJA1'!#REF!*1.0678)/1000)</f>
        <v>#REF!</v>
      </c>
      <c r="H11" s="41" t="e">
        <f t="shared" si="0"/>
        <v>#REF!</v>
      </c>
    </row>
    <row r="12" spans="1:13" x14ac:dyDescent="0.2">
      <c r="A12" s="33">
        <f>'CAMMESA-SECCION I'!$C$7</f>
        <v>0</v>
      </c>
      <c r="B12" s="33" t="e">
        <f>'Compra -HOJA1'!#REF!</f>
        <v>#REF!</v>
      </c>
      <c r="C12" s="43" t="e">
        <f>'Compra -HOJA1'!#REF!</f>
        <v>#REF!</v>
      </c>
      <c r="D12" s="41" t="e">
        <f>'Compra -HOJA1'!#REF!/1000</f>
        <v>#REF!</v>
      </c>
      <c r="E12" s="41" t="e">
        <f>IF($C12="MT",('Compra -HOJA1'!#REF!*1.0148)/1000,('Compra -HOJA1'!#REF!*1.0678)/1000)</f>
        <v>#REF!</v>
      </c>
      <c r="F12" s="41" t="e">
        <f>IF($C12="MT",('Compra -HOJA1'!#REF!*1.0148)/1000,('Compra -HOJA1'!#REF!*1.0678)/1000)</f>
        <v>#REF!</v>
      </c>
      <c r="G12" s="41" t="e">
        <f>IF($C12="MT",('Compra -HOJA1'!#REF!*1.0148)/1000,('Compra -HOJA1'!#REF!*1.0678)/1000)</f>
        <v>#REF!</v>
      </c>
      <c r="H12" s="41" t="e">
        <f t="shared" si="0"/>
        <v>#REF!</v>
      </c>
    </row>
    <row r="13" spans="1:13" x14ac:dyDescent="0.2">
      <c r="A13" s="33">
        <f>'CAMMESA-SECCION I'!$C$7</f>
        <v>0</v>
      </c>
      <c r="B13" s="33" t="e">
        <f>'Compra -HOJA1'!#REF!</f>
        <v>#REF!</v>
      </c>
      <c r="C13" s="43" t="e">
        <f>'Compra -HOJA1'!#REF!</f>
        <v>#REF!</v>
      </c>
      <c r="D13" s="41" t="e">
        <f>'Compra -HOJA1'!#REF!/1000</f>
        <v>#REF!</v>
      </c>
      <c r="E13" s="41" t="e">
        <f>IF($C13="MT",('Compra -HOJA1'!#REF!*1.0148)/1000,('Compra -HOJA1'!#REF!*1.0678)/1000)</f>
        <v>#REF!</v>
      </c>
      <c r="F13" s="41" t="e">
        <f>IF($C13="MT",('Compra -HOJA1'!#REF!*1.0148)/1000,('Compra -HOJA1'!#REF!*1.0678)/1000)</f>
        <v>#REF!</v>
      </c>
      <c r="G13" s="41" t="e">
        <f>IF($C13="MT",('Compra -HOJA1'!#REF!*1.0148)/1000,('Compra -HOJA1'!#REF!*1.0678)/1000)</f>
        <v>#REF!</v>
      </c>
      <c r="H13" s="41" t="e">
        <f t="shared" si="0"/>
        <v>#REF!</v>
      </c>
    </row>
    <row r="14" spans="1:13" x14ac:dyDescent="0.2">
      <c r="A14" s="33">
        <f>'CAMMESA-SECCION I'!$C$7</f>
        <v>0</v>
      </c>
      <c r="B14" s="33" t="e">
        <f>'Compra -HOJA1'!#REF!</f>
        <v>#REF!</v>
      </c>
      <c r="C14" s="43" t="e">
        <f>'Compra -HOJA1'!#REF!</f>
        <v>#REF!</v>
      </c>
      <c r="D14" s="41" t="e">
        <f>'Compra -HOJA1'!#REF!/1000</f>
        <v>#REF!</v>
      </c>
      <c r="E14" s="41" t="e">
        <f>IF($C14="MT",('Compra -HOJA1'!#REF!*1.0148)/1000,('Compra -HOJA1'!#REF!*1.0678)/1000)</f>
        <v>#REF!</v>
      </c>
      <c r="F14" s="41" t="e">
        <f>IF($C14="MT",('Compra -HOJA1'!#REF!*1.0148)/1000,('Compra -HOJA1'!#REF!*1.0678)/1000)</f>
        <v>#REF!</v>
      </c>
      <c r="G14" s="41" t="e">
        <f>IF($C14="MT",('Compra -HOJA1'!#REF!*1.0148)/1000,('Compra -HOJA1'!#REF!*1.0678)/1000)</f>
        <v>#REF!</v>
      </c>
      <c r="H14" s="41" t="e">
        <f t="shared" si="0"/>
        <v>#REF!</v>
      </c>
    </row>
    <row r="15" spans="1:13" x14ac:dyDescent="0.2">
      <c r="A15" s="33">
        <f>'CAMMESA-SECCION I'!$C$7</f>
        <v>0</v>
      </c>
      <c r="B15" s="33" t="e">
        <f>'Compra -HOJA1'!#REF!</f>
        <v>#REF!</v>
      </c>
      <c r="C15" s="43" t="e">
        <f>'Compra -HOJA1'!#REF!</f>
        <v>#REF!</v>
      </c>
      <c r="D15" s="41" t="e">
        <f>'Compra -HOJA1'!#REF!/1000</f>
        <v>#REF!</v>
      </c>
      <c r="E15" s="41" t="e">
        <f>IF($C15="MT",('Compra -HOJA1'!#REF!*1.0148)/1000,('Compra -HOJA1'!#REF!*1.0678)/1000)</f>
        <v>#REF!</v>
      </c>
      <c r="F15" s="41" t="e">
        <f>IF($C15="MT",('Compra -HOJA1'!#REF!*1.0148)/1000,('Compra -HOJA1'!#REF!*1.0678)/1000)</f>
        <v>#REF!</v>
      </c>
      <c r="G15" s="41" t="e">
        <f>IF($C15="MT",('Compra -HOJA1'!#REF!*1.0148)/1000,('Compra -HOJA1'!#REF!*1.0678)/1000)</f>
        <v>#REF!</v>
      </c>
      <c r="H15" s="41" t="e">
        <f t="shared" si="0"/>
        <v>#REF!</v>
      </c>
    </row>
    <row r="16" spans="1:13" x14ac:dyDescent="0.2">
      <c r="A16" s="33">
        <f>'CAMMESA-SECCION I'!$C$7</f>
        <v>0</v>
      </c>
      <c r="B16" s="33" t="e">
        <f>'Compra -HOJA1'!#REF!</f>
        <v>#REF!</v>
      </c>
      <c r="C16" s="43" t="e">
        <f>'Compra -HOJA1'!#REF!</f>
        <v>#REF!</v>
      </c>
      <c r="D16" s="41" t="e">
        <f>'Compra -HOJA1'!#REF!/1000</f>
        <v>#REF!</v>
      </c>
      <c r="E16" s="41" t="e">
        <f>IF($C16="MT",('Compra -HOJA1'!#REF!*1.0148)/1000,('Compra -HOJA1'!#REF!*1.0678)/1000)</f>
        <v>#REF!</v>
      </c>
      <c r="F16" s="41" t="e">
        <f>IF($C16="MT",('Compra -HOJA1'!#REF!*1.0148)/1000,('Compra -HOJA1'!#REF!*1.0678)/1000)</f>
        <v>#REF!</v>
      </c>
      <c r="G16" s="41" t="e">
        <f>IF($C16="MT",('Compra -HOJA1'!#REF!*1.0148)/1000,('Compra -HOJA1'!#REF!*1.0678)/1000)</f>
        <v>#REF!</v>
      </c>
      <c r="H16" s="41" t="e">
        <f t="shared" si="0"/>
        <v>#REF!</v>
      </c>
    </row>
    <row r="17" spans="1:8" x14ac:dyDescent="0.2">
      <c r="A17" s="33">
        <f>'CAMMESA-SECCION I'!$C$7</f>
        <v>0</v>
      </c>
      <c r="B17" s="33" t="e">
        <f>'Compra -HOJA1'!#REF!</f>
        <v>#REF!</v>
      </c>
      <c r="C17" s="43" t="e">
        <f>'Compra -HOJA1'!#REF!</f>
        <v>#REF!</v>
      </c>
      <c r="D17" s="41" t="e">
        <f>'Compra -HOJA1'!#REF!/1000</f>
        <v>#REF!</v>
      </c>
      <c r="E17" s="41" t="e">
        <f>IF($C17="MT",('Compra -HOJA1'!#REF!*1.0148)/1000,('Compra -HOJA1'!#REF!*1.0678)/1000)</f>
        <v>#REF!</v>
      </c>
      <c r="F17" s="41" t="e">
        <f>IF($C17="MT",('Compra -HOJA1'!#REF!*1.0148)/1000,('Compra -HOJA1'!#REF!*1.0678)/1000)</f>
        <v>#REF!</v>
      </c>
      <c r="G17" s="41" t="e">
        <f>IF($C17="MT",('Compra -HOJA1'!#REF!*1.0148)/1000,('Compra -HOJA1'!#REF!*1.0678)/1000)</f>
        <v>#REF!</v>
      </c>
      <c r="H17" s="41" t="e">
        <f t="shared" si="0"/>
        <v>#REF!</v>
      </c>
    </row>
    <row r="18" spans="1:8" x14ac:dyDescent="0.2">
      <c r="A18" s="33">
        <f>'CAMMESA-SECCION I'!$C$7</f>
        <v>0</v>
      </c>
      <c r="B18" s="33" t="e">
        <f>'Compra -HOJA1'!#REF!</f>
        <v>#REF!</v>
      </c>
      <c r="C18" s="43" t="e">
        <f>'Compra -HOJA1'!#REF!</f>
        <v>#REF!</v>
      </c>
      <c r="D18" s="41" t="e">
        <f>'Compra -HOJA1'!#REF!/1000</f>
        <v>#REF!</v>
      </c>
      <c r="E18" s="41" t="e">
        <f>IF($C18="MT",('Compra -HOJA1'!#REF!*1.0148)/1000,('Compra -HOJA1'!#REF!*1.0678)/1000)</f>
        <v>#REF!</v>
      </c>
      <c r="F18" s="41" t="e">
        <f>IF($C18="MT",('Compra -HOJA1'!#REF!*1.0148)/1000,('Compra -HOJA1'!#REF!*1.0678)/1000)</f>
        <v>#REF!</v>
      </c>
      <c r="G18" s="41" t="e">
        <f>IF($C18="MT",('Compra -HOJA1'!#REF!*1.0148)/1000,('Compra -HOJA1'!#REF!*1.0678)/1000)</f>
        <v>#REF!</v>
      </c>
      <c r="H18" s="41" t="e">
        <f t="shared" si="0"/>
        <v>#REF!</v>
      </c>
    </row>
    <row r="19" spans="1:8" x14ac:dyDescent="0.2">
      <c r="A19" s="33">
        <f>'CAMMESA-SECCION I'!$C$7</f>
        <v>0</v>
      </c>
      <c r="B19" s="33" t="e">
        <f>'Compra -HOJA1'!#REF!</f>
        <v>#REF!</v>
      </c>
      <c r="C19" s="43" t="e">
        <f>'Compra -HOJA1'!#REF!</f>
        <v>#REF!</v>
      </c>
      <c r="D19" s="41" t="e">
        <f>'Compra -HOJA1'!#REF!/1000</f>
        <v>#REF!</v>
      </c>
      <c r="E19" s="41" t="e">
        <f>IF($C19="MT",('Compra -HOJA1'!#REF!*1.0148)/1000,('Compra -HOJA1'!#REF!*1.0678)/1000)</f>
        <v>#REF!</v>
      </c>
      <c r="F19" s="41" t="e">
        <f>IF($C19="MT",('Compra -HOJA1'!#REF!*1.0148)/1000,('Compra -HOJA1'!#REF!*1.0678)/1000)</f>
        <v>#REF!</v>
      </c>
      <c r="G19" s="41" t="e">
        <f>IF($C19="MT",('Compra -HOJA1'!#REF!*1.0148)/1000,('Compra -HOJA1'!#REF!*1.0678)/1000)</f>
        <v>#REF!</v>
      </c>
      <c r="H19" s="41" t="e">
        <f t="shared" si="0"/>
        <v>#REF!</v>
      </c>
    </row>
    <row r="20" spans="1:8" x14ac:dyDescent="0.2">
      <c r="A20" s="33">
        <f>'CAMMESA-SECCION I'!$C$7</f>
        <v>0</v>
      </c>
      <c r="B20" s="33" t="e">
        <f>'Compra -HOJA1'!#REF!</f>
        <v>#REF!</v>
      </c>
      <c r="C20" s="43" t="e">
        <f>'Compra -HOJA1'!#REF!</f>
        <v>#REF!</v>
      </c>
      <c r="D20" s="41" t="e">
        <f>'Compra -HOJA1'!#REF!/1000</f>
        <v>#REF!</v>
      </c>
      <c r="E20" s="41" t="e">
        <f>IF($C20="MT",('Compra -HOJA1'!#REF!*1.0148)/1000,('Compra -HOJA1'!#REF!*1.0678)/1000)</f>
        <v>#REF!</v>
      </c>
      <c r="F20" s="41" t="e">
        <f>IF($C20="MT",('Compra -HOJA1'!#REF!*1.0148)/1000,('Compra -HOJA1'!#REF!*1.0678)/1000)</f>
        <v>#REF!</v>
      </c>
      <c r="G20" s="41" t="e">
        <f>IF($C20="MT",('Compra -HOJA1'!#REF!*1.0148)/1000,('Compra -HOJA1'!#REF!*1.0678)/1000)</f>
        <v>#REF!</v>
      </c>
      <c r="H20" s="41" t="e">
        <f t="shared" si="0"/>
        <v>#REF!</v>
      </c>
    </row>
    <row r="21" spans="1:8" x14ac:dyDescent="0.2">
      <c r="A21" s="33"/>
      <c r="B21" s="33"/>
      <c r="C21" s="43"/>
      <c r="D21" s="41"/>
      <c r="E21" s="41"/>
      <c r="F21" s="41"/>
      <c r="G21" s="41"/>
      <c r="H21" s="41"/>
    </row>
    <row r="22" spans="1:8" x14ac:dyDescent="0.2">
      <c r="A22" s="33"/>
      <c r="B22" s="33"/>
      <c r="C22" s="43"/>
      <c r="D22" s="41"/>
      <c r="E22" s="41"/>
      <c r="F22" s="41"/>
      <c r="G22" s="41"/>
      <c r="H22" s="41"/>
    </row>
    <row r="23" spans="1:8" x14ac:dyDescent="0.2">
      <c r="A23" s="33"/>
      <c r="B23" s="33"/>
      <c r="C23" s="43"/>
      <c r="D23" s="41"/>
      <c r="E23" s="41"/>
      <c r="F23" s="41"/>
      <c r="G23" s="41"/>
      <c r="H23" s="41"/>
    </row>
    <row r="24" spans="1:8" x14ac:dyDescent="0.2">
      <c r="A24" s="33"/>
      <c r="B24" s="33"/>
      <c r="C24" s="43"/>
      <c r="D24" s="41"/>
      <c r="E24" s="41"/>
      <c r="F24" s="41"/>
      <c r="G24" s="41"/>
      <c r="H24" s="41"/>
    </row>
    <row r="25" spans="1:8" x14ac:dyDescent="0.2">
      <c r="A25" s="33"/>
      <c r="B25" s="33"/>
      <c r="C25" s="43"/>
      <c r="D25" s="41"/>
      <c r="E25" s="41"/>
      <c r="F25" s="41"/>
      <c r="G25" s="41"/>
      <c r="H25" s="41"/>
    </row>
    <row r="26" spans="1:8" x14ac:dyDescent="0.2">
      <c r="A26" s="33"/>
      <c r="B26" s="33"/>
      <c r="C26" s="43"/>
      <c r="D26" s="41"/>
      <c r="E26" s="41"/>
      <c r="F26" s="41"/>
      <c r="G26" s="41"/>
      <c r="H26" s="41"/>
    </row>
    <row r="27" spans="1:8" x14ac:dyDescent="0.2">
      <c r="A27" s="33"/>
      <c r="B27" s="33"/>
      <c r="C27" s="43"/>
      <c r="D27" s="41"/>
      <c r="E27" s="41"/>
      <c r="F27" s="41"/>
      <c r="G27" s="41"/>
      <c r="H27" s="41"/>
    </row>
    <row r="28" spans="1:8" x14ac:dyDescent="0.2">
      <c r="A28" s="33"/>
      <c r="B28" s="33"/>
      <c r="C28" s="43"/>
      <c r="D28" s="41"/>
      <c r="E28" s="41"/>
      <c r="F28" s="41"/>
      <c r="G28" s="41"/>
      <c r="H28" s="41"/>
    </row>
    <row r="29" spans="1:8" x14ac:dyDescent="0.2">
      <c r="A29" s="33"/>
      <c r="B29" s="33"/>
      <c r="C29" s="43"/>
      <c r="D29" s="41"/>
      <c r="E29" s="41"/>
      <c r="F29" s="41"/>
      <c r="G29" s="41"/>
      <c r="H29" s="41"/>
    </row>
    <row r="30" spans="1:8" x14ac:dyDescent="0.2">
      <c r="A30" s="33"/>
      <c r="B30" s="33"/>
      <c r="C30" s="43"/>
      <c r="D30" s="41"/>
      <c r="E30" s="41"/>
      <c r="F30" s="41"/>
      <c r="G30" s="41"/>
      <c r="H30" s="41"/>
    </row>
    <row r="31" spans="1:8" x14ac:dyDescent="0.2">
      <c r="A31" s="33"/>
      <c r="B31" s="33"/>
      <c r="C31" s="43"/>
      <c r="D31" s="41"/>
      <c r="E31" s="41"/>
      <c r="F31" s="41"/>
      <c r="G31" s="41"/>
      <c r="H31" s="41"/>
    </row>
    <row r="32" spans="1:8" x14ac:dyDescent="0.2">
      <c r="A32" s="33"/>
      <c r="B32" s="33"/>
      <c r="C32" s="43"/>
      <c r="D32" s="41"/>
      <c r="E32" s="41"/>
      <c r="F32" s="41"/>
      <c r="G32" s="41"/>
      <c r="H32" s="41"/>
    </row>
    <row r="33" spans="1:8" x14ac:dyDescent="0.2">
      <c r="A33" s="33"/>
      <c r="B33" s="33"/>
      <c r="C33" s="43"/>
      <c r="D33" s="41"/>
      <c r="E33" s="41"/>
      <c r="F33" s="41"/>
      <c r="G33" s="41"/>
      <c r="H33" s="41"/>
    </row>
    <row r="34" spans="1:8" x14ac:dyDescent="0.2">
      <c r="A34" s="33"/>
      <c r="B34" s="33"/>
      <c r="C34" s="43"/>
      <c r="D34" s="41"/>
      <c r="E34" s="41"/>
      <c r="F34" s="41"/>
      <c r="G34" s="41"/>
      <c r="H34" s="41"/>
    </row>
    <row r="35" spans="1:8" x14ac:dyDescent="0.2">
      <c r="A35" s="33"/>
      <c r="B35" s="33"/>
      <c r="C35" s="43"/>
      <c r="D35" s="41"/>
      <c r="E35" s="41"/>
      <c r="F35" s="41"/>
      <c r="G35" s="41"/>
      <c r="H35" s="41"/>
    </row>
    <row r="36" spans="1:8" hidden="1" x14ac:dyDescent="0.2">
      <c r="A36" s="33"/>
      <c r="B36" s="33"/>
      <c r="C36" s="43"/>
      <c r="D36" s="41"/>
      <c r="E36" s="41"/>
      <c r="F36" s="41"/>
      <c r="G36" s="41"/>
      <c r="H36" s="41"/>
    </row>
    <row r="37" spans="1:8" hidden="1" x14ac:dyDescent="0.2">
      <c r="A37" s="44" t="s">
        <v>1001</v>
      </c>
      <c r="B37" s="33"/>
      <c r="C37" s="43">
        <f>COUNTIF(C10:C36,"MT")+COUNTIF(C10:C36,"BT")</f>
        <v>0</v>
      </c>
      <c r="D37" s="41"/>
      <c r="E37" s="41"/>
      <c r="F37" s="41"/>
      <c r="G37" s="41"/>
      <c r="H37" s="41"/>
    </row>
    <row r="38" spans="1:8" hidden="1" x14ac:dyDescent="0.2">
      <c r="A38" s="45" t="s">
        <v>1002</v>
      </c>
      <c r="B38" s="46"/>
      <c r="C38" s="47"/>
      <c r="D38" s="48" t="e">
        <f>SUM(D10:D36)</f>
        <v>#REF!</v>
      </c>
      <c r="E38" s="23"/>
      <c r="F38" s="23"/>
      <c r="G38" s="23"/>
      <c r="H38" s="23"/>
    </row>
    <row r="39" spans="1:8" ht="15.75" hidden="1" x14ac:dyDescent="0.25">
      <c r="A39" s="45" t="s">
        <v>1003</v>
      </c>
      <c r="B39" s="46"/>
      <c r="C39" s="47"/>
      <c r="D39" s="48"/>
      <c r="E39" s="49" t="e">
        <f>SUM(E10:E36)</f>
        <v>#REF!</v>
      </c>
      <c r="F39" s="49" t="e">
        <f>SUM(F10:F36)</f>
        <v>#REF!</v>
      </c>
      <c r="G39" s="49" t="e">
        <f>SUM(G10:G36)</f>
        <v>#REF!</v>
      </c>
      <c r="H39" s="41" t="e">
        <f>SUM(E39:G39)</f>
        <v>#REF!</v>
      </c>
    </row>
    <row r="40" spans="1:8" ht="15.75" hidden="1" x14ac:dyDescent="0.25">
      <c r="A40" s="5672" t="s">
        <v>435</v>
      </c>
      <c r="B40" s="5672"/>
      <c r="C40" s="5672"/>
      <c r="D40" s="5672"/>
      <c r="E40" s="50" t="e">
        <f>SUM(E10:E37)-('Compra -HOJA1'!#REF!)/1000</f>
        <v>#REF!</v>
      </c>
      <c r="F40" s="50" t="e">
        <f>SUM(F10:F37)-('Compra -HOJA1'!#REF!)/1000</f>
        <v>#REF!</v>
      </c>
      <c r="G40" s="50" t="e">
        <f>SUM(G10:G37)-('Compra -HOJA1'!#REF!)/1000</f>
        <v>#REF!</v>
      </c>
    </row>
    <row r="41" spans="1:8" hidden="1" x14ac:dyDescent="0.2">
      <c r="D41" s="23" t="e">
        <f>SUM(D10:D35)</f>
        <v>#REF!</v>
      </c>
      <c r="E41" s="23" t="e">
        <f>SUM(E10:E35)</f>
        <v>#REF!</v>
      </c>
      <c r="F41" s="23" t="e">
        <f>SUM(F10:F35)</f>
        <v>#REF!</v>
      </c>
      <c r="G41" s="23" t="e">
        <f>SUM(G10:G35)</f>
        <v>#REF!</v>
      </c>
      <c r="H41" s="23" t="e">
        <f>SUM(H10:H35)</f>
        <v>#REF!</v>
      </c>
    </row>
    <row r="42" spans="1:8" ht="25.5" hidden="1" x14ac:dyDescent="0.2">
      <c r="D42" s="20" t="s">
        <v>1000</v>
      </c>
      <c r="E42" s="22" t="s">
        <v>287</v>
      </c>
      <c r="F42" s="22" t="s">
        <v>289</v>
      </c>
      <c r="G42" s="22" t="s">
        <v>288</v>
      </c>
      <c r="H42" s="22" t="s">
        <v>290</v>
      </c>
    </row>
    <row r="43" spans="1:8" hidden="1" x14ac:dyDescent="0.2"/>
  </sheetData>
  <mergeCells count="3">
    <mergeCell ref="B5:F5"/>
    <mergeCell ref="E8:H8"/>
    <mergeCell ref="A40:D40"/>
  </mergeCells>
  <phoneticPr fontId="7" type="noConversion"/>
  <pageMargins left="0.75" right="0.75" top="1" bottom="1" header="0" footer="0"/>
  <pageSetup paperSize="9" scale="94" orientation="landscape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9">
    <pageSetUpPr fitToPage="1"/>
  </sheetPr>
  <dimension ref="A1:M15"/>
  <sheetViews>
    <sheetView workbookViewId="0"/>
  </sheetViews>
  <sheetFormatPr baseColWidth="10" defaultColWidth="11.42578125" defaultRowHeight="12.75" x14ac:dyDescent="0.2"/>
  <cols>
    <col min="1" max="1" width="44.42578125" style="9" customWidth="1"/>
    <col min="2" max="2" width="14.5703125" style="9" customWidth="1"/>
    <col min="3" max="4" width="13.42578125" style="9" customWidth="1"/>
    <col min="5" max="12" width="11.5703125" style="9" customWidth="1"/>
    <col min="13" max="13" width="1.42578125" style="9" customWidth="1"/>
    <col min="14" max="16384" width="11.42578125" style="9"/>
  </cols>
  <sheetData>
    <row r="1" spans="1:13" ht="23.25" x14ac:dyDescent="0.35">
      <c r="A1" s="29" t="s">
        <v>1004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23.25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5.75" x14ac:dyDescent="0.25">
      <c r="A3" s="18" t="s">
        <v>1005</v>
      </c>
    </row>
    <row r="4" spans="1:13" ht="15.75" x14ac:dyDescent="0.25">
      <c r="A4" s="18"/>
    </row>
    <row r="5" spans="1:13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13" x14ac:dyDescent="0.2">
      <c r="A6" s="34" t="s">
        <v>988</v>
      </c>
      <c r="B6" s="35">
        <f>'Compra -HOJA1'!F4</f>
        <v>45536</v>
      </c>
      <c r="C6" s="36"/>
      <c r="D6" s="36"/>
    </row>
    <row r="7" spans="1:13" x14ac:dyDescent="0.2">
      <c r="B7" s="51"/>
      <c r="E7" s="4142" t="s">
        <v>989</v>
      </c>
      <c r="F7" s="4142"/>
      <c r="G7" s="4142"/>
      <c r="H7" s="4142"/>
    </row>
    <row r="8" spans="1:13" ht="38.25" x14ac:dyDescent="0.2">
      <c r="A8" s="20" t="s">
        <v>268</v>
      </c>
      <c r="B8" s="20" t="s">
        <v>446</v>
      </c>
      <c r="C8" s="20" t="s">
        <v>276</v>
      </c>
      <c r="D8" s="20" t="s">
        <v>1006</v>
      </c>
      <c r="E8" s="22" t="s">
        <v>287</v>
      </c>
      <c r="F8" s="22" t="s">
        <v>289</v>
      </c>
      <c r="G8" s="22" t="s">
        <v>288</v>
      </c>
      <c r="H8" s="22" t="s">
        <v>290</v>
      </c>
      <c r="M8" s="32"/>
    </row>
    <row r="9" spans="1:13" x14ac:dyDescent="0.2">
      <c r="A9" s="33">
        <f>'CAMMESA-SECCION I'!$C$7</f>
        <v>0</v>
      </c>
      <c r="B9" s="43">
        <f>'Compra -HOJA1'!K36</f>
        <v>0</v>
      </c>
      <c r="C9" s="52" t="s">
        <v>23</v>
      </c>
      <c r="D9" s="41">
        <f>IF('Compra -HOJA1'!J36=0,0,('Compra -HOJA1'!J36/1000)/'Compra -HOJA1'!K36)</f>
        <v>0</v>
      </c>
      <c r="E9" s="41" t="e">
        <f>('Compra -HOJA1'!G36+'Compra -HOJA1'!#REF!)/1000</f>
        <v>#REF!</v>
      </c>
      <c r="F9" s="41" t="e">
        <f>('Compra -HOJA1'!I36+'Compra -HOJA1'!#REF!)/1000</f>
        <v>#REF!</v>
      </c>
      <c r="G9" s="41" t="e">
        <f>('Compra -HOJA1'!H36+'Compra -HOJA1'!#REF!)/1000</f>
        <v>#REF!</v>
      </c>
      <c r="H9" s="41" t="e">
        <f t="shared" ref="H9:H15" si="0">SUM(E9:G9)</f>
        <v>#REF!</v>
      </c>
    </row>
    <row r="10" spans="1:13" x14ac:dyDescent="0.2">
      <c r="A10" s="33">
        <f>'CAMMESA-SECCION I'!$C$7</f>
        <v>0</v>
      </c>
      <c r="B10" s="43">
        <f>'Compra -HOJA1'!K37+B11</f>
        <v>0</v>
      </c>
      <c r="C10" s="52" t="s">
        <v>24</v>
      </c>
      <c r="D10" s="41">
        <f>IF('Compra -HOJA1'!J37=0,0,('Compra -HOJA1'!J37/1000)/'Compra -HOJA1'!K37)+D11</f>
        <v>0</v>
      </c>
      <c r="E10" s="41" t="e">
        <f>(('Compra -HOJA1'!#REF!+'Compra -HOJA1'!G37)/1000)+E11</f>
        <v>#REF!</v>
      </c>
      <c r="F10" s="41" t="e">
        <f>(('Compra -HOJA1'!#REF!+'Compra -HOJA1'!I37)/1000)+F11</f>
        <v>#REF!</v>
      </c>
      <c r="G10" s="41" t="e">
        <f>(('Compra -HOJA1'!#REF!+'Compra -HOJA1'!H37)/1000)+G11</f>
        <v>#REF!</v>
      </c>
      <c r="H10" s="41" t="e">
        <f t="shared" si="0"/>
        <v>#REF!</v>
      </c>
    </row>
    <row r="11" spans="1:13" x14ac:dyDescent="0.2">
      <c r="A11" s="33">
        <f>'CAMMESA-SECCION I'!$C$7</f>
        <v>0</v>
      </c>
      <c r="B11" s="43">
        <f>SUM('Compra -HOJA1'!K40:K44)</f>
        <v>0</v>
      </c>
      <c r="C11" s="52" t="s">
        <v>24</v>
      </c>
      <c r="D11" s="41">
        <f>IF(B11=0,0,(((SUM('Compra -HOJA1'!F40:F43)/3000)*10)/1000+(('Compra -HOJA1'!#REF!/5000)*10)/1000)/B11)</f>
        <v>0</v>
      </c>
      <c r="E11" s="41">
        <f>(SUM('Compra -HOJA1'!G40:G44)*(1+0.0678))/1000</f>
        <v>0</v>
      </c>
      <c r="F11" s="41">
        <f>(SUM('Compra -HOJA1'!I40:I44)*(1+0.0678))/1000</f>
        <v>0</v>
      </c>
      <c r="G11" s="41">
        <f>(SUM('Compra -HOJA1'!H40:H44)*(1+0.0678))/1000</f>
        <v>0</v>
      </c>
      <c r="H11" s="41">
        <f t="shared" si="0"/>
        <v>0</v>
      </c>
    </row>
    <row r="12" spans="1:13" x14ac:dyDescent="0.2">
      <c r="A12" s="33">
        <f>'Compra -HOJA1'!D2</f>
        <v>0</v>
      </c>
      <c r="B12" s="43" t="str">
        <f>'SECCION I-II'!D237</f>
        <v>Excedente hasta 150 kWh</v>
      </c>
      <c r="C12" s="79">
        <f>'SECCION I-II'!A221</f>
        <v>0</v>
      </c>
      <c r="D12" s="43" t="e">
        <f>'SECCION I-II'!F237</f>
        <v>#REF!</v>
      </c>
      <c r="E12" s="33" t="e">
        <f>'SECCION I-II'!G237/1000</f>
        <v>#REF!</v>
      </c>
      <c r="F12" s="33" t="e">
        <f>'SECCION I-II'!H237/1000</f>
        <v>#REF!</v>
      </c>
      <c r="G12" s="33" t="e">
        <f>'SECCION I-II'!I237/1000</f>
        <v>#REF!</v>
      </c>
      <c r="H12" s="33" t="e">
        <f t="shared" si="0"/>
        <v>#REF!</v>
      </c>
    </row>
    <row r="13" spans="1:13" x14ac:dyDescent="0.2">
      <c r="A13" s="4653" t="s">
        <v>1007</v>
      </c>
      <c r="B13" s="4653"/>
      <c r="C13" s="4653"/>
      <c r="D13" s="4653"/>
      <c r="E13" s="33" t="e">
        <f>E9-(('Compra -HOJA1'!G36+'Compra -HOJA1'!#REF!)/1000)</f>
        <v>#REF!</v>
      </c>
      <c r="F13" s="33" t="e">
        <f>F9-(('Compra -HOJA1'!I36+'Compra -HOJA1'!#REF!)/1000)</f>
        <v>#REF!</v>
      </c>
      <c r="G13" s="33" t="e">
        <f>G9-(('Compra -HOJA1'!H36+'Compra -HOJA1'!#REF!)/1000)</f>
        <v>#REF!</v>
      </c>
      <c r="H13" s="33" t="e">
        <f t="shared" si="0"/>
        <v>#REF!</v>
      </c>
    </row>
    <row r="14" spans="1:13" x14ac:dyDescent="0.2">
      <c r="A14" s="4653" t="s">
        <v>1007</v>
      </c>
      <c r="B14" s="4653"/>
      <c r="C14" s="4653"/>
      <c r="D14" s="4653"/>
      <c r="E14" s="33" t="e">
        <f>E10-(('Compra -HOJA1'!G37+'Compra -HOJA1'!#REF!)/1000)</f>
        <v>#REF!</v>
      </c>
      <c r="F14" s="33" t="e">
        <f>F10-(('Compra -HOJA1'!I37+'Compra -HOJA1'!#REF!)/1000)</f>
        <v>#REF!</v>
      </c>
      <c r="G14" s="33" t="e">
        <f>G10-(('Compra -HOJA1'!H37+'Compra -HOJA1'!#REF!)/1000)</f>
        <v>#REF!</v>
      </c>
      <c r="H14" s="33" t="e">
        <f t="shared" si="0"/>
        <v>#REF!</v>
      </c>
    </row>
    <row r="15" spans="1:13" x14ac:dyDescent="0.2">
      <c r="A15" s="33">
        <f>'Compra -HOJA1'!D2</f>
        <v>0</v>
      </c>
      <c r="B15" s="43">
        <f>'SECCION I-II'!D259</f>
        <v>0</v>
      </c>
      <c r="C15" s="79">
        <f>'SECCION I-II'!A247</f>
        <v>0</v>
      </c>
      <c r="D15" s="43">
        <f>'SECCION I-II'!F259</f>
        <v>0</v>
      </c>
      <c r="E15" s="33">
        <f>'SECCION I-II'!G259/1000</f>
        <v>0</v>
      </c>
      <c r="F15" s="33">
        <f>'SECCION I-II'!H259/1000</f>
        <v>0</v>
      </c>
      <c r="G15" s="33">
        <f>'SECCION I-II'!I259/1000</f>
        <v>0</v>
      </c>
      <c r="H15" s="33">
        <f t="shared" si="0"/>
        <v>0</v>
      </c>
    </row>
  </sheetData>
  <mergeCells count="4">
    <mergeCell ref="A14:D14"/>
    <mergeCell ref="B5:F5"/>
    <mergeCell ref="E7:H7"/>
    <mergeCell ref="A13:D13"/>
  </mergeCells>
  <phoneticPr fontId="7" type="noConversion"/>
  <pageMargins left="0.75" right="0.75" top="1" bottom="1" header="0" footer="0"/>
  <pageSetup paperSize="9" orientation="landscape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10">
    <pageSetUpPr fitToPage="1"/>
  </sheetPr>
  <dimension ref="A1:M10"/>
  <sheetViews>
    <sheetView workbookViewId="0"/>
  </sheetViews>
  <sheetFormatPr baseColWidth="10" defaultColWidth="11.42578125" defaultRowHeight="12.75" x14ac:dyDescent="0.2"/>
  <cols>
    <col min="1" max="1" width="39.5703125" style="9" customWidth="1"/>
    <col min="2" max="2" width="14.5703125" style="9" customWidth="1"/>
    <col min="3" max="4" width="13.42578125" style="9" customWidth="1"/>
    <col min="5" max="12" width="11.5703125" style="9" customWidth="1"/>
    <col min="13" max="13" width="1.42578125" style="9" customWidth="1"/>
    <col min="14" max="16384" width="11.42578125" style="9"/>
  </cols>
  <sheetData>
    <row r="1" spans="1:13" ht="23.25" x14ac:dyDescent="0.35">
      <c r="A1" s="29" t="s">
        <v>1008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23.25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5.75" x14ac:dyDescent="0.25">
      <c r="A3" s="18" t="s">
        <v>1009</v>
      </c>
    </row>
    <row r="4" spans="1:13" ht="15.75" x14ac:dyDescent="0.25">
      <c r="A4" s="18"/>
    </row>
    <row r="5" spans="1:13" x14ac:dyDescent="0.2">
      <c r="A5" s="34" t="s">
        <v>987</v>
      </c>
      <c r="B5" s="5664">
        <f>'Compra -HOJA1'!D2</f>
        <v>0</v>
      </c>
      <c r="C5" s="5664"/>
      <c r="D5" s="5664"/>
      <c r="E5" s="5664"/>
      <c r="F5" s="5664"/>
    </row>
    <row r="6" spans="1:13" x14ac:dyDescent="0.2">
      <c r="A6" s="34" t="s">
        <v>988</v>
      </c>
      <c r="B6" s="35">
        <f>'Compra -HOJA1'!F4</f>
        <v>45536</v>
      </c>
      <c r="C6" s="36"/>
      <c r="D6" s="36"/>
    </row>
    <row r="7" spans="1:13" x14ac:dyDescent="0.2">
      <c r="E7" s="4142" t="s">
        <v>989</v>
      </c>
      <c r="F7" s="4142"/>
      <c r="G7" s="4142"/>
      <c r="H7" s="4142"/>
    </row>
    <row r="8" spans="1:13" ht="38.25" x14ac:dyDescent="0.2">
      <c r="A8" s="20" t="s">
        <v>268</v>
      </c>
      <c r="B8" s="20" t="s">
        <v>446</v>
      </c>
      <c r="C8" s="20" t="s">
        <v>276</v>
      </c>
      <c r="D8" s="20" t="s">
        <v>1006</v>
      </c>
      <c r="E8" s="22" t="s">
        <v>287</v>
      </c>
      <c r="F8" s="22" t="s">
        <v>289</v>
      </c>
      <c r="G8" s="22" t="s">
        <v>288</v>
      </c>
      <c r="H8" s="22" t="s">
        <v>290</v>
      </c>
      <c r="M8" s="32"/>
    </row>
    <row r="9" spans="1:13" x14ac:dyDescent="0.2">
      <c r="A9" s="33">
        <f>'CAMMESA-SECCION I'!C7</f>
        <v>0</v>
      </c>
      <c r="B9" s="43">
        <f>SUM('Compra -HOJA1'!K48:K52)</f>
        <v>0</v>
      </c>
      <c r="C9" s="52" t="s">
        <v>24</v>
      </c>
      <c r="D9" s="41">
        <f>IF(B9=0,0,(((SUM('Compra -HOJA1'!F48:F51)/3000)*10)/1000+(('Compra -HOJA1'!#REF!/5000)*10)/1000)/B9)</f>
        <v>0</v>
      </c>
      <c r="E9" s="41">
        <f>(SUM('Compra -HOJA1'!G48:G52)*(1+0.0678))/1000</f>
        <v>0</v>
      </c>
      <c r="F9" s="41">
        <f>(SUM('Compra -HOJA1'!I48:I52)*(1+0.0678))/1000</f>
        <v>0</v>
      </c>
      <c r="G9" s="41">
        <f>(SUM('Compra -HOJA1'!H48:H52)*(1+0.0678))/1000</f>
        <v>0</v>
      </c>
      <c r="H9" s="41">
        <f>SUM(E9:G9)</f>
        <v>0</v>
      </c>
    </row>
    <row r="10" spans="1:13" x14ac:dyDescent="0.2">
      <c r="A10" s="33">
        <f>'Compra -HOJA1'!D2</f>
        <v>0</v>
      </c>
      <c r="B10" s="43">
        <f>'SECCION I-II'!D272</f>
        <v>0</v>
      </c>
      <c r="C10" s="33" t="str">
        <f>'SECCION I-II'!A272</f>
        <v>Tipo Usuario: (GUc) que califican como GUMA y GUME &gt;= 300 KW  </v>
      </c>
      <c r="D10" s="43">
        <f>'SECCION I-II'!F272</f>
        <v>0</v>
      </c>
      <c r="E10" s="33">
        <f>'SECCION I-II'!G272/1000</f>
        <v>0</v>
      </c>
      <c r="F10" s="33">
        <f>'SECCION I-II'!H272/1000</f>
        <v>0</v>
      </c>
      <c r="G10" s="33">
        <f>'SECCION I-II'!I272/1000</f>
        <v>0</v>
      </c>
      <c r="H10" s="33">
        <f>SUM(E10:G10)</f>
        <v>0</v>
      </c>
    </row>
  </sheetData>
  <mergeCells count="2">
    <mergeCell ref="B5:F5"/>
    <mergeCell ref="E7:H7"/>
  </mergeCells>
  <phoneticPr fontId="7" type="noConversion"/>
  <pageMargins left="0.75" right="0.75" top="1" bottom="1" header="0" footer="0"/>
  <pageSetup paperSize="9" orientation="landscape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11">
    <pageSetUpPr fitToPage="1"/>
  </sheetPr>
  <dimension ref="A1:I43"/>
  <sheetViews>
    <sheetView workbookViewId="0"/>
  </sheetViews>
  <sheetFormatPr baseColWidth="10" defaultColWidth="11.42578125" defaultRowHeight="12.75" x14ac:dyDescent="0.2"/>
  <cols>
    <col min="1" max="1" width="59.42578125" customWidth="1"/>
    <col min="2" max="2" width="2.42578125" customWidth="1"/>
    <col min="5" max="5" width="18.42578125" customWidth="1"/>
    <col min="6" max="7" width="19.5703125" customWidth="1"/>
    <col min="8" max="8" width="16.5703125" customWidth="1"/>
    <col min="9" max="9" width="17.5703125" customWidth="1"/>
  </cols>
  <sheetData>
    <row r="1" spans="1:9" x14ac:dyDescent="0.2">
      <c r="A1" t="s">
        <v>1010</v>
      </c>
    </row>
    <row r="2" spans="1:9" x14ac:dyDescent="0.2">
      <c r="A2" t="s">
        <v>1011</v>
      </c>
    </row>
    <row r="3" spans="1:9" x14ac:dyDescent="0.2">
      <c r="A3" s="2" t="s">
        <v>1012</v>
      </c>
    </row>
    <row r="4" spans="1:9" x14ac:dyDescent="0.2">
      <c r="A4" s="2" t="s">
        <v>1013</v>
      </c>
    </row>
    <row r="5" spans="1:9" x14ac:dyDescent="0.2">
      <c r="A5" s="2" t="s">
        <v>1014</v>
      </c>
    </row>
    <row r="6" spans="1:9" ht="11.25" customHeight="1" thickBot="1" x14ac:dyDescent="0.25"/>
    <row r="7" spans="1:9" ht="13.5" thickBot="1" x14ac:dyDescent="0.25">
      <c r="A7" s="1" t="s">
        <v>1015</v>
      </c>
      <c r="C7" s="5673">
        <f>'Compra -HOJA1'!D2</f>
        <v>0</v>
      </c>
      <c r="D7" s="5674"/>
      <c r="E7" s="5674"/>
      <c r="F7" s="5674"/>
      <c r="G7" s="5675"/>
    </row>
    <row r="8" spans="1:9" ht="13.5" thickBot="1" x14ac:dyDescent="0.25">
      <c r="A8" s="1" t="s">
        <v>1016</v>
      </c>
      <c r="C8" s="28">
        <f>'Compra -HOJA1'!F4</f>
        <v>45536</v>
      </c>
      <c r="D8" s="27"/>
      <c r="E8" s="27"/>
      <c r="F8" s="27"/>
      <c r="G8" s="27"/>
    </row>
    <row r="10" spans="1:9" ht="18" x14ac:dyDescent="0.25">
      <c r="A10" t="s">
        <v>1017</v>
      </c>
      <c r="F10" s="5" t="s">
        <v>5</v>
      </c>
      <c r="G10" s="5" t="s">
        <v>7</v>
      </c>
      <c r="H10" s="5" t="s">
        <v>6</v>
      </c>
      <c r="I10" s="5" t="s">
        <v>4</v>
      </c>
    </row>
    <row r="11" spans="1:9" ht="26.25" customHeight="1" x14ac:dyDescent="0.25">
      <c r="A11" s="87" t="s">
        <v>1018</v>
      </c>
      <c r="B11" s="87"/>
      <c r="C11" s="86"/>
      <c r="D11" s="86"/>
      <c r="E11" s="92"/>
      <c r="F11" s="7" t="e">
        <f>'Compra -HOJA1'!#REF!/1000</f>
        <v>#REF!</v>
      </c>
      <c r="G11" s="7" t="e">
        <f>'Compra -HOJA1'!#REF!/1000</f>
        <v>#REF!</v>
      </c>
      <c r="H11" s="7" t="e">
        <f>'Compra -HOJA1'!#REF!/1000</f>
        <v>#REF!</v>
      </c>
      <c r="I11" s="4" t="e">
        <f>SUM(F11:H11)</f>
        <v>#REF!</v>
      </c>
    </row>
    <row r="12" spans="1:9" ht="26.25" customHeight="1" x14ac:dyDescent="0.25">
      <c r="A12" s="87" t="s">
        <v>1019</v>
      </c>
      <c r="B12" s="87"/>
      <c r="C12" s="86"/>
      <c r="D12" s="86"/>
      <c r="E12" s="92"/>
      <c r="F12" s="7" t="e">
        <f>'Compra -HOJA1'!#REF!/1000</f>
        <v>#REF!</v>
      </c>
      <c r="G12" s="7" t="e">
        <f>'Compra -HOJA1'!#REF!/1000</f>
        <v>#REF!</v>
      </c>
      <c r="H12" s="7" t="e">
        <f>'Compra -HOJA1'!#REF!/1000</f>
        <v>#REF!</v>
      </c>
      <c r="I12" s="4" t="e">
        <f>SUM(F12:H12)</f>
        <v>#REF!</v>
      </c>
    </row>
    <row r="13" spans="1:9" ht="15.75" customHeight="1" x14ac:dyDescent="0.25">
      <c r="A13" s="87" t="s">
        <v>1020</v>
      </c>
      <c r="B13" s="87"/>
      <c r="C13" s="88"/>
      <c r="D13" s="88"/>
      <c r="E13" s="89"/>
      <c r="F13" s="7" t="e">
        <f>'Compra -HOJA1'!#REF!/1000</f>
        <v>#REF!</v>
      </c>
      <c r="G13" s="7" t="e">
        <f>'Compra -HOJA1'!#REF!/1000</f>
        <v>#REF!</v>
      </c>
      <c r="H13" s="7" t="e">
        <f>'Compra -HOJA1'!#REF!/1000</f>
        <v>#REF!</v>
      </c>
      <c r="I13" s="4" t="e">
        <f t="shared" ref="I13:I18" si="0">SUM(F13:H13)</f>
        <v>#REF!</v>
      </c>
    </row>
    <row r="14" spans="1:9" ht="15.75" customHeight="1" x14ac:dyDescent="0.25">
      <c r="A14" s="87" t="s">
        <v>1021</v>
      </c>
      <c r="B14" s="87"/>
      <c r="C14" s="88"/>
      <c r="D14" s="88"/>
      <c r="E14" s="89"/>
      <c r="F14" s="7" t="e">
        <f>'Compra -HOJA1'!#REF!/1000</f>
        <v>#REF!</v>
      </c>
      <c r="G14" s="7" t="e">
        <f>'Compra -HOJA1'!#REF!/1000</f>
        <v>#REF!</v>
      </c>
      <c r="H14" s="7" t="e">
        <f>'Compra -HOJA1'!#REF!/1000</f>
        <v>#REF!</v>
      </c>
      <c r="I14" s="4" t="e">
        <f t="shared" si="0"/>
        <v>#REF!</v>
      </c>
    </row>
    <row r="15" spans="1:9" ht="15.75" customHeight="1" x14ac:dyDescent="0.25">
      <c r="A15" s="87" t="s">
        <v>1022</v>
      </c>
      <c r="B15" s="87"/>
      <c r="C15" s="88"/>
      <c r="D15" s="88"/>
      <c r="E15" s="89"/>
      <c r="F15" s="7" t="e">
        <f>'Compra -HOJA1'!#REF!/1000</f>
        <v>#REF!</v>
      </c>
      <c r="G15" s="7" t="e">
        <f>'Compra -HOJA1'!#REF!/1000</f>
        <v>#REF!</v>
      </c>
      <c r="H15" s="7" t="e">
        <f>'Compra -HOJA1'!#REF!/1000</f>
        <v>#REF!</v>
      </c>
      <c r="I15" s="4" t="e">
        <f t="shared" si="0"/>
        <v>#REF!</v>
      </c>
    </row>
    <row r="16" spans="1:9" ht="15.75" customHeight="1" x14ac:dyDescent="0.25">
      <c r="A16" s="87" t="s">
        <v>417</v>
      </c>
      <c r="B16" s="87"/>
      <c r="C16" s="93"/>
      <c r="D16" s="93"/>
      <c r="E16" s="94"/>
      <c r="F16" s="7" t="e">
        <f>'Compra -HOJA1'!#REF!/1000</f>
        <v>#REF!</v>
      </c>
      <c r="G16" s="7" t="e">
        <f>'Compra -HOJA1'!#REF!/1000</f>
        <v>#REF!</v>
      </c>
      <c r="H16" s="7" t="e">
        <f>'Compra -HOJA1'!#REF!/1000</f>
        <v>#REF!</v>
      </c>
      <c r="I16" s="4" t="e">
        <f t="shared" si="0"/>
        <v>#REF!</v>
      </c>
    </row>
    <row r="17" spans="1:9" ht="24.75" customHeight="1" x14ac:dyDescent="0.25">
      <c r="A17" s="87" t="s">
        <v>1023</v>
      </c>
      <c r="B17" s="87"/>
      <c r="C17" s="93"/>
      <c r="D17" s="93"/>
      <c r="E17" s="94"/>
      <c r="F17" s="7" t="e">
        <f>'Compra -HOJA1'!#REF!/1000</f>
        <v>#REF!</v>
      </c>
      <c r="G17" s="7" t="e">
        <f>'Compra -HOJA1'!#REF!/1000</f>
        <v>#REF!</v>
      </c>
      <c r="H17" s="7" t="e">
        <f>'Compra -HOJA1'!#REF!/1000</f>
        <v>#REF!</v>
      </c>
      <c r="I17" s="4" t="e">
        <f t="shared" si="0"/>
        <v>#REF!</v>
      </c>
    </row>
    <row r="18" spans="1:9" ht="15.75" customHeight="1" x14ac:dyDescent="0.25">
      <c r="A18" s="87" t="s">
        <v>1024</v>
      </c>
      <c r="B18" s="87"/>
      <c r="C18" s="90"/>
      <c r="D18" s="90"/>
      <c r="E18" s="91"/>
      <c r="F18" s="7" t="e">
        <f>'Compra -HOJA1'!#REF!/1000</f>
        <v>#REF!</v>
      </c>
      <c r="G18" s="7" t="e">
        <f>'Compra -HOJA1'!#REF!/1000</f>
        <v>#REF!</v>
      </c>
      <c r="H18" s="7" t="e">
        <f>'Compra -HOJA1'!#REF!/1000</f>
        <v>#REF!</v>
      </c>
      <c r="I18" s="4" t="e">
        <f t="shared" si="0"/>
        <v>#REF!</v>
      </c>
    </row>
    <row r="19" spans="1:9" ht="15.75" customHeight="1" x14ac:dyDescent="0.25">
      <c r="A19" s="86" t="s">
        <v>1025</v>
      </c>
      <c r="B19" s="86"/>
      <c r="C19" s="86"/>
      <c r="D19" s="86"/>
      <c r="E19" s="92"/>
      <c r="F19" s="7" t="e">
        <f>'Compra -HOJA1'!G56/1000</f>
        <v>#VALUE!</v>
      </c>
      <c r="G19" s="7" t="e">
        <f>'Compra -HOJA1'!I56/1000</f>
        <v>#VALUE!</v>
      </c>
      <c r="H19" s="7" t="e">
        <f>'Compra -HOJA1'!H56/1000</f>
        <v>#VALUE!</v>
      </c>
      <c r="I19" s="4" t="e">
        <f>SUM(F19:H19)</f>
        <v>#VALUE!</v>
      </c>
    </row>
    <row r="20" spans="1:9" ht="15.75" customHeight="1" x14ac:dyDescent="0.25">
      <c r="A20" s="86" t="s">
        <v>1026</v>
      </c>
      <c r="B20" s="86"/>
      <c r="C20" s="86"/>
      <c r="D20" s="86"/>
      <c r="E20" s="92"/>
      <c r="F20" s="7" t="e">
        <f>'Compra -HOJA1'!#REF!/1000</f>
        <v>#REF!</v>
      </c>
      <c r="G20" s="7" t="e">
        <f>'Compra -HOJA1'!#REF!/1000</f>
        <v>#REF!</v>
      </c>
      <c r="H20" s="7" t="e">
        <f>'Compra -HOJA1'!#REF!/1000</f>
        <v>#REF!</v>
      </c>
      <c r="I20" s="4" t="e">
        <f>SUM(F20:H20)</f>
        <v>#REF!</v>
      </c>
    </row>
    <row r="21" spans="1:9" ht="18" x14ac:dyDescent="0.25">
      <c r="E21" t="s">
        <v>4</v>
      </c>
      <c r="F21" s="5" t="e">
        <f>SUM(F11:F20)</f>
        <v>#REF!</v>
      </c>
      <c r="G21" s="5" t="e">
        <f>SUM(G11:G20)</f>
        <v>#REF!</v>
      </c>
      <c r="H21" s="5" t="e">
        <f>SUM(H11:H20)</f>
        <v>#REF!</v>
      </c>
      <c r="I21" s="6" t="e">
        <f>SUM(I11:I20)</f>
        <v>#REF!</v>
      </c>
    </row>
    <row r="23" spans="1:9" ht="18" x14ac:dyDescent="0.25">
      <c r="A23" t="s">
        <v>1017</v>
      </c>
      <c r="F23" s="82" t="s">
        <v>5</v>
      </c>
      <c r="G23" s="82" t="s">
        <v>7</v>
      </c>
      <c r="H23" s="82" t="s">
        <v>6</v>
      </c>
      <c r="I23" s="82" t="s">
        <v>4</v>
      </c>
    </row>
    <row r="24" spans="1:9" ht="15.75" customHeight="1" x14ac:dyDescent="0.25">
      <c r="A24" s="87" t="s">
        <v>1027</v>
      </c>
      <c r="B24" s="87"/>
      <c r="C24" s="87"/>
      <c r="D24" s="87"/>
      <c r="E24" s="87"/>
      <c r="F24" s="7" t="e">
        <f>#REF!/1000</f>
        <v>#REF!</v>
      </c>
      <c r="G24" s="7" t="e">
        <f>#REF!/1000</f>
        <v>#REF!</v>
      </c>
      <c r="H24" s="7" t="e">
        <f>#REF!/1000</f>
        <v>#REF!</v>
      </c>
      <c r="I24" s="4" t="e">
        <f>SUM(F24:H24)</f>
        <v>#REF!</v>
      </c>
    </row>
    <row r="25" spans="1:9" ht="15.75" customHeight="1" x14ac:dyDescent="0.25">
      <c r="A25" s="87" t="s">
        <v>1028</v>
      </c>
      <c r="B25" s="87"/>
      <c r="C25" s="87"/>
      <c r="D25" s="87"/>
      <c r="E25" s="87"/>
      <c r="F25" s="7" t="e">
        <f>#REF!/1000</f>
        <v>#REF!</v>
      </c>
      <c r="G25" s="7" t="e">
        <f>#REF!/1000</f>
        <v>#REF!</v>
      </c>
      <c r="H25" s="7" t="e">
        <f>#REF!/1000</f>
        <v>#REF!</v>
      </c>
      <c r="I25" s="4" t="e">
        <f t="shared" ref="I25:I32" si="1">SUM(F25:H25)</f>
        <v>#REF!</v>
      </c>
    </row>
    <row r="26" spans="1:9" ht="15.75" customHeight="1" x14ac:dyDescent="0.25">
      <c r="A26" s="87" t="s">
        <v>1029</v>
      </c>
      <c r="B26" s="87"/>
      <c r="C26" s="87"/>
      <c r="D26" s="87"/>
      <c r="E26" s="87"/>
      <c r="F26" s="7" t="e">
        <f>#REF!/1000</f>
        <v>#REF!</v>
      </c>
      <c r="G26" s="7" t="e">
        <f>#REF!/1000</f>
        <v>#REF!</v>
      </c>
      <c r="H26" s="7" t="e">
        <f>#REF!/1000</f>
        <v>#REF!</v>
      </c>
      <c r="I26" s="4" t="e">
        <f t="shared" si="1"/>
        <v>#REF!</v>
      </c>
    </row>
    <row r="27" spans="1:9" ht="15.75" customHeight="1" x14ac:dyDescent="0.25">
      <c r="A27" s="87" t="s">
        <v>1030</v>
      </c>
      <c r="B27" s="87"/>
      <c r="C27" s="87"/>
      <c r="D27" s="87"/>
      <c r="E27" s="87"/>
      <c r="F27" s="7" t="e">
        <f>#REF!/1000</f>
        <v>#REF!</v>
      </c>
      <c r="G27" s="7" t="e">
        <f>#REF!/1000</f>
        <v>#REF!</v>
      </c>
      <c r="H27" s="7" t="e">
        <f>#REF!/1000</f>
        <v>#REF!</v>
      </c>
      <c r="I27" s="4" t="e">
        <f t="shared" si="1"/>
        <v>#REF!</v>
      </c>
    </row>
    <row r="28" spans="1:9" ht="15.75" customHeight="1" x14ac:dyDescent="0.25">
      <c r="A28" s="87" t="s">
        <v>1031</v>
      </c>
      <c r="B28" s="87"/>
      <c r="C28" s="87"/>
      <c r="D28" s="87"/>
      <c r="E28" s="87"/>
      <c r="F28" s="7" t="e">
        <f>#REF!/1000</f>
        <v>#REF!</v>
      </c>
      <c r="G28" s="7" t="e">
        <f>#REF!/1000</f>
        <v>#REF!</v>
      </c>
      <c r="H28" s="7" t="e">
        <f>#REF!/1000</f>
        <v>#REF!</v>
      </c>
      <c r="I28" s="4" t="e">
        <f t="shared" si="1"/>
        <v>#REF!</v>
      </c>
    </row>
    <row r="29" spans="1:9" ht="15.75" customHeight="1" x14ac:dyDescent="0.25">
      <c r="A29" s="87" t="s">
        <v>1032</v>
      </c>
      <c r="B29" s="87"/>
      <c r="C29" s="87"/>
      <c r="D29" s="87"/>
      <c r="E29" s="87"/>
      <c r="F29" s="7" t="e">
        <f>#REF!/1000</f>
        <v>#REF!</v>
      </c>
      <c r="G29" s="7" t="e">
        <f>#REF!/1000</f>
        <v>#REF!</v>
      </c>
      <c r="H29" s="7" t="e">
        <f>#REF!/1000</f>
        <v>#REF!</v>
      </c>
      <c r="I29" s="4" t="e">
        <f t="shared" si="1"/>
        <v>#REF!</v>
      </c>
    </row>
    <row r="30" spans="1:9" ht="15.75" customHeight="1" x14ac:dyDescent="0.25">
      <c r="A30" s="87" t="s">
        <v>1033</v>
      </c>
      <c r="B30" s="87"/>
      <c r="C30" s="87"/>
      <c r="D30" s="87"/>
      <c r="E30" s="87"/>
      <c r="F30" s="7" t="e">
        <f>#REF!/1000</f>
        <v>#REF!</v>
      </c>
      <c r="G30" s="7" t="e">
        <f>#REF!/1000</f>
        <v>#REF!</v>
      </c>
      <c r="H30" s="7" t="e">
        <f>#REF!/1000</f>
        <v>#REF!</v>
      </c>
      <c r="I30" s="4" t="e">
        <f t="shared" si="1"/>
        <v>#REF!</v>
      </c>
    </row>
    <row r="31" spans="1:9" ht="15.75" customHeight="1" x14ac:dyDescent="0.25">
      <c r="A31" s="86" t="s">
        <v>1034</v>
      </c>
      <c r="B31" s="87"/>
      <c r="C31" s="87"/>
      <c r="D31" s="87"/>
      <c r="E31" s="87"/>
      <c r="F31" s="7" t="e">
        <f>#REF!/1000</f>
        <v>#REF!</v>
      </c>
      <c r="G31" s="7" t="e">
        <f>#REF!/1000</f>
        <v>#REF!</v>
      </c>
      <c r="H31" s="7" t="e">
        <f>#REF!/1000</f>
        <v>#REF!</v>
      </c>
      <c r="I31" s="4" t="e">
        <f t="shared" si="1"/>
        <v>#REF!</v>
      </c>
    </row>
    <row r="32" spans="1:9" ht="15.75" customHeight="1" x14ac:dyDescent="0.25">
      <c r="A32" s="86" t="s">
        <v>1035</v>
      </c>
      <c r="B32" s="86"/>
      <c r="C32" s="86"/>
      <c r="D32" s="86"/>
      <c r="E32" s="86"/>
      <c r="F32" s="7" t="e">
        <f>#REF!/1000</f>
        <v>#REF!</v>
      </c>
      <c r="G32" s="7" t="e">
        <f>#REF!/1000</f>
        <v>#REF!</v>
      </c>
      <c r="H32" s="7" t="e">
        <f>#REF!/1000</f>
        <v>#REF!</v>
      </c>
      <c r="I32" s="4" t="e">
        <f t="shared" si="1"/>
        <v>#REF!</v>
      </c>
    </row>
    <row r="33" spans="1:9" ht="18" x14ac:dyDescent="0.25">
      <c r="A33" s="86" t="s">
        <v>1026</v>
      </c>
      <c r="B33" s="86"/>
      <c r="C33" s="86"/>
      <c r="D33" s="86"/>
      <c r="E33" s="86"/>
      <c r="F33" s="5" t="e">
        <f>SUM(F24:F32)</f>
        <v>#REF!</v>
      </c>
      <c r="G33" s="5" t="e">
        <f>SUM(G24:G32)</f>
        <v>#REF!</v>
      </c>
      <c r="H33" s="5" t="e">
        <f>SUM(H24:H32)</f>
        <v>#REF!</v>
      </c>
      <c r="I33" s="81" t="e">
        <f>SUM(I24:I32)</f>
        <v>#REF!</v>
      </c>
    </row>
    <row r="36" spans="1:9" x14ac:dyDescent="0.2">
      <c r="B36" s="13" t="s">
        <v>264</v>
      </c>
      <c r="C36" s="14"/>
      <c r="D36" s="14"/>
      <c r="E36" s="69"/>
      <c r="F36" s="69"/>
      <c r="G36" s="69"/>
      <c r="H36" s="70"/>
    </row>
    <row r="37" spans="1:9" x14ac:dyDescent="0.2">
      <c r="B37" s="16"/>
      <c r="C37" s="10"/>
      <c r="D37" s="10"/>
      <c r="E37" s="10"/>
      <c r="F37" s="10"/>
      <c r="G37" s="10"/>
      <c r="H37" s="15"/>
    </row>
    <row r="38" spans="1:9" x14ac:dyDescent="0.2">
      <c r="B38" s="16"/>
      <c r="C38" s="10"/>
      <c r="D38" s="10"/>
      <c r="E38" s="10"/>
      <c r="F38" s="10"/>
      <c r="G38" s="10"/>
      <c r="H38" s="15"/>
    </row>
    <row r="39" spans="1:9" x14ac:dyDescent="0.2">
      <c r="B39" s="16"/>
      <c r="C39" s="10"/>
      <c r="D39" s="10"/>
      <c r="E39" s="10"/>
      <c r="F39" s="10"/>
      <c r="G39" s="10"/>
      <c r="H39" s="15"/>
    </row>
    <row r="40" spans="1:9" x14ac:dyDescent="0.2">
      <c r="B40" s="16"/>
      <c r="C40" s="9"/>
      <c r="D40" s="9"/>
      <c r="E40" s="9"/>
      <c r="F40" s="9"/>
      <c r="G40" s="9"/>
      <c r="H40" s="17"/>
    </row>
    <row r="41" spans="1:9" x14ac:dyDescent="0.2">
      <c r="B41" s="16"/>
      <c r="C41" s="9"/>
      <c r="D41" s="9"/>
      <c r="E41" s="9"/>
      <c r="F41" s="9"/>
      <c r="G41" s="9"/>
      <c r="H41" s="17"/>
    </row>
    <row r="42" spans="1:9" x14ac:dyDescent="0.2">
      <c r="B42" s="16"/>
      <c r="C42" s="9"/>
      <c r="D42" s="9"/>
      <c r="E42" s="9"/>
      <c r="F42" s="9"/>
      <c r="G42" s="9"/>
      <c r="H42" s="17"/>
    </row>
    <row r="43" spans="1:9" x14ac:dyDescent="0.2">
      <c r="B43" s="5676" t="s">
        <v>265</v>
      </c>
      <c r="C43" s="5677"/>
      <c r="D43" s="5677"/>
      <c r="E43" s="5677"/>
      <c r="F43" s="5677"/>
      <c r="G43" s="5677"/>
      <c r="H43" s="5678"/>
    </row>
  </sheetData>
  <mergeCells count="2">
    <mergeCell ref="C7:G7"/>
    <mergeCell ref="B43:H43"/>
  </mergeCells>
  <phoneticPr fontId="7" type="noConversion"/>
  <pageMargins left="0.78740157480314965" right="0.78740157480314965" top="0.98425196850393704" bottom="0.98425196850393704" header="0" footer="0"/>
  <pageSetup paperSize="9" scale="68" orientation="landscape" horizontalDpi="300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12">
    <pageSetUpPr fitToPage="1"/>
  </sheetPr>
  <dimension ref="A1:M36"/>
  <sheetViews>
    <sheetView workbookViewId="0"/>
  </sheetViews>
  <sheetFormatPr baseColWidth="10" defaultColWidth="11.42578125" defaultRowHeight="12.75" x14ac:dyDescent="0.2"/>
  <cols>
    <col min="1" max="1" width="11.42578125" style="9"/>
    <col min="2" max="2" width="18.5703125" style="9" customWidth="1"/>
    <col min="3" max="3" width="14.5703125" style="9" customWidth="1"/>
    <col min="4" max="4" width="13.5703125" style="9" customWidth="1"/>
    <col min="5" max="5" width="17.42578125" style="9" customWidth="1"/>
    <col min="6" max="8" width="16.42578125" style="9" customWidth="1"/>
    <col min="9" max="12" width="11.42578125" style="9"/>
    <col min="13" max="13" width="3.42578125" style="9" customWidth="1"/>
    <col min="14" max="16384" width="11.42578125" style="9"/>
  </cols>
  <sheetData>
    <row r="1" spans="1:13" ht="23.25" x14ac:dyDescent="0.35">
      <c r="B1" s="29" t="s">
        <v>1036</v>
      </c>
      <c r="C1" s="29"/>
      <c r="D1" s="29"/>
    </row>
    <row r="3" spans="1:13" x14ac:dyDescent="0.2">
      <c r="B3" s="8" t="s">
        <v>1015</v>
      </c>
      <c r="C3" s="4677">
        <f>'CAMMESA-SECCION I'!C7:G7</f>
        <v>0</v>
      </c>
      <c r="D3" s="4677"/>
      <c r="E3" s="4677"/>
      <c r="F3" s="4677"/>
    </row>
    <row r="4" spans="1:13" x14ac:dyDescent="0.2">
      <c r="B4" s="8" t="s">
        <v>1016</v>
      </c>
      <c r="C4" s="31">
        <f>'Compra -HOJA1'!F4</f>
        <v>45536</v>
      </c>
      <c r="D4" s="12"/>
      <c r="E4" s="12"/>
      <c r="F4" s="12"/>
    </row>
    <row r="6" spans="1:13" ht="15.75" x14ac:dyDescent="0.25">
      <c r="B6" s="18"/>
      <c r="C6" s="5679" t="s">
        <v>446</v>
      </c>
      <c r="D6" s="5679" t="s">
        <v>1037</v>
      </c>
      <c r="E6" s="5680" t="s">
        <v>989</v>
      </c>
      <c r="F6" s="5680"/>
      <c r="G6" s="5680"/>
      <c r="H6" s="5680"/>
    </row>
    <row r="7" spans="1:13" x14ac:dyDescent="0.2">
      <c r="A7" s="53" t="s">
        <v>1038</v>
      </c>
      <c r="B7" s="53" t="s">
        <v>1039</v>
      </c>
      <c r="C7" s="5679"/>
      <c r="D7" s="5679"/>
      <c r="E7" s="38" t="s">
        <v>287</v>
      </c>
      <c r="F7" s="38" t="s">
        <v>289</v>
      </c>
      <c r="G7" s="38" t="s">
        <v>288</v>
      </c>
      <c r="H7" s="38" t="s">
        <v>290</v>
      </c>
    </row>
    <row r="8" spans="1:13" x14ac:dyDescent="0.2">
      <c r="A8" s="33" t="s">
        <v>1040</v>
      </c>
      <c r="B8" s="33" t="s">
        <v>322</v>
      </c>
      <c r="C8" s="54" t="s">
        <v>1041</v>
      </c>
      <c r="D8" s="54" t="s">
        <v>1041</v>
      </c>
      <c r="E8" s="41" t="e">
        <f ca="1">'UR1'!B11</f>
        <v>#REF!</v>
      </c>
      <c r="F8" s="41" t="e">
        <f ca="1">'UR1'!C11</f>
        <v>#REF!</v>
      </c>
      <c r="G8" s="41" t="e">
        <f ca="1">'UR1'!D11</f>
        <v>#REF!</v>
      </c>
      <c r="H8" s="41" t="e">
        <f t="shared" ref="H8:H13" ca="1" si="0">SUM(E8:G8)</f>
        <v>#REF!</v>
      </c>
      <c r="M8" s="23"/>
    </row>
    <row r="9" spans="1:13" x14ac:dyDescent="0.2">
      <c r="A9" s="33" t="s">
        <v>1040</v>
      </c>
      <c r="B9" s="33" t="s">
        <v>323</v>
      </c>
      <c r="C9" s="54" t="s">
        <v>1041</v>
      </c>
      <c r="D9" s="54" t="s">
        <v>1041</v>
      </c>
      <c r="E9" s="41">
        <f>'UR2'!B23</f>
        <v>0</v>
      </c>
      <c r="F9" s="41">
        <f>'UR2'!C23</f>
        <v>0</v>
      </c>
      <c r="G9" s="41">
        <f>'UR2'!D23</f>
        <v>0</v>
      </c>
      <c r="H9" s="41">
        <f t="shared" si="0"/>
        <v>0</v>
      </c>
      <c r="M9" s="23"/>
    </row>
    <row r="10" spans="1:13" x14ac:dyDescent="0.2">
      <c r="A10" s="33" t="s">
        <v>1040</v>
      </c>
      <c r="B10" s="33" t="s">
        <v>1042</v>
      </c>
      <c r="C10" s="54" t="s">
        <v>1041</v>
      </c>
      <c r="D10" s="54" t="s">
        <v>1041</v>
      </c>
      <c r="E10" s="41" t="e">
        <f>'NR10'!B14</f>
        <v>#REF!</v>
      </c>
      <c r="F10" s="41" t="e">
        <f>'NR10'!C14</f>
        <v>#REF!</v>
      </c>
      <c r="G10" s="41" t="e">
        <f>'NR10'!D14</f>
        <v>#REF!</v>
      </c>
      <c r="H10" s="41" t="e">
        <f t="shared" si="0"/>
        <v>#REF!</v>
      </c>
      <c r="M10" s="23"/>
    </row>
    <row r="11" spans="1:13" x14ac:dyDescent="0.2">
      <c r="A11" s="33" t="s">
        <v>1043</v>
      </c>
      <c r="B11" s="33" t="s">
        <v>1044</v>
      </c>
      <c r="C11" s="43" t="e">
        <f>GUd!B12+GUd!B15</f>
        <v>#VALUE!</v>
      </c>
      <c r="D11" s="41" t="e">
        <f>H11/720</f>
        <v>#REF!</v>
      </c>
      <c r="E11" s="41" t="e">
        <f>GUd!E12+GUd!E15</f>
        <v>#REF!</v>
      </c>
      <c r="F11" s="41" t="e">
        <f>GUd!F12+GUd!F15</f>
        <v>#REF!</v>
      </c>
      <c r="G11" s="41" t="e">
        <f>GUd!G12+GUd!G15</f>
        <v>#REF!</v>
      </c>
      <c r="H11" s="41" t="e">
        <f t="shared" si="0"/>
        <v>#REF!</v>
      </c>
      <c r="M11" s="23"/>
    </row>
    <row r="12" spans="1:13" x14ac:dyDescent="0.2">
      <c r="A12" s="33" t="s">
        <v>1043</v>
      </c>
      <c r="B12" s="33" t="s">
        <v>258</v>
      </c>
      <c r="C12" s="43">
        <f>'U30'!B10</f>
        <v>0</v>
      </c>
      <c r="D12" s="41">
        <f>H12/720</f>
        <v>0</v>
      </c>
      <c r="E12" s="41">
        <f>'U30'!E10</f>
        <v>0</v>
      </c>
      <c r="F12" s="41">
        <f>'U30'!F10</f>
        <v>0</v>
      </c>
      <c r="G12" s="41">
        <f>'U30'!G10</f>
        <v>0</v>
      </c>
      <c r="H12" s="41">
        <f t="shared" si="0"/>
        <v>0</v>
      </c>
      <c r="M12" s="23"/>
    </row>
    <row r="13" spans="1:13" x14ac:dyDescent="0.2">
      <c r="A13" s="33" t="s">
        <v>1045</v>
      </c>
      <c r="B13" s="33" t="s">
        <v>1046</v>
      </c>
      <c r="C13" s="43">
        <f>GUc!C37</f>
        <v>0</v>
      </c>
      <c r="D13" s="41" t="e">
        <f>H13/720</f>
        <v>#REF!</v>
      </c>
      <c r="E13" s="41" t="e">
        <f>GUc!E41</f>
        <v>#REF!</v>
      </c>
      <c r="F13" s="41" t="e">
        <f>GUc!F41</f>
        <v>#REF!</v>
      </c>
      <c r="G13" s="41" t="e">
        <f>GUc!G41</f>
        <v>#REF!</v>
      </c>
      <c r="H13" s="41" t="e">
        <f t="shared" si="0"/>
        <v>#REF!</v>
      </c>
      <c r="M13" s="23"/>
    </row>
    <row r="14" spans="1:13" x14ac:dyDescent="0.2">
      <c r="B14" s="33" t="s">
        <v>471</v>
      </c>
      <c r="C14" s="55"/>
      <c r="D14" s="56"/>
      <c r="E14" s="41" t="e">
        <f ca="1">SUM(E8:E13)</f>
        <v>#REF!</v>
      </c>
      <c r="F14" s="41" t="e">
        <f ca="1">SUM(F8:F13)</f>
        <v>#REF!</v>
      </c>
      <c r="G14" s="41" t="e">
        <f ca="1">SUM(G8:G13)</f>
        <v>#REF!</v>
      </c>
      <c r="H14" s="41" t="e">
        <f ca="1">SUM(H8:H13)</f>
        <v>#REF!</v>
      </c>
      <c r="M14" s="23"/>
    </row>
    <row r="15" spans="1:13" hidden="1" x14ac:dyDescent="0.2">
      <c r="C15" s="4677" t="s">
        <v>435</v>
      </c>
      <c r="D15" s="4677"/>
      <c r="E15" s="23" t="e">
        <f ca="1">E14-'CAMMESA-SECCION I'!F21</f>
        <v>#REF!</v>
      </c>
      <c r="F15" s="23" t="e">
        <f ca="1">F14-'CAMMESA-SECCION I'!H21</f>
        <v>#REF!</v>
      </c>
      <c r="G15" s="23" t="e">
        <f ca="1">G14-'CAMMESA-SECCION I'!G21</f>
        <v>#REF!</v>
      </c>
      <c r="H15" s="23" t="e">
        <f ca="1">H14-'CAMMESA-SECCION I'!I21</f>
        <v>#REF!</v>
      </c>
    </row>
    <row r="16" spans="1:13" x14ac:dyDescent="0.2">
      <c r="C16" s="12"/>
      <c r="D16" s="12"/>
      <c r="E16" s="23"/>
      <c r="F16" s="23"/>
      <c r="G16" s="23"/>
      <c r="H16" s="23"/>
    </row>
    <row r="17" spans="2:9" x14ac:dyDescent="0.2">
      <c r="C17" s="12"/>
      <c r="D17" s="12"/>
      <c r="E17" s="23"/>
      <c r="F17" s="23"/>
      <c r="G17" s="23"/>
      <c r="H17" s="23"/>
    </row>
    <row r="18" spans="2:9" ht="13.5" thickBot="1" x14ac:dyDescent="0.25">
      <c r="B18" s="8" t="s">
        <v>1047</v>
      </c>
      <c r="C18" s="8"/>
      <c r="D18" s="8"/>
    </row>
    <row r="19" spans="2:9" x14ac:dyDescent="0.2">
      <c r="B19" s="57" t="s">
        <v>322</v>
      </c>
      <c r="C19" s="58" t="s">
        <v>1048</v>
      </c>
      <c r="D19" s="59"/>
      <c r="E19" s="59"/>
      <c r="F19" s="60"/>
    </row>
    <row r="20" spans="2:9" x14ac:dyDescent="0.2">
      <c r="B20" s="61" t="s">
        <v>323</v>
      </c>
      <c r="C20" s="62" t="s">
        <v>1049</v>
      </c>
      <c r="D20" s="63"/>
      <c r="E20" s="63"/>
      <c r="F20" s="64"/>
    </row>
    <row r="21" spans="2:9" x14ac:dyDescent="0.2">
      <c r="B21" s="61" t="s">
        <v>1042</v>
      </c>
      <c r="C21" s="62" t="s">
        <v>1050</v>
      </c>
      <c r="D21" s="63"/>
      <c r="E21" s="63"/>
      <c r="F21" s="64"/>
    </row>
    <row r="22" spans="2:9" x14ac:dyDescent="0.2">
      <c r="B22" s="61" t="s">
        <v>1046</v>
      </c>
      <c r="C22" s="62" t="s">
        <v>1051</v>
      </c>
      <c r="D22" s="63"/>
      <c r="E22" s="63"/>
      <c r="F22" s="64"/>
    </row>
    <row r="23" spans="2:9" x14ac:dyDescent="0.2">
      <c r="B23" s="61" t="s">
        <v>1044</v>
      </c>
      <c r="C23" s="62" t="s">
        <v>1052</v>
      </c>
      <c r="D23" s="63"/>
      <c r="E23" s="63"/>
      <c r="F23" s="64"/>
    </row>
    <row r="24" spans="2:9" ht="13.5" thickBot="1" x14ac:dyDescent="0.25">
      <c r="B24" s="65" t="s">
        <v>258</v>
      </c>
      <c r="C24" s="66" t="s">
        <v>1053</v>
      </c>
      <c r="D24" s="67"/>
      <c r="E24" s="67"/>
      <c r="F24" s="68"/>
    </row>
    <row r="26" spans="2:9" x14ac:dyDescent="0.2">
      <c r="C26"/>
      <c r="D26"/>
      <c r="E26"/>
      <c r="F26"/>
      <c r="G26"/>
    </row>
    <row r="27" spans="2:9" x14ac:dyDescent="0.2">
      <c r="B27"/>
      <c r="C27"/>
      <c r="D27"/>
      <c r="E27"/>
      <c r="F27"/>
      <c r="G27"/>
      <c r="H27"/>
      <c r="I27"/>
    </row>
    <row r="28" spans="2:9" x14ac:dyDescent="0.2">
      <c r="B28" s="13" t="s">
        <v>264</v>
      </c>
      <c r="C28" s="14"/>
      <c r="D28" s="14"/>
      <c r="E28" s="69"/>
      <c r="F28" s="69"/>
      <c r="G28" s="69"/>
      <c r="H28" s="70"/>
    </row>
    <row r="29" spans="2:9" x14ac:dyDescent="0.2">
      <c r="B29" s="16"/>
      <c r="C29" s="10"/>
      <c r="D29" s="10"/>
      <c r="E29" s="10"/>
      <c r="F29" s="10"/>
      <c r="G29" s="10"/>
      <c r="H29" s="15"/>
    </row>
    <row r="30" spans="2:9" x14ac:dyDescent="0.2">
      <c r="B30" s="16"/>
      <c r="C30" s="10"/>
      <c r="D30" s="10"/>
      <c r="E30" s="10"/>
      <c r="F30" s="10"/>
      <c r="G30" s="10"/>
      <c r="H30" s="15"/>
    </row>
    <row r="31" spans="2:9" x14ac:dyDescent="0.2">
      <c r="B31" s="16"/>
      <c r="C31" s="10"/>
      <c r="D31" s="10"/>
      <c r="E31" s="10"/>
      <c r="F31" s="10"/>
      <c r="G31" s="10"/>
      <c r="H31" s="15"/>
    </row>
    <row r="32" spans="2:9" x14ac:dyDescent="0.2">
      <c r="B32" s="16"/>
      <c r="H32" s="17"/>
    </row>
    <row r="33" spans="2:9" x14ac:dyDescent="0.2">
      <c r="B33" s="16"/>
      <c r="H33" s="17"/>
    </row>
    <row r="34" spans="2:9" x14ac:dyDescent="0.2">
      <c r="B34" s="16"/>
      <c r="H34" s="17"/>
    </row>
    <row r="35" spans="2:9" x14ac:dyDescent="0.2">
      <c r="B35" s="5676" t="s">
        <v>265</v>
      </c>
      <c r="C35" s="5677"/>
      <c r="D35" s="5677"/>
      <c r="E35" s="5677"/>
      <c r="F35" s="5677"/>
      <c r="G35" s="5677"/>
      <c r="H35" s="5678"/>
    </row>
    <row r="36" spans="2:9" x14ac:dyDescent="0.2">
      <c r="B36"/>
      <c r="C36"/>
      <c r="D36"/>
      <c r="E36"/>
      <c r="F36"/>
      <c r="G36"/>
      <c r="H36"/>
      <c r="I36"/>
    </row>
  </sheetData>
  <mergeCells count="6">
    <mergeCell ref="B35:H35"/>
    <mergeCell ref="C15:D15"/>
    <mergeCell ref="C3:F3"/>
    <mergeCell ref="C6:C7"/>
    <mergeCell ref="D6:D7"/>
    <mergeCell ref="E6:H6"/>
  </mergeCells>
  <phoneticPr fontId="7" type="noConversion"/>
  <pageMargins left="0.75" right="0.75" top="1" bottom="1" header="0" footer="0"/>
  <pageSetup paperSize="9" scale="97" orientation="landscape" horizontalDpi="300" verticalDpi="300" r:id="rId1"/>
  <headerFooter alignWithMargins="0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13">
    <pageSetUpPr fitToPage="1"/>
  </sheetPr>
  <dimension ref="A1:G33"/>
  <sheetViews>
    <sheetView topLeftCell="A9" workbookViewId="0">
      <selection activeCell="B35" sqref="B35"/>
    </sheetView>
  </sheetViews>
  <sheetFormatPr baseColWidth="10" defaultColWidth="11.42578125" defaultRowHeight="12.75" x14ac:dyDescent="0.2"/>
  <cols>
    <col min="1" max="1" width="43.42578125" style="9" customWidth="1"/>
    <col min="2" max="2" width="21.5703125" style="9" customWidth="1"/>
    <col min="3" max="3" width="45.5703125" style="9" customWidth="1"/>
    <col min="4" max="4" width="41.5703125" style="9" customWidth="1"/>
    <col min="5" max="5" width="24.42578125" style="9" customWidth="1"/>
    <col min="6" max="6" width="1.5703125" style="9" customWidth="1"/>
    <col min="7" max="16384" width="11.42578125" style="9"/>
  </cols>
  <sheetData>
    <row r="1" spans="1:6" ht="23.25" x14ac:dyDescent="0.35">
      <c r="A1" s="29" t="s">
        <v>1036</v>
      </c>
      <c r="B1" s="29"/>
      <c r="C1" s="29"/>
      <c r="D1" s="29"/>
      <c r="E1" s="29"/>
      <c r="F1" s="29"/>
    </row>
    <row r="2" spans="1:6" ht="23.25" x14ac:dyDescent="0.35">
      <c r="A2" s="29"/>
      <c r="B2" s="29"/>
      <c r="C2" s="29"/>
      <c r="D2" s="29"/>
      <c r="E2" s="29"/>
      <c r="F2" s="29"/>
    </row>
    <row r="3" spans="1:6" ht="15.75" x14ac:dyDescent="0.25">
      <c r="A3" s="18" t="s">
        <v>1054</v>
      </c>
    </row>
    <row r="4" spans="1:6" ht="15.75" x14ac:dyDescent="0.25">
      <c r="A4" s="18"/>
    </row>
    <row r="5" spans="1:6" ht="15.75" x14ac:dyDescent="0.25">
      <c r="A5" s="30" t="s">
        <v>1015</v>
      </c>
      <c r="B5" s="4677">
        <f>'Compra -HOJA1'!D2</f>
        <v>0</v>
      </c>
      <c r="C5" s="4677"/>
      <c r="D5" s="4677"/>
    </row>
    <row r="6" spans="1:6" ht="15.75" x14ac:dyDescent="0.25">
      <c r="A6" s="30" t="s">
        <v>1016</v>
      </c>
      <c r="B6" s="31">
        <f>'Compra -HOJA1'!F4</f>
        <v>45536</v>
      </c>
      <c r="C6" s="12"/>
      <c r="D6" s="12"/>
    </row>
    <row r="7" spans="1:6" ht="15.75" x14ac:dyDescent="0.25">
      <c r="A7" s="18"/>
    </row>
    <row r="9" spans="1:6" x14ac:dyDescent="0.2">
      <c r="A9" s="20" t="s">
        <v>268</v>
      </c>
      <c r="B9" s="20" t="s">
        <v>999</v>
      </c>
      <c r="C9" s="20" t="s">
        <v>1055</v>
      </c>
      <c r="D9" s="20" t="s">
        <v>271</v>
      </c>
      <c r="E9" s="20" t="s">
        <v>273</v>
      </c>
      <c r="F9" s="32"/>
    </row>
    <row r="10" spans="1:6" x14ac:dyDescent="0.2">
      <c r="A10" s="33">
        <f>GUc!A10</f>
        <v>0</v>
      </c>
      <c r="B10" s="33" t="e">
        <f>IF('Compra -HOJA1'!#REF!=0," ",'Compra -HOJA1'!#REF!)</f>
        <v>#REF!</v>
      </c>
      <c r="C10" s="33" t="e">
        <f>IF('Compra -HOJA1'!#REF!=0," ",'Compra -HOJA1'!#REF!)</f>
        <v>#REF!</v>
      </c>
      <c r="D10" s="33" t="e">
        <f>IF('Compra -HOJA1'!#REF!=0," ",'Compra -HOJA1'!#REF!)</f>
        <v>#REF!</v>
      </c>
      <c r="E10" s="33" t="e">
        <f>IF('Compra -HOJA1'!#REF!=0," ",'Compra -HOJA1'!#REF!)</f>
        <v>#REF!</v>
      </c>
    </row>
    <row r="11" spans="1:6" x14ac:dyDescent="0.2">
      <c r="A11" s="33">
        <f>GUc!A11</f>
        <v>0</v>
      </c>
      <c r="B11" s="33" t="e">
        <f>IF('Compra -HOJA1'!#REF!=0," ",'Compra -HOJA1'!#REF!)</f>
        <v>#REF!</v>
      </c>
      <c r="C11" s="33" t="e">
        <f>IF('Compra -HOJA1'!#REF!=0," ",'Compra -HOJA1'!#REF!)</f>
        <v>#REF!</v>
      </c>
      <c r="D11" s="33" t="e">
        <f>IF('Compra -HOJA1'!#REF!=0," ",'Compra -HOJA1'!#REF!)</f>
        <v>#REF!</v>
      </c>
      <c r="E11" s="33" t="e">
        <f>IF('Compra -HOJA1'!#REF!=0," ",'Compra -HOJA1'!#REF!)</f>
        <v>#REF!</v>
      </c>
    </row>
    <row r="12" spans="1:6" x14ac:dyDescent="0.2">
      <c r="A12" s="33">
        <f>GUc!A12</f>
        <v>0</v>
      </c>
      <c r="B12" s="33" t="e">
        <f>IF('Compra -HOJA1'!#REF!=0," ",'Compra -HOJA1'!#REF!)</f>
        <v>#REF!</v>
      </c>
      <c r="C12" s="33" t="e">
        <f>IF('Compra -HOJA1'!#REF!=0," ",'Compra -HOJA1'!#REF!)</f>
        <v>#REF!</v>
      </c>
      <c r="D12" s="33" t="e">
        <f>IF('Compra -HOJA1'!#REF!=0," ",'Compra -HOJA1'!#REF!)</f>
        <v>#REF!</v>
      </c>
      <c r="E12" s="33" t="e">
        <f>IF('Compra -HOJA1'!#REF!=0," ",'Compra -HOJA1'!#REF!)</f>
        <v>#REF!</v>
      </c>
    </row>
    <row r="13" spans="1:6" x14ac:dyDescent="0.2">
      <c r="A13" s="33">
        <f>GUc!A13</f>
        <v>0</v>
      </c>
      <c r="B13" s="33" t="e">
        <f>IF('Compra -HOJA1'!#REF!=0," ",'Compra -HOJA1'!#REF!)</f>
        <v>#REF!</v>
      </c>
      <c r="C13" s="33" t="e">
        <f>IF('Compra -HOJA1'!#REF!=0," ",'Compra -HOJA1'!#REF!)</f>
        <v>#REF!</v>
      </c>
      <c r="D13" s="33" t="e">
        <f>IF('Compra -HOJA1'!#REF!=0," ",'Compra -HOJA1'!#REF!)</f>
        <v>#REF!</v>
      </c>
      <c r="E13" s="33" t="e">
        <f>IF('Compra -HOJA1'!#REF!=0," ",'Compra -HOJA1'!#REF!)</f>
        <v>#REF!</v>
      </c>
    </row>
    <row r="14" spans="1:6" x14ac:dyDescent="0.2">
      <c r="A14" s="33">
        <f>GUc!A14</f>
        <v>0</v>
      </c>
      <c r="B14" s="33" t="e">
        <f>IF('Compra -HOJA1'!#REF!=0," ",'Compra -HOJA1'!#REF!)</f>
        <v>#REF!</v>
      </c>
      <c r="C14" s="33" t="e">
        <f>IF('Compra -HOJA1'!#REF!=0," ",'Compra -HOJA1'!#REF!)</f>
        <v>#REF!</v>
      </c>
      <c r="D14" s="33" t="e">
        <f>IF('Compra -HOJA1'!#REF!=0," ",'Compra -HOJA1'!#REF!)</f>
        <v>#REF!</v>
      </c>
      <c r="E14" s="33" t="e">
        <f>IF('Compra -HOJA1'!#REF!=0," ",'Compra -HOJA1'!#REF!)</f>
        <v>#REF!</v>
      </c>
    </row>
    <row r="15" spans="1:6" x14ac:dyDescent="0.2">
      <c r="A15" s="33">
        <f>GUc!A15</f>
        <v>0</v>
      </c>
      <c r="B15" s="33" t="e">
        <f>IF('Compra -HOJA1'!#REF!=0," ",'Compra -HOJA1'!#REF!)</f>
        <v>#REF!</v>
      </c>
      <c r="C15" s="33" t="e">
        <f>IF('Compra -HOJA1'!#REF!=0," ",'Compra -HOJA1'!#REF!)</f>
        <v>#REF!</v>
      </c>
      <c r="D15" s="33" t="e">
        <f>IF('Compra -HOJA1'!#REF!=0," ",'Compra -HOJA1'!#REF!)</f>
        <v>#REF!</v>
      </c>
      <c r="E15" s="33" t="e">
        <f>IF('Compra -HOJA1'!#REF!=0," ",'Compra -HOJA1'!#REF!)</f>
        <v>#REF!</v>
      </c>
    </row>
    <row r="16" spans="1:6" x14ac:dyDescent="0.2">
      <c r="A16" s="33">
        <f>GUc!A16</f>
        <v>0</v>
      </c>
      <c r="B16" s="33" t="e">
        <f>IF('Compra -HOJA1'!#REF!=0," ",'Compra -HOJA1'!#REF!)</f>
        <v>#REF!</v>
      </c>
      <c r="C16" s="33" t="e">
        <f>IF('Compra -HOJA1'!#REF!=0," ",'Compra -HOJA1'!#REF!)</f>
        <v>#REF!</v>
      </c>
      <c r="D16" s="33" t="e">
        <f>IF('Compra -HOJA1'!#REF!=0," ",'Compra -HOJA1'!#REF!)</f>
        <v>#REF!</v>
      </c>
      <c r="E16" s="33" t="e">
        <f>IF('Compra -HOJA1'!#REF!=0," ",'Compra -HOJA1'!#REF!)</f>
        <v>#REF!</v>
      </c>
    </row>
    <row r="17" spans="1:7" x14ac:dyDescent="0.2">
      <c r="A17" s="33">
        <f>GUc!A17</f>
        <v>0</v>
      </c>
      <c r="B17" s="33" t="e">
        <f>IF('Compra -HOJA1'!#REF!=0," ",'Compra -HOJA1'!#REF!)</f>
        <v>#REF!</v>
      </c>
      <c r="C17" s="33" t="e">
        <f>IF('Compra -HOJA1'!#REF!=0," ",'Compra -HOJA1'!#REF!)</f>
        <v>#REF!</v>
      </c>
      <c r="D17" s="33" t="e">
        <f>IF('Compra -HOJA1'!#REF!=0," ",'Compra -HOJA1'!#REF!)</f>
        <v>#REF!</v>
      </c>
      <c r="E17" s="33" t="e">
        <f>IF('Compra -HOJA1'!#REF!=0," ",'Compra -HOJA1'!#REF!)</f>
        <v>#REF!</v>
      </c>
    </row>
    <row r="18" spans="1:7" x14ac:dyDescent="0.2">
      <c r="A18" s="33">
        <f>GUc!A18</f>
        <v>0</v>
      </c>
      <c r="B18" s="33" t="e">
        <f>IF('Compra -HOJA1'!#REF!=0," ",'Compra -HOJA1'!#REF!)</f>
        <v>#REF!</v>
      </c>
      <c r="C18" s="33" t="e">
        <f>IF('Compra -HOJA1'!#REF!=0," ",'Compra -HOJA1'!#REF!)</f>
        <v>#REF!</v>
      </c>
      <c r="D18" s="33" t="e">
        <f>IF('Compra -HOJA1'!#REF!=0," ",'Compra -HOJA1'!#REF!)</f>
        <v>#REF!</v>
      </c>
      <c r="E18" s="33" t="e">
        <f>IF('Compra -HOJA1'!#REF!=0," ",'Compra -HOJA1'!#REF!)</f>
        <v>#REF!</v>
      </c>
    </row>
    <row r="19" spans="1:7" x14ac:dyDescent="0.2">
      <c r="A19" s="33">
        <f>GUc!A19</f>
        <v>0</v>
      </c>
      <c r="B19" s="33" t="e">
        <f>IF('Compra -HOJA1'!#REF!=0," ",'Compra -HOJA1'!#REF!)</f>
        <v>#REF!</v>
      </c>
      <c r="C19" s="33" t="e">
        <f>IF('Compra -HOJA1'!#REF!=0," ",'Compra -HOJA1'!#REF!)</f>
        <v>#REF!</v>
      </c>
      <c r="D19" s="33" t="e">
        <f>IF('Compra -HOJA1'!#REF!=0," ",'Compra -HOJA1'!#REF!)</f>
        <v>#REF!</v>
      </c>
      <c r="E19" s="33" t="e">
        <f>IF('Compra -HOJA1'!#REF!=0," ",'Compra -HOJA1'!#REF!)</f>
        <v>#REF!</v>
      </c>
    </row>
    <row r="24" spans="1:7" x14ac:dyDescent="0.2">
      <c r="A24" s="13" t="s">
        <v>264</v>
      </c>
      <c r="B24" s="14"/>
      <c r="C24" s="14"/>
      <c r="D24" s="69"/>
      <c r="E24" s="70"/>
      <c r="F24" s="10"/>
      <c r="G24" s="10"/>
    </row>
    <row r="25" spans="1:7" x14ac:dyDescent="0.2">
      <c r="A25" s="16"/>
      <c r="B25" s="10"/>
      <c r="C25" s="10"/>
      <c r="D25" s="10"/>
      <c r="E25" s="15"/>
      <c r="F25" s="10"/>
      <c r="G25" s="10"/>
    </row>
    <row r="26" spans="1:7" x14ac:dyDescent="0.2">
      <c r="A26" s="16"/>
      <c r="B26" s="10"/>
      <c r="C26" s="10"/>
      <c r="D26" s="10"/>
      <c r="E26" s="15"/>
      <c r="F26" s="10"/>
      <c r="G26" s="10"/>
    </row>
    <row r="27" spans="1:7" x14ac:dyDescent="0.2">
      <c r="A27" s="16"/>
      <c r="B27" s="10"/>
      <c r="C27" s="10"/>
      <c r="D27" s="10"/>
      <c r="E27" s="15"/>
      <c r="F27" s="10"/>
      <c r="G27" s="10"/>
    </row>
    <row r="28" spans="1:7" x14ac:dyDescent="0.2">
      <c r="A28" s="16"/>
      <c r="E28" s="17"/>
    </row>
    <row r="29" spans="1:7" x14ac:dyDescent="0.2">
      <c r="A29" s="16"/>
      <c r="E29" s="17"/>
    </row>
    <row r="30" spans="1:7" x14ac:dyDescent="0.2">
      <c r="A30" s="16"/>
      <c r="E30" s="17"/>
    </row>
    <row r="31" spans="1:7" x14ac:dyDescent="0.2">
      <c r="A31" s="5681" t="s">
        <v>265</v>
      </c>
      <c r="B31" s="4677"/>
      <c r="C31" s="4677"/>
      <c r="D31" s="4677"/>
      <c r="E31" s="5682"/>
    </row>
    <row r="32" spans="1:7" x14ac:dyDescent="0.2">
      <c r="A32" s="16"/>
      <c r="E32" s="17"/>
    </row>
    <row r="33" spans="1:5" x14ac:dyDescent="0.2">
      <c r="A33" s="76"/>
      <c r="B33" s="77"/>
      <c r="C33" s="77"/>
      <c r="D33" s="77"/>
      <c r="E33" s="78"/>
    </row>
  </sheetData>
  <mergeCells count="2">
    <mergeCell ref="B5:D5"/>
    <mergeCell ref="A31:E31"/>
  </mergeCells>
  <phoneticPr fontId="0" type="noConversion"/>
  <pageMargins left="1.0629921259842521" right="0.75" top="0.48" bottom="1" header="0" footer="0"/>
  <pageSetup paperSize="9" scale="72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29"/>
  <dimension ref="A1:H50"/>
  <sheetViews>
    <sheetView workbookViewId="0">
      <selection activeCell="H18" sqref="H1:H65536"/>
    </sheetView>
  </sheetViews>
  <sheetFormatPr baseColWidth="10" defaultColWidth="11.42578125" defaultRowHeight="12.75" x14ac:dyDescent="0.2"/>
  <cols>
    <col min="1" max="1" width="30.5703125" style="9" customWidth="1"/>
    <col min="2" max="2" width="23.42578125" style="9" customWidth="1"/>
    <col min="3" max="4" width="15.42578125" style="9" customWidth="1"/>
    <col min="5" max="7" width="20.5703125" style="9" customWidth="1"/>
    <col min="8" max="8" width="20.5703125" style="9" hidden="1" customWidth="1"/>
    <col min="9" max="16384" width="11.42578125" style="9"/>
  </cols>
  <sheetData>
    <row r="1" spans="1:8" ht="18" x14ac:dyDescent="0.25">
      <c r="A1" s="175" t="s">
        <v>1056</v>
      </c>
      <c r="B1" s="175"/>
      <c r="C1" s="175"/>
    </row>
    <row r="2" spans="1:8" ht="13.5" thickBot="1" x14ac:dyDescent="0.25"/>
    <row r="3" spans="1:8" ht="16.5" thickBot="1" x14ac:dyDescent="0.3">
      <c r="A3" s="176" t="s">
        <v>1057</v>
      </c>
      <c r="B3" s="177"/>
      <c r="C3" s="177"/>
      <c r="D3" s="5683" t="s">
        <v>101</v>
      </c>
      <c r="E3" s="5685" t="s">
        <v>1058</v>
      </c>
      <c r="F3" s="5685"/>
      <c r="G3" s="5686"/>
    </row>
    <row r="4" spans="1:8" ht="15" customHeight="1" x14ac:dyDescent="0.25">
      <c r="A4" s="126"/>
      <c r="D4" s="5684"/>
      <c r="E4" s="155" t="s">
        <v>287</v>
      </c>
      <c r="F4" s="155" t="s">
        <v>289</v>
      </c>
      <c r="G4" s="156" t="s">
        <v>288</v>
      </c>
      <c r="H4" s="5683" t="s">
        <v>101</v>
      </c>
    </row>
    <row r="5" spans="1:8" x14ac:dyDescent="0.2">
      <c r="A5" s="126"/>
      <c r="G5" s="96"/>
      <c r="H5" s="5684"/>
    </row>
    <row r="6" spans="1:8" ht="15.75" x14ac:dyDescent="0.25">
      <c r="A6" s="126" t="s">
        <v>1059</v>
      </c>
      <c r="D6" s="122">
        <f ca="1">H6</f>
        <v>0</v>
      </c>
      <c r="E6" s="122" t="e">
        <f ca="1">'SECCION I-II'!F15+'SECCION I-II'!F17</f>
        <v>#REF!</v>
      </c>
      <c r="F6" s="122" t="e">
        <f ca="1">'SECCION I-II'!G15+'SECCION I-II'!G17</f>
        <v>#REF!</v>
      </c>
      <c r="G6" s="122" t="e">
        <f ca="1">'SECCION I-II'!H15+'SECCION I-II'!H17</f>
        <v>#REF!</v>
      </c>
      <c r="H6" s="122">
        <f ca="1">'SECCION I-II'!I15+'SECCION I-II'!I17</f>
        <v>0</v>
      </c>
    </row>
    <row r="7" spans="1:8" ht="15.75" x14ac:dyDescent="0.25">
      <c r="A7" s="126"/>
      <c r="D7" s="107"/>
      <c r="E7" s="107"/>
      <c r="G7" s="96"/>
      <c r="H7" s="96"/>
    </row>
    <row r="8" spans="1:8" ht="15.75" x14ac:dyDescent="0.25">
      <c r="A8" s="126" t="s">
        <v>1060</v>
      </c>
      <c r="D8" s="140" t="e">
        <f ca="1">H8</f>
        <v>#REF!</v>
      </c>
      <c r="E8" s="140" t="e">
        <f>'SECCION I-II'!#REF!+'SECCION I-II'!F21</f>
        <v>#REF!</v>
      </c>
      <c r="F8" s="140" t="e">
        <f>'SECCION I-II'!#REF!+'SECCION I-II'!G21</f>
        <v>#REF!</v>
      </c>
      <c r="G8" s="140" t="e">
        <f>'SECCION I-II'!#REF!+'SECCION I-II'!H21</f>
        <v>#REF!</v>
      </c>
      <c r="H8" s="140" t="e">
        <f ca="1">'SECCION I-II'!#REF!+'SECCION I-II'!I21</f>
        <v>#REF!</v>
      </c>
    </row>
    <row r="9" spans="1:8" x14ac:dyDescent="0.2">
      <c r="A9" s="126"/>
      <c r="G9" s="96"/>
    </row>
    <row r="10" spans="1:8" x14ac:dyDescent="0.2">
      <c r="A10" s="178"/>
      <c r="B10" s="77" t="s">
        <v>1061</v>
      </c>
      <c r="C10" s="77"/>
      <c r="D10" s="77"/>
      <c r="E10" s="33"/>
      <c r="F10" s="33"/>
      <c r="G10" s="102"/>
    </row>
    <row r="11" spans="1:8" ht="13.5" thickBot="1" x14ac:dyDescent="0.25">
      <c r="A11" s="126"/>
      <c r="G11" s="96"/>
    </row>
    <row r="12" spans="1:8" ht="16.5" thickBot="1" x14ac:dyDescent="0.3">
      <c r="A12" s="179" t="s">
        <v>1062</v>
      </c>
      <c r="B12" s="180"/>
      <c r="C12" s="180"/>
      <c r="D12" s="5683" t="s">
        <v>101</v>
      </c>
      <c r="E12" s="5687" t="s">
        <v>1058</v>
      </c>
      <c r="F12" s="5687"/>
      <c r="G12" s="5688"/>
    </row>
    <row r="13" spans="1:8" ht="15" customHeight="1" x14ac:dyDescent="0.25">
      <c r="A13" s="126"/>
      <c r="D13" s="5684"/>
      <c r="E13" s="155" t="s">
        <v>287</v>
      </c>
      <c r="F13" s="155" t="s">
        <v>289</v>
      </c>
      <c r="G13" s="156" t="s">
        <v>288</v>
      </c>
      <c r="H13" s="5683" t="s">
        <v>101</v>
      </c>
    </row>
    <row r="14" spans="1:8" x14ac:dyDescent="0.2">
      <c r="A14" s="126"/>
      <c r="G14" s="96"/>
      <c r="H14" s="5684"/>
    </row>
    <row r="15" spans="1:8" ht="15.75" x14ac:dyDescent="0.25">
      <c r="A15" s="126" t="s">
        <v>1059</v>
      </c>
      <c r="D15" s="122">
        <f ca="1">H15</f>
        <v>0</v>
      </c>
      <c r="E15" s="122">
        <f>'SECCION I-II'!F27</f>
        <v>0</v>
      </c>
      <c r="F15" s="122">
        <f>'SECCION I-II'!G27</f>
        <v>0</v>
      </c>
      <c r="G15" s="122">
        <f>'SECCION I-II'!H27</f>
        <v>0</v>
      </c>
      <c r="H15" s="122">
        <f ca="1">'SECCION I-II'!I27</f>
        <v>0</v>
      </c>
    </row>
    <row r="16" spans="1:8" ht="15.75" x14ac:dyDescent="0.25">
      <c r="A16" s="126"/>
      <c r="D16" s="107"/>
      <c r="E16" s="107"/>
      <c r="F16" s="107"/>
      <c r="G16" s="107"/>
      <c r="H16" s="107"/>
    </row>
    <row r="17" spans="1:8" ht="15.75" x14ac:dyDescent="0.25">
      <c r="A17" s="126" t="s">
        <v>1060</v>
      </c>
      <c r="D17" s="140" t="e">
        <f>H17</f>
        <v>#REF!</v>
      </c>
      <c r="E17" s="140" t="e">
        <f>'SECCION I-II'!#REF!</f>
        <v>#REF!</v>
      </c>
      <c r="F17" s="140" t="e">
        <f>'SECCION I-II'!#REF!</f>
        <v>#REF!</v>
      </c>
      <c r="G17" s="140" t="e">
        <f>'SECCION I-II'!#REF!</f>
        <v>#REF!</v>
      </c>
      <c r="H17" s="140" t="e">
        <f>'SECCION I-II'!#REF!</f>
        <v>#REF!</v>
      </c>
    </row>
    <row r="18" spans="1:8" x14ac:dyDescent="0.2">
      <c r="A18" s="126"/>
      <c r="G18" s="96"/>
    </row>
    <row r="19" spans="1:8" x14ac:dyDescent="0.2">
      <c r="A19" s="178"/>
      <c r="B19" s="77" t="s">
        <v>1063</v>
      </c>
      <c r="C19" s="77"/>
      <c r="D19" s="77"/>
      <c r="E19" s="33"/>
      <c r="F19" s="33"/>
      <c r="G19" s="102"/>
    </row>
    <row r="20" spans="1:8" ht="13.5" thickBot="1" x14ac:dyDescent="0.25">
      <c r="A20" s="126"/>
      <c r="G20" s="96"/>
    </row>
    <row r="21" spans="1:8" ht="16.5" thickBot="1" x14ac:dyDescent="0.3">
      <c r="A21" s="179" t="s">
        <v>1064</v>
      </c>
      <c r="B21" s="180"/>
      <c r="C21" s="180"/>
      <c r="D21" s="5683" t="s">
        <v>101</v>
      </c>
      <c r="E21" s="5687" t="s">
        <v>1058</v>
      </c>
      <c r="F21" s="5687"/>
      <c r="G21" s="5688"/>
    </row>
    <row r="22" spans="1:8" ht="15" x14ac:dyDescent="0.25">
      <c r="A22" s="126"/>
      <c r="D22" s="5684"/>
      <c r="E22" s="155" t="s">
        <v>287</v>
      </c>
      <c r="F22" s="155" t="s">
        <v>289</v>
      </c>
      <c r="G22" s="156" t="s">
        <v>288</v>
      </c>
      <c r="H22" s="5683" t="s">
        <v>101</v>
      </c>
    </row>
    <row r="23" spans="1:8" x14ac:dyDescent="0.2">
      <c r="A23" s="126"/>
      <c r="G23" s="96"/>
      <c r="H23" s="5684"/>
    </row>
    <row r="24" spans="1:8" ht="15.75" x14ac:dyDescent="0.25">
      <c r="A24" s="126" t="s">
        <v>1059</v>
      </c>
      <c r="D24" s="122">
        <f ca="1">H24</f>
        <v>0</v>
      </c>
      <c r="E24" s="122">
        <f>'SECCION I-II'!F31</f>
        <v>0</v>
      </c>
      <c r="F24" s="122">
        <f>'SECCION I-II'!G31</f>
        <v>0</v>
      </c>
      <c r="G24" s="122">
        <f>'SECCION I-II'!H31</f>
        <v>0</v>
      </c>
      <c r="H24" s="122">
        <f ca="1">'SECCION I-II'!I31</f>
        <v>0</v>
      </c>
    </row>
    <row r="25" spans="1:8" ht="15.75" x14ac:dyDescent="0.25">
      <c r="A25" s="126"/>
      <c r="D25" s="107"/>
      <c r="E25" s="107"/>
      <c r="F25" s="107"/>
      <c r="G25" s="107"/>
      <c r="H25" s="107"/>
    </row>
    <row r="26" spans="1:8" ht="15.75" x14ac:dyDescent="0.25">
      <c r="A26" s="126" t="s">
        <v>1060</v>
      </c>
      <c r="D26" s="140" t="e">
        <f>H26</f>
        <v>#REF!</v>
      </c>
      <c r="E26" s="140" t="e">
        <f>'SECCION I-II'!F44</f>
        <v>#REF!</v>
      </c>
      <c r="F26" s="140" t="e">
        <f>'SECCION I-II'!G44</f>
        <v>#REF!</v>
      </c>
      <c r="G26" s="140" t="e">
        <f>'SECCION I-II'!H44</f>
        <v>#REF!</v>
      </c>
      <c r="H26" s="140" t="e">
        <f>'SECCION I-II'!I44</f>
        <v>#REF!</v>
      </c>
    </row>
    <row r="27" spans="1:8" x14ac:dyDescent="0.2">
      <c r="A27" s="126"/>
      <c r="G27" s="96"/>
    </row>
    <row r="28" spans="1:8" x14ac:dyDescent="0.2">
      <c r="A28" s="178"/>
      <c r="B28" s="77" t="s">
        <v>1065</v>
      </c>
      <c r="C28" s="77"/>
      <c r="D28" s="77"/>
      <c r="E28" s="33"/>
      <c r="F28" s="33"/>
      <c r="G28" s="102"/>
    </row>
    <row r="29" spans="1:8" ht="13.5" thickBot="1" x14ac:dyDescent="0.25">
      <c r="A29" s="126"/>
      <c r="G29" s="96"/>
    </row>
    <row r="30" spans="1:8" ht="16.5" thickBot="1" x14ac:dyDescent="0.3">
      <c r="A30" s="179" t="s">
        <v>1066</v>
      </c>
      <c r="B30" s="180"/>
      <c r="C30" s="180"/>
      <c r="D30" s="5683" t="s">
        <v>101</v>
      </c>
      <c r="E30" s="5687" t="s">
        <v>1058</v>
      </c>
      <c r="F30" s="5687"/>
      <c r="G30" s="5688"/>
    </row>
    <row r="31" spans="1:8" ht="15" x14ac:dyDescent="0.25">
      <c r="A31" s="126"/>
      <c r="D31" s="5684"/>
      <c r="E31" s="155" t="s">
        <v>287</v>
      </c>
      <c r="F31" s="155" t="s">
        <v>289</v>
      </c>
      <c r="G31" s="156" t="s">
        <v>288</v>
      </c>
      <c r="H31" s="5683" t="s">
        <v>101</v>
      </c>
    </row>
    <row r="32" spans="1:8" x14ac:dyDescent="0.2">
      <c r="A32" s="126"/>
      <c r="G32" s="96"/>
      <c r="H32" s="5684"/>
    </row>
    <row r="33" spans="1:8" ht="15.75" x14ac:dyDescent="0.25">
      <c r="A33" s="126" t="s">
        <v>1059</v>
      </c>
      <c r="D33" s="122">
        <f ca="1">H33</f>
        <v>0</v>
      </c>
      <c r="E33" s="122">
        <f>'SECCION I-II'!F43</f>
        <v>0</v>
      </c>
      <c r="F33" s="122">
        <f>'SECCION I-II'!G43</f>
        <v>0</v>
      </c>
      <c r="G33" s="122">
        <f>'SECCION I-II'!H43</f>
        <v>0</v>
      </c>
      <c r="H33" s="122">
        <f ca="1">'SECCION I-II'!I43</f>
        <v>0</v>
      </c>
    </row>
    <row r="34" spans="1:8" ht="15.75" x14ac:dyDescent="0.25">
      <c r="A34" s="126"/>
      <c r="D34" s="107"/>
      <c r="E34" s="107"/>
      <c r="F34" s="107"/>
      <c r="G34" s="107"/>
      <c r="H34" s="107"/>
    </row>
    <row r="35" spans="1:8" ht="15.75" x14ac:dyDescent="0.25">
      <c r="A35" s="126" t="s">
        <v>1060</v>
      </c>
      <c r="D35" s="140" t="e">
        <f>H35</f>
        <v>#REF!</v>
      </c>
      <c r="E35" s="140" t="e">
        <f>'SECCION I-II'!F44</f>
        <v>#REF!</v>
      </c>
      <c r="F35" s="140" t="e">
        <f>'SECCION I-II'!G44</f>
        <v>#REF!</v>
      </c>
      <c r="G35" s="140" t="e">
        <f>'SECCION I-II'!H44</f>
        <v>#REF!</v>
      </c>
      <c r="H35" s="140" t="e">
        <f>'SECCION I-II'!I44</f>
        <v>#REF!</v>
      </c>
    </row>
    <row r="36" spans="1:8" x14ac:dyDescent="0.2">
      <c r="A36" s="126"/>
      <c r="G36" s="96"/>
    </row>
    <row r="37" spans="1:8" ht="13.5" thickBot="1" x14ac:dyDescent="0.25">
      <c r="A37" s="163"/>
      <c r="B37" s="164" t="s">
        <v>1067</v>
      </c>
      <c r="C37" s="164"/>
      <c r="D37" s="164"/>
      <c r="E37" s="97"/>
      <c r="F37" s="97"/>
      <c r="G37" s="103"/>
    </row>
    <row r="38" spans="1:8" ht="13.5" customHeight="1" thickBot="1" x14ac:dyDescent="0.25">
      <c r="D38" s="5683" t="s">
        <v>101</v>
      </c>
    </row>
    <row r="39" spans="1:8" ht="15" x14ac:dyDescent="0.25">
      <c r="A39" s="144" t="s">
        <v>1068</v>
      </c>
      <c r="B39" s="145"/>
      <c r="C39" s="145"/>
      <c r="D39" s="5684"/>
      <c r="E39" s="155" t="s">
        <v>287</v>
      </c>
      <c r="F39" s="155" t="s">
        <v>289</v>
      </c>
      <c r="G39" s="156" t="s">
        <v>288</v>
      </c>
      <c r="H39" s="5683" t="s">
        <v>101</v>
      </c>
    </row>
    <row r="40" spans="1:8" x14ac:dyDescent="0.2">
      <c r="A40" s="126"/>
      <c r="G40" s="96"/>
      <c r="H40" s="5684"/>
    </row>
    <row r="41" spans="1:8" x14ac:dyDescent="0.2">
      <c r="A41" s="126" t="s">
        <v>1059</v>
      </c>
      <c r="D41" s="149">
        <f ca="1">H41</f>
        <v>0</v>
      </c>
      <c r="E41" s="149" t="e">
        <f ca="1">E6+E15+E24+E33</f>
        <v>#REF!</v>
      </c>
      <c r="F41" s="149" t="e">
        <f ca="1">F6+F15+F24+F33</f>
        <v>#REF!</v>
      </c>
      <c r="G41" s="149" t="e">
        <f ca="1">G6+G15+G24+G33</f>
        <v>#REF!</v>
      </c>
      <c r="H41" s="149">
        <f ca="1">H6+H15+H24+H33</f>
        <v>0</v>
      </c>
    </row>
    <row r="42" spans="1:8" x14ac:dyDescent="0.2">
      <c r="A42" s="126"/>
      <c r="G42" s="96"/>
    </row>
    <row r="43" spans="1:8" x14ac:dyDescent="0.2">
      <c r="A43" s="126" t="s">
        <v>1060</v>
      </c>
      <c r="D43" s="149" t="e">
        <f ca="1">H43</f>
        <v>#REF!</v>
      </c>
      <c r="E43" s="149" t="e">
        <f>E8+E17+E26+E35</f>
        <v>#REF!</v>
      </c>
      <c r="F43" s="149" t="e">
        <f>F8+F17+F26+F35</f>
        <v>#REF!</v>
      </c>
      <c r="G43" s="149" t="e">
        <f>G8+G17+G26+G35</f>
        <v>#REF!</v>
      </c>
      <c r="H43" s="149" t="e">
        <f ca="1">H8+H17+H26+H35</f>
        <v>#REF!</v>
      </c>
    </row>
    <row r="44" spans="1:8" x14ac:dyDescent="0.2">
      <c r="A44" s="126"/>
      <c r="G44" s="96"/>
    </row>
    <row r="45" spans="1:8" ht="15" x14ac:dyDescent="0.25">
      <c r="A45" s="5691" t="s">
        <v>1069</v>
      </c>
      <c r="B45" s="5691"/>
      <c r="C45" s="5691"/>
      <c r="D45" s="161" t="e">
        <f ca="1">H45</f>
        <v>#REF!</v>
      </c>
      <c r="E45" s="161" t="e">
        <f ca="1">E41+E43</f>
        <v>#REF!</v>
      </c>
      <c r="F45" s="161" t="e">
        <f ca="1">F41+F43</f>
        <v>#REF!</v>
      </c>
      <c r="G45" s="161" t="e">
        <f ca="1">G41+G43</f>
        <v>#REF!</v>
      </c>
      <c r="H45" s="161" t="e">
        <f ca="1">H41+H43</f>
        <v>#REF!</v>
      </c>
    </row>
    <row r="46" spans="1:8" ht="13.5" thickBot="1" x14ac:dyDescent="0.25">
      <c r="A46" s="163"/>
      <c r="B46" s="164"/>
      <c r="C46" s="164"/>
      <c r="D46" s="164"/>
      <c r="E46" s="164"/>
      <c r="F46" s="164"/>
      <c r="G46" s="165"/>
    </row>
    <row r="47" spans="1:8" ht="16.5" thickBot="1" x14ac:dyDescent="0.3">
      <c r="A47" s="5689" t="s">
        <v>1070</v>
      </c>
      <c r="B47" s="5690"/>
      <c r="C47" s="5690"/>
      <c r="D47" s="5690"/>
      <c r="E47" s="167">
        <f>'Compra -HOJA1'!G10</f>
        <v>0</v>
      </c>
      <c r="F47" s="167">
        <f>'Compra -HOJA1'!I10</f>
        <v>0</v>
      </c>
      <c r="G47" s="168">
        <f>'Compra -HOJA1'!H10</f>
        <v>0</v>
      </c>
    </row>
    <row r="50" spans="5:7" x14ac:dyDescent="0.2">
      <c r="E50" s="25">
        <f>'SECCION I-II'!F48</f>
        <v>0</v>
      </c>
      <c r="F50" s="25">
        <f>'SECCION I-II'!G48</f>
        <v>0</v>
      </c>
      <c r="G50" s="25">
        <f>'SECCION I-II'!H48</f>
        <v>0</v>
      </c>
    </row>
  </sheetData>
  <mergeCells count="16">
    <mergeCell ref="A47:D47"/>
    <mergeCell ref="D3:D4"/>
    <mergeCell ref="D12:D13"/>
    <mergeCell ref="D21:D22"/>
    <mergeCell ref="D30:D31"/>
    <mergeCell ref="D38:D39"/>
    <mergeCell ref="A45:C45"/>
    <mergeCell ref="H39:H40"/>
    <mergeCell ref="E3:G3"/>
    <mergeCell ref="E12:G12"/>
    <mergeCell ref="E21:G21"/>
    <mergeCell ref="E30:G30"/>
    <mergeCell ref="H4:H5"/>
    <mergeCell ref="H13:H14"/>
    <mergeCell ref="H22:H23"/>
    <mergeCell ref="H31:H32"/>
  </mergeCells>
  <phoneticPr fontId="74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30"/>
  <dimension ref="A1:H113"/>
  <sheetViews>
    <sheetView topLeftCell="A25" workbookViewId="0">
      <selection activeCell="D18" sqref="D18"/>
    </sheetView>
  </sheetViews>
  <sheetFormatPr baseColWidth="10" defaultColWidth="11.42578125" defaultRowHeight="12.75" x14ac:dyDescent="0.2"/>
  <cols>
    <col min="1" max="1" width="20" style="9" customWidth="1"/>
    <col min="2" max="3" width="19.5703125" style="9" customWidth="1"/>
    <col min="4" max="6" width="30.42578125" style="9" customWidth="1"/>
    <col min="7" max="7" width="22.5703125" style="9" hidden="1" customWidth="1"/>
    <col min="8" max="8" width="29.5703125" style="9" customWidth="1"/>
    <col min="9" max="16384" width="11.42578125" style="9"/>
  </cols>
  <sheetData>
    <row r="1" spans="1:8" ht="21" x14ac:dyDescent="0.35">
      <c r="A1" s="5703" t="s">
        <v>1071</v>
      </c>
      <c r="B1" s="5704"/>
      <c r="C1" s="5704"/>
      <c r="D1" s="5704"/>
      <c r="E1" s="5704"/>
      <c r="F1" s="5704"/>
      <c r="G1" s="5705"/>
    </row>
    <row r="2" spans="1:8" ht="15.75" thickBot="1" x14ac:dyDescent="0.3">
      <c r="A2" s="109" t="s">
        <v>1072</v>
      </c>
      <c r="G2" s="96"/>
    </row>
    <row r="3" spans="1:8" ht="15.75" thickBot="1" x14ac:dyDescent="0.3">
      <c r="A3" s="110" t="s">
        <v>1073</v>
      </c>
      <c r="B3" s="111"/>
      <c r="C3" s="111"/>
      <c r="D3" s="111"/>
      <c r="E3" s="111"/>
      <c r="F3" s="112"/>
      <c r="G3" s="112"/>
    </row>
    <row r="4" spans="1:8" ht="15" x14ac:dyDescent="0.25">
      <c r="A4" s="113"/>
      <c r="B4" s="114"/>
      <c r="C4" s="5695" t="s">
        <v>101</v>
      </c>
      <c r="D4" s="5706" t="s">
        <v>1058</v>
      </c>
      <c r="E4" s="5706"/>
      <c r="F4" s="5707"/>
      <c r="G4" s="115"/>
    </row>
    <row r="5" spans="1:8" ht="15" customHeight="1" x14ac:dyDescent="0.25">
      <c r="A5" s="116" t="s">
        <v>29</v>
      </c>
      <c r="B5" s="117"/>
      <c r="C5" s="5696"/>
      <c r="D5" s="117" t="s">
        <v>287</v>
      </c>
      <c r="E5" s="117" t="s">
        <v>289</v>
      </c>
      <c r="F5" s="118" t="s">
        <v>288</v>
      </c>
      <c r="G5" s="114"/>
      <c r="H5" s="5694"/>
    </row>
    <row r="6" spans="1:8" x14ac:dyDescent="0.2">
      <c r="A6" s="113"/>
      <c r="B6" s="114"/>
      <c r="C6" s="114"/>
      <c r="D6" s="114"/>
      <c r="E6" s="114"/>
      <c r="F6" s="115"/>
      <c r="G6" s="114"/>
      <c r="H6" s="5694"/>
    </row>
    <row r="7" spans="1:8" x14ac:dyDescent="0.2">
      <c r="A7" s="113"/>
      <c r="B7" s="114"/>
      <c r="C7" s="114"/>
      <c r="D7" s="114"/>
      <c r="E7" s="114"/>
      <c r="F7" s="115"/>
      <c r="G7" s="114"/>
      <c r="H7" s="105"/>
    </row>
    <row r="8" spans="1:8" ht="15.75" x14ac:dyDescent="0.25">
      <c r="A8" s="119" t="s">
        <v>24</v>
      </c>
      <c r="B8" s="120"/>
      <c r="C8" s="122" t="e">
        <f>'SECCION I-II'!I61</f>
        <v>#REF!</v>
      </c>
      <c r="D8" s="122" t="e">
        <f>'SECCION I-II'!F61</f>
        <v>#REF!</v>
      </c>
      <c r="E8" s="122" t="e">
        <f>'SECCION I-II'!G61</f>
        <v>#REF!</v>
      </c>
      <c r="F8" s="237" t="e">
        <f>'SECCION I-II'!H61</f>
        <v>#REF!</v>
      </c>
      <c r="G8" s="236" t="e">
        <f>'SECCION I-II'!I61</f>
        <v>#REF!</v>
      </c>
      <c r="H8" s="235"/>
    </row>
    <row r="9" spans="1:8" x14ac:dyDescent="0.2">
      <c r="A9" s="113"/>
      <c r="B9" s="114"/>
      <c r="C9" s="114"/>
      <c r="D9" s="114"/>
      <c r="E9" s="114"/>
      <c r="F9" s="115"/>
      <c r="G9" s="114"/>
      <c r="H9" s="105"/>
    </row>
    <row r="10" spans="1:8" ht="13.5" thickBot="1" x14ac:dyDescent="0.25">
      <c r="A10" s="123"/>
      <c r="B10" s="124"/>
      <c r="C10" s="124"/>
      <c r="D10" s="124"/>
      <c r="E10" s="124"/>
      <c r="F10" s="125"/>
      <c r="G10" s="124"/>
      <c r="H10" s="105"/>
    </row>
    <row r="11" spans="1:8" ht="13.5" thickBot="1" x14ac:dyDescent="0.25">
      <c r="A11" s="126"/>
      <c r="G11" s="96"/>
    </row>
    <row r="12" spans="1:8" ht="15" x14ac:dyDescent="0.25">
      <c r="A12" s="127" t="s">
        <v>1074</v>
      </c>
      <c r="B12" s="128"/>
      <c r="C12" s="128"/>
      <c r="D12" s="128"/>
      <c r="E12" s="128"/>
      <c r="F12" s="129"/>
      <c r="G12" s="129"/>
    </row>
    <row r="13" spans="1:8" ht="13.5" thickBot="1" x14ac:dyDescent="0.25">
      <c r="A13" s="218" t="e">
        <f>'Compra -HOJA1'!#REF!</f>
        <v>#REF!</v>
      </c>
      <c r="B13" s="131"/>
      <c r="C13" s="131"/>
      <c r="D13" s="73"/>
      <c r="E13" s="73"/>
      <c r="F13" s="132"/>
      <c r="G13" s="132"/>
    </row>
    <row r="14" spans="1:8" ht="15" customHeight="1" x14ac:dyDescent="0.25">
      <c r="A14" s="133"/>
      <c r="B14" s="73"/>
      <c r="C14" s="5692" t="s">
        <v>101</v>
      </c>
      <c r="D14" s="5697" t="s">
        <v>1058</v>
      </c>
      <c r="E14" s="5697"/>
      <c r="F14" s="5698"/>
      <c r="G14" s="132"/>
    </row>
    <row r="15" spans="1:8" ht="15" customHeight="1" x14ac:dyDescent="0.25">
      <c r="A15" s="134" t="s">
        <v>29</v>
      </c>
      <c r="B15" s="135"/>
      <c r="C15" s="5693"/>
      <c r="D15" s="135" t="s">
        <v>287</v>
      </c>
      <c r="E15" s="135" t="s">
        <v>289</v>
      </c>
      <c r="F15" s="136" t="s">
        <v>288</v>
      </c>
      <c r="G15" s="132"/>
    </row>
    <row r="16" spans="1:8" x14ac:dyDescent="0.2">
      <c r="A16" s="133"/>
      <c r="B16" s="73"/>
      <c r="C16" s="73"/>
      <c r="D16" s="73"/>
      <c r="E16" s="73"/>
      <c r="F16" s="132"/>
      <c r="G16" s="132"/>
    </row>
    <row r="17" spans="1:7" x14ac:dyDescent="0.2">
      <c r="A17" s="133"/>
      <c r="B17" s="73"/>
      <c r="C17" s="73"/>
      <c r="D17" s="73"/>
      <c r="E17" s="73"/>
      <c r="F17" s="132"/>
      <c r="G17" s="132"/>
    </row>
    <row r="18" spans="1:7" ht="15.75" x14ac:dyDescent="0.25">
      <c r="A18" s="137" t="s">
        <v>24</v>
      </c>
      <c r="B18" s="138"/>
      <c r="C18" s="140">
        <f ca="1">'SECCION I-II'!I62</f>
        <v>0</v>
      </c>
      <c r="D18" s="140">
        <f>'SECCION I-II'!F62</f>
        <v>0</v>
      </c>
      <c r="E18" s="140">
        <f>'SECCION I-II'!G62</f>
        <v>0</v>
      </c>
      <c r="F18" s="140">
        <f>'SECCION I-II'!H62</f>
        <v>0</v>
      </c>
      <c r="G18" s="132"/>
    </row>
    <row r="19" spans="1:7" ht="13.5" thickBot="1" x14ac:dyDescent="0.25">
      <c r="A19" s="141"/>
      <c r="B19" s="142"/>
      <c r="C19" s="142"/>
      <c r="D19" s="142"/>
      <c r="E19" s="142"/>
      <c r="F19" s="143"/>
      <c r="G19" s="143"/>
    </row>
    <row r="20" spans="1:7" ht="13.5" thickBot="1" x14ac:dyDescent="0.25">
      <c r="A20" s="126"/>
      <c r="F20" s="96"/>
      <c r="G20" s="96"/>
    </row>
    <row r="21" spans="1:7" ht="15" x14ac:dyDescent="0.25">
      <c r="A21" s="144" t="s">
        <v>1074</v>
      </c>
      <c r="B21" s="145"/>
      <c r="C21" s="145"/>
      <c r="D21" s="145"/>
      <c r="E21" s="145"/>
      <c r="F21" s="146"/>
      <c r="G21" s="146"/>
    </row>
    <row r="22" spans="1:7" ht="13.5" thickBot="1" x14ac:dyDescent="0.25">
      <c r="A22" s="218" t="e">
        <f>'Compra -HOJA1'!#REF!</f>
        <v>#REF!</v>
      </c>
      <c r="B22" s="131"/>
      <c r="C22" s="131"/>
      <c r="D22" s="73"/>
      <c r="E22" s="73"/>
      <c r="F22" s="132"/>
      <c r="G22" s="132"/>
    </row>
    <row r="23" spans="1:7" ht="15" x14ac:dyDescent="0.25">
      <c r="A23" s="133"/>
      <c r="B23" s="73"/>
      <c r="C23" s="5692" t="s">
        <v>101</v>
      </c>
      <c r="D23" s="5697" t="s">
        <v>1058</v>
      </c>
      <c r="E23" s="5697"/>
      <c r="F23" s="5698"/>
      <c r="G23" s="132"/>
    </row>
    <row r="24" spans="1:7" ht="15" customHeight="1" x14ac:dyDescent="0.25">
      <c r="A24" s="134" t="s">
        <v>29</v>
      </c>
      <c r="B24" s="135"/>
      <c r="C24" s="5693"/>
      <c r="D24" s="135" t="s">
        <v>287</v>
      </c>
      <c r="E24" s="135" t="s">
        <v>289</v>
      </c>
      <c r="F24" s="136" t="s">
        <v>288</v>
      </c>
      <c r="G24" s="132"/>
    </row>
    <row r="25" spans="1:7" x14ac:dyDescent="0.2">
      <c r="A25" s="133"/>
      <c r="B25" s="73"/>
      <c r="C25" s="73"/>
      <c r="D25" s="73"/>
      <c r="E25" s="73"/>
      <c r="F25" s="132"/>
      <c r="G25" s="132"/>
    </row>
    <row r="26" spans="1:7" x14ac:dyDescent="0.2">
      <c r="A26" s="133"/>
      <c r="B26" s="73"/>
      <c r="C26" s="73"/>
      <c r="D26" s="73"/>
      <c r="E26" s="73"/>
      <c r="F26" s="132"/>
      <c r="G26" s="132"/>
    </row>
    <row r="27" spans="1:7" ht="15.75" x14ac:dyDescent="0.25">
      <c r="A27" s="137" t="s">
        <v>24</v>
      </c>
      <c r="B27" s="138"/>
      <c r="C27" s="140" t="e">
        <f>'SECCION I-II'!I63</f>
        <v>#REF!</v>
      </c>
      <c r="D27" s="140" t="e">
        <f>'SECCION I-II'!F63</f>
        <v>#REF!</v>
      </c>
      <c r="E27" s="140" t="e">
        <f>'SECCION I-II'!G63</f>
        <v>#REF!</v>
      </c>
      <c r="F27" s="140" t="e">
        <f>'SECCION I-II'!H63</f>
        <v>#REF!</v>
      </c>
      <c r="G27" s="132"/>
    </row>
    <row r="28" spans="1:7" ht="13.5" thickBot="1" x14ac:dyDescent="0.25">
      <c r="A28" s="141"/>
      <c r="B28" s="142"/>
      <c r="C28" s="142"/>
      <c r="D28" s="142"/>
      <c r="E28" s="142"/>
      <c r="F28" s="143"/>
      <c r="G28" s="143"/>
    </row>
    <row r="29" spans="1:7" ht="13.5" thickBot="1" x14ac:dyDescent="0.25">
      <c r="A29" s="126"/>
      <c r="F29" s="96"/>
      <c r="G29" s="96"/>
    </row>
    <row r="30" spans="1:7" ht="15" x14ac:dyDescent="0.25">
      <c r="A30" s="127" t="s">
        <v>1074</v>
      </c>
      <c r="B30" s="128"/>
      <c r="C30" s="128"/>
      <c r="D30" s="128"/>
      <c r="E30" s="128"/>
      <c r="F30" s="129"/>
      <c r="G30" s="129"/>
    </row>
    <row r="31" spans="1:7" ht="13.5" thickBot="1" x14ac:dyDescent="0.25">
      <c r="A31" s="218" t="e">
        <f>'Compra -HOJA1'!#REF!</f>
        <v>#REF!</v>
      </c>
      <c r="B31" s="131"/>
      <c r="C31" s="131"/>
      <c r="D31" s="73"/>
      <c r="E31" s="73"/>
      <c r="F31" s="132"/>
      <c r="G31" s="132"/>
    </row>
    <row r="32" spans="1:7" ht="15" x14ac:dyDescent="0.25">
      <c r="A32" s="133"/>
      <c r="B32" s="73"/>
      <c r="C32" s="5692" t="s">
        <v>101</v>
      </c>
      <c r="D32" s="5697" t="s">
        <v>1058</v>
      </c>
      <c r="E32" s="5697"/>
      <c r="F32" s="5698"/>
      <c r="G32" s="132"/>
    </row>
    <row r="33" spans="1:7" ht="15" x14ac:dyDescent="0.25">
      <c r="A33" s="134" t="s">
        <v>29</v>
      </c>
      <c r="B33" s="135"/>
      <c r="C33" s="5693"/>
      <c r="D33" s="135" t="s">
        <v>287</v>
      </c>
      <c r="E33" s="135" t="s">
        <v>289</v>
      </c>
      <c r="F33" s="136" t="s">
        <v>288</v>
      </c>
      <c r="G33" s="132"/>
    </row>
    <row r="34" spans="1:7" x14ac:dyDescent="0.2">
      <c r="A34" s="133"/>
      <c r="B34" s="73"/>
      <c r="C34" s="73"/>
      <c r="D34" s="73"/>
      <c r="E34" s="73"/>
      <c r="F34" s="132"/>
      <c r="G34" s="132"/>
    </row>
    <row r="35" spans="1:7" x14ac:dyDescent="0.2">
      <c r="A35" s="133"/>
      <c r="B35" s="73"/>
      <c r="C35" s="73"/>
      <c r="D35" s="73"/>
      <c r="E35" s="73"/>
      <c r="F35" s="132"/>
      <c r="G35" s="132"/>
    </row>
    <row r="36" spans="1:7" ht="15.75" x14ac:dyDescent="0.25">
      <c r="A36" s="137" t="s">
        <v>24</v>
      </c>
      <c r="B36" s="138"/>
      <c r="C36" s="140" t="e">
        <f>'SECCION I-II'!I64</f>
        <v>#REF!</v>
      </c>
      <c r="D36" s="140" t="e">
        <f>'SECCION I-II'!F64</f>
        <v>#REF!</v>
      </c>
      <c r="E36" s="140" t="e">
        <f>'SECCION I-II'!G64</f>
        <v>#REF!</v>
      </c>
      <c r="F36" s="140" t="e">
        <f>'SECCION I-II'!H64</f>
        <v>#REF!</v>
      </c>
      <c r="G36" s="132"/>
    </row>
    <row r="37" spans="1:7" ht="13.5" thickBot="1" x14ac:dyDescent="0.25">
      <c r="A37" s="141"/>
      <c r="B37" s="142"/>
      <c r="C37" s="142"/>
      <c r="D37" s="142"/>
      <c r="E37" s="142"/>
      <c r="F37" s="143"/>
      <c r="G37" s="143"/>
    </row>
    <row r="38" spans="1:7" ht="13.5" thickBot="1" x14ac:dyDescent="0.25">
      <c r="A38" s="126"/>
      <c r="F38" s="96"/>
      <c r="G38" s="96"/>
    </row>
    <row r="39" spans="1:7" ht="15" x14ac:dyDescent="0.25">
      <c r="A39" s="127" t="s">
        <v>1074</v>
      </c>
      <c r="B39" s="128"/>
      <c r="C39" s="128"/>
      <c r="D39" s="128"/>
      <c r="E39" s="128"/>
      <c r="F39" s="129"/>
      <c r="G39" s="129"/>
    </row>
    <row r="40" spans="1:7" ht="13.5" thickBot="1" x14ac:dyDescent="0.25">
      <c r="A40" s="130" t="e">
        <f>'Compra -HOJA1'!#REF!</f>
        <v>#REF!</v>
      </c>
      <c r="B40" s="131"/>
      <c r="C40" s="131"/>
      <c r="D40" s="73"/>
      <c r="E40" s="73"/>
      <c r="F40" s="132"/>
      <c r="G40" s="132"/>
    </row>
    <row r="41" spans="1:7" ht="15" x14ac:dyDescent="0.25">
      <c r="A41" s="133"/>
      <c r="B41" s="73"/>
      <c r="C41" s="5692" t="s">
        <v>101</v>
      </c>
      <c r="D41" s="5697" t="s">
        <v>1058</v>
      </c>
      <c r="E41" s="5697"/>
      <c r="F41" s="5698"/>
      <c r="G41" s="132"/>
    </row>
    <row r="42" spans="1:7" ht="15" x14ac:dyDescent="0.25">
      <c r="A42" s="134" t="s">
        <v>29</v>
      </c>
      <c r="B42" s="135"/>
      <c r="C42" s="5693"/>
      <c r="D42" s="135" t="s">
        <v>287</v>
      </c>
      <c r="E42" s="135" t="s">
        <v>289</v>
      </c>
      <c r="F42" s="136" t="s">
        <v>288</v>
      </c>
      <c r="G42" s="132"/>
    </row>
    <row r="43" spans="1:7" x14ac:dyDescent="0.2">
      <c r="A43" s="133"/>
      <c r="B43" s="73"/>
      <c r="C43" s="73"/>
      <c r="D43" s="73"/>
      <c r="E43" s="73"/>
      <c r="F43" s="132"/>
      <c r="G43" s="132"/>
    </row>
    <row r="44" spans="1:7" x14ac:dyDescent="0.2">
      <c r="A44" s="133"/>
      <c r="B44" s="73"/>
      <c r="C44" s="73"/>
      <c r="D44" s="73"/>
      <c r="E44" s="73"/>
      <c r="F44" s="132"/>
      <c r="G44" s="132"/>
    </row>
    <row r="45" spans="1:7" ht="15.75" x14ac:dyDescent="0.25">
      <c r="A45" s="137" t="s">
        <v>24</v>
      </c>
      <c r="B45" s="138"/>
      <c r="C45" s="140" t="e">
        <f>'SECCION I-II'!I75</f>
        <v>#REF!</v>
      </c>
      <c r="D45" s="140" t="e">
        <f>'SECCION I-II'!F75</f>
        <v>#REF!</v>
      </c>
      <c r="E45" s="140" t="e">
        <f>'SECCION I-II'!G75</f>
        <v>#REF!</v>
      </c>
      <c r="F45" s="140" t="e">
        <f>'SECCION I-II'!H75</f>
        <v>#REF!</v>
      </c>
      <c r="G45" s="132"/>
    </row>
    <row r="46" spans="1:7" ht="13.5" thickBot="1" x14ac:dyDescent="0.25">
      <c r="A46" s="141"/>
      <c r="B46" s="142"/>
      <c r="C46" s="142"/>
      <c r="D46" s="142"/>
      <c r="E46" s="142"/>
      <c r="F46" s="143"/>
      <c r="G46" s="143"/>
    </row>
    <row r="47" spans="1:7" ht="13.5" thickBot="1" x14ac:dyDescent="0.25">
      <c r="A47" s="126"/>
      <c r="F47" s="96"/>
      <c r="G47" s="96"/>
    </row>
    <row r="48" spans="1:7" ht="15" x14ac:dyDescent="0.25">
      <c r="A48" s="127" t="s">
        <v>1074</v>
      </c>
      <c r="B48" s="128"/>
      <c r="C48" s="128"/>
      <c r="D48" s="128"/>
      <c r="E48" s="128"/>
      <c r="F48" s="129"/>
      <c r="G48" s="129"/>
    </row>
    <row r="49" spans="1:7" ht="13.5" thickBot="1" x14ac:dyDescent="0.25">
      <c r="A49" s="130" t="e">
        <f>'Compra -HOJA1'!#REF!</f>
        <v>#REF!</v>
      </c>
      <c r="B49" s="131"/>
      <c r="C49" s="131"/>
      <c r="D49" s="73"/>
      <c r="E49" s="73"/>
      <c r="F49" s="132"/>
      <c r="G49" s="132"/>
    </row>
    <row r="50" spans="1:7" ht="15" x14ac:dyDescent="0.25">
      <c r="A50" s="133"/>
      <c r="B50" s="73"/>
      <c r="C50" s="5692" t="s">
        <v>101</v>
      </c>
      <c r="D50" s="5697" t="s">
        <v>1058</v>
      </c>
      <c r="E50" s="5697"/>
      <c r="F50" s="5698"/>
      <c r="G50" s="132"/>
    </row>
    <row r="51" spans="1:7" ht="15" x14ac:dyDescent="0.25">
      <c r="A51" s="134" t="s">
        <v>29</v>
      </c>
      <c r="B51" s="135"/>
      <c r="C51" s="5693"/>
      <c r="D51" s="135" t="s">
        <v>287</v>
      </c>
      <c r="E51" s="135" t="s">
        <v>289</v>
      </c>
      <c r="F51" s="136" t="s">
        <v>288</v>
      </c>
      <c r="G51" s="132"/>
    </row>
    <row r="52" spans="1:7" x14ac:dyDescent="0.2">
      <c r="A52" s="133"/>
      <c r="B52" s="73"/>
      <c r="C52" s="73"/>
      <c r="D52" s="73"/>
      <c r="E52" s="73"/>
      <c r="F52" s="132"/>
      <c r="G52" s="132"/>
    </row>
    <row r="53" spans="1:7" x14ac:dyDescent="0.2">
      <c r="A53" s="133"/>
      <c r="B53" s="73"/>
      <c r="C53" s="73"/>
      <c r="D53" s="73"/>
      <c r="E53" s="73"/>
      <c r="F53" s="132"/>
      <c r="G53" s="132"/>
    </row>
    <row r="54" spans="1:7" ht="15.75" x14ac:dyDescent="0.25">
      <c r="A54" s="137" t="s">
        <v>24</v>
      </c>
      <c r="B54" s="138"/>
      <c r="C54" s="140">
        <f ca="1">'SECCION I-II'!I76</f>
        <v>0</v>
      </c>
      <c r="D54" s="140">
        <f>'SECCION I-II'!F76</f>
        <v>0</v>
      </c>
      <c r="E54" s="140">
        <f>'SECCION I-II'!G76</f>
        <v>0</v>
      </c>
      <c r="F54" s="140">
        <f>'SECCION I-II'!H76</f>
        <v>0</v>
      </c>
      <c r="G54" s="132"/>
    </row>
    <row r="55" spans="1:7" ht="13.5" thickBot="1" x14ac:dyDescent="0.25">
      <c r="A55" s="141"/>
      <c r="B55" s="142"/>
      <c r="C55" s="142"/>
      <c r="D55" s="142"/>
      <c r="E55" s="142"/>
      <c r="F55" s="143"/>
      <c r="G55" s="143"/>
    </row>
    <row r="56" spans="1:7" ht="13.5" thickBot="1" x14ac:dyDescent="0.25">
      <c r="A56" s="126"/>
      <c r="F56" s="96"/>
      <c r="G56" s="96"/>
    </row>
    <row r="57" spans="1:7" ht="15" x14ac:dyDescent="0.25">
      <c r="A57" s="127" t="s">
        <v>1074</v>
      </c>
      <c r="B57" s="128"/>
      <c r="C57" s="128"/>
      <c r="D57" s="128"/>
      <c r="E57" s="128"/>
      <c r="F57" s="129"/>
      <c r="G57" s="129"/>
    </row>
    <row r="58" spans="1:7" ht="13.5" thickBot="1" x14ac:dyDescent="0.25">
      <c r="A58" s="130" t="e">
        <f>'Compra -HOJA1'!#REF!</f>
        <v>#REF!</v>
      </c>
      <c r="B58" s="131"/>
      <c r="C58" s="131"/>
      <c r="D58" s="73"/>
      <c r="E58" s="73"/>
      <c r="F58" s="132"/>
      <c r="G58" s="132"/>
    </row>
    <row r="59" spans="1:7" ht="15" x14ac:dyDescent="0.25">
      <c r="A59" s="133"/>
      <c r="B59" s="73"/>
      <c r="C59" s="5692" t="s">
        <v>101</v>
      </c>
      <c r="D59" s="5697" t="s">
        <v>1058</v>
      </c>
      <c r="E59" s="5697"/>
      <c r="F59" s="5698"/>
      <c r="G59" s="132"/>
    </row>
    <row r="60" spans="1:7" ht="15" customHeight="1" x14ac:dyDescent="0.25">
      <c r="A60" s="134" t="s">
        <v>29</v>
      </c>
      <c r="B60" s="135"/>
      <c r="C60" s="5693"/>
      <c r="D60" s="135" t="s">
        <v>287</v>
      </c>
      <c r="E60" s="135" t="s">
        <v>289</v>
      </c>
      <c r="F60" s="136" t="s">
        <v>288</v>
      </c>
      <c r="G60" s="132"/>
    </row>
    <row r="61" spans="1:7" x14ac:dyDescent="0.2">
      <c r="A61" s="133"/>
      <c r="B61" s="73"/>
      <c r="C61" s="73"/>
      <c r="D61" s="73"/>
      <c r="E61" s="73"/>
      <c r="F61" s="132"/>
      <c r="G61" s="132"/>
    </row>
    <row r="62" spans="1:7" x14ac:dyDescent="0.2">
      <c r="A62" s="133"/>
      <c r="B62" s="73"/>
      <c r="C62" s="73"/>
      <c r="D62" s="73"/>
      <c r="E62" s="73"/>
      <c r="F62" s="132"/>
      <c r="G62" s="132"/>
    </row>
    <row r="63" spans="1:7" ht="15.75" x14ac:dyDescent="0.25">
      <c r="A63" s="137" t="s">
        <v>24</v>
      </c>
      <c r="B63" s="138"/>
      <c r="C63" s="140" t="e">
        <f>'SECCION I-II'!I77</f>
        <v>#REF!</v>
      </c>
      <c r="D63" s="140" t="e">
        <f>'SECCION I-II'!F77</f>
        <v>#REF!</v>
      </c>
      <c r="E63" s="140" t="e">
        <f>'SECCION I-II'!G77</f>
        <v>#REF!</v>
      </c>
      <c r="F63" s="140" t="e">
        <f>'SECCION I-II'!H77</f>
        <v>#REF!</v>
      </c>
      <c r="G63" s="132"/>
    </row>
    <row r="64" spans="1:7" ht="13.5" thickBot="1" x14ac:dyDescent="0.25">
      <c r="A64" s="141"/>
      <c r="B64" s="142"/>
      <c r="C64" s="142"/>
      <c r="D64" s="142"/>
      <c r="E64" s="142"/>
      <c r="F64" s="143"/>
      <c r="G64" s="143"/>
    </row>
    <row r="65" spans="1:8" ht="15" x14ac:dyDescent="0.25">
      <c r="A65" s="127" t="s">
        <v>1074</v>
      </c>
      <c r="B65" s="128"/>
      <c r="C65" s="128"/>
      <c r="D65" s="128"/>
      <c r="E65" s="128"/>
      <c r="F65" s="129"/>
      <c r="G65" s="132"/>
    </row>
    <row r="66" spans="1:8" ht="13.5" thickBot="1" x14ac:dyDescent="0.25">
      <c r="A66" s="130" t="e">
        <f>'Compra -HOJA1'!#REF!</f>
        <v>#REF!</v>
      </c>
      <c r="B66" s="131"/>
      <c r="C66" s="131"/>
      <c r="D66" s="73"/>
      <c r="E66" s="73"/>
      <c r="F66" s="132"/>
      <c r="G66" s="132"/>
    </row>
    <row r="67" spans="1:8" ht="15" x14ac:dyDescent="0.25">
      <c r="A67" s="133"/>
      <c r="B67" s="73"/>
      <c r="C67" s="5692" t="s">
        <v>101</v>
      </c>
      <c r="D67" s="5697" t="s">
        <v>1058</v>
      </c>
      <c r="E67" s="5697"/>
      <c r="F67" s="5698"/>
      <c r="G67" s="132"/>
    </row>
    <row r="68" spans="1:8" ht="15" x14ac:dyDescent="0.25">
      <c r="A68" s="134" t="s">
        <v>29</v>
      </c>
      <c r="B68" s="135"/>
      <c r="C68" s="5693"/>
      <c r="D68" s="135" t="s">
        <v>287</v>
      </c>
      <c r="E68" s="135" t="s">
        <v>289</v>
      </c>
      <c r="F68" s="136" t="s">
        <v>288</v>
      </c>
      <c r="G68" s="132"/>
    </row>
    <row r="69" spans="1:8" x14ac:dyDescent="0.2">
      <c r="A69" s="133"/>
      <c r="B69" s="73"/>
      <c r="C69" s="73"/>
      <c r="D69" s="73"/>
      <c r="E69" s="73"/>
      <c r="F69" s="132"/>
      <c r="G69" s="132"/>
    </row>
    <row r="70" spans="1:8" x14ac:dyDescent="0.2">
      <c r="A70" s="133"/>
      <c r="B70" s="73"/>
      <c r="C70" s="73"/>
      <c r="D70" s="73"/>
      <c r="E70" s="73"/>
      <c r="F70" s="132"/>
      <c r="G70" s="132"/>
    </row>
    <row r="71" spans="1:8" ht="15.75" x14ac:dyDescent="0.25">
      <c r="A71" s="137" t="s">
        <v>24</v>
      </c>
      <c r="B71" s="138"/>
      <c r="C71" s="140" t="e">
        <f>'SECCION I-II'!I78</f>
        <v>#REF!</v>
      </c>
      <c r="D71" s="140" t="e">
        <f>'SECCION I-II'!F78</f>
        <v>#REF!</v>
      </c>
      <c r="E71" s="140" t="e">
        <f>'SECCION I-II'!G78</f>
        <v>#REF!</v>
      </c>
      <c r="F71" s="140" t="e">
        <f>'SECCION I-II'!H78</f>
        <v>#REF!</v>
      </c>
      <c r="G71" s="132"/>
    </row>
    <row r="72" spans="1:8" ht="13.5" thickBot="1" x14ac:dyDescent="0.25">
      <c r="A72" s="147"/>
      <c r="B72" s="105"/>
      <c r="C72" s="105"/>
      <c r="D72" s="105"/>
      <c r="E72" s="105"/>
      <c r="F72" s="148"/>
      <c r="G72" s="148"/>
      <c r="H72" s="105"/>
    </row>
    <row r="73" spans="1:8" ht="15" x14ac:dyDescent="0.25">
      <c r="A73" s="127" t="s">
        <v>1074</v>
      </c>
      <c r="B73" s="128"/>
      <c r="C73" s="128"/>
      <c r="D73" s="128"/>
      <c r="E73" s="128"/>
      <c r="F73" s="129"/>
      <c r="G73" s="148"/>
      <c r="H73" s="105"/>
    </row>
    <row r="74" spans="1:8" ht="13.5" thickBot="1" x14ac:dyDescent="0.25">
      <c r="A74" s="130" t="e">
        <f>'Compra -HOJA1'!#REF!</f>
        <v>#REF!</v>
      </c>
      <c r="B74" s="131"/>
      <c r="C74" s="131"/>
      <c r="D74" s="73"/>
      <c r="E74" s="73"/>
      <c r="F74" s="132"/>
      <c r="G74" s="148"/>
      <c r="H74" s="105"/>
    </row>
    <row r="75" spans="1:8" ht="15" x14ac:dyDescent="0.25">
      <c r="A75" s="133"/>
      <c r="B75" s="73"/>
      <c r="C75" s="5692" t="s">
        <v>101</v>
      </c>
      <c r="D75" s="5697" t="s">
        <v>1058</v>
      </c>
      <c r="E75" s="5697"/>
      <c r="F75" s="5698"/>
      <c r="G75" s="148"/>
      <c r="H75" s="105"/>
    </row>
    <row r="76" spans="1:8" ht="15" x14ac:dyDescent="0.25">
      <c r="A76" s="134" t="s">
        <v>29</v>
      </c>
      <c r="B76" s="135"/>
      <c r="C76" s="5693"/>
      <c r="D76" s="135" t="s">
        <v>287</v>
      </c>
      <c r="E76" s="135" t="s">
        <v>289</v>
      </c>
      <c r="F76" s="136" t="s">
        <v>288</v>
      </c>
      <c r="G76" s="148"/>
      <c r="H76" s="105"/>
    </row>
    <row r="77" spans="1:8" x14ac:dyDescent="0.2">
      <c r="A77" s="133"/>
      <c r="B77" s="73"/>
      <c r="C77" s="73"/>
      <c r="D77" s="73"/>
      <c r="E77" s="73"/>
      <c r="F77" s="132"/>
      <c r="G77" s="148"/>
      <c r="H77" s="105"/>
    </row>
    <row r="78" spans="1:8" x14ac:dyDescent="0.2">
      <c r="A78" s="133"/>
      <c r="B78" s="73"/>
      <c r="C78" s="73"/>
      <c r="D78" s="73"/>
      <c r="E78" s="73"/>
      <c r="F78" s="132"/>
      <c r="G78" s="148"/>
      <c r="H78" s="105"/>
    </row>
    <row r="79" spans="1:8" ht="15.75" x14ac:dyDescent="0.25">
      <c r="A79" s="137" t="s">
        <v>24</v>
      </c>
      <c r="B79" s="138"/>
      <c r="C79" s="140" t="e">
        <f>'SECCION I-II'!I79</f>
        <v>#REF!</v>
      </c>
      <c r="D79" s="140" t="e">
        <f>'SECCION I-II'!F79</f>
        <v>#REF!</v>
      </c>
      <c r="E79" s="140" t="e">
        <f>'SECCION I-II'!G79</f>
        <v>#REF!</v>
      </c>
      <c r="F79" s="140" t="e">
        <f>'SECCION I-II'!H79</f>
        <v>#REF!</v>
      </c>
      <c r="G79" s="148"/>
      <c r="H79" s="105"/>
    </row>
    <row r="80" spans="1:8" ht="13.5" thickBot="1" x14ac:dyDescent="0.25">
      <c r="A80" s="147"/>
      <c r="B80" s="105"/>
      <c r="C80" s="105"/>
      <c r="D80" s="105"/>
      <c r="E80" s="105"/>
      <c r="F80" s="105"/>
      <c r="G80" s="148"/>
      <c r="H80" s="105"/>
    </row>
    <row r="81" spans="1:8" ht="15" x14ac:dyDescent="0.25">
      <c r="A81" s="127" t="s">
        <v>1074</v>
      </c>
      <c r="B81" s="128"/>
      <c r="C81" s="128"/>
      <c r="D81" s="128"/>
      <c r="E81" s="128"/>
      <c r="F81" s="129"/>
      <c r="G81" s="148"/>
      <c r="H81" s="105"/>
    </row>
    <row r="82" spans="1:8" ht="13.5" thickBot="1" x14ac:dyDescent="0.25">
      <c r="A82" s="130" t="e">
        <f>'Compra -HOJA1'!#REF!</f>
        <v>#REF!</v>
      </c>
      <c r="B82" s="131"/>
      <c r="C82" s="131"/>
      <c r="D82" s="73"/>
      <c r="E82" s="73"/>
      <c r="F82" s="132"/>
      <c r="G82" s="148"/>
      <c r="H82" s="105"/>
    </row>
    <row r="83" spans="1:8" ht="15" customHeight="1" x14ac:dyDescent="0.25">
      <c r="A83" s="133"/>
      <c r="B83" s="73"/>
      <c r="C83" s="5692" t="s">
        <v>101</v>
      </c>
      <c r="D83" s="5697" t="s">
        <v>1058</v>
      </c>
      <c r="E83" s="5697"/>
      <c r="F83" s="5698"/>
      <c r="G83" s="148"/>
      <c r="H83" s="105"/>
    </row>
    <row r="84" spans="1:8" ht="15" x14ac:dyDescent="0.25">
      <c r="A84" s="134" t="s">
        <v>29</v>
      </c>
      <c r="B84" s="135"/>
      <c r="C84" s="5693"/>
      <c r="D84" s="135" t="s">
        <v>287</v>
      </c>
      <c r="E84" s="135" t="s">
        <v>289</v>
      </c>
      <c r="F84" s="136" t="s">
        <v>288</v>
      </c>
      <c r="G84" s="148"/>
      <c r="H84" s="105"/>
    </row>
    <row r="85" spans="1:8" x14ac:dyDescent="0.2">
      <c r="A85" s="133"/>
      <c r="B85" s="73"/>
      <c r="C85" s="73"/>
      <c r="D85" s="73"/>
      <c r="E85" s="73"/>
      <c r="F85" s="132"/>
      <c r="G85" s="148"/>
      <c r="H85" s="105"/>
    </row>
    <row r="86" spans="1:8" x14ac:dyDescent="0.2">
      <c r="A86" s="133"/>
      <c r="B86" s="73"/>
      <c r="C86" s="73"/>
      <c r="D86" s="73"/>
      <c r="E86" s="73"/>
      <c r="F86" s="132"/>
      <c r="G86" s="148"/>
      <c r="H86" s="105"/>
    </row>
    <row r="87" spans="1:8" ht="16.5" thickBot="1" x14ac:dyDescent="0.3">
      <c r="A87" s="219" t="s">
        <v>24</v>
      </c>
      <c r="B87" s="220"/>
      <c r="C87" s="221" t="e">
        <f>'SECCION I-II'!#REF!</f>
        <v>#REF!</v>
      </c>
      <c r="D87" s="221" t="e">
        <f>'SECCION I-II'!#REF!</f>
        <v>#REF!</v>
      </c>
      <c r="E87" s="221" t="e">
        <f>'SECCION I-II'!#REF!</f>
        <v>#REF!</v>
      </c>
      <c r="F87" s="221" t="e">
        <f>'SECCION I-II'!#REF!</f>
        <v>#REF!</v>
      </c>
      <c r="G87" s="148"/>
      <c r="H87" s="105"/>
    </row>
    <row r="88" spans="1:8" ht="16.5" thickBot="1" x14ac:dyDescent="0.3">
      <c r="A88" s="133"/>
      <c r="B88" s="73"/>
      <c r="C88" s="73"/>
      <c r="D88" s="222"/>
      <c r="E88" s="222"/>
      <c r="F88" s="222"/>
      <c r="G88" s="105"/>
      <c r="H88" s="105"/>
    </row>
    <row r="89" spans="1:8" ht="15" x14ac:dyDescent="0.25">
      <c r="A89" s="127" t="s">
        <v>1074</v>
      </c>
      <c r="B89" s="128"/>
      <c r="C89" s="128"/>
      <c r="D89" s="128"/>
      <c r="E89" s="128"/>
      <c r="F89" s="132"/>
      <c r="G89" s="148"/>
      <c r="H89" s="105"/>
    </row>
    <row r="90" spans="1:8" ht="13.5" thickBot="1" x14ac:dyDescent="0.25">
      <c r="A90" s="130" t="e">
        <f>'Compra -HOJA1'!#REF!</f>
        <v>#REF!</v>
      </c>
      <c r="B90" s="131"/>
      <c r="C90" s="131"/>
      <c r="D90" s="73"/>
      <c r="E90" s="73"/>
      <c r="F90" s="132"/>
      <c r="G90" s="148"/>
      <c r="H90" s="105"/>
    </row>
    <row r="91" spans="1:8" ht="15" x14ac:dyDescent="0.25">
      <c r="A91" s="133"/>
      <c r="B91" s="73"/>
      <c r="C91" s="5692" t="s">
        <v>101</v>
      </c>
      <c r="D91" s="5697" t="s">
        <v>1058</v>
      </c>
      <c r="E91" s="5697"/>
      <c r="F91" s="5698"/>
      <c r="G91" s="148"/>
      <c r="H91" s="105"/>
    </row>
    <row r="92" spans="1:8" ht="15" x14ac:dyDescent="0.25">
      <c r="A92" s="134" t="s">
        <v>29</v>
      </c>
      <c r="B92" s="135"/>
      <c r="C92" s="5693"/>
      <c r="D92" s="135" t="s">
        <v>287</v>
      </c>
      <c r="E92" s="135" t="s">
        <v>289</v>
      </c>
      <c r="F92" s="136" t="s">
        <v>288</v>
      </c>
      <c r="G92" s="148"/>
      <c r="H92" s="105"/>
    </row>
    <row r="93" spans="1:8" x14ac:dyDescent="0.2">
      <c r="A93" s="133"/>
      <c r="B93" s="73"/>
      <c r="C93" s="73"/>
      <c r="D93" s="73"/>
      <c r="E93" s="73"/>
      <c r="F93" s="132"/>
      <c r="G93" s="148"/>
      <c r="H93" s="105"/>
    </row>
    <row r="94" spans="1:8" x14ac:dyDescent="0.2">
      <c r="A94" s="133"/>
      <c r="B94" s="73"/>
      <c r="C94" s="73"/>
      <c r="D94" s="73"/>
      <c r="E94" s="73"/>
      <c r="F94" s="132"/>
      <c r="G94" s="148"/>
      <c r="H94" s="105"/>
    </row>
    <row r="95" spans="1:8" ht="15.75" x14ac:dyDescent="0.25">
      <c r="A95" s="137" t="s">
        <v>24</v>
      </c>
      <c r="B95" s="138"/>
      <c r="C95" s="140">
        <f>'SECCION I-II'!I110</f>
        <v>0</v>
      </c>
      <c r="D95" s="140" t="str">
        <f>'SECCION I-II'!F111</f>
        <v>Pico</v>
      </c>
      <c r="E95" s="140" t="str">
        <f>'SECCION I-II'!G111</f>
        <v>Valle</v>
      </c>
      <c r="F95" s="140" t="str">
        <f>'SECCION I-II'!H111</f>
        <v>Resto</v>
      </c>
      <c r="G95" s="148"/>
      <c r="H95" s="105"/>
    </row>
    <row r="96" spans="1:8" ht="15.75" x14ac:dyDescent="0.25">
      <c r="A96" s="133"/>
      <c r="B96" s="73"/>
      <c r="C96" s="73"/>
      <c r="D96" s="222"/>
      <c r="E96" s="222"/>
      <c r="F96" s="222"/>
      <c r="G96" s="148"/>
      <c r="H96" s="105"/>
    </row>
    <row r="97" spans="1:8" ht="15.75" x14ac:dyDescent="0.25">
      <c r="A97" s="133"/>
      <c r="B97" s="73"/>
      <c r="C97" s="73"/>
      <c r="D97" s="223"/>
      <c r="E97" s="223"/>
      <c r="F97" s="224"/>
      <c r="G97" s="148"/>
      <c r="H97" s="105"/>
    </row>
    <row r="98" spans="1:8" ht="15.75" x14ac:dyDescent="0.25">
      <c r="A98" s="133"/>
      <c r="B98" s="73"/>
      <c r="C98" s="73"/>
      <c r="D98" s="223"/>
      <c r="E98" s="223"/>
      <c r="F98" s="224"/>
      <c r="G98" s="148"/>
      <c r="H98" s="105"/>
    </row>
    <row r="99" spans="1:8" ht="18" x14ac:dyDescent="0.25">
      <c r="A99" s="5708" t="s">
        <v>1075</v>
      </c>
      <c r="B99" s="5708"/>
      <c r="C99" s="227" t="e">
        <f ca="1">C18+C27+C36+C45+C54+C63+C71+C79+C87+C95</f>
        <v>#REF!</v>
      </c>
      <c r="D99" s="227" t="e">
        <f>D18+D27+D36+D45+D54+D63+D71+D79+D87+D95</f>
        <v>#REF!</v>
      </c>
      <c r="E99" s="227" t="e">
        <f>E18+E27+E36+E45+E54+E63+E71+E79+E87+E95</f>
        <v>#REF!</v>
      </c>
      <c r="F99" s="227" t="e">
        <f>F18+F27+F36+F45+F54+F63+F71+F79+F87+F95</f>
        <v>#REF!</v>
      </c>
      <c r="G99" s="148"/>
      <c r="H99" s="105"/>
    </row>
    <row r="100" spans="1:8" ht="13.5" thickBot="1" x14ac:dyDescent="0.25">
      <c r="A100" s="150"/>
      <c r="B100" s="151"/>
      <c r="C100" s="151"/>
      <c r="D100" s="170"/>
      <c r="E100" s="170"/>
      <c r="F100" s="171"/>
      <c r="G100" s="105"/>
      <c r="H100" s="105"/>
    </row>
    <row r="101" spans="1:8" ht="13.5" thickBot="1" x14ac:dyDescent="0.25">
      <c r="A101" s="153"/>
      <c r="B101" s="154"/>
      <c r="C101" s="5683" t="s">
        <v>101</v>
      </c>
      <c r="D101" s="105"/>
      <c r="E101" s="105"/>
      <c r="F101" s="105"/>
      <c r="G101" s="105"/>
      <c r="H101" s="105"/>
    </row>
    <row r="102" spans="1:8" ht="12.75" customHeight="1" x14ac:dyDescent="0.25">
      <c r="A102" s="144" t="s">
        <v>1068</v>
      </c>
      <c r="B102" s="145"/>
      <c r="C102" s="5684"/>
      <c r="D102" s="155" t="s">
        <v>287</v>
      </c>
      <c r="E102" s="155" t="s">
        <v>289</v>
      </c>
      <c r="F102" s="156" t="s">
        <v>288</v>
      </c>
      <c r="G102" s="156" t="s">
        <v>288</v>
      </c>
    </row>
    <row r="103" spans="1:8" x14ac:dyDescent="0.2">
      <c r="A103" s="126"/>
      <c r="D103" s="12"/>
      <c r="E103" s="12"/>
      <c r="F103" s="157"/>
      <c r="G103" s="96"/>
    </row>
    <row r="104" spans="1:8" x14ac:dyDescent="0.2">
      <c r="A104" s="126" t="s">
        <v>1059</v>
      </c>
      <c r="C104" s="149" t="e">
        <f>C8</f>
        <v>#REF!</v>
      </c>
      <c r="D104" s="149" t="e">
        <f>D8</f>
        <v>#REF!</v>
      </c>
      <c r="E104" s="149" t="e">
        <f>E8</f>
        <v>#REF!</v>
      </c>
      <c r="F104" s="149" t="e">
        <f>F8</f>
        <v>#REF!</v>
      </c>
      <c r="G104" s="149">
        <f>G36+G45+G54+G63</f>
        <v>0</v>
      </c>
    </row>
    <row r="105" spans="1:8" x14ac:dyDescent="0.2">
      <c r="A105" s="126"/>
      <c r="D105" s="159"/>
      <c r="E105" s="159"/>
      <c r="F105" s="159"/>
      <c r="G105" s="96"/>
    </row>
    <row r="106" spans="1:8" x14ac:dyDescent="0.2">
      <c r="A106" s="126" t="s">
        <v>1060</v>
      </c>
      <c r="C106" s="149" t="e">
        <f ca="1">C99</f>
        <v>#REF!</v>
      </c>
      <c r="D106" s="149" t="e">
        <f>D99</f>
        <v>#REF!</v>
      </c>
      <c r="E106" s="149" t="e">
        <f>E99</f>
        <v>#REF!</v>
      </c>
      <c r="F106" s="149" t="e">
        <f>F99</f>
        <v>#REF!</v>
      </c>
      <c r="G106" s="149">
        <f>G38+G47+G56+G72</f>
        <v>0</v>
      </c>
    </row>
    <row r="107" spans="1:8" x14ac:dyDescent="0.2">
      <c r="A107" s="126"/>
      <c r="D107" s="12"/>
      <c r="E107" s="12"/>
      <c r="F107" s="12"/>
      <c r="G107" s="96"/>
    </row>
    <row r="108" spans="1:8" ht="15" x14ac:dyDescent="0.25">
      <c r="A108" s="5702" t="s">
        <v>1069</v>
      </c>
      <c r="B108" s="5691"/>
      <c r="C108" s="161" t="e">
        <f ca="1">C104+C106</f>
        <v>#REF!</v>
      </c>
      <c r="D108" s="161" t="e">
        <f>D104+D106</f>
        <v>#REF!</v>
      </c>
      <c r="E108" s="161" t="e">
        <f>E104+E106</f>
        <v>#REF!</v>
      </c>
      <c r="F108" s="161" t="e">
        <f>F104+F106</f>
        <v>#REF!</v>
      </c>
      <c r="G108" s="161">
        <f>G104+G106</f>
        <v>0</v>
      </c>
    </row>
    <row r="109" spans="1:8" ht="13.5" thickBot="1" x14ac:dyDescent="0.25">
      <c r="A109" s="163"/>
      <c r="B109" s="164"/>
      <c r="C109" s="164"/>
      <c r="E109" s="164"/>
      <c r="F109" s="165"/>
      <c r="G109" s="165"/>
    </row>
    <row r="110" spans="1:8" ht="16.5" thickBot="1" x14ac:dyDescent="0.3">
      <c r="A110" s="5699" t="s">
        <v>1070</v>
      </c>
      <c r="B110" s="5700"/>
      <c r="C110" s="5701"/>
      <c r="D110" s="166">
        <f>'Compra -HOJA1'!G10</f>
        <v>0</v>
      </c>
      <c r="E110" s="167">
        <f>'Compra -HOJA1'!I10</f>
        <v>0</v>
      </c>
      <c r="F110" s="168">
        <f>'Compra -HOJA1'!H10</f>
        <v>0</v>
      </c>
      <c r="G110" s="168">
        <f>'Compra -HOJA1'!H36</f>
        <v>0</v>
      </c>
    </row>
    <row r="113" spans="4:6" x14ac:dyDescent="0.2">
      <c r="D113" s="25">
        <f ca="1">'SECCION I-II'!F112</f>
        <v>0</v>
      </c>
      <c r="E113" s="25">
        <f ca="1">'SECCION I-II'!G112</f>
        <v>0</v>
      </c>
      <c r="F113" s="25">
        <f ca="1">'SECCION I-II'!H112</f>
        <v>0</v>
      </c>
    </row>
  </sheetData>
  <mergeCells count="28">
    <mergeCell ref="A110:C110"/>
    <mergeCell ref="A108:B108"/>
    <mergeCell ref="C50:C51"/>
    <mergeCell ref="A1:G1"/>
    <mergeCell ref="D4:F4"/>
    <mergeCell ref="D14:F14"/>
    <mergeCell ref="D23:F23"/>
    <mergeCell ref="D91:F91"/>
    <mergeCell ref="A99:B99"/>
    <mergeCell ref="C91:C92"/>
    <mergeCell ref="C83:C84"/>
    <mergeCell ref="D41:F41"/>
    <mergeCell ref="D67:F67"/>
    <mergeCell ref="C101:C102"/>
    <mergeCell ref="D83:F83"/>
    <mergeCell ref="C67:C68"/>
    <mergeCell ref="C75:C76"/>
    <mergeCell ref="H5:H6"/>
    <mergeCell ref="C4:C5"/>
    <mergeCell ref="C14:C15"/>
    <mergeCell ref="C23:C24"/>
    <mergeCell ref="D75:F75"/>
    <mergeCell ref="C59:C60"/>
    <mergeCell ref="D32:F32"/>
    <mergeCell ref="C32:C33"/>
    <mergeCell ref="C41:C42"/>
    <mergeCell ref="D50:F50"/>
    <mergeCell ref="D59:F59"/>
  </mergeCells>
  <phoneticPr fontId="74" type="noConversion"/>
  <pageMargins left="0.7" right="0.7" top="0.75" bottom="0.75" header="0.3" footer="0.3"/>
  <pageSetup orientation="portrait" horizontalDpi="1200" verticalDpi="12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31"/>
  <dimension ref="A1:H117"/>
  <sheetViews>
    <sheetView topLeftCell="A37" workbookViewId="0">
      <selection activeCell="C112" sqref="C112"/>
    </sheetView>
  </sheetViews>
  <sheetFormatPr baseColWidth="10" defaultColWidth="11.42578125" defaultRowHeight="12.75" x14ac:dyDescent="0.2"/>
  <cols>
    <col min="1" max="1" width="20" style="9" customWidth="1"/>
    <col min="2" max="3" width="19.5703125" style="9" customWidth="1"/>
    <col min="4" max="6" width="22.5703125" style="9" customWidth="1"/>
    <col min="7" max="7" width="22.5703125" style="9" hidden="1" customWidth="1"/>
    <col min="8" max="16384" width="11.42578125" style="9"/>
  </cols>
  <sheetData>
    <row r="1" spans="1:7" ht="21" x14ac:dyDescent="0.35">
      <c r="A1" s="5703" t="s">
        <v>1076</v>
      </c>
      <c r="B1" s="5704"/>
      <c r="C1" s="5704"/>
      <c r="D1" s="5704"/>
      <c r="E1" s="5704"/>
      <c r="F1" s="5704"/>
      <c r="G1" s="5705"/>
    </row>
    <row r="2" spans="1:7" ht="15.75" thickBot="1" x14ac:dyDescent="0.3">
      <c r="A2" s="109" t="s">
        <v>1077</v>
      </c>
      <c r="G2" s="96"/>
    </row>
    <row r="3" spans="1:7" ht="15" x14ac:dyDescent="0.25">
      <c r="A3" s="110" t="s">
        <v>1073</v>
      </c>
      <c r="B3" s="111"/>
      <c r="C3" s="111"/>
      <c r="D3" s="111"/>
      <c r="E3" s="111"/>
      <c r="F3" s="112"/>
      <c r="G3" s="112"/>
    </row>
    <row r="4" spans="1:7" ht="15" customHeight="1" x14ac:dyDescent="0.25">
      <c r="A4" s="113"/>
      <c r="B4" s="114"/>
      <c r="C4" s="5709" t="s">
        <v>101</v>
      </c>
      <c r="D4" s="5706" t="s">
        <v>1058</v>
      </c>
      <c r="E4" s="5706"/>
      <c r="F4" s="5707"/>
      <c r="G4" s="115"/>
    </row>
    <row r="5" spans="1:7" ht="15" x14ac:dyDescent="0.25">
      <c r="A5" s="116" t="s">
        <v>29</v>
      </c>
      <c r="B5" s="117"/>
      <c r="C5" s="5710"/>
      <c r="D5" s="117" t="s">
        <v>287</v>
      </c>
      <c r="E5" s="117" t="s">
        <v>289</v>
      </c>
      <c r="F5" s="118" t="s">
        <v>288</v>
      </c>
      <c r="G5" s="115"/>
    </row>
    <row r="6" spans="1:7" x14ac:dyDescent="0.2">
      <c r="A6" s="113"/>
      <c r="B6" s="114"/>
      <c r="C6" s="114"/>
      <c r="D6" s="114"/>
      <c r="E6" s="114"/>
      <c r="F6" s="115"/>
      <c r="G6" s="115"/>
    </row>
    <row r="7" spans="1:7" x14ac:dyDescent="0.2">
      <c r="A7" s="113"/>
      <c r="B7" s="114"/>
      <c r="C7" s="114"/>
      <c r="D7" s="114"/>
      <c r="E7" s="114"/>
      <c r="F7" s="115"/>
      <c r="G7" s="115"/>
    </row>
    <row r="8" spans="1:7" ht="15.75" x14ac:dyDescent="0.25">
      <c r="A8" s="119" t="s">
        <v>24</v>
      </c>
      <c r="B8" s="120"/>
      <c r="C8" s="122">
        <f>'SECCION I-II'!I119</f>
        <v>0</v>
      </c>
      <c r="D8" s="122" t="str">
        <f>'SECCION I-II'!F119</f>
        <v>Pico</v>
      </c>
      <c r="E8" s="122" t="str">
        <f>'SECCION I-II'!G119</f>
        <v>Valle</v>
      </c>
      <c r="F8" s="122" t="str">
        <f>'SECCION I-II'!H119</f>
        <v>Resto</v>
      </c>
      <c r="G8" s="115"/>
    </row>
    <row r="9" spans="1:7" x14ac:dyDescent="0.2">
      <c r="A9" s="113"/>
      <c r="B9" s="114"/>
      <c r="C9" s="114"/>
      <c r="D9" s="114"/>
      <c r="E9" s="114"/>
      <c r="F9" s="115"/>
      <c r="G9" s="115"/>
    </row>
    <row r="10" spans="1:7" ht="13.5" thickBot="1" x14ac:dyDescent="0.25">
      <c r="A10" s="123"/>
      <c r="B10" s="124"/>
      <c r="C10" s="124"/>
      <c r="D10" s="124"/>
      <c r="E10" s="124"/>
      <c r="F10" s="125"/>
      <c r="G10" s="125"/>
    </row>
    <row r="11" spans="1:7" ht="13.5" thickBot="1" x14ac:dyDescent="0.25">
      <c r="A11" s="126"/>
      <c r="G11" s="96"/>
    </row>
    <row r="12" spans="1:7" ht="15" x14ac:dyDescent="0.25">
      <c r="A12" s="127" t="s">
        <v>1074</v>
      </c>
      <c r="B12" s="128"/>
      <c r="C12" s="128"/>
      <c r="D12" s="128"/>
      <c r="E12" s="128"/>
      <c r="F12" s="129"/>
      <c r="G12" s="129"/>
    </row>
    <row r="13" spans="1:7" ht="13.5" thickBot="1" x14ac:dyDescent="0.25">
      <c r="A13" s="130" t="e">
        <f>'Compra -HOJA1'!#REF!</f>
        <v>#REF!</v>
      </c>
      <c r="B13" s="131"/>
      <c r="C13" s="131"/>
      <c r="D13" s="73"/>
      <c r="E13" s="73"/>
      <c r="F13" s="132"/>
      <c r="G13" s="132"/>
    </row>
    <row r="14" spans="1:7" ht="15" x14ac:dyDescent="0.25">
      <c r="A14" s="133"/>
      <c r="B14" s="73"/>
      <c r="C14" s="5692" t="s">
        <v>101</v>
      </c>
      <c r="D14" s="5697" t="s">
        <v>1058</v>
      </c>
      <c r="E14" s="5697"/>
      <c r="F14" s="5698"/>
      <c r="G14" s="132"/>
    </row>
    <row r="15" spans="1:7" ht="15" x14ac:dyDescent="0.25">
      <c r="A15" s="134" t="s">
        <v>29</v>
      </c>
      <c r="B15" s="135"/>
      <c r="C15" s="5693"/>
      <c r="D15" s="135" t="s">
        <v>287</v>
      </c>
      <c r="E15" s="135" t="s">
        <v>289</v>
      </c>
      <c r="F15" s="136" t="s">
        <v>288</v>
      </c>
      <c r="G15" s="132"/>
    </row>
    <row r="16" spans="1:7" x14ac:dyDescent="0.2">
      <c r="A16" s="133"/>
      <c r="B16" s="73"/>
      <c r="C16" s="73"/>
      <c r="D16" s="73"/>
      <c r="E16" s="73"/>
      <c r="F16" s="132"/>
      <c r="G16" s="132"/>
    </row>
    <row r="17" spans="1:7" x14ac:dyDescent="0.2">
      <c r="A17" s="133"/>
      <c r="B17" s="73"/>
      <c r="C17" s="73"/>
      <c r="D17" s="73"/>
      <c r="E17" s="73"/>
      <c r="F17" s="132"/>
      <c r="G17" s="132"/>
    </row>
    <row r="18" spans="1:7" ht="15.75" x14ac:dyDescent="0.25">
      <c r="A18" s="137" t="s">
        <v>24</v>
      </c>
      <c r="B18" s="138"/>
      <c r="C18" s="140">
        <f ca="1">'SECCION I-II'!I120</f>
        <v>0</v>
      </c>
      <c r="D18" s="140">
        <f ca="1">'SECCION I-II'!F120</f>
        <v>0</v>
      </c>
      <c r="E18" s="140">
        <f ca="1">'SECCION I-II'!G120</f>
        <v>0</v>
      </c>
      <c r="F18" s="140">
        <f ca="1">'SECCION I-II'!H120</f>
        <v>0</v>
      </c>
      <c r="G18" s="132"/>
    </row>
    <row r="19" spans="1:7" ht="13.5" thickBot="1" x14ac:dyDescent="0.25">
      <c r="A19" s="141"/>
      <c r="B19" s="142"/>
      <c r="C19" s="142"/>
      <c r="D19" s="142"/>
      <c r="E19" s="142"/>
      <c r="F19" s="143"/>
      <c r="G19" s="143"/>
    </row>
    <row r="20" spans="1:7" ht="13.5" thickBot="1" x14ac:dyDescent="0.25">
      <c r="A20" s="126"/>
      <c r="F20" s="96"/>
      <c r="G20" s="96"/>
    </row>
    <row r="21" spans="1:7" ht="15" x14ac:dyDescent="0.25">
      <c r="A21" s="144" t="s">
        <v>1074</v>
      </c>
      <c r="B21" s="145"/>
      <c r="C21" s="145"/>
      <c r="D21" s="145"/>
      <c r="E21" s="145"/>
      <c r="F21" s="146"/>
      <c r="G21" s="146"/>
    </row>
    <row r="22" spans="1:7" ht="13.5" thickBot="1" x14ac:dyDescent="0.25">
      <c r="A22" s="130" t="e">
        <f>'Compra -HOJA1'!#REF!</f>
        <v>#REF!</v>
      </c>
      <c r="B22" s="131"/>
      <c r="C22" s="131"/>
      <c r="D22" s="73"/>
      <c r="E22" s="73"/>
      <c r="F22" s="132"/>
      <c r="G22" s="132"/>
    </row>
    <row r="23" spans="1:7" ht="15" customHeight="1" x14ac:dyDescent="0.25">
      <c r="A23" s="133"/>
      <c r="B23" s="73"/>
      <c r="C23" s="5692" t="s">
        <v>101</v>
      </c>
      <c r="D23" s="5697" t="s">
        <v>1058</v>
      </c>
      <c r="E23" s="5697"/>
      <c r="F23" s="5698"/>
      <c r="G23" s="132"/>
    </row>
    <row r="24" spans="1:7" ht="15" x14ac:dyDescent="0.25">
      <c r="A24" s="134" t="s">
        <v>29</v>
      </c>
      <c r="B24" s="135"/>
      <c r="C24" s="5693"/>
      <c r="D24" s="135" t="s">
        <v>287</v>
      </c>
      <c r="E24" s="135" t="s">
        <v>289</v>
      </c>
      <c r="F24" s="136" t="s">
        <v>288</v>
      </c>
      <c r="G24" s="132"/>
    </row>
    <row r="25" spans="1:7" x14ac:dyDescent="0.2">
      <c r="A25" s="133"/>
      <c r="B25" s="73"/>
      <c r="C25" s="73"/>
      <c r="D25" s="73"/>
      <c r="E25" s="73"/>
      <c r="F25" s="132"/>
      <c r="G25" s="132"/>
    </row>
    <row r="26" spans="1:7" x14ac:dyDescent="0.2">
      <c r="A26" s="133"/>
      <c r="B26" s="73"/>
      <c r="C26" s="73"/>
      <c r="D26" s="73"/>
      <c r="E26" s="73"/>
      <c r="F26" s="132"/>
      <c r="G26" s="132"/>
    </row>
    <row r="27" spans="1:7" ht="15.75" x14ac:dyDescent="0.25">
      <c r="A27" s="137" t="s">
        <v>24</v>
      </c>
      <c r="B27" s="138"/>
      <c r="C27" s="140">
        <f>'SECCION I-II'!I126</f>
        <v>0</v>
      </c>
      <c r="D27" s="140" t="str">
        <f>'SECCION I-II'!F126</f>
        <v>TOTAL KWH COMPRADOS</v>
      </c>
      <c r="E27" s="140">
        <f>'SECCION I-II'!G126</f>
        <v>0</v>
      </c>
      <c r="F27" s="140">
        <f>'SECCION I-II'!H126</f>
        <v>0</v>
      </c>
      <c r="G27" s="132"/>
    </row>
    <row r="28" spans="1:7" ht="13.5" thickBot="1" x14ac:dyDescent="0.25">
      <c r="A28" s="141"/>
      <c r="B28" s="142"/>
      <c r="C28" s="142"/>
      <c r="D28" s="142"/>
      <c r="E28" s="142"/>
      <c r="F28" s="143"/>
      <c r="G28" s="143"/>
    </row>
    <row r="29" spans="1:7" ht="13.5" thickBot="1" x14ac:dyDescent="0.25">
      <c r="A29" s="126"/>
      <c r="F29" s="96"/>
      <c r="G29" s="96"/>
    </row>
    <row r="30" spans="1:7" ht="15" x14ac:dyDescent="0.25">
      <c r="A30" s="127" t="s">
        <v>1074</v>
      </c>
      <c r="B30" s="128"/>
      <c r="C30" s="128"/>
      <c r="D30" s="128"/>
      <c r="E30" s="128"/>
      <c r="F30" s="129"/>
      <c r="G30" s="129"/>
    </row>
    <row r="31" spans="1:7" ht="13.5" thickBot="1" x14ac:dyDescent="0.25">
      <c r="A31" s="130" t="e">
        <f>'Compra -HOJA1'!#REF!</f>
        <v>#REF!</v>
      </c>
      <c r="B31" s="131"/>
      <c r="C31" s="131"/>
      <c r="D31" s="73"/>
      <c r="E31" s="73"/>
      <c r="F31" s="132"/>
      <c r="G31" s="132"/>
    </row>
    <row r="32" spans="1:7" ht="15" customHeight="1" x14ac:dyDescent="0.25">
      <c r="A32" s="133"/>
      <c r="B32" s="73"/>
      <c r="C32" s="5692" t="s">
        <v>101</v>
      </c>
      <c r="D32" s="5697" t="s">
        <v>1058</v>
      </c>
      <c r="E32" s="5697"/>
      <c r="F32" s="5698"/>
      <c r="G32" s="132"/>
    </row>
    <row r="33" spans="1:7" ht="15" x14ac:dyDescent="0.25">
      <c r="A33" s="134" t="s">
        <v>29</v>
      </c>
      <c r="B33" s="135"/>
      <c r="C33" s="5693"/>
      <c r="D33" s="135" t="s">
        <v>287</v>
      </c>
      <c r="E33" s="135" t="s">
        <v>289</v>
      </c>
      <c r="F33" s="136" t="s">
        <v>288</v>
      </c>
      <c r="G33" s="132"/>
    </row>
    <row r="34" spans="1:7" x14ac:dyDescent="0.2">
      <c r="A34" s="133"/>
      <c r="B34" s="73"/>
      <c r="C34" s="73"/>
      <c r="D34" s="73"/>
      <c r="E34" s="73"/>
      <c r="F34" s="132"/>
      <c r="G34" s="132"/>
    </row>
    <row r="35" spans="1:7" x14ac:dyDescent="0.2">
      <c r="A35" s="133"/>
      <c r="B35" s="73"/>
      <c r="C35" s="73"/>
      <c r="D35" s="73"/>
      <c r="E35" s="73"/>
      <c r="F35" s="132"/>
      <c r="G35" s="132"/>
    </row>
    <row r="36" spans="1:7" ht="15.75" x14ac:dyDescent="0.25">
      <c r="A36" s="137" t="s">
        <v>24</v>
      </c>
      <c r="B36" s="138"/>
      <c r="C36" s="140">
        <f>'SECCION I-II'!I127</f>
        <v>0</v>
      </c>
      <c r="D36" s="140" t="str">
        <f>'SECCION I-II'!F127</f>
        <v>Pico</v>
      </c>
      <c r="E36" s="140" t="str">
        <f>'SECCION I-II'!G127</f>
        <v>Valle</v>
      </c>
      <c r="F36" s="140" t="str">
        <f>'SECCION I-II'!H127</f>
        <v>Resto</v>
      </c>
      <c r="G36" s="132"/>
    </row>
    <row r="37" spans="1:7" ht="13.5" thickBot="1" x14ac:dyDescent="0.25">
      <c r="A37" s="141"/>
      <c r="B37" s="142"/>
      <c r="C37" s="142"/>
      <c r="D37" s="142"/>
      <c r="E37" s="142"/>
      <c r="F37" s="143"/>
      <c r="G37" s="143"/>
    </row>
    <row r="38" spans="1:7" ht="13.5" thickBot="1" x14ac:dyDescent="0.25">
      <c r="A38" s="126"/>
      <c r="F38" s="96"/>
      <c r="G38" s="96"/>
    </row>
    <row r="39" spans="1:7" ht="15" x14ac:dyDescent="0.25">
      <c r="A39" s="127" t="s">
        <v>1074</v>
      </c>
      <c r="B39" s="128"/>
      <c r="C39" s="128"/>
      <c r="D39" s="128"/>
      <c r="E39" s="128"/>
      <c r="F39" s="129"/>
      <c r="G39" s="129"/>
    </row>
    <row r="40" spans="1:7" ht="13.5" thickBot="1" x14ac:dyDescent="0.25">
      <c r="A40" s="130" t="e">
        <f>'Compra -HOJA1'!#REF!</f>
        <v>#REF!</v>
      </c>
      <c r="B40" s="131"/>
      <c r="C40" s="131"/>
      <c r="D40" s="73"/>
      <c r="E40" s="73"/>
      <c r="F40" s="132"/>
      <c r="G40" s="132"/>
    </row>
    <row r="41" spans="1:7" ht="15" customHeight="1" x14ac:dyDescent="0.25">
      <c r="A41" s="133"/>
      <c r="B41" s="73"/>
      <c r="C41" s="5692" t="s">
        <v>101</v>
      </c>
      <c r="D41" s="5697" t="s">
        <v>1058</v>
      </c>
      <c r="E41" s="5697"/>
      <c r="F41" s="5698"/>
      <c r="G41" s="132"/>
    </row>
    <row r="42" spans="1:7" ht="15" x14ac:dyDescent="0.25">
      <c r="A42" s="134" t="s">
        <v>29</v>
      </c>
      <c r="B42" s="135"/>
      <c r="C42" s="5693"/>
      <c r="D42" s="135" t="s">
        <v>287</v>
      </c>
      <c r="E42" s="135" t="s">
        <v>289</v>
      </c>
      <c r="F42" s="136" t="s">
        <v>288</v>
      </c>
      <c r="G42" s="132"/>
    </row>
    <row r="43" spans="1:7" x14ac:dyDescent="0.2">
      <c r="A43" s="133"/>
      <c r="B43" s="73"/>
      <c r="C43" s="73"/>
      <c r="D43" s="73"/>
      <c r="E43" s="73"/>
      <c r="F43" s="132"/>
      <c r="G43" s="132"/>
    </row>
    <row r="44" spans="1:7" x14ac:dyDescent="0.2">
      <c r="A44" s="133"/>
      <c r="B44" s="73"/>
      <c r="C44" s="73"/>
      <c r="D44" s="73"/>
      <c r="E44" s="73"/>
      <c r="F44" s="132"/>
      <c r="G44" s="132"/>
    </row>
    <row r="45" spans="1:7" ht="15.75" x14ac:dyDescent="0.25">
      <c r="A45" s="137" t="s">
        <v>24</v>
      </c>
      <c r="B45" s="138"/>
      <c r="C45" s="140">
        <f>'SECCION I-II'!I128</f>
        <v>0</v>
      </c>
      <c r="D45" s="140">
        <f>'SECCION I-II'!F128</f>
        <v>0</v>
      </c>
      <c r="E45" s="140">
        <f>'SECCION I-II'!G128</f>
        <v>0</v>
      </c>
      <c r="F45" s="140">
        <f>'SECCION I-II'!H128</f>
        <v>0</v>
      </c>
      <c r="G45" s="132"/>
    </row>
    <row r="46" spans="1:7" ht="13.5" thickBot="1" x14ac:dyDescent="0.25">
      <c r="A46" s="141"/>
      <c r="B46" s="142"/>
      <c r="C46" s="142"/>
      <c r="D46" s="142"/>
      <c r="E46" s="142"/>
      <c r="F46" s="143"/>
      <c r="G46" s="143"/>
    </row>
    <row r="47" spans="1:7" ht="13.5" thickBot="1" x14ac:dyDescent="0.25">
      <c r="A47" s="126"/>
      <c r="F47" s="96"/>
      <c r="G47" s="96"/>
    </row>
    <row r="48" spans="1:7" ht="15" x14ac:dyDescent="0.25">
      <c r="A48" s="127" t="s">
        <v>1074</v>
      </c>
      <c r="B48" s="128"/>
      <c r="C48" s="128"/>
      <c r="D48" s="128"/>
      <c r="E48" s="128"/>
      <c r="F48" s="129"/>
      <c r="G48" s="129"/>
    </row>
    <row r="49" spans="1:7" ht="13.5" thickBot="1" x14ac:dyDescent="0.25">
      <c r="A49" s="130" t="e">
        <f>'Compra -HOJA1'!#REF!</f>
        <v>#REF!</v>
      </c>
      <c r="B49" s="131"/>
      <c r="C49" s="131"/>
      <c r="D49" s="73"/>
      <c r="E49" s="73"/>
      <c r="F49" s="132"/>
      <c r="G49" s="132"/>
    </row>
    <row r="50" spans="1:7" ht="15" customHeight="1" x14ac:dyDescent="0.25">
      <c r="A50" s="133"/>
      <c r="B50" s="73"/>
      <c r="C50" s="5692" t="s">
        <v>101</v>
      </c>
      <c r="D50" s="5697" t="s">
        <v>1058</v>
      </c>
      <c r="E50" s="5697"/>
      <c r="F50" s="5698"/>
      <c r="G50" s="132"/>
    </row>
    <row r="51" spans="1:7" ht="15" x14ac:dyDescent="0.25">
      <c r="A51" s="134" t="s">
        <v>29</v>
      </c>
      <c r="B51" s="135"/>
      <c r="C51" s="5693"/>
      <c r="D51" s="135" t="s">
        <v>287</v>
      </c>
      <c r="E51" s="135" t="s">
        <v>289</v>
      </c>
      <c r="F51" s="136" t="s">
        <v>288</v>
      </c>
      <c r="G51" s="132"/>
    </row>
    <row r="52" spans="1:7" x14ac:dyDescent="0.2">
      <c r="A52" s="133"/>
      <c r="B52" s="73"/>
      <c r="C52" s="73"/>
      <c r="D52" s="73"/>
      <c r="E52" s="73"/>
      <c r="F52" s="132"/>
      <c r="G52" s="132"/>
    </row>
    <row r="53" spans="1:7" x14ac:dyDescent="0.2">
      <c r="A53" s="133"/>
      <c r="B53" s="73"/>
      <c r="C53" s="73"/>
      <c r="D53" s="73"/>
      <c r="E53" s="73"/>
      <c r="F53" s="132"/>
      <c r="G53" s="132"/>
    </row>
    <row r="54" spans="1:7" ht="15.75" x14ac:dyDescent="0.25">
      <c r="A54" s="137" t="s">
        <v>24</v>
      </c>
      <c r="B54" s="138"/>
      <c r="C54" s="140">
        <f>'SECCION I-II'!I160</f>
        <v>0</v>
      </c>
      <c r="D54" s="140">
        <f ca="1">'SECCION I-II'!F160</f>
        <v>0</v>
      </c>
      <c r="E54" s="140">
        <f ca="1">'SECCION I-II'!G160</f>
        <v>0</v>
      </c>
      <c r="F54" s="140">
        <f ca="1">'SECCION I-II'!H160</f>
        <v>0</v>
      </c>
      <c r="G54" s="132"/>
    </row>
    <row r="55" spans="1:7" ht="13.5" thickBot="1" x14ac:dyDescent="0.25">
      <c r="A55" s="141"/>
      <c r="B55" s="142"/>
      <c r="C55" s="142"/>
      <c r="D55" s="142"/>
      <c r="E55" s="142"/>
      <c r="F55" s="143"/>
      <c r="G55" s="143"/>
    </row>
    <row r="56" spans="1:7" ht="13.5" thickBot="1" x14ac:dyDescent="0.25">
      <c r="A56" s="126"/>
      <c r="F56" s="96"/>
      <c r="G56" s="96"/>
    </row>
    <row r="57" spans="1:7" ht="15" x14ac:dyDescent="0.25">
      <c r="A57" s="127" t="s">
        <v>1074</v>
      </c>
      <c r="B57" s="128"/>
      <c r="C57" s="128"/>
      <c r="D57" s="128"/>
      <c r="E57" s="128"/>
      <c r="F57" s="129"/>
      <c r="G57" s="129"/>
    </row>
    <row r="58" spans="1:7" ht="13.5" thickBot="1" x14ac:dyDescent="0.25">
      <c r="A58" s="130" t="e">
        <f>'Compra -HOJA1'!#REF!</f>
        <v>#REF!</v>
      </c>
      <c r="B58" s="131"/>
      <c r="C58" s="131"/>
      <c r="D58" s="73"/>
      <c r="E58" s="73"/>
      <c r="F58" s="132"/>
      <c r="G58" s="132"/>
    </row>
    <row r="59" spans="1:7" ht="15" x14ac:dyDescent="0.25">
      <c r="A59" s="133"/>
      <c r="B59" s="73"/>
      <c r="C59" s="5692" t="s">
        <v>101</v>
      </c>
      <c r="D59" s="5697" t="s">
        <v>1058</v>
      </c>
      <c r="E59" s="5697"/>
      <c r="F59" s="5698"/>
      <c r="G59" s="132"/>
    </row>
    <row r="60" spans="1:7" ht="15" x14ac:dyDescent="0.25">
      <c r="A60" s="134" t="s">
        <v>29</v>
      </c>
      <c r="B60" s="135"/>
      <c r="C60" s="5693"/>
      <c r="D60" s="135" t="s">
        <v>287</v>
      </c>
      <c r="E60" s="135" t="s">
        <v>289</v>
      </c>
      <c r="F60" s="136" t="s">
        <v>288</v>
      </c>
      <c r="G60" s="132"/>
    </row>
    <row r="61" spans="1:7" x14ac:dyDescent="0.2">
      <c r="A61" s="133"/>
      <c r="B61" s="73"/>
      <c r="C61" s="73"/>
      <c r="D61" s="73"/>
      <c r="E61" s="73"/>
      <c r="F61" s="132"/>
      <c r="G61" s="132"/>
    </row>
    <row r="62" spans="1:7" x14ac:dyDescent="0.2">
      <c r="A62" s="133"/>
      <c r="B62" s="73"/>
      <c r="C62" s="73"/>
      <c r="D62" s="73"/>
      <c r="E62" s="73"/>
      <c r="F62" s="132"/>
      <c r="G62" s="132"/>
    </row>
    <row r="63" spans="1:7" ht="15.75" x14ac:dyDescent="0.25">
      <c r="A63" s="137" t="s">
        <v>24</v>
      </c>
      <c r="B63" s="138"/>
      <c r="C63" s="140">
        <f>'SECCION I-II'!I177</f>
        <v>0</v>
      </c>
      <c r="D63" s="140" t="e">
        <f ca="1">'SECCION I-II'!F177</f>
        <v>#REF!</v>
      </c>
      <c r="E63" s="140" t="e">
        <f ca="1">'SECCION I-II'!G177</f>
        <v>#REF!</v>
      </c>
      <c r="F63" s="140" t="e">
        <f ca="1">'SECCION I-II'!H177</f>
        <v>#REF!</v>
      </c>
      <c r="G63" s="132"/>
    </row>
    <row r="64" spans="1:7" ht="13.5" thickBot="1" x14ac:dyDescent="0.25">
      <c r="A64" s="141"/>
      <c r="B64" s="142"/>
      <c r="C64" s="142"/>
      <c r="D64" s="142"/>
      <c r="E64" s="142"/>
      <c r="F64" s="143"/>
      <c r="G64" s="132"/>
    </row>
    <row r="65" spans="1:8" ht="13.5" thickBot="1" x14ac:dyDescent="0.25">
      <c r="A65" s="147"/>
      <c r="B65" s="105"/>
      <c r="C65" s="105"/>
      <c r="D65" s="105"/>
      <c r="E65" s="105"/>
      <c r="F65" s="105"/>
      <c r="G65" s="105"/>
      <c r="H65" s="105"/>
    </row>
    <row r="66" spans="1:8" ht="15" x14ac:dyDescent="0.25">
      <c r="A66" s="127" t="s">
        <v>1074</v>
      </c>
      <c r="B66" s="128"/>
      <c r="C66" s="128"/>
      <c r="D66" s="128"/>
      <c r="E66" s="128"/>
      <c r="F66" s="129"/>
      <c r="G66" s="148"/>
      <c r="H66" s="105"/>
    </row>
    <row r="67" spans="1:8" ht="13.5" thickBot="1" x14ac:dyDescent="0.25">
      <c r="A67" s="130" t="e">
        <f>'Compra -HOJA1'!#REF!</f>
        <v>#REF!</v>
      </c>
      <c r="B67" s="131"/>
      <c r="C67" s="131"/>
      <c r="D67" s="73"/>
      <c r="E67" s="73"/>
      <c r="F67" s="132"/>
      <c r="G67" s="148"/>
      <c r="H67" s="105"/>
    </row>
    <row r="68" spans="1:8" ht="15" x14ac:dyDescent="0.25">
      <c r="A68" s="133"/>
      <c r="B68" s="73"/>
      <c r="C68" s="5692" t="s">
        <v>101</v>
      </c>
      <c r="D68" s="5697" t="s">
        <v>1058</v>
      </c>
      <c r="E68" s="5697"/>
      <c r="F68" s="5698"/>
      <c r="G68" s="148"/>
      <c r="H68" s="105"/>
    </row>
    <row r="69" spans="1:8" ht="15" x14ac:dyDescent="0.25">
      <c r="A69" s="134" t="s">
        <v>29</v>
      </c>
      <c r="B69" s="135"/>
      <c r="C69" s="5693"/>
      <c r="D69" s="135" t="s">
        <v>287</v>
      </c>
      <c r="E69" s="135" t="s">
        <v>289</v>
      </c>
      <c r="F69" s="136" t="s">
        <v>288</v>
      </c>
      <c r="G69" s="148"/>
      <c r="H69" s="105"/>
    </row>
    <row r="70" spans="1:8" x14ac:dyDescent="0.2">
      <c r="A70" s="133"/>
      <c r="B70" s="73"/>
      <c r="C70" s="73"/>
      <c r="D70" s="73"/>
      <c r="E70" s="73"/>
      <c r="F70" s="132"/>
      <c r="G70" s="148"/>
      <c r="H70" s="105"/>
    </row>
    <row r="71" spans="1:8" x14ac:dyDescent="0.2">
      <c r="A71" s="133"/>
      <c r="B71" s="73"/>
      <c r="C71" s="73"/>
      <c r="D71" s="73"/>
      <c r="E71" s="73"/>
      <c r="F71" s="132"/>
      <c r="G71" s="148"/>
      <c r="H71" s="105"/>
    </row>
    <row r="72" spans="1:8" ht="15.75" x14ac:dyDescent="0.25">
      <c r="A72" s="137" t="s">
        <v>24</v>
      </c>
      <c r="B72" s="138"/>
      <c r="C72" s="140">
        <f>'SECCION I-II'!I179</f>
        <v>0</v>
      </c>
      <c r="D72" s="140" t="str">
        <f>'SECCION I-II'!F179</f>
        <v>TOTAL KWH COMPRADOS EPEC</v>
      </c>
      <c r="E72" s="140">
        <f>'SECCION I-II'!G179</f>
        <v>0</v>
      </c>
      <c r="F72" s="140">
        <f>'SECCION I-II'!H179</f>
        <v>0</v>
      </c>
      <c r="G72" s="148"/>
      <c r="H72" s="105"/>
    </row>
    <row r="73" spans="1:8" ht="13.5" thickBot="1" x14ac:dyDescent="0.25">
      <c r="A73" s="141"/>
      <c r="B73" s="142"/>
      <c r="C73" s="142"/>
      <c r="D73" s="142"/>
      <c r="E73" s="142"/>
      <c r="F73" s="143"/>
      <c r="G73" s="148"/>
      <c r="H73" s="105"/>
    </row>
    <row r="74" spans="1:8" ht="13.5" thickBot="1" x14ac:dyDescent="0.25">
      <c r="A74" s="147"/>
      <c r="B74" s="105"/>
      <c r="C74" s="105"/>
      <c r="D74" s="105"/>
      <c r="E74" s="105"/>
      <c r="F74" s="105"/>
      <c r="G74" s="148"/>
      <c r="H74" s="105"/>
    </row>
    <row r="75" spans="1:8" ht="15" x14ac:dyDescent="0.25">
      <c r="A75" s="127" t="s">
        <v>1074</v>
      </c>
      <c r="B75" s="128"/>
      <c r="C75" s="128"/>
      <c r="D75" s="128"/>
      <c r="E75" s="128"/>
      <c r="F75" s="129"/>
      <c r="G75" s="148"/>
      <c r="H75" s="105"/>
    </row>
    <row r="76" spans="1:8" ht="13.5" thickBot="1" x14ac:dyDescent="0.25">
      <c r="A76" s="130" t="e">
        <f>'Compra -HOJA1'!#REF!</f>
        <v>#REF!</v>
      </c>
      <c r="B76" s="131"/>
      <c r="C76" s="131"/>
      <c r="D76" s="73"/>
      <c r="E76" s="73"/>
      <c r="F76" s="132"/>
      <c r="G76" s="148"/>
      <c r="H76" s="105"/>
    </row>
    <row r="77" spans="1:8" ht="15" x14ac:dyDescent="0.25">
      <c r="A77" s="133"/>
      <c r="B77" s="73"/>
      <c r="C77" s="5692" t="s">
        <v>101</v>
      </c>
      <c r="D77" s="5697" t="s">
        <v>1058</v>
      </c>
      <c r="E77" s="5697"/>
      <c r="F77" s="5698"/>
      <c r="G77" s="148"/>
      <c r="H77" s="105"/>
    </row>
    <row r="78" spans="1:8" ht="15" x14ac:dyDescent="0.25">
      <c r="A78" s="134" t="s">
        <v>29</v>
      </c>
      <c r="B78" s="135"/>
      <c r="C78" s="5693"/>
      <c r="D78" s="135" t="s">
        <v>287</v>
      </c>
      <c r="E78" s="135" t="s">
        <v>289</v>
      </c>
      <c r="F78" s="136" t="s">
        <v>288</v>
      </c>
      <c r="G78" s="148"/>
      <c r="H78" s="105"/>
    </row>
    <row r="79" spans="1:8" x14ac:dyDescent="0.2">
      <c r="A79" s="133"/>
      <c r="B79" s="73"/>
      <c r="C79" s="73"/>
      <c r="D79" s="73"/>
      <c r="E79" s="73"/>
      <c r="F79" s="132"/>
      <c r="G79" s="148"/>
      <c r="H79" s="105"/>
    </row>
    <row r="80" spans="1:8" x14ac:dyDescent="0.2">
      <c r="A80" s="133"/>
      <c r="B80" s="73"/>
      <c r="C80" s="73"/>
      <c r="D80" s="73"/>
      <c r="E80" s="73"/>
      <c r="F80" s="132"/>
      <c r="G80" s="148"/>
      <c r="H80" s="105"/>
    </row>
    <row r="81" spans="1:8" ht="15.75" x14ac:dyDescent="0.25">
      <c r="A81" s="137" t="s">
        <v>24</v>
      </c>
      <c r="B81" s="138"/>
      <c r="C81" s="140" t="str">
        <f>'SECCION I-II'!I191</f>
        <v>Perdida en la red (kWh)</v>
      </c>
      <c r="D81" s="140" t="str">
        <f>'SECCION I-II'!F191</f>
        <v>Energia Facturada (kWh)</v>
      </c>
      <c r="E81" s="140">
        <f>'SECCION I-II'!G191</f>
        <v>0</v>
      </c>
      <c r="F81" s="140">
        <f>'SECCION I-II'!H191</f>
        <v>0</v>
      </c>
      <c r="G81" s="148"/>
      <c r="H81" s="105"/>
    </row>
    <row r="82" spans="1:8" ht="13.5" thickBot="1" x14ac:dyDescent="0.25">
      <c r="A82" s="141"/>
      <c r="B82" s="142"/>
      <c r="C82" s="142"/>
      <c r="D82" s="142"/>
      <c r="E82" s="142"/>
      <c r="F82" s="143"/>
      <c r="G82" s="148"/>
      <c r="H82" s="105"/>
    </row>
    <row r="83" spans="1:8" ht="13.5" thickBot="1" x14ac:dyDescent="0.25">
      <c r="A83" s="147"/>
      <c r="B83" s="105"/>
      <c r="C83" s="105"/>
      <c r="D83" s="105"/>
      <c r="E83" s="105"/>
      <c r="F83" s="105"/>
      <c r="G83" s="148"/>
      <c r="H83" s="105"/>
    </row>
    <row r="84" spans="1:8" ht="15" x14ac:dyDescent="0.25">
      <c r="A84" s="127" t="s">
        <v>1074</v>
      </c>
      <c r="B84" s="128"/>
      <c r="C84" s="128"/>
      <c r="D84" s="128"/>
      <c r="E84" s="128"/>
      <c r="F84" s="129"/>
      <c r="G84" s="148"/>
      <c r="H84" s="105"/>
    </row>
    <row r="85" spans="1:8" ht="13.5" thickBot="1" x14ac:dyDescent="0.25">
      <c r="A85" s="130" t="e">
        <f>'Compra -HOJA1'!#REF!</f>
        <v>#REF!</v>
      </c>
      <c r="B85" s="131"/>
      <c r="C85" s="131"/>
      <c r="D85" s="73"/>
      <c r="E85" s="73"/>
      <c r="F85" s="132"/>
      <c r="G85" s="148"/>
      <c r="H85" s="105"/>
    </row>
    <row r="86" spans="1:8" ht="15" x14ac:dyDescent="0.25">
      <c r="A86" s="133"/>
      <c r="B86" s="73"/>
      <c r="C86" s="5692" t="s">
        <v>101</v>
      </c>
      <c r="D86" s="5697" t="s">
        <v>1058</v>
      </c>
      <c r="E86" s="5697"/>
      <c r="F86" s="5698"/>
      <c r="G86" s="148"/>
      <c r="H86" s="105"/>
    </row>
    <row r="87" spans="1:8" ht="15" x14ac:dyDescent="0.25">
      <c r="A87" s="134" t="s">
        <v>29</v>
      </c>
      <c r="B87" s="135"/>
      <c r="C87" s="5693"/>
      <c r="D87" s="135" t="s">
        <v>287</v>
      </c>
      <c r="E87" s="135" t="s">
        <v>289</v>
      </c>
      <c r="F87" s="136" t="s">
        <v>288</v>
      </c>
      <c r="G87" s="148"/>
      <c r="H87" s="105"/>
    </row>
    <row r="88" spans="1:8" x14ac:dyDescent="0.2">
      <c r="A88" s="133"/>
      <c r="B88" s="73"/>
      <c r="C88" s="73"/>
      <c r="D88" s="73"/>
      <c r="E88" s="73"/>
      <c r="F88" s="132"/>
      <c r="G88" s="148"/>
      <c r="H88" s="105"/>
    </row>
    <row r="89" spans="1:8" x14ac:dyDescent="0.2">
      <c r="A89" s="133"/>
      <c r="B89" s="73"/>
      <c r="C89" s="73"/>
      <c r="D89" s="73"/>
      <c r="E89" s="73"/>
      <c r="F89" s="132"/>
      <c r="G89" s="148"/>
      <c r="H89" s="105"/>
    </row>
    <row r="90" spans="1:8" ht="15.75" x14ac:dyDescent="0.25">
      <c r="A90" s="137" t="s">
        <v>24</v>
      </c>
      <c r="B90" s="138"/>
      <c r="C90" s="140" t="str">
        <f>'SECCION I-II'!I192</f>
        <v>Pico</v>
      </c>
      <c r="D90" s="140" t="str">
        <f>'SECCION I-II'!F192</f>
        <v>Pico</v>
      </c>
      <c r="E90" s="140" t="str">
        <f>'SECCION I-II'!G192</f>
        <v>Valle</v>
      </c>
      <c r="F90" s="140" t="str">
        <f>'SECCION I-II'!H192</f>
        <v>Resto</v>
      </c>
      <c r="G90" s="148"/>
      <c r="H90" s="105"/>
    </row>
    <row r="91" spans="1:8" ht="13.5" thickBot="1" x14ac:dyDescent="0.25">
      <c r="A91" s="141"/>
      <c r="B91" s="142"/>
      <c r="C91" s="142"/>
      <c r="D91" s="142"/>
      <c r="E91" s="142"/>
      <c r="F91" s="143"/>
      <c r="G91" s="148"/>
      <c r="H91" s="105"/>
    </row>
    <row r="92" spans="1:8" ht="13.5" thickBot="1" x14ac:dyDescent="0.25">
      <c r="A92" s="147"/>
      <c r="B92" s="105"/>
      <c r="C92" s="105"/>
      <c r="D92" s="105"/>
      <c r="E92" s="105"/>
      <c r="F92" s="105"/>
      <c r="G92" s="148"/>
      <c r="H92" s="105"/>
    </row>
    <row r="93" spans="1:8" ht="15" x14ac:dyDescent="0.25">
      <c r="A93" s="127" t="s">
        <v>1074</v>
      </c>
      <c r="B93" s="128"/>
      <c r="C93" s="128"/>
      <c r="D93" s="128"/>
      <c r="E93" s="128"/>
      <c r="F93" s="129"/>
      <c r="G93" s="148"/>
      <c r="H93" s="105"/>
    </row>
    <row r="94" spans="1:8" ht="13.5" thickBot="1" x14ac:dyDescent="0.25">
      <c r="A94" s="130" t="e">
        <f>'Compra -HOJA1'!#REF!</f>
        <v>#REF!</v>
      </c>
      <c r="B94" s="131"/>
      <c r="C94" s="131"/>
      <c r="D94" s="73"/>
      <c r="E94" s="73"/>
      <c r="F94" s="132"/>
      <c r="G94" s="148"/>
      <c r="H94" s="105"/>
    </row>
    <row r="95" spans="1:8" ht="15" customHeight="1" x14ac:dyDescent="0.25">
      <c r="A95" s="133"/>
      <c r="B95" s="73"/>
      <c r="C95" s="5692" t="s">
        <v>101</v>
      </c>
      <c r="D95" s="5697" t="s">
        <v>1058</v>
      </c>
      <c r="E95" s="5697"/>
      <c r="F95" s="5698"/>
      <c r="G95" s="148"/>
      <c r="H95" s="105"/>
    </row>
    <row r="96" spans="1:8" ht="15" x14ac:dyDescent="0.25">
      <c r="A96" s="134" t="s">
        <v>29</v>
      </c>
      <c r="B96" s="135"/>
      <c r="C96" s="5693"/>
      <c r="D96" s="135" t="s">
        <v>287</v>
      </c>
      <c r="E96" s="135" t="s">
        <v>289</v>
      </c>
      <c r="F96" s="136" t="s">
        <v>288</v>
      </c>
      <c r="G96" s="148"/>
      <c r="H96" s="105"/>
    </row>
    <row r="97" spans="1:8" x14ac:dyDescent="0.2">
      <c r="A97" s="133"/>
      <c r="B97" s="73"/>
      <c r="C97" s="73"/>
      <c r="D97" s="73"/>
      <c r="E97" s="73"/>
      <c r="F97" s="132"/>
      <c r="G97" s="148"/>
      <c r="H97" s="105"/>
    </row>
    <row r="98" spans="1:8" x14ac:dyDescent="0.2">
      <c r="A98" s="133"/>
      <c r="B98" s="73"/>
      <c r="C98" s="73"/>
      <c r="D98" s="73"/>
      <c r="E98" s="73"/>
      <c r="F98" s="132"/>
      <c r="G98" s="148"/>
      <c r="H98" s="105"/>
    </row>
    <row r="99" spans="1:8" ht="15.75" x14ac:dyDescent="0.25">
      <c r="A99" s="137" t="s">
        <v>24</v>
      </c>
      <c r="B99" s="138"/>
      <c r="C99" s="140">
        <f ca="1">'SECCION I-II'!I193</f>
        <v>0</v>
      </c>
      <c r="D99" s="140">
        <f>'SECCION I-II'!F193</f>
        <v>0</v>
      </c>
      <c r="E99" s="140">
        <f>'SECCION I-II'!G193</f>
        <v>0</v>
      </c>
      <c r="F99" s="140">
        <f>'SECCION I-II'!H193</f>
        <v>0</v>
      </c>
      <c r="G99" s="148"/>
      <c r="H99" s="105"/>
    </row>
    <row r="100" spans="1:8" ht="13.5" thickBot="1" x14ac:dyDescent="0.25">
      <c r="A100" s="141"/>
      <c r="B100" s="142"/>
      <c r="C100" s="142"/>
      <c r="D100" s="142"/>
      <c r="E100" s="142"/>
      <c r="F100" s="143"/>
      <c r="G100" s="148"/>
      <c r="H100" s="105"/>
    </row>
    <row r="101" spans="1:8" x14ac:dyDescent="0.2">
      <c r="A101" s="147"/>
      <c r="B101" s="105"/>
      <c r="C101" s="105"/>
      <c r="D101" s="105"/>
      <c r="E101" s="105"/>
      <c r="F101" s="105"/>
      <c r="G101" s="148"/>
      <c r="H101" s="105"/>
    </row>
    <row r="102" spans="1:8" x14ac:dyDescent="0.2">
      <c r="A102" s="147"/>
      <c r="B102" s="105"/>
      <c r="C102" s="105"/>
      <c r="D102" s="105"/>
      <c r="E102" s="105"/>
      <c r="F102" s="105"/>
      <c r="G102" s="148"/>
      <c r="H102" s="105"/>
    </row>
    <row r="103" spans="1:8" ht="18" x14ac:dyDescent="0.25">
      <c r="A103" s="5711" t="s">
        <v>1075</v>
      </c>
      <c r="B103" s="5712"/>
      <c r="C103" s="228" t="e">
        <f ca="1">C18+C27+C36+C45+C54+C63+C72+C81+C90+C99</f>
        <v>#VALUE!</v>
      </c>
      <c r="D103" s="228" t="e">
        <f ca="1">D18+D27+D36+D45+D54+D63+D72+D81+D90+D99</f>
        <v>#VALUE!</v>
      </c>
      <c r="E103" s="228" t="e">
        <f ca="1">E18+E27+E36+E45+E54+E63+E72+E81+E90+E99</f>
        <v>#VALUE!</v>
      </c>
      <c r="F103" s="228" t="e">
        <f ca="1">F18+F27+F36+F45+F54+F63+F72+F81+F90+F99</f>
        <v>#VALUE!</v>
      </c>
      <c r="G103" s="148"/>
      <c r="H103" s="105"/>
    </row>
    <row r="104" spans="1:8" ht="13.5" thickBot="1" x14ac:dyDescent="0.25">
      <c r="A104" s="150"/>
      <c r="B104" s="151"/>
      <c r="C104" s="151"/>
      <c r="D104" s="170"/>
      <c r="E104" s="170"/>
      <c r="F104" s="171"/>
      <c r="G104" s="105"/>
      <c r="H104" s="105"/>
    </row>
    <row r="105" spans="1:8" ht="13.5" thickBot="1" x14ac:dyDescent="0.25">
      <c r="A105" s="153"/>
      <c r="B105" s="154"/>
      <c r="C105" s="5683" t="s">
        <v>101</v>
      </c>
      <c r="D105" s="105"/>
      <c r="E105" s="105"/>
      <c r="F105" s="105"/>
      <c r="G105" s="105"/>
      <c r="H105" s="105"/>
    </row>
    <row r="106" spans="1:8" ht="12.75" customHeight="1" x14ac:dyDescent="0.25">
      <c r="A106" s="144" t="s">
        <v>1068</v>
      </c>
      <c r="B106" s="145"/>
      <c r="C106" s="5684"/>
      <c r="D106" s="155" t="s">
        <v>287</v>
      </c>
      <c r="E106" s="155" t="s">
        <v>289</v>
      </c>
      <c r="F106" s="156" t="s">
        <v>288</v>
      </c>
      <c r="G106" s="78"/>
    </row>
    <row r="107" spans="1:8" x14ac:dyDescent="0.2">
      <c r="A107" s="126"/>
      <c r="D107" s="12"/>
      <c r="E107" s="12"/>
      <c r="F107" s="157"/>
    </row>
    <row r="108" spans="1:8" ht="13.5" thickBot="1" x14ac:dyDescent="0.25">
      <c r="A108" s="126" t="s">
        <v>1059</v>
      </c>
      <c r="C108" s="149">
        <f>C8</f>
        <v>0</v>
      </c>
      <c r="D108" s="149" t="str">
        <f>D8</f>
        <v>Pico</v>
      </c>
      <c r="E108" s="149" t="str">
        <f>E8</f>
        <v>Valle</v>
      </c>
      <c r="F108" s="149" t="str">
        <f>F8</f>
        <v>Resto</v>
      </c>
      <c r="G108" s="165"/>
    </row>
    <row r="109" spans="1:8" x14ac:dyDescent="0.2">
      <c r="A109" s="126"/>
      <c r="D109" s="159"/>
      <c r="E109" s="159"/>
      <c r="F109" s="159"/>
    </row>
    <row r="110" spans="1:8" x14ac:dyDescent="0.2">
      <c r="A110" s="126" t="s">
        <v>1060</v>
      </c>
      <c r="C110" s="149" t="e">
        <f ca="1">C103</f>
        <v>#VALUE!</v>
      </c>
      <c r="D110" s="149" t="e">
        <f ca="1">D103</f>
        <v>#VALUE!</v>
      </c>
      <c r="E110" s="149" t="e">
        <f ca="1">E103</f>
        <v>#VALUE!</v>
      </c>
      <c r="F110" s="149" t="e">
        <f ca="1">F103</f>
        <v>#VALUE!</v>
      </c>
    </row>
    <row r="111" spans="1:8" x14ac:dyDescent="0.2">
      <c r="A111" s="126"/>
      <c r="D111" s="12"/>
      <c r="E111" s="12"/>
      <c r="F111" s="12"/>
    </row>
    <row r="112" spans="1:8" ht="15" x14ac:dyDescent="0.25">
      <c r="A112" s="5702" t="s">
        <v>1069</v>
      </c>
      <c r="B112" s="5691"/>
      <c r="C112" s="161" t="e">
        <f ca="1">C108+C110</f>
        <v>#VALUE!</v>
      </c>
      <c r="D112" s="161" t="e">
        <f ca="1">D108+D110</f>
        <v>#VALUE!</v>
      </c>
      <c r="E112" s="161" t="e">
        <f ca="1">E108+E110</f>
        <v>#VALUE!</v>
      </c>
      <c r="F112" s="161" t="e">
        <f ca="1">F108+F110</f>
        <v>#VALUE!</v>
      </c>
    </row>
    <row r="113" spans="1:6" ht="13.5" thickBot="1" x14ac:dyDescent="0.25">
      <c r="A113" s="163"/>
      <c r="B113" s="164"/>
      <c r="C113" s="164"/>
      <c r="E113" s="164"/>
      <c r="F113" s="165"/>
    </row>
    <row r="114" spans="1:6" ht="16.5" thickBot="1" x14ac:dyDescent="0.3">
      <c r="A114" s="5699" t="s">
        <v>1070</v>
      </c>
      <c r="B114" s="5700"/>
      <c r="C114" s="5701"/>
      <c r="D114" s="166">
        <f>'Compra -HOJA1'!G10</f>
        <v>0</v>
      </c>
      <c r="E114" s="167">
        <f>'Compra -HOJA1'!I10</f>
        <v>0</v>
      </c>
      <c r="F114" s="168">
        <f>'Compra -HOJA1'!H10</f>
        <v>0</v>
      </c>
    </row>
    <row r="117" spans="1:6" x14ac:dyDescent="0.2">
      <c r="D117" s="25" t="e">
        <f>'SECCION I-II'!#REF!</f>
        <v>#REF!</v>
      </c>
      <c r="E117" s="25" t="e">
        <f>'SECCION I-II'!#REF!</f>
        <v>#REF!</v>
      </c>
      <c r="F117" s="25" t="e">
        <f>'SECCION I-II'!#REF!</f>
        <v>#REF!</v>
      </c>
    </row>
  </sheetData>
  <mergeCells count="27">
    <mergeCell ref="C59:C60"/>
    <mergeCell ref="C105:C106"/>
    <mergeCell ref="A103:B103"/>
    <mergeCell ref="D68:F68"/>
    <mergeCell ref="D77:F77"/>
    <mergeCell ref="D86:F86"/>
    <mergeCell ref="D95:F95"/>
    <mergeCell ref="C86:C87"/>
    <mergeCell ref="C68:C69"/>
    <mergeCell ref="C77:C78"/>
    <mergeCell ref="C95:C96"/>
    <mergeCell ref="A114:C114"/>
    <mergeCell ref="A112:B112"/>
    <mergeCell ref="A1:G1"/>
    <mergeCell ref="D4:F4"/>
    <mergeCell ref="D14:F14"/>
    <mergeCell ref="D23:F23"/>
    <mergeCell ref="D32:F32"/>
    <mergeCell ref="D41:F41"/>
    <mergeCell ref="C4:C5"/>
    <mergeCell ref="C14:C15"/>
    <mergeCell ref="C23:C24"/>
    <mergeCell ref="C32:C33"/>
    <mergeCell ref="C41:C42"/>
    <mergeCell ref="D50:F50"/>
    <mergeCell ref="D59:F59"/>
    <mergeCell ref="C50:C51"/>
  </mergeCells>
  <phoneticPr fontId="74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32"/>
  <dimension ref="A1:K35"/>
  <sheetViews>
    <sheetView topLeftCell="B16" workbookViewId="0">
      <selection activeCell="B26" sqref="B26"/>
    </sheetView>
  </sheetViews>
  <sheetFormatPr baseColWidth="10" defaultColWidth="11.42578125" defaultRowHeight="12.75" x14ac:dyDescent="0.2"/>
  <cols>
    <col min="1" max="1" width="40.5703125" style="9" customWidth="1"/>
    <col min="2" max="2" width="26" style="9" customWidth="1"/>
    <col min="3" max="3" width="10.5703125" style="9" customWidth="1"/>
    <col min="4" max="4" width="20.5703125" style="9" customWidth="1"/>
    <col min="5" max="7" width="26" style="9" customWidth="1"/>
    <col min="8" max="11" width="21" style="9" customWidth="1"/>
    <col min="12" max="16384" width="11.42578125" style="9"/>
  </cols>
  <sheetData>
    <row r="1" spans="1:11" ht="18" x14ac:dyDescent="0.25">
      <c r="A1" s="175" t="s">
        <v>1078</v>
      </c>
      <c r="B1" s="175"/>
      <c r="C1" s="175"/>
    </row>
    <row r="2" spans="1:11" ht="13.5" thickBot="1" x14ac:dyDescent="0.25"/>
    <row r="3" spans="1:11" ht="36" customHeight="1" x14ac:dyDescent="0.25">
      <c r="A3" s="176" t="s">
        <v>1079</v>
      </c>
      <c r="B3" s="177"/>
      <c r="C3" s="177"/>
      <c r="D3" s="5719" t="s">
        <v>101</v>
      </c>
      <c r="E3" s="5685" t="s">
        <v>1058</v>
      </c>
      <c r="F3" s="5685"/>
      <c r="G3" s="5686"/>
      <c r="H3" s="5717" t="s">
        <v>499</v>
      </c>
      <c r="I3" s="5718"/>
      <c r="J3" s="5713" t="s">
        <v>504</v>
      </c>
      <c r="K3" s="5715" t="s">
        <v>505</v>
      </c>
    </row>
    <row r="4" spans="1:11" ht="42" customHeight="1" x14ac:dyDescent="0.25">
      <c r="A4" s="126"/>
      <c r="D4" s="5720"/>
      <c r="E4" s="155" t="s">
        <v>287</v>
      </c>
      <c r="F4" s="155" t="s">
        <v>289</v>
      </c>
      <c r="G4" s="156" t="s">
        <v>288</v>
      </c>
      <c r="H4" s="206" t="s">
        <v>502</v>
      </c>
      <c r="I4" s="206" t="s">
        <v>503</v>
      </c>
      <c r="J4" s="5714"/>
      <c r="K4" s="5716"/>
    </row>
    <row r="5" spans="1:11" ht="15.75" x14ac:dyDescent="0.25">
      <c r="A5" s="126" t="s">
        <v>1059</v>
      </c>
      <c r="C5" s="830"/>
      <c r="D5" s="122">
        <f>'Compra -HOJA1'!G67</f>
        <v>0</v>
      </c>
      <c r="E5" s="122">
        <f>'SECCION I-II'!F194</f>
        <v>0</v>
      </c>
      <c r="F5" s="122">
        <f>'SECCION I-II'!G194</f>
        <v>0</v>
      </c>
      <c r="G5" s="122">
        <f>'SECCION I-II'!H194</f>
        <v>0</v>
      </c>
      <c r="H5" s="26">
        <f>'Compra -HOJA1'!G67</f>
        <v>0</v>
      </c>
    </row>
    <row r="6" spans="1:11" ht="15" x14ac:dyDescent="0.25">
      <c r="A6" s="126"/>
      <c r="C6" s="830"/>
      <c r="D6" s="155"/>
      <c r="E6" s="155"/>
      <c r="F6" s="155"/>
      <c r="G6" s="225"/>
    </row>
    <row r="7" spans="1:11" ht="15" x14ac:dyDescent="0.25">
      <c r="A7" s="126"/>
      <c r="C7" s="1956" t="s">
        <v>1080</v>
      </c>
      <c r="D7" s="155"/>
      <c r="E7" s="155"/>
      <c r="F7" s="155"/>
      <c r="G7" s="225"/>
    </row>
    <row r="8" spans="1:11" ht="15.75" x14ac:dyDescent="0.25">
      <c r="A8" s="126" t="s">
        <v>1060</v>
      </c>
      <c r="B8" s="2150" t="e">
        <f>'Compra -HOJA1'!#REF!</f>
        <v>#REF!</v>
      </c>
      <c r="C8" s="33" t="e">
        <f>'Compra -HOJA1'!#REF!</f>
        <v>#REF!</v>
      </c>
      <c r="D8" s="226" t="e">
        <f>'Compra -HOJA1'!#REF!</f>
        <v>#REF!</v>
      </c>
      <c r="E8" s="226">
        <f>'SECCION I-II'!F195</f>
        <v>0</v>
      </c>
      <c r="F8" s="226">
        <f>'SECCION I-II'!G195</f>
        <v>0</v>
      </c>
      <c r="G8" s="226">
        <f>'SECCION I-II'!H195</f>
        <v>0</v>
      </c>
      <c r="H8" s="26">
        <f ca="1">'SECCION I-II'!K195</f>
        <v>0</v>
      </c>
      <c r="I8" s="26">
        <f ca="1">'SECCION I-II'!P195</f>
        <v>0</v>
      </c>
      <c r="J8" s="26">
        <f ca="1">'SECCION I-II'!Q195</f>
        <v>0</v>
      </c>
      <c r="K8" s="26">
        <f>'SECCION I-II'!T195</f>
        <v>0</v>
      </c>
    </row>
    <row r="9" spans="1:11" ht="15.75" x14ac:dyDescent="0.25">
      <c r="A9" s="126"/>
      <c r="B9" s="2150" t="e">
        <f>'Compra -HOJA1'!#REF!</f>
        <v>#REF!</v>
      </c>
      <c r="C9" s="33" t="e">
        <f>'Compra -HOJA1'!#REF!</f>
        <v>#REF!</v>
      </c>
      <c r="D9" s="226" t="e">
        <f>'Compra -HOJA1'!#REF!</f>
        <v>#REF!</v>
      </c>
      <c r="E9" s="226">
        <f>'SECCION I-II'!F199</f>
        <v>0</v>
      </c>
      <c r="F9" s="226">
        <f>'SECCION I-II'!G199</f>
        <v>0</v>
      </c>
      <c r="G9" s="226">
        <f>'SECCION I-II'!H199</f>
        <v>0</v>
      </c>
      <c r="H9" s="26">
        <f ca="1">'SECCION I-II'!K199</f>
        <v>0</v>
      </c>
      <c r="I9" s="26">
        <f ca="1">'SECCION I-II'!P199</f>
        <v>0</v>
      </c>
      <c r="J9" s="26">
        <f ca="1">'SECCION I-II'!Q199</f>
        <v>0</v>
      </c>
      <c r="K9" s="26">
        <f>'SECCION I-II'!T199</f>
        <v>0</v>
      </c>
    </row>
    <row r="10" spans="1:11" ht="15.75" x14ac:dyDescent="0.25">
      <c r="A10" s="126"/>
      <c r="B10" s="2150" t="e">
        <f>'Compra -HOJA1'!#REF!</f>
        <v>#REF!</v>
      </c>
      <c r="C10" s="33" t="e">
        <f>'Compra -HOJA1'!#REF!</f>
        <v>#REF!</v>
      </c>
      <c r="D10" s="226" t="e">
        <f>'Compra -HOJA1'!#REF!</f>
        <v>#REF!</v>
      </c>
      <c r="E10" s="226" t="e">
        <f>'SECCION I-II'!#REF!</f>
        <v>#REF!</v>
      </c>
      <c r="F10" s="226" t="e">
        <f>'SECCION I-II'!#REF!</f>
        <v>#REF!</v>
      </c>
      <c r="G10" s="226" t="e">
        <f>'SECCION I-II'!#REF!</f>
        <v>#REF!</v>
      </c>
      <c r="H10" s="26" t="e">
        <f>'SECCION I-II'!#REF!</f>
        <v>#REF!</v>
      </c>
      <c r="I10" s="26" t="e">
        <f>'SECCION I-II'!#REF!</f>
        <v>#REF!</v>
      </c>
      <c r="J10" s="26" t="e">
        <f>'SECCION I-II'!#REF!</f>
        <v>#REF!</v>
      </c>
      <c r="K10" s="26" t="e">
        <f>'SECCION I-II'!#REF!</f>
        <v>#REF!</v>
      </c>
    </row>
    <row r="11" spans="1:11" ht="15.75" x14ac:dyDescent="0.25">
      <c r="A11" s="126"/>
      <c r="B11" s="2150" t="e">
        <f>'Compra -HOJA1'!#REF!</f>
        <v>#REF!</v>
      </c>
      <c r="C11" s="33" t="e">
        <f>'Compra -HOJA1'!#REF!</f>
        <v>#REF!</v>
      </c>
      <c r="D11" s="226" t="e">
        <f>'Compra -HOJA1'!#REF!</f>
        <v>#REF!</v>
      </c>
      <c r="E11" s="226">
        <f>'SECCION I-II'!F200</f>
        <v>0</v>
      </c>
      <c r="F11" s="226">
        <f>'SECCION I-II'!G200</f>
        <v>0</v>
      </c>
      <c r="G11" s="226">
        <f>'SECCION I-II'!H200</f>
        <v>0</v>
      </c>
      <c r="H11" s="26">
        <f ca="1">'SECCION I-II'!K200</f>
        <v>0</v>
      </c>
      <c r="I11" s="26">
        <f ca="1">'SECCION I-II'!P200</f>
        <v>0</v>
      </c>
      <c r="J11" s="26">
        <f ca="1">'SECCION I-II'!Q200</f>
        <v>0</v>
      </c>
      <c r="K11" s="26">
        <f>'SECCION I-II'!T200</f>
        <v>0</v>
      </c>
    </row>
    <row r="12" spans="1:11" ht="15.75" x14ac:dyDescent="0.25">
      <c r="A12" s="126"/>
      <c r="B12" s="2150" t="e">
        <f>'Compra -HOJA1'!#REF!</f>
        <v>#REF!</v>
      </c>
      <c r="C12" s="33" t="e">
        <f>'Compra -HOJA1'!#REF!</f>
        <v>#REF!</v>
      </c>
      <c r="D12" s="226" t="e">
        <f>'Compra -HOJA1'!#REF!</f>
        <v>#REF!</v>
      </c>
      <c r="E12" s="226" t="e">
        <f>'SECCION I-II'!#REF!</f>
        <v>#REF!</v>
      </c>
      <c r="F12" s="226" t="e">
        <f>'SECCION I-II'!#REF!</f>
        <v>#REF!</v>
      </c>
      <c r="G12" s="226" t="e">
        <f>'SECCION I-II'!#REF!</f>
        <v>#REF!</v>
      </c>
      <c r="H12" s="26" t="e">
        <f>'SECCION I-II'!#REF!</f>
        <v>#REF!</v>
      </c>
      <c r="I12" s="26" t="e">
        <f>'SECCION I-II'!#REF!</f>
        <v>#REF!</v>
      </c>
      <c r="J12" s="26" t="e">
        <f>'SECCION I-II'!#REF!</f>
        <v>#REF!</v>
      </c>
      <c r="K12" s="26" t="e">
        <f>'SECCION I-II'!#REF!</f>
        <v>#REF!</v>
      </c>
    </row>
    <row r="13" spans="1:11" ht="15.75" x14ac:dyDescent="0.25">
      <c r="A13" s="126"/>
      <c r="B13" s="2150" t="e">
        <f>'Compra -HOJA1'!#REF!</f>
        <v>#REF!</v>
      </c>
      <c r="C13" s="33" t="e">
        <f>'Compra -HOJA1'!#REF!</f>
        <v>#REF!</v>
      </c>
      <c r="D13" s="226" t="e">
        <f>'Compra -HOJA1'!#REF!</f>
        <v>#REF!</v>
      </c>
      <c r="E13" s="226" t="e">
        <f>'SECCION I-II'!F201</f>
        <v>#REF!</v>
      </c>
      <c r="F13" s="226" t="e">
        <f>'SECCION I-II'!G201</f>
        <v>#REF!</v>
      </c>
      <c r="G13" s="226" t="e">
        <f>'SECCION I-II'!H201</f>
        <v>#REF!</v>
      </c>
      <c r="H13" s="26" t="e">
        <f>'SECCION I-II'!K201</f>
        <v>#REF!</v>
      </c>
      <c r="I13" s="26" t="e">
        <f>'SECCION I-II'!P201</f>
        <v>#REF!</v>
      </c>
      <c r="J13" s="26" t="e">
        <f>'SECCION I-II'!Q201</f>
        <v>#REF!</v>
      </c>
      <c r="K13" s="26">
        <f>'SECCION I-II'!T201</f>
        <v>0</v>
      </c>
    </row>
    <row r="14" spans="1:11" ht="15.75" x14ac:dyDescent="0.25">
      <c r="A14" s="126"/>
      <c r="B14" s="2150" t="e">
        <f>'Compra -HOJA1'!#REF!</f>
        <v>#REF!</v>
      </c>
      <c r="C14" s="33" t="e">
        <f>'Compra -HOJA1'!#REF!</f>
        <v>#REF!</v>
      </c>
      <c r="D14" s="226" t="e">
        <f>'Compra -HOJA1'!#REF!</f>
        <v>#REF!</v>
      </c>
      <c r="E14" s="226">
        <f>'SECCION I-II'!F202</f>
        <v>0</v>
      </c>
      <c r="F14" s="226">
        <f>'SECCION I-II'!G202</f>
        <v>0</v>
      </c>
      <c r="G14" s="226">
        <f>'SECCION I-II'!H202</f>
        <v>0</v>
      </c>
      <c r="H14" s="26">
        <f ca="1">'SECCION I-II'!K202</f>
        <v>0</v>
      </c>
      <c r="I14" s="26">
        <f ca="1">'SECCION I-II'!P202</f>
        <v>0</v>
      </c>
      <c r="J14" s="26">
        <f ca="1">'SECCION I-II'!Q202</f>
        <v>0</v>
      </c>
      <c r="K14" s="26">
        <f>'SECCION I-II'!T202</f>
        <v>0</v>
      </c>
    </row>
    <row r="15" spans="1:11" ht="15.75" x14ac:dyDescent="0.25">
      <c r="A15" s="126"/>
      <c r="B15" s="2150" t="e">
        <f>'Compra -HOJA1'!#REF!</f>
        <v>#REF!</v>
      </c>
      <c r="C15" s="33" t="e">
        <f>'Compra -HOJA1'!#REF!</f>
        <v>#REF!</v>
      </c>
      <c r="D15" s="226" t="e">
        <f>'Compra -HOJA1'!#REF!</f>
        <v>#REF!</v>
      </c>
      <c r="E15" s="226">
        <f>'SECCION I-II'!F203</f>
        <v>0</v>
      </c>
      <c r="F15" s="226">
        <f>'SECCION I-II'!G203</f>
        <v>0</v>
      </c>
      <c r="G15" s="226">
        <f>'SECCION I-II'!H203</f>
        <v>0</v>
      </c>
      <c r="H15" s="26">
        <f ca="1">'SECCION I-II'!K203</f>
        <v>0</v>
      </c>
      <c r="I15" s="26">
        <f ca="1">'SECCION I-II'!P203</f>
        <v>0</v>
      </c>
      <c r="J15" s="26">
        <f ca="1">'SECCION I-II'!Q203</f>
        <v>0</v>
      </c>
      <c r="K15" s="26">
        <f>'SECCION I-II'!T203</f>
        <v>0</v>
      </c>
    </row>
    <row r="16" spans="1:11" ht="15.75" x14ac:dyDescent="0.25">
      <c r="A16" s="126"/>
      <c r="B16" s="2150" t="e">
        <f>'Compra -HOJA1'!#REF!</f>
        <v>#REF!</v>
      </c>
      <c r="C16" s="33" t="e">
        <f>'Compra -HOJA1'!#REF!</f>
        <v>#REF!</v>
      </c>
      <c r="D16" s="226" t="e">
        <f>'Compra -HOJA1'!#REF!</f>
        <v>#REF!</v>
      </c>
      <c r="E16" s="226">
        <f>'SECCION I-II'!F204</f>
        <v>0</v>
      </c>
      <c r="F16" s="226">
        <f>'SECCION I-II'!G204</f>
        <v>0</v>
      </c>
      <c r="G16" s="226">
        <f>'SECCION I-II'!H204</f>
        <v>0</v>
      </c>
      <c r="H16" s="26">
        <f ca="1">'SECCION I-II'!K204</f>
        <v>0</v>
      </c>
      <c r="I16" s="26">
        <f ca="1">'SECCION I-II'!P204</f>
        <v>0</v>
      </c>
      <c r="J16" s="26">
        <f ca="1">'SECCION I-II'!Q204</f>
        <v>0</v>
      </c>
      <c r="K16" s="26">
        <f>'SECCION I-II'!T204</f>
        <v>0</v>
      </c>
    </row>
    <row r="17" spans="1:11" ht="15.75" x14ac:dyDescent="0.25">
      <c r="A17" s="126"/>
      <c r="B17" s="2150" t="e">
        <f>'Compra -HOJA1'!#REF!</f>
        <v>#REF!</v>
      </c>
      <c r="C17" s="33" t="e">
        <f>'Compra -HOJA1'!#REF!</f>
        <v>#REF!</v>
      </c>
      <c r="D17" s="226" t="e">
        <f>'Compra -HOJA1'!#REF!</f>
        <v>#REF!</v>
      </c>
      <c r="E17" s="226">
        <f>'SECCION I-II'!F206</f>
        <v>0</v>
      </c>
      <c r="F17" s="226">
        <f>'SECCION I-II'!G206</f>
        <v>0</v>
      </c>
      <c r="G17" s="226">
        <f>'SECCION I-II'!H206</f>
        <v>0</v>
      </c>
      <c r="H17" s="26">
        <f ca="1">'SECCION I-II'!K206</f>
        <v>0</v>
      </c>
      <c r="I17" s="26">
        <f ca="1">'SECCION I-II'!P206</f>
        <v>0</v>
      </c>
      <c r="J17" s="26">
        <f ca="1">'SECCION I-II'!Q206</f>
        <v>0</v>
      </c>
      <c r="K17" s="26">
        <f>'SECCION I-II'!T206</f>
        <v>0</v>
      </c>
    </row>
    <row r="18" spans="1:11" ht="15.75" x14ac:dyDescent="0.25">
      <c r="A18" s="126"/>
      <c r="D18" s="122"/>
      <c r="E18" s="122"/>
      <c r="F18" s="122"/>
      <c r="G18" s="122"/>
    </row>
    <row r="19" spans="1:11" ht="15.75" x14ac:dyDescent="0.25">
      <c r="A19" s="126"/>
      <c r="D19" s="107"/>
      <c r="E19" s="107"/>
      <c r="G19" s="96"/>
    </row>
    <row r="20" spans="1:11" ht="15.75" x14ac:dyDescent="0.25">
      <c r="A20" s="126"/>
      <c r="D20" s="140" t="e">
        <f>SUM(D8:D19)</f>
        <v>#REF!</v>
      </c>
      <c r="E20" s="140" t="e">
        <f>SUM(E8:E19)</f>
        <v>#REF!</v>
      </c>
      <c r="F20" s="140" t="e">
        <f>SUM(F8:F19)</f>
        <v>#REF!</v>
      </c>
      <c r="G20" s="140" t="e">
        <f>SUM(G8:G19)</f>
        <v>#REF!</v>
      </c>
    </row>
    <row r="21" spans="1:11" x14ac:dyDescent="0.2">
      <c r="A21" s="126"/>
      <c r="G21" s="96"/>
    </row>
    <row r="22" spans="1:11" ht="13.5" thickBot="1" x14ac:dyDescent="0.25">
      <c r="A22" s="178"/>
      <c r="B22" s="2151" t="s">
        <v>1081</v>
      </c>
      <c r="C22" s="77"/>
      <c r="D22" s="77"/>
      <c r="E22" s="33"/>
      <c r="F22" s="33"/>
      <c r="G22" s="102"/>
    </row>
    <row r="23" spans="1:11" ht="13.5" thickBot="1" x14ac:dyDescent="0.25">
      <c r="D23" s="5719" t="s">
        <v>101</v>
      </c>
    </row>
    <row r="24" spans="1:11" ht="15" x14ac:dyDescent="0.25">
      <c r="A24" s="144" t="s">
        <v>1068</v>
      </c>
      <c r="B24" s="145"/>
      <c r="C24" s="145"/>
      <c r="D24" s="5720"/>
      <c r="E24" s="181" t="s">
        <v>287</v>
      </c>
      <c r="F24" s="181" t="s">
        <v>289</v>
      </c>
      <c r="G24" s="182" t="s">
        <v>288</v>
      </c>
    </row>
    <row r="25" spans="1:11" x14ac:dyDescent="0.2">
      <c r="A25" s="126"/>
      <c r="E25" s="12"/>
      <c r="F25" s="12"/>
      <c r="G25" s="157"/>
    </row>
    <row r="26" spans="1:11" x14ac:dyDescent="0.2">
      <c r="A26" s="126" t="s">
        <v>1059</v>
      </c>
      <c r="D26" s="149">
        <f>D5</f>
        <v>0</v>
      </c>
      <c r="E26" s="149">
        <f>E5</f>
        <v>0</v>
      </c>
      <c r="F26" s="149">
        <f>F5</f>
        <v>0</v>
      </c>
      <c r="G26" s="149">
        <f>G5</f>
        <v>0</v>
      </c>
    </row>
    <row r="27" spans="1:11" x14ac:dyDescent="0.2">
      <c r="A27" s="126"/>
      <c r="D27" s="159"/>
      <c r="E27" s="159"/>
      <c r="F27" s="159"/>
      <c r="G27" s="160"/>
    </row>
    <row r="28" spans="1:11" x14ac:dyDescent="0.2">
      <c r="A28" s="126" t="s">
        <v>1060</v>
      </c>
      <c r="D28" s="149" t="e">
        <f>D20</f>
        <v>#REF!</v>
      </c>
      <c r="E28" s="149" t="e">
        <f>SUM(E8:E17)</f>
        <v>#REF!</v>
      </c>
      <c r="F28" s="149" t="e">
        <f>SUM(F8:F17)</f>
        <v>#REF!</v>
      </c>
      <c r="G28" s="149" t="e">
        <f>SUM(G8:G17)</f>
        <v>#REF!</v>
      </c>
    </row>
    <row r="29" spans="1:11" x14ac:dyDescent="0.2">
      <c r="A29" s="126"/>
      <c r="D29" s="12"/>
      <c r="E29" s="12"/>
      <c r="F29" s="12"/>
      <c r="G29" s="157"/>
    </row>
    <row r="30" spans="1:11" ht="15" x14ac:dyDescent="0.25">
      <c r="A30" s="5702" t="s">
        <v>1069</v>
      </c>
      <c r="B30" s="5691"/>
      <c r="C30" s="5691"/>
      <c r="D30" s="161" t="e">
        <f>SUM(D26:D28)</f>
        <v>#REF!</v>
      </c>
      <c r="E30" s="161" t="e">
        <f>E26+E28</f>
        <v>#REF!</v>
      </c>
      <c r="F30" s="161" t="e">
        <f>F26+F28</f>
        <v>#REF!</v>
      </c>
      <c r="G30" s="162" t="e">
        <f>G26+G28</f>
        <v>#REF!</v>
      </c>
    </row>
    <row r="31" spans="1:11" ht="13.5" thickBot="1" x14ac:dyDescent="0.25">
      <c r="A31" s="163"/>
      <c r="B31" s="164"/>
      <c r="C31" s="164"/>
      <c r="F31" s="164"/>
      <c r="G31" s="165"/>
    </row>
    <row r="32" spans="1:11" ht="16.5" thickBot="1" x14ac:dyDescent="0.3">
      <c r="A32" s="5699" t="s">
        <v>1070</v>
      </c>
      <c r="B32" s="5700"/>
      <c r="C32" s="5701"/>
      <c r="D32" s="164"/>
      <c r="E32" s="166">
        <f>'Compra -HOJA1'!G10</f>
        <v>0</v>
      </c>
      <c r="F32" s="167">
        <f>'Compra -HOJA1'!I10</f>
        <v>0</v>
      </c>
      <c r="G32" s="168">
        <f>'Compra -HOJA1'!H10</f>
        <v>0</v>
      </c>
    </row>
    <row r="35" spans="5:7" x14ac:dyDescent="0.2">
      <c r="E35" s="25" t="e">
        <f>'SECCION I-II'!#REF!</f>
        <v>#REF!</v>
      </c>
      <c r="F35" s="25" t="e">
        <f>'SECCION I-II'!#REF!</f>
        <v>#REF!</v>
      </c>
      <c r="G35" s="25" t="e">
        <f>'SECCION I-II'!#REF!</f>
        <v>#REF!</v>
      </c>
    </row>
  </sheetData>
  <mergeCells count="8">
    <mergeCell ref="A32:C32"/>
    <mergeCell ref="J3:J4"/>
    <mergeCell ref="K3:K4"/>
    <mergeCell ref="H3:I3"/>
    <mergeCell ref="D3:D4"/>
    <mergeCell ref="D23:D24"/>
    <mergeCell ref="E3:G3"/>
    <mergeCell ref="A30:C30"/>
  </mergeCells>
  <phoneticPr fontId="74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26"/>
  <dimension ref="A1:H122"/>
  <sheetViews>
    <sheetView topLeftCell="A92" workbookViewId="0">
      <selection activeCell="B118" sqref="B118"/>
    </sheetView>
  </sheetViews>
  <sheetFormatPr baseColWidth="10" defaultColWidth="11.42578125" defaultRowHeight="12.75" x14ac:dyDescent="0.2"/>
  <cols>
    <col min="1" max="1" width="46.42578125" style="9" customWidth="1"/>
    <col min="2" max="3" width="19.5703125" style="9" customWidth="1"/>
    <col min="4" max="6" width="22.5703125" style="9" customWidth="1"/>
    <col min="7" max="7" width="22.5703125" style="9" hidden="1" customWidth="1"/>
    <col min="8" max="16384" width="11.42578125" style="9"/>
  </cols>
  <sheetData>
    <row r="1" spans="1:7" ht="21" x14ac:dyDescent="0.35">
      <c r="A1" s="5703" t="s">
        <v>1082</v>
      </c>
      <c r="B1" s="5704"/>
      <c r="C1" s="5704"/>
      <c r="D1" s="5704"/>
      <c r="E1" s="5704"/>
      <c r="F1" s="5704"/>
      <c r="G1" s="5705"/>
    </row>
    <row r="2" spans="1:7" ht="15.75" thickBot="1" x14ac:dyDescent="0.3">
      <c r="A2" s="109" t="s">
        <v>1083</v>
      </c>
      <c r="G2" s="96"/>
    </row>
    <row r="3" spans="1:7" ht="15" x14ac:dyDescent="0.25">
      <c r="A3" s="110" t="s">
        <v>1073</v>
      </c>
      <c r="B3" s="111"/>
      <c r="C3" s="111"/>
      <c r="D3" s="111"/>
      <c r="E3" s="111"/>
      <c r="F3" s="112"/>
      <c r="G3" s="112"/>
    </row>
    <row r="4" spans="1:7" ht="15" x14ac:dyDescent="0.25">
      <c r="A4" s="113"/>
      <c r="B4" s="114"/>
      <c r="C4" s="114"/>
      <c r="D4" s="5706" t="s">
        <v>1058</v>
      </c>
      <c r="E4" s="5706"/>
      <c r="F4" s="5707"/>
      <c r="G4" s="115"/>
    </row>
    <row r="5" spans="1:7" ht="30" x14ac:dyDescent="0.25">
      <c r="A5" s="116" t="s">
        <v>29</v>
      </c>
      <c r="B5" s="117" t="s">
        <v>1084</v>
      </c>
      <c r="C5" s="117" t="s">
        <v>1085</v>
      </c>
      <c r="D5" s="117" t="s">
        <v>287</v>
      </c>
      <c r="E5" s="117" t="s">
        <v>289</v>
      </c>
      <c r="F5" s="118" t="s">
        <v>288</v>
      </c>
      <c r="G5" s="115"/>
    </row>
    <row r="6" spans="1:7" x14ac:dyDescent="0.2">
      <c r="A6" s="113"/>
      <c r="B6" s="114"/>
      <c r="C6" s="114"/>
      <c r="D6" s="114"/>
      <c r="E6" s="114"/>
      <c r="F6" s="115"/>
      <c r="G6" s="115"/>
    </row>
    <row r="7" spans="1:7" x14ac:dyDescent="0.2">
      <c r="A7" s="119" t="s">
        <v>23</v>
      </c>
      <c r="B7" s="120"/>
      <c r="C7" s="120"/>
      <c r="D7" s="120"/>
      <c r="E7" s="120"/>
      <c r="F7" s="121"/>
      <c r="G7" s="115"/>
    </row>
    <row r="8" spans="1:7" x14ac:dyDescent="0.2">
      <c r="A8" s="113"/>
      <c r="B8" s="114"/>
      <c r="C8" s="114"/>
      <c r="D8" s="114"/>
      <c r="E8" s="114"/>
      <c r="F8" s="115"/>
      <c r="G8" s="115"/>
    </row>
    <row r="9" spans="1:7" ht="15.75" x14ac:dyDescent="0.25">
      <c r="A9" s="119" t="s">
        <v>24</v>
      </c>
      <c r="B9" s="122">
        <f>'SECCION I-II'!D272</f>
        <v>0</v>
      </c>
      <c r="C9" s="122">
        <f>'SECCION I-II'!F272</f>
        <v>0</v>
      </c>
      <c r="D9" s="122">
        <f>'SECCION I-II'!G272</f>
        <v>0</v>
      </c>
      <c r="E9" s="122">
        <f>'SECCION I-II'!H272</f>
        <v>0</v>
      </c>
      <c r="F9" s="122">
        <f>'SECCION I-II'!I272</f>
        <v>0</v>
      </c>
      <c r="G9" s="115"/>
    </row>
    <row r="10" spans="1:7" x14ac:dyDescent="0.2">
      <c r="A10" s="113"/>
      <c r="B10" s="114"/>
      <c r="C10" s="114"/>
      <c r="D10" s="114"/>
      <c r="E10" s="114"/>
      <c r="F10" s="115"/>
      <c r="G10" s="115"/>
    </row>
    <row r="11" spans="1:7" ht="13.5" thickBot="1" x14ac:dyDescent="0.25">
      <c r="A11" s="123"/>
      <c r="B11" s="124"/>
      <c r="C11" s="124"/>
      <c r="D11" s="124"/>
      <c r="E11" s="124"/>
      <c r="F11" s="125"/>
      <c r="G11" s="125"/>
    </row>
    <row r="12" spans="1:7" ht="13.5" thickBot="1" x14ac:dyDescent="0.25">
      <c r="A12" s="126"/>
      <c r="G12" s="96"/>
    </row>
    <row r="13" spans="1:7" ht="15" x14ac:dyDescent="0.25">
      <c r="A13" s="127" t="s">
        <v>1074</v>
      </c>
      <c r="B13" s="128"/>
      <c r="C13" s="128"/>
      <c r="D13" s="128"/>
      <c r="E13" s="128"/>
      <c r="F13" s="129"/>
      <c r="G13" s="129"/>
    </row>
    <row r="14" spans="1:7" x14ac:dyDescent="0.2">
      <c r="A14" s="130" t="e">
        <f>'Compra -HOJA1'!#REF!</f>
        <v>#REF!</v>
      </c>
      <c r="B14" s="131"/>
      <c r="C14" s="131"/>
      <c r="D14" s="73"/>
      <c r="E14" s="73"/>
      <c r="F14" s="132"/>
      <c r="G14" s="132"/>
    </row>
    <row r="15" spans="1:7" ht="15" x14ac:dyDescent="0.25">
      <c r="A15" s="133"/>
      <c r="B15" s="73"/>
      <c r="C15" s="73"/>
      <c r="D15" s="5697" t="s">
        <v>1058</v>
      </c>
      <c r="E15" s="5697"/>
      <c r="F15" s="5698"/>
      <c r="G15" s="132"/>
    </row>
    <row r="16" spans="1:7" ht="30" x14ac:dyDescent="0.25">
      <c r="A16" s="134" t="s">
        <v>29</v>
      </c>
      <c r="B16" s="135" t="s">
        <v>1084</v>
      </c>
      <c r="C16" s="135" t="s">
        <v>1085</v>
      </c>
      <c r="D16" s="135" t="s">
        <v>287</v>
      </c>
      <c r="E16" s="135" t="s">
        <v>289</v>
      </c>
      <c r="F16" s="136" t="s">
        <v>288</v>
      </c>
      <c r="G16" s="132"/>
    </row>
    <row r="17" spans="1:7" x14ac:dyDescent="0.2">
      <c r="A17" s="133"/>
      <c r="B17" s="73"/>
      <c r="C17" s="73"/>
      <c r="D17" s="73"/>
      <c r="E17" s="73"/>
      <c r="F17" s="132"/>
      <c r="G17" s="132"/>
    </row>
    <row r="18" spans="1:7" x14ac:dyDescent="0.2">
      <c r="A18" s="137" t="s">
        <v>23</v>
      </c>
      <c r="B18" s="138"/>
      <c r="C18" s="138"/>
      <c r="D18" s="138"/>
      <c r="E18" s="138"/>
      <c r="F18" s="139"/>
      <c r="G18" s="132"/>
    </row>
    <row r="19" spans="1:7" x14ac:dyDescent="0.2">
      <c r="A19" s="133"/>
      <c r="B19" s="73"/>
      <c r="C19" s="73"/>
      <c r="D19" s="73"/>
      <c r="E19" s="73"/>
      <c r="F19" s="132"/>
      <c r="G19" s="132"/>
    </row>
    <row r="20" spans="1:7" ht="15.75" x14ac:dyDescent="0.25">
      <c r="A20" s="137" t="s">
        <v>24</v>
      </c>
      <c r="B20" s="140">
        <f>'SECCION I-II'!D273</f>
        <v>0</v>
      </c>
      <c r="C20" s="140">
        <f>'SECCION I-II'!F273</f>
        <v>0</v>
      </c>
      <c r="D20" s="140">
        <f>'SECCION I-II'!G273</f>
        <v>0</v>
      </c>
      <c r="E20" s="140">
        <f>'SECCION I-II'!H273</f>
        <v>0</v>
      </c>
      <c r="F20" s="140">
        <f>'SECCION I-II'!I273</f>
        <v>0</v>
      </c>
      <c r="G20" s="132"/>
    </row>
    <row r="21" spans="1:7" ht="13.5" thickBot="1" x14ac:dyDescent="0.25">
      <c r="A21" s="141"/>
      <c r="B21" s="142"/>
      <c r="C21" s="142"/>
      <c r="D21" s="142"/>
      <c r="E21" s="142"/>
      <c r="F21" s="143"/>
      <c r="G21" s="143"/>
    </row>
    <row r="22" spans="1:7" ht="13.5" thickBot="1" x14ac:dyDescent="0.25">
      <c r="A22" s="126"/>
      <c r="F22" s="96"/>
      <c r="G22" s="96"/>
    </row>
    <row r="23" spans="1:7" ht="15" x14ac:dyDescent="0.25">
      <c r="A23" s="144" t="s">
        <v>1074</v>
      </c>
      <c r="B23" s="145"/>
      <c r="C23" s="145"/>
      <c r="D23" s="145"/>
      <c r="E23" s="145"/>
      <c r="F23" s="146"/>
      <c r="G23" s="146"/>
    </row>
    <row r="24" spans="1:7" x14ac:dyDescent="0.2">
      <c r="A24" s="130" t="e">
        <f>'Compra -HOJA1'!#REF!</f>
        <v>#REF!</v>
      </c>
      <c r="B24" s="131"/>
      <c r="C24" s="131"/>
      <c r="D24" s="73"/>
      <c r="E24" s="73"/>
      <c r="F24" s="132"/>
      <c r="G24" s="132"/>
    </row>
    <row r="25" spans="1:7" ht="15" x14ac:dyDescent="0.25">
      <c r="A25" s="133"/>
      <c r="B25" s="73"/>
      <c r="C25" s="73"/>
      <c r="D25" s="5697" t="s">
        <v>1058</v>
      </c>
      <c r="E25" s="5697"/>
      <c r="F25" s="5698"/>
      <c r="G25" s="132"/>
    </row>
    <row r="26" spans="1:7" ht="30" x14ac:dyDescent="0.25">
      <c r="A26" s="134" t="s">
        <v>29</v>
      </c>
      <c r="B26" s="135" t="s">
        <v>1084</v>
      </c>
      <c r="C26" s="135" t="s">
        <v>1085</v>
      </c>
      <c r="D26" s="135" t="s">
        <v>287</v>
      </c>
      <c r="E26" s="135" t="s">
        <v>289</v>
      </c>
      <c r="F26" s="136" t="s">
        <v>288</v>
      </c>
      <c r="G26" s="132"/>
    </row>
    <row r="27" spans="1:7" x14ac:dyDescent="0.2">
      <c r="A27" s="133"/>
      <c r="B27" s="73"/>
      <c r="C27" s="73"/>
      <c r="D27" s="73"/>
      <c r="E27" s="73"/>
      <c r="F27" s="132"/>
      <c r="G27" s="132"/>
    </row>
    <row r="28" spans="1:7" x14ac:dyDescent="0.2">
      <c r="A28" s="137" t="s">
        <v>23</v>
      </c>
      <c r="B28" s="138"/>
      <c r="C28" s="138"/>
      <c r="D28" s="138"/>
      <c r="E28" s="138"/>
      <c r="F28" s="139"/>
      <c r="G28" s="132"/>
    </row>
    <row r="29" spans="1:7" x14ac:dyDescent="0.2">
      <c r="A29" s="133"/>
      <c r="B29" s="73"/>
      <c r="C29" s="73"/>
      <c r="D29" s="73"/>
      <c r="E29" s="73"/>
      <c r="F29" s="132"/>
      <c r="G29" s="132"/>
    </row>
    <row r="30" spans="1:7" ht="15.75" x14ac:dyDescent="0.25">
      <c r="A30" s="137" t="s">
        <v>24</v>
      </c>
      <c r="B30" s="140">
        <f>'SECCION I-II'!D274</f>
        <v>0</v>
      </c>
      <c r="C30" s="140">
        <f>'SECCION I-II'!F274</f>
        <v>0</v>
      </c>
      <c r="D30" s="140">
        <f>'SECCION I-II'!G274</f>
        <v>0</v>
      </c>
      <c r="E30" s="140">
        <f>'SECCION I-II'!H274</f>
        <v>0</v>
      </c>
      <c r="F30" s="140">
        <f>'SECCION I-II'!I274</f>
        <v>0</v>
      </c>
      <c r="G30" s="132"/>
    </row>
    <row r="31" spans="1:7" ht="13.5" thickBot="1" x14ac:dyDescent="0.25">
      <c r="A31" s="141"/>
      <c r="B31" s="142"/>
      <c r="C31" s="142"/>
      <c r="D31" s="142"/>
      <c r="E31" s="142"/>
      <c r="F31" s="143"/>
      <c r="G31" s="143"/>
    </row>
    <row r="32" spans="1:7" ht="13.5" thickBot="1" x14ac:dyDescent="0.25">
      <c r="A32" s="126"/>
      <c r="F32" s="96"/>
      <c r="G32" s="96"/>
    </row>
    <row r="33" spans="1:7" ht="15" x14ac:dyDescent="0.25">
      <c r="A33" s="127" t="s">
        <v>1074</v>
      </c>
      <c r="B33" s="128"/>
      <c r="C33" s="128"/>
      <c r="D33" s="128"/>
      <c r="E33" s="128"/>
      <c r="F33" s="129"/>
      <c r="G33" s="129"/>
    </row>
    <row r="34" spans="1:7" x14ac:dyDescent="0.2">
      <c r="A34" s="130" t="e">
        <f>'Compra -HOJA1'!#REF!</f>
        <v>#REF!</v>
      </c>
      <c r="B34" s="131"/>
      <c r="C34" s="131"/>
      <c r="D34" s="73"/>
      <c r="E34" s="73"/>
      <c r="F34" s="132"/>
      <c r="G34" s="132"/>
    </row>
    <row r="35" spans="1:7" ht="15" x14ac:dyDescent="0.25">
      <c r="A35" s="133"/>
      <c r="B35" s="73"/>
      <c r="C35" s="73"/>
      <c r="D35" s="5697" t="s">
        <v>1058</v>
      </c>
      <c r="E35" s="5697"/>
      <c r="F35" s="5698"/>
      <c r="G35" s="132"/>
    </row>
    <row r="36" spans="1:7" ht="30" x14ac:dyDescent="0.25">
      <c r="A36" s="134" t="s">
        <v>29</v>
      </c>
      <c r="B36" s="135" t="s">
        <v>1084</v>
      </c>
      <c r="C36" s="135" t="s">
        <v>1085</v>
      </c>
      <c r="D36" s="135" t="s">
        <v>287</v>
      </c>
      <c r="E36" s="135" t="s">
        <v>289</v>
      </c>
      <c r="F36" s="136" t="s">
        <v>288</v>
      </c>
      <c r="G36" s="132"/>
    </row>
    <row r="37" spans="1:7" x14ac:dyDescent="0.2">
      <c r="A37" s="133"/>
      <c r="B37" s="73"/>
      <c r="C37" s="73"/>
      <c r="D37" s="73"/>
      <c r="E37" s="73"/>
      <c r="F37" s="132"/>
      <c r="G37" s="132"/>
    </row>
    <row r="38" spans="1:7" x14ac:dyDescent="0.2">
      <c r="A38" s="137" t="s">
        <v>23</v>
      </c>
      <c r="B38" s="138"/>
      <c r="C38" s="138"/>
      <c r="D38" s="138"/>
      <c r="E38" s="138"/>
      <c r="F38" s="139"/>
      <c r="G38" s="132"/>
    </row>
    <row r="39" spans="1:7" x14ac:dyDescent="0.2">
      <c r="A39" s="133"/>
      <c r="B39" s="73"/>
      <c r="C39" s="73"/>
      <c r="D39" s="73"/>
      <c r="E39" s="73"/>
      <c r="F39" s="132"/>
      <c r="G39" s="132"/>
    </row>
    <row r="40" spans="1:7" ht="15.75" x14ac:dyDescent="0.25">
      <c r="A40" s="137" t="s">
        <v>24</v>
      </c>
      <c r="B40" s="140" t="str">
        <f>'SECCION I-II'!D275</f>
        <v>USUARIOS</v>
      </c>
      <c r="C40" s="140" t="str">
        <f>'SECCION I-II'!F275</f>
        <v>Potencia Máxima KW</v>
      </c>
      <c r="D40" s="140" t="str">
        <f>'SECCION I-II'!G275</f>
        <v>Energia Facturada (kWh)</v>
      </c>
      <c r="E40" s="140">
        <f>'SECCION I-II'!H275</f>
        <v>0</v>
      </c>
      <c r="F40" s="140">
        <f>'SECCION I-II'!I275</f>
        <v>0</v>
      </c>
      <c r="G40" s="132"/>
    </row>
    <row r="41" spans="1:7" ht="13.5" thickBot="1" x14ac:dyDescent="0.25">
      <c r="A41" s="141"/>
      <c r="B41" s="142"/>
      <c r="C41" s="142"/>
      <c r="D41" s="142"/>
      <c r="E41" s="142"/>
      <c r="F41" s="143"/>
      <c r="G41" s="143"/>
    </row>
    <row r="42" spans="1:7" ht="13.5" thickBot="1" x14ac:dyDescent="0.25">
      <c r="A42" s="126"/>
      <c r="F42" s="96"/>
      <c r="G42" s="96"/>
    </row>
    <row r="43" spans="1:7" ht="15" x14ac:dyDescent="0.25">
      <c r="A43" s="127" t="s">
        <v>1074</v>
      </c>
      <c r="B43" s="128"/>
      <c r="C43" s="128"/>
      <c r="D43" s="128"/>
      <c r="E43" s="128"/>
      <c r="F43" s="129"/>
      <c r="G43" s="129"/>
    </row>
    <row r="44" spans="1:7" x14ac:dyDescent="0.2">
      <c r="A44" s="130" t="e">
        <f>'Compra -HOJA1'!#REF!</f>
        <v>#REF!</v>
      </c>
      <c r="B44" s="131"/>
      <c r="C44" s="131"/>
      <c r="D44" s="73"/>
      <c r="E44" s="73"/>
      <c r="F44" s="132"/>
      <c r="G44" s="132"/>
    </row>
    <row r="45" spans="1:7" ht="15" x14ac:dyDescent="0.25">
      <c r="A45" s="133"/>
      <c r="B45" s="73"/>
      <c r="C45" s="73"/>
      <c r="D45" s="5697" t="s">
        <v>1058</v>
      </c>
      <c r="E45" s="5697"/>
      <c r="F45" s="5698"/>
      <c r="G45" s="132"/>
    </row>
    <row r="46" spans="1:7" ht="30" x14ac:dyDescent="0.25">
      <c r="A46" s="134" t="s">
        <v>29</v>
      </c>
      <c r="B46" s="135" t="s">
        <v>1084</v>
      </c>
      <c r="C46" s="135" t="s">
        <v>1085</v>
      </c>
      <c r="D46" s="135" t="s">
        <v>287</v>
      </c>
      <c r="E46" s="135" t="s">
        <v>289</v>
      </c>
      <c r="F46" s="136" t="s">
        <v>288</v>
      </c>
      <c r="G46" s="132"/>
    </row>
    <row r="47" spans="1:7" x14ac:dyDescent="0.2">
      <c r="A47" s="133"/>
      <c r="B47" s="73"/>
      <c r="C47" s="73"/>
      <c r="D47" s="73"/>
      <c r="E47" s="73"/>
      <c r="F47" s="132"/>
      <c r="G47" s="132"/>
    </row>
    <row r="48" spans="1:7" x14ac:dyDescent="0.2">
      <c r="A48" s="137" t="s">
        <v>23</v>
      </c>
      <c r="B48" s="138"/>
      <c r="C48" s="138"/>
      <c r="D48" s="138"/>
      <c r="E48" s="138"/>
      <c r="F48" s="139"/>
      <c r="G48" s="132"/>
    </row>
    <row r="49" spans="1:7" x14ac:dyDescent="0.2">
      <c r="A49" s="133"/>
      <c r="B49" s="73"/>
      <c r="C49" s="73"/>
      <c r="D49" s="73"/>
      <c r="E49" s="73"/>
      <c r="F49" s="132"/>
      <c r="G49" s="132"/>
    </row>
    <row r="50" spans="1:7" ht="15.75" x14ac:dyDescent="0.25">
      <c r="A50" s="137" t="s">
        <v>24</v>
      </c>
      <c r="B50" s="140">
        <f>'SECCION I-II'!D276</f>
        <v>0</v>
      </c>
      <c r="C50" s="140">
        <f>'SECCION I-II'!F276</f>
        <v>0</v>
      </c>
      <c r="D50" s="140" t="str">
        <f>'SECCION I-II'!G276</f>
        <v>Pico</v>
      </c>
      <c r="E50" s="140" t="str">
        <f>'SECCION I-II'!H276</f>
        <v xml:space="preserve">Valle </v>
      </c>
      <c r="F50" s="140" t="str">
        <f>'SECCION I-II'!I276</f>
        <v>Resto</v>
      </c>
      <c r="G50" s="132"/>
    </row>
    <row r="51" spans="1:7" ht="13.5" thickBot="1" x14ac:dyDescent="0.25">
      <c r="A51" s="141"/>
      <c r="B51" s="142"/>
      <c r="C51" s="142"/>
      <c r="D51" s="142"/>
      <c r="E51" s="142"/>
      <c r="F51" s="143"/>
      <c r="G51" s="143"/>
    </row>
    <row r="52" spans="1:7" ht="13.5" thickBot="1" x14ac:dyDescent="0.25">
      <c r="A52" s="126"/>
      <c r="F52" s="96"/>
      <c r="G52" s="96"/>
    </row>
    <row r="53" spans="1:7" ht="15" x14ac:dyDescent="0.25">
      <c r="A53" s="127" t="s">
        <v>1074</v>
      </c>
      <c r="B53" s="128"/>
      <c r="C53" s="128"/>
      <c r="D53" s="128"/>
      <c r="E53" s="128"/>
      <c r="F53" s="129"/>
      <c r="G53" s="129"/>
    </row>
    <row r="54" spans="1:7" x14ac:dyDescent="0.2">
      <c r="A54" s="130" t="e">
        <f>'Compra -HOJA1'!#REF!</f>
        <v>#REF!</v>
      </c>
      <c r="B54" s="131"/>
      <c r="C54" s="131"/>
      <c r="D54" s="73"/>
      <c r="E54" s="73"/>
      <c r="F54" s="132"/>
      <c r="G54" s="132"/>
    </row>
    <row r="55" spans="1:7" ht="15" x14ac:dyDescent="0.25">
      <c r="A55" s="133"/>
      <c r="B55" s="73"/>
      <c r="C55" s="73"/>
      <c r="D55" s="5697" t="s">
        <v>1058</v>
      </c>
      <c r="E55" s="5697"/>
      <c r="F55" s="5698"/>
      <c r="G55" s="132"/>
    </row>
    <row r="56" spans="1:7" ht="30" x14ac:dyDescent="0.25">
      <c r="A56" s="134" t="s">
        <v>29</v>
      </c>
      <c r="B56" s="135" t="s">
        <v>1084</v>
      </c>
      <c r="C56" s="135" t="s">
        <v>1085</v>
      </c>
      <c r="D56" s="135" t="s">
        <v>287</v>
      </c>
      <c r="E56" s="135" t="s">
        <v>289</v>
      </c>
      <c r="F56" s="136" t="s">
        <v>288</v>
      </c>
      <c r="G56" s="132"/>
    </row>
    <row r="57" spans="1:7" x14ac:dyDescent="0.2">
      <c r="A57" s="133"/>
      <c r="B57" s="73"/>
      <c r="C57" s="73"/>
      <c r="D57" s="73"/>
      <c r="E57" s="73"/>
      <c r="F57" s="132"/>
      <c r="G57" s="132"/>
    </row>
    <row r="58" spans="1:7" x14ac:dyDescent="0.2">
      <c r="A58" s="137" t="s">
        <v>23</v>
      </c>
      <c r="B58" s="138"/>
      <c r="C58" s="138"/>
      <c r="D58" s="138"/>
      <c r="E58" s="138"/>
      <c r="F58" s="139"/>
      <c r="G58" s="132"/>
    </row>
    <row r="59" spans="1:7" x14ac:dyDescent="0.2">
      <c r="A59" s="133"/>
      <c r="B59" s="73"/>
      <c r="C59" s="73"/>
      <c r="D59" s="73"/>
      <c r="E59" s="73"/>
      <c r="F59" s="132"/>
      <c r="G59" s="132"/>
    </row>
    <row r="60" spans="1:7" ht="15.75" x14ac:dyDescent="0.25">
      <c r="A60" s="137" t="s">
        <v>24</v>
      </c>
      <c r="B60" s="140">
        <f>'SECCION I-II'!D277</f>
        <v>0</v>
      </c>
      <c r="C60" s="140">
        <f>'SECCION I-II'!F277</f>
        <v>0</v>
      </c>
      <c r="D60" s="140">
        <f>'SECCION I-II'!G277</f>
        <v>0</v>
      </c>
      <c r="E60" s="140">
        <f>'SECCION I-II'!H277</f>
        <v>0</v>
      </c>
      <c r="F60" s="140">
        <f>'SECCION I-II'!I277</f>
        <v>0</v>
      </c>
      <c r="G60" s="132"/>
    </row>
    <row r="61" spans="1:7" ht="13.5" thickBot="1" x14ac:dyDescent="0.25">
      <c r="A61" s="141"/>
      <c r="B61" s="142"/>
      <c r="C61" s="142"/>
      <c r="D61" s="142"/>
      <c r="E61" s="142"/>
      <c r="F61" s="143"/>
      <c r="G61" s="143"/>
    </row>
    <row r="62" spans="1:7" ht="13.5" thickBot="1" x14ac:dyDescent="0.25">
      <c r="A62" s="126"/>
      <c r="F62" s="96"/>
      <c r="G62" s="96"/>
    </row>
    <row r="63" spans="1:7" ht="15" x14ac:dyDescent="0.25">
      <c r="A63" s="127" t="s">
        <v>1074</v>
      </c>
      <c r="B63" s="128"/>
      <c r="C63" s="128"/>
      <c r="D63" s="128"/>
      <c r="E63" s="128"/>
      <c r="F63" s="129"/>
      <c r="G63" s="129"/>
    </row>
    <row r="64" spans="1:7" x14ac:dyDescent="0.2">
      <c r="A64" s="130" t="e">
        <f>'Compra -HOJA1'!#REF!</f>
        <v>#REF!</v>
      </c>
      <c r="B64" s="131"/>
      <c r="C64" s="131"/>
      <c r="D64" s="73"/>
      <c r="E64" s="73"/>
      <c r="F64" s="132"/>
      <c r="G64" s="132"/>
    </row>
    <row r="65" spans="1:7" ht="15" x14ac:dyDescent="0.25">
      <c r="A65" s="133"/>
      <c r="B65" s="73"/>
      <c r="C65" s="73"/>
      <c r="D65" s="5697" t="s">
        <v>1058</v>
      </c>
      <c r="E65" s="5697"/>
      <c r="F65" s="5698"/>
      <c r="G65" s="132"/>
    </row>
    <row r="66" spans="1:7" ht="30" x14ac:dyDescent="0.25">
      <c r="A66" s="134" t="s">
        <v>29</v>
      </c>
      <c r="B66" s="135" t="s">
        <v>1084</v>
      </c>
      <c r="C66" s="135" t="s">
        <v>1085</v>
      </c>
      <c r="D66" s="135" t="s">
        <v>287</v>
      </c>
      <c r="E66" s="135" t="s">
        <v>289</v>
      </c>
      <c r="F66" s="136" t="s">
        <v>288</v>
      </c>
      <c r="G66" s="132"/>
    </row>
    <row r="67" spans="1:7" x14ac:dyDescent="0.2">
      <c r="A67" s="133"/>
      <c r="B67" s="73"/>
      <c r="C67" s="73"/>
      <c r="D67" s="73"/>
      <c r="E67" s="73"/>
      <c r="F67" s="132"/>
      <c r="G67" s="132"/>
    </row>
    <row r="68" spans="1:7" x14ac:dyDescent="0.2">
      <c r="A68" s="137" t="s">
        <v>23</v>
      </c>
      <c r="B68" s="138"/>
      <c r="C68" s="138"/>
      <c r="D68" s="138"/>
      <c r="E68" s="138"/>
      <c r="F68" s="139"/>
      <c r="G68" s="132"/>
    </row>
    <row r="69" spans="1:7" x14ac:dyDescent="0.2">
      <c r="A69" s="133"/>
      <c r="B69" s="73"/>
      <c r="C69" s="73"/>
      <c r="D69" s="73"/>
      <c r="E69" s="73"/>
      <c r="F69" s="132"/>
      <c r="G69" s="132"/>
    </row>
    <row r="70" spans="1:7" ht="15.75" x14ac:dyDescent="0.25">
      <c r="A70" s="137" t="s">
        <v>24</v>
      </c>
      <c r="B70" s="140">
        <f>'SECCION I-II'!D278</f>
        <v>0</v>
      </c>
      <c r="C70" s="140">
        <f ca="1">'SECCION I-II'!F278</f>
        <v>0</v>
      </c>
      <c r="D70" s="140">
        <f ca="1">'SECCION I-II'!G278</f>
        <v>0</v>
      </c>
      <c r="E70" s="140">
        <f ca="1">'SECCION I-II'!H278</f>
        <v>0</v>
      </c>
      <c r="F70" s="140">
        <f ca="1">'SECCION I-II'!I278</f>
        <v>0</v>
      </c>
      <c r="G70" s="132"/>
    </row>
    <row r="71" spans="1:7" ht="13.5" thickBot="1" x14ac:dyDescent="0.25">
      <c r="A71" s="141"/>
      <c r="B71" s="142"/>
      <c r="C71" s="142"/>
      <c r="D71" s="142"/>
      <c r="E71" s="142"/>
      <c r="F71" s="143"/>
      <c r="G71" s="143"/>
    </row>
    <row r="72" spans="1:7" ht="15" x14ac:dyDescent="0.25">
      <c r="A72" s="127" t="s">
        <v>1074</v>
      </c>
      <c r="B72" s="128"/>
      <c r="C72" s="128"/>
      <c r="D72" s="128"/>
      <c r="E72" s="128"/>
      <c r="F72" s="129"/>
      <c r="G72" s="132"/>
    </row>
    <row r="73" spans="1:7" x14ac:dyDescent="0.2">
      <c r="A73" s="130" t="e">
        <f>'Compra -HOJA1'!#REF!</f>
        <v>#REF!</v>
      </c>
      <c r="B73" s="131"/>
      <c r="C73" s="131"/>
      <c r="D73" s="73"/>
      <c r="E73" s="73"/>
      <c r="F73" s="132"/>
      <c r="G73" s="132"/>
    </row>
    <row r="74" spans="1:7" ht="15" x14ac:dyDescent="0.25">
      <c r="A74" s="133"/>
      <c r="B74" s="73"/>
      <c r="C74" s="73"/>
      <c r="D74" s="5697" t="s">
        <v>1058</v>
      </c>
      <c r="E74" s="5697"/>
      <c r="F74" s="5698"/>
      <c r="G74" s="132"/>
    </row>
    <row r="75" spans="1:7" ht="30" x14ac:dyDescent="0.25">
      <c r="A75" s="134" t="s">
        <v>29</v>
      </c>
      <c r="B75" s="135" t="s">
        <v>1084</v>
      </c>
      <c r="C75" s="135" t="s">
        <v>1085</v>
      </c>
      <c r="D75" s="135" t="s">
        <v>287</v>
      </c>
      <c r="E75" s="135" t="s">
        <v>289</v>
      </c>
      <c r="F75" s="136" t="s">
        <v>288</v>
      </c>
      <c r="G75" s="132"/>
    </row>
    <row r="76" spans="1:7" x14ac:dyDescent="0.2">
      <c r="A76" s="133"/>
      <c r="B76" s="73"/>
      <c r="C76" s="73"/>
      <c r="D76" s="73"/>
      <c r="E76" s="73"/>
      <c r="F76" s="132"/>
      <c r="G76" s="132"/>
    </row>
    <row r="77" spans="1:7" x14ac:dyDescent="0.2">
      <c r="A77" s="137" t="s">
        <v>23</v>
      </c>
      <c r="B77" s="138"/>
      <c r="C77" s="138"/>
      <c r="D77" s="138"/>
      <c r="E77" s="138"/>
      <c r="F77" s="139"/>
      <c r="G77" s="132"/>
    </row>
    <row r="78" spans="1:7" x14ac:dyDescent="0.2">
      <c r="A78" s="133"/>
      <c r="B78" s="73"/>
      <c r="C78" s="73"/>
      <c r="D78" s="73"/>
      <c r="E78" s="73"/>
      <c r="F78" s="132"/>
      <c r="G78" s="132"/>
    </row>
    <row r="79" spans="1:7" ht="15.75" x14ac:dyDescent="0.25">
      <c r="A79" s="137" t="s">
        <v>24</v>
      </c>
      <c r="B79" s="140">
        <f>'SECCION I-II'!D279</f>
        <v>0</v>
      </c>
      <c r="C79" s="140">
        <f ca="1">'SECCION I-II'!F279</f>
        <v>0</v>
      </c>
      <c r="D79" s="140">
        <f ca="1">'SECCION I-II'!G279</f>
        <v>0</v>
      </c>
      <c r="E79" s="140">
        <f ca="1">'SECCION I-II'!H279</f>
        <v>0</v>
      </c>
      <c r="F79" s="140">
        <f ca="1">'SECCION I-II'!I279</f>
        <v>0</v>
      </c>
      <c r="G79" s="132"/>
    </row>
    <row r="80" spans="1:7" ht="13.5" thickBot="1" x14ac:dyDescent="0.25">
      <c r="A80" s="133"/>
      <c r="B80" s="73"/>
      <c r="C80" s="73"/>
      <c r="D80" s="73"/>
      <c r="E80" s="73"/>
      <c r="F80" s="132"/>
      <c r="G80" s="132"/>
    </row>
    <row r="81" spans="1:7" ht="15" x14ac:dyDescent="0.25">
      <c r="A81" s="127" t="s">
        <v>1074</v>
      </c>
      <c r="B81" s="128"/>
      <c r="C81" s="128"/>
      <c r="D81" s="128"/>
      <c r="E81" s="128"/>
      <c r="F81" s="129"/>
      <c r="G81" s="132"/>
    </row>
    <row r="82" spans="1:7" x14ac:dyDescent="0.2">
      <c r="A82" s="130" t="e">
        <f>'Compra -HOJA1'!#REF!</f>
        <v>#REF!</v>
      </c>
      <c r="B82" s="131"/>
      <c r="C82" s="131"/>
      <c r="D82" s="73"/>
      <c r="E82" s="73"/>
      <c r="F82" s="132"/>
      <c r="G82" s="132"/>
    </row>
    <row r="83" spans="1:7" ht="15" x14ac:dyDescent="0.25">
      <c r="A83" s="133"/>
      <c r="B83" s="73"/>
      <c r="C83" s="73"/>
      <c r="D83" s="5697" t="s">
        <v>1058</v>
      </c>
      <c r="E83" s="5697"/>
      <c r="F83" s="5698"/>
      <c r="G83" s="132"/>
    </row>
    <row r="84" spans="1:7" ht="30" x14ac:dyDescent="0.25">
      <c r="A84" s="134" t="s">
        <v>29</v>
      </c>
      <c r="B84" s="135" t="s">
        <v>1084</v>
      </c>
      <c r="C84" s="135" t="s">
        <v>1085</v>
      </c>
      <c r="D84" s="135" t="s">
        <v>287</v>
      </c>
      <c r="E84" s="135" t="s">
        <v>289</v>
      </c>
      <c r="F84" s="136" t="s">
        <v>288</v>
      </c>
      <c r="G84" s="132"/>
    </row>
    <row r="85" spans="1:7" x14ac:dyDescent="0.2">
      <c r="A85" s="133"/>
      <c r="B85" s="73"/>
      <c r="C85" s="73"/>
      <c r="D85" s="73"/>
      <c r="E85" s="73"/>
      <c r="F85" s="132"/>
      <c r="G85" s="132"/>
    </row>
    <row r="86" spans="1:7" x14ac:dyDescent="0.2">
      <c r="A86" s="137" t="s">
        <v>23</v>
      </c>
      <c r="B86" s="138"/>
      <c r="C86" s="138"/>
      <c r="D86" s="138"/>
      <c r="E86" s="138"/>
      <c r="F86" s="139"/>
      <c r="G86" s="132"/>
    </row>
    <row r="87" spans="1:7" x14ac:dyDescent="0.2">
      <c r="A87" s="133"/>
      <c r="B87" s="73"/>
      <c r="C87" s="73"/>
      <c r="D87" s="73"/>
      <c r="E87" s="73"/>
      <c r="F87" s="132"/>
      <c r="G87" s="132"/>
    </row>
    <row r="88" spans="1:7" ht="15.75" x14ac:dyDescent="0.25">
      <c r="A88" s="137" t="s">
        <v>24</v>
      </c>
      <c r="B88" s="140">
        <f>'SECCION I-II'!D280</f>
        <v>0</v>
      </c>
      <c r="C88" s="140">
        <f ca="1">'SECCION I-II'!F280</f>
        <v>0</v>
      </c>
      <c r="D88" s="140">
        <f ca="1">'SECCION I-II'!G280</f>
        <v>0</v>
      </c>
      <c r="E88" s="140">
        <f ca="1">'SECCION I-II'!H280</f>
        <v>0</v>
      </c>
      <c r="F88" s="140">
        <f ca="1">'SECCION I-II'!I280</f>
        <v>0</v>
      </c>
      <c r="G88" s="132"/>
    </row>
    <row r="89" spans="1:7" ht="16.5" thickBot="1" x14ac:dyDescent="0.3">
      <c r="A89" s="133"/>
      <c r="B89" s="222"/>
      <c r="C89" s="222"/>
      <c r="D89" s="222"/>
      <c r="E89" s="222"/>
      <c r="F89" s="222"/>
      <c r="G89" s="132"/>
    </row>
    <row r="90" spans="1:7" ht="15" x14ac:dyDescent="0.25">
      <c r="A90" s="127" t="s">
        <v>1074</v>
      </c>
      <c r="B90" s="128"/>
      <c r="C90" s="128"/>
      <c r="D90" s="128"/>
      <c r="E90" s="128"/>
      <c r="F90" s="129"/>
      <c r="G90" s="132"/>
    </row>
    <row r="91" spans="1:7" x14ac:dyDescent="0.2">
      <c r="A91" s="130" t="e">
        <f>'Compra -HOJA1'!#REF!</f>
        <v>#REF!</v>
      </c>
      <c r="B91" s="131"/>
      <c r="C91" s="131"/>
      <c r="D91" s="73"/>
      <c r="E91" s="73"/>
      <c r="F91" s="132"/>
      <c r="G91" s="132"/>
    </row>
    <row r="92" spans="1:7" ht="15" x14ac:dyDescent="0.25">
      <c r="A92" s="133"/>
      <c r="B92" s="73"/>
      <c r="C92" s="73"/>
      <c r="D92" s="5697" t="s">
        <v>1058</v>
      </c>
      <c r="E92" s="5697"/>
      <c r="F92" s="5698"/>
      <c r="G92" s="132"/>
    </row>
    <row r="93" spans="1:7" ht="30" x14ac:dyDescent="0.25">
      <c r="A93" s="134" t="s">
        <v>29</v>
      </c>
      <c r="B93" s="135" t="s">
        <v>1084</v>
      </c>
      <c r="C93" s="135" t="s">
        <v>1085</v>
      </c>
      <c r="D93" s="135" t="s">
        <v>287</v>
      </c>
      <c r="E93" s="135" t="s">
        <v>289</v>
      </c>
      <c r="F93" s="136" t="s">
        <v>288</v>
      </c>
      <c r="G93" s="132"/>
    </row>
    <row r="94" spans="1:7" x14ac:dyDescent="0.2">
      <c r="A94" s="133"/>
      <c r="B94" s="73"/>
      <c r="C94" s="73"/>
      <c r="D94" s="73"/>
      <c r="E94" s="73"/>
      <c r="F94" s="132"/>
      <c r="G94" s="132"/>
    </row>
    <row r="95" spans="1:7" x14ac:dyDescent="0.2">
      <c r="A95" s="137" t="s">
        <v>23</v>
      </c>
      <c r="B95" s="138"/>
      <c r="C95" s="138"/>
      <c r="D95" s="138"/>
      <c r="E95" s="138"/>
      <c r="F95" s="139"/>
      <c r="G95" s="132"/>
    </row>
    <row r="96" spans="1:7" x14ac:dyDescent="0.2">
      <c r="A96" s="133"/>
      <c r="B96" s="73"/>
      <c r="C96" s="73"/>
      <c r="D96" s="73"/>
      <c r="E96" s="73"/>
      <c r="F96" s="132"/>
      <c r="G96" s="132"/>
    </row>
    <row r="97" spans="1:8" ht="15.75" x14ac:dyDescent="0.25">
      <c r="A97" s="137" t="s">
        <v>24</v>
      </c>
      <c r="B97" s="140">
        <f>'SECCION I-II'!D281</f>
        <v>0</v>
      </c>
      <c r="C97" s="140">
        <f>'SECCION I-II'!F281</f>
        <v>0</v>
      </c>
      <c r="D97" s="140" t="e">
        <f>'SECCION I-II'!G281</f>
        <v>#REF!</v>
      </c>
      <c r="E97" s="140" t="e">
        <f>'SECCION I-II'!H281</f>
        <v>#REF!</v>
      </c>
      <c r="F97" s="140" t="e">
        <f>'SECCION I-II'!I281</f>
        <v>#REF!</v>
      </c>
      <c r="G97" s="140" t="e">
        <f>'SECCION I-II'!J281</f>
        <v>#REF!</v>
      </c>
    </row>
    <row r="98" spans="1:8" ht="16.5" thickBot="1" x14ac:dyDescent="0.3">
      <c r="A98" s="133"/>
      <c r="B98" s="222"/>
      <c r="C98" s="222"/>
      <c r="D98" s="222"/>
      <c r="E98" s="222"/>
      <c r="F98" s="222"/>
      <c r="G98" s="132"/>
    </row>
    <row r="99" spans="1:8" ht="15" x14ac:dyDescent="0.25">
      <c r="A99" s="127" t="s">
        <v>1074</v>
      </c>
      <c r="B99" s="128"/>
      <c r="C99" s="128"/>
      <c r="D99" s="128"/>
      <c r="E99" s="128"/>
      <c r="F99" s="129"/>
      <c r="G99" s="132"/>
    </row>
    <row r="100" spans="1:8" x14ac:dyDescent="0.2">
      <c r="A100" s="130" t="e">
        <f>'Compra -HOJA1'!#REF!</f>
        <v>#REF!</v>
      </c>
      <c r="B100" s="131"/>
      <c r="C100" s="131"/>
      <c r="D100" s="73"/>
      <c r="E100" s="73"/>
      <c r="F100" s="132"/>
      <c r="G100" s="132"/>
    </row>
    <row r="101" spans="1:8" ht="15" x14ac:dyDescent="0.25">
      <c r="A101" s="133"/>
      <c r="B101" s="73"/>
      <c r="C101" s="73"/>
      <c r="D101" s="5697" t="s">
        <v>1058</v>
      </c>
      <c r="E101" s="5697"/>
      <c r="F101" s="5698"/>
      <c r="G101" s="132"/>
    </row>
    <row r="102" spans="1:8" ht="30" x14ac:dyDescent="0.25">
      <c r="A102" s="134" t="s">
        <v>29</v>
      </c>
      <c r="B102" s="135" t="s">
        <v>1084</v>
      </c>
      <c r="C102" s="135" t="s">
        <v>1085</v>
      </c>
      <c r="D102" s="135" t="s">
        <v>287</v>
      </c>
      <c r="E102" s="135" t="s">
        <v>289</v>
      </c>
      <c r="F102" s="136" t="s">
        <v>288</v>
      </c>
      <c r="G102" s="132"/>
    </row>
    <row r="103" spans="1:8" x14ac:dyDescent="0.2">
      <c r="A103" s="133"/>
      <c r="B103" s="73"/>
      <c r="C103" s="73"/>
      <c r="D103" s="73"/>
      <c r="E103" s="73"/>
      <c r="F103" s="132"/>
      <c r="G103" s="132"/>
    </row>
    <row r="104" spans="1:8" x14ac:dyDescent="0.2">
      <c r="A104" s="137" t="s">
        <v>23</v>
      </c>
      <c r="B104" s="138"/>
      <c r="C104" s="138"/>
      <c r="D104" s="138"/>
      <c r="E104" s="138"/>
      <c r="F104" s="139"/>
      <c r="G104" s="132"/>
    </row>
    <row r="105" spans="1:8" x14ac:dyDescent="0.2">
      <c r="A105" s="133"/>
      <c r="B105" s="73"/>
      <c r="C105" s="73"/>
      <c r="D105" s="73"/>
      <c r="E105" s="73"/>
      <c r="F105" s="132"/>
      <c r="G105" s="132"/>
    </row>
    <row r="106" spans="1:8" ht="15.75" x14ac:dyDescent="0.25">
      <c r="A106" s="137" t="s">
        <v>24</v>
      </c>
      <c r="B106" s="140">
        <f>'SECCION I-II'!D282</f>
        <v>0</v>
      </c>
      <c r="C106" s="140">
        <f>'SECCION I-II'!F282</f>
        <v>0</v>
      </c>
      <c r="D106" s="140">
        <f>'SECCION I-II'!G282</f>
        <v>0</v>
      </c>
      <c r="E106" s="140">
        <f>'SECCION I-II'!H282</f>
        <v>0</v>
      </c>
      <c r="F106" s="140">
        <f>'SECCION I-II'!I282</f>
        <v>0</v>
      </c>
      <c r="G106" s="132"/>
    </row>
    <row r="107" spans="1:8" x14ac:dyDescent="0.2">
      <c r="A107" s="133"/>
      <c r="B107" s="73"/>
      <c r="C107" s="73"/>
      <c r="D107" s="73"/>
      <c r="E107" s="73"/>
      <c r="F107" s="132"/>
      <c r="G107" s="132"/>
    </row>
    <row r="108" spans="1:8" x14ac:dyDescent="0.2">
      <c r="A108" s="147"/>
      <c r="B108" s="105"/>
      <c r="C108" s="105"/>
      <c r="D108" s="105"/>
      <c r="E108" s="105"/>
      <c r="F108" s="148"/>
      <c r="G108" s="148"/>
      <c r="H108" s="105"/>
    </row>
    <row r="109" spans="1:8" ht="18" x14ac:dyDescent="0.25">
      <c r="A109" s="147" t="s">
        <v>1075</v>
      </c>
      <c r="B109" s="229" t="e">
        <f>B20+B30+B40+B50+B60+B70+B79+B88+B97+B106</f>
        <v>#VALUE!</v>
      </c>
      <c r="C109" s="229"/>
      <c r="D109" s="229" t="e">
        <f ca="1">D20+D30+D40+D50+D60+D70+D79+D88+D97+D106</f>
        <v>#VALUE!</v>
      </c>
      <c r="E109" s="229" t="e">
        <f ca="1">E20+E30+E40+E50+E60+E70+E79+E88+E97+E106</f>
        <v>#VALUE!</v>
      </c>
      <c r="F109" s="229" t="e">
        <f ca="1">F20+F30+F40+F50+F60+F70+F79+F88+F97+F106</f>
        <v>#VALUE!</v>
      </c>
      <c r="G109" s="148"/>
      <c r="H109" s="105"/>
    </row>
    <row r="110" spans="1:8" ht="13.5" thickBot="1" x14ac:dyDescent="0.25">
      <c r="A110" s="150"/>
      <c r="B110" s="151"/>
      <c r="C110" s="151"/>
      <c r="D110" s="151"/>
      <c r="E110" s="151"/>
      <c r="F110" s="152"/>
      <c r="G110" s="105"/>
      <c r="H110" s="105"/>
    </row>
    <row r="111" spans="1:8" ht="13.5" thickBot="1" x14ac:dyDescent="0.25">
      <c r="A111" s="153"/>
      <c r="B111" s="154"/>
      <c r="C111" s="154"/>
      <c r="D111" s="154"/>
      <c r="E111" s="154"/>
      <c r="F111" s="154"/>
      <c r="G111" s="105"/>
      <c r="H111" s="105"/>
    </row>
    <row r="112" spans="1:8" ht="12.75" customHeight="1" x14ac:dyDescent="0.25">
      <c r="A112" s="144" t="s">
        <v>1068</v>
      </c>
      <c r="B112" s="145"/>
      <c r="C112" s="145"/>
      <c r="D112" s="155" t="s">
        <v>287</v>
      </c>
      <c r="E112" s="155" t="s">
        <v>289</v>
      </c>
      <c r="F112" s="156" t="s">
        <v>288</v>
      </c>
      <c r="G112" s="146"/>
    </row>
    <row r="113" spans="1:7" x14ac:dyDescent="0.2">
      <c r="A113" s="126"/>
      <c r="D113" s="12"/>
      <c r="E113" s="12"/>
      <c r="F113" s="157"/>
      <c r="G113" s="96"/>
    </row>
    <row r="114" spans="1:7" x14ac:dyDescent="0.2">
      <c r="A114" s="126" t="s">
        <v>1059</v>
      </c>
      <c r="B114" s="149">
        <f>B9</f>
        <v>0</v>
      </c>
      <c r="D114" s="149">
        <f>D9</f>
        <v>0</v>
      </c>
      <c r="E114" s="149">
        <f>E9</f>
        <v>0</v>
      </c>
      <c r="F114" s="158">
        <f>F9</f>
        <v>0</v>
      </c>
      <c r="G114" s="64"/>
    </row>
    <row r="115" spans="1:7" x14ac:dyDescent="0.2">
      <c r="A115" s="126"/>
      <c r="B115" s="149"/>
      <c r="D115" s="159"/>
      <c r="E115" s="159"/>
      <c r="F115" s="160"/>
      <c r="G115" s="96"/>
    </row>
    <row r="116" spans="1:7" x14ac:dyDescent="0.2">
      <c r="A116" s="126" t="s">
        <v>1060</v>
      </c>
      <c r="B116" s="149" t="e">
        <f>B109</f>
        <v>#VALUE!</v>
      </c>
      <c r="D116" s="149" t="e">
        <f ca="1">D109</f>
        <v>#VALUE!</v>
      </c>
      <c r="E116" s="149" t="e">
        <f ca="1">E109</f>
        <v>#VALUE!</v>
      </c>
      <c r="F116" s="149" t="e">
        <f ca="1">F109</f>
        <v>#VALUE!</v>
      </c>
      <c r="G116" s="64"/>
    </row>
    <row r="117" spans="1:7" x14ac:dyDescent="0.2">
      <c r="A117" s="126"/>
      <c r="B117" s="149"/>
      <c r="D117" s="12"/>
      <c r="E117" s="12"/>
      <c r="F117" s="157"/>
      <c r="G117" s="96"/>
    </row>
    <row r="118" spans="1:7" ht="15" x14ac:dyDescent="0.25">
      <c r="A118" s="109" t="s">
        <v>1069</v>
      </c>
      <c r="B118" s="161" t="e">
        <f>SUM(B114:B116)</f>
        <v>#VALUE!</v>
      </c>
      <c r="C118" s="234"/>
      <c r="D118" s="161" t="e">
        <f ca="1">SUM(D114:D116)</f>
        <v>#VALUE!</v>
      </c>
      <c r="E118" s="161" t="e">
        <f ca="1">SUM(E114:E116)</f>
        <v>#VALUE!</v>
      </c>
      <c r="F118" s="161" t="e">
        <f ca="1">SUM(F114:F116)</f>
        <v>#VALUE!</v>
      </c>
      <c r="G118" s="64"/>
    </row>
    <row r="119" spans="1:7" ht="13.5" thickBot="1" x14ac:dyDescent="0.25">
      <c r="A119" s="163"/>
      <c r="B119" s="164"/>
      <c r="C119" s="164"/>
      <c r="E119" s="164"/>
      <c r="F119" s="165"/>
      <c r="G119" s="165"/>
    </row>
    <row r="120" spans="1:7" ht="16.5" thickBot="1" x14ac:dyDescent="0.3">
      <c r="A120" s="5699" t="s">
        <v>1070</v>
      </c>
      <c r="B120" s="5700"/>
      <c r="C120" s="5701"/>
      <c r="D120" s="166">
        <f>'Compra -HOJA1'!G10</f>
        <v>0</v>
      </c>
      <c r="E120" s="167">
        <f>'Compra -HOJA1'!I10</f>
        <v>0</v>
      </c>
      <c r="F120" s="168">
        <f>'Compra -HOJA1'!H10</f>
        <v>0</v>
      </c>
      <c r="G120" s="169"/>
    </row>
    <row r="122" spans="1:7" x14ac:dyDescent="0.2">
      <c r="D122" s="25" t="str">
        <f>'SECCION I-II'!G284</f>
        <v>Energia Facturada (kWh)</v>
      </c>
      <c r="E122" s="25">
        <f>'SECCION I-II'!H284</f>
        <v>0</v>
      </c>
      <c r="F122" s="25">
        <f>'SECCION I-II'!I284</f>
        <v>0</v>
      </c>
    </row>
  </sheetData>
  <mergeCells count="13">
    <mergeCell ref="A120:C120"/>
    <mergeCell ref="D55:F55"/>
    <mergeCell ref="D65:F65"/>
    <mergeCell ref="D35:F35"/>
    <mergeCell ref="D45:F45"/>
    <mergeCell ref="D74:F74"/>
    <mergeCell ref="D83:F83"/>
    <mergeCell ref="D101:F101"/>
    <mergeCell ref="A1:G1"/>
    <mergeCell ref="D4:F4"/>
    <mergeCell ref="D15:F15"/>
    <mergeCell ref="D25:F25"/>
    <mergeCell ref="D92:F92"/>
  </mergeCells>
  <phoneticPr fontId="74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Hoja27"/>
  <dimension ref="A1:G122"/>
  <sheetViews>
    <sheetView topLeftCell="A90" workbookViewId="0">
      <selection activeCell="B118" sqref="B118"/>
    </sheetView>
  </sheetViews>
  <sheetFormatPr baseColWidth="10" defaultColWidth="11.42578125" defaultRowHeight="12.75" x14ac:dyDescent="0.2"/>
  <cols>
    <col min="1" max="1" width="37.42578125" style="9" customWidth="1"/>
    <col min="2" max="3" width="19.5703125" style="9" customWidth="1"/>
    <col min="4" max="6" width="22.5703125" style="9" customWidth="1"/>
    <col min="7" max="7" width="22.5703125" style="9" hidden="1" customWidth="1"/>
    <col min="8" max="16384" width="11.42578125" style="9"/>
  </cols>
  <sheetData>
    <row r="1" spans="1:7" ht="21" x14ac:dyDescent="0.35">
      <c r="A1" s="5703" t="s">
        <v>1086</v>
      </c>
      <c r="B1" s="5704"/>
      <c r="C1" s="5704"/>
      <c r="D1" s="5704"/>
      <c r="E1" s="5704"/>
      <c r="F1" s="5704"/>
      <c r="G1" s="5705"/>
    </row>
    <row r="2" spans="1:7" ht="15.75" thickBot="1" x14ac:dyDescent="0.3">
      <c r="A2" s="109" t="s">
        <v>1087</v>
      </c>
      <c r="G2" s="96"/>
    </row>
    <row r="3" spans="1:7" ht="15" x14ac:dyDescent="0.25">
      <c r="A3" s="110" t="s">
        <v>1073</v>
      </c>
      <c r="B3" s="111"/>
      <c r="C3" s="111"/>
      <c r="D3" s="111"/>
      <c r="E3" s="111"/>
      <c r="F3" s="112"/>
      <c r="G3" s="112"/>
    </row>
    <row r="4" spans="1:7" ht="15" x14ac:dyDescent="0.25">
      <c r="A4" s="113"/>
      <c r="B4" s="114"/>
      <c r="C4" s="114"/>
      <c r="D4" s="5706" t="s">
        <v>1058</v>
      </c>
      <c r="E4" s="5706"/>
      <c r="F4" s="5707"/>
      <c r="G4" s="115"/>
    </row>
    <row r="5" spans="1:7" ht="30" x14ac:dyDescent="0.25">
      <c r="A5" s="116" t="s">
        <v>29</v>
      </c>
      <c r="B5" s="117" t="s">
        <v>1084</v>
      </c>
      <c r="C5" s="117" t="s">
        <v>1085</v>
      </c>
      <c r="D5" s="117" t="s">
        <v>287</v>
      </c>
      <c r="E5" s="117" t="s">
        <v>289</v>
      </c>
      <c r="F5" s="118" t="s">
        <v>288</v>
      </c>
      <c r="G5" s="115"/>
    </row>
    <row r="6" spans="1:7" x14ac:dyDescent="0.2">
      <c r="A6" s="113"/>
      <c r="B6" s="114"/>
      <c r="C6" s="114"/>
      <c r="D6" s="114"/>
      <c r="E6" s="114"/>
      <c r="F6" s="115"/>
      <c r="G6" s="115"/>
    </row>
    <row r="7" spans="1:7" ht="15.75" x14ac:dyDescent="0.25">
      <c r="A7" s="119" t="s">
        <v>23</v>
      </c>
      <c r="B7" s="122" t="str">
        <f>'SECCION I-II'!D221</f>
        <v xml:space="preserve">TARIFA E.D. - </v>
      </c>
      <c r="C7" s="122" t="e">
        <f>'SECCION I-II'!F221</f>
        <v>#REF!</v>
      </c>
      <c r="D7" s="122" t="e">
        <f>'SECCION I-II'!G221</f>
        <v>#REF!</v>
      </c>
      <c r="E7" s="122" t="e">
        <f>'SECCION I-II'!H221</f>
        <v>#REF!</v>
      </c>
      <c r="F7" s="122" t="e">
        <f>'SECCION I-II'!I221</f>
        <v>#REF!</v>
      </c>
      <c r="G7" s="115"/>
    </row>
    <row r="8" spans="1:7" x14ac:dyDescent="0.2">
      <c r="A8" s="113"/>
      <c r="B8" s="114"/>
      <c r="C8" s="114"/>
      <c r="D8" s="114"/>
      <c r="E8" s="114"/>
      <c r="F8" s="115"/>
      <c r="G8" s="115"/>
    </row>
    <row r="9" spans="1:7" ht="15.75" x14ac:dyDescent="0.25">
      <c r="A9" s="119" t="s">
        <v>24</v>
      </c>
      <c r="B9" s="122">
        <f>'SECCION I-II'!D247</f>
        <v>0</v>
      </c>
      <c r="C9" s="122">
        <f>'SECCION I-II'!F247</f>
        <v>0</v>
      </c>
      <c r="D9" s="122">
        <f>'SECCION I-II'!G247</f>
        <v>0</v>
      </c>
      <c r="E9" s="122">
        <f>'SECCION I-II'!H247</f>
        <v>0</v>
      </c>
      <c r="F9" s="122">
        <f>'SECCION I-II'!I247</f>
        <v>0</v>
      </c>
      <c r="G9" s="115"/>
    </row>
    <row r="10" spans="1:7" x14ac:dyDescent="0.2">
      <c r="A10" s="113"/>
      <c r="B10" s="114"/>
      <c r="C10" s="114"/>
      <c r="D10" s="114"/>
      <c r="E10" s="114"/>
      <c r="F10" s="115"/>
      <c r="G10" s="115"/>
    </row>
    <row r="11" spans="1:7" ht="13.5" thickBot="1" x14ac:dyDescent="0.25">
      <c r="A11" s="123"/>
      <c r="B11" s="124"/>
      <c r="C11" s="124"/>
      <c r="D11" s="124"/>
      <c r="E11" s="124"/>
      <c r="F11" s="125"/>
      <c r="G11" s="125"/>
    </row>
    <row r="12" spans="1:7" ht="13.5" thickBot="1" x14ac:dyDescent="0.25">
      <c r="A12" s="126"/>
      <c r="G12" s="96"/>
    </row>
    <row r="13" spans="1:7" ht="15" x14ac:dyDescent="0.25">
      <c r="A13" s="127" t="s">
        <v>1074</v>
      </c>
      <c r="B13" s="128"/>
      <c r="C13" s="128"/>
      <c r="D13" s="128"/>
      <c r="E13" s="128"/>
      <c r="F13" s="129"/>
      <c r="G13" s="129"/>
    </row>
    <row r="14" spans="1:7" x14ac:dyDescent="0.2">
      <c r="A14" s="130" t="e">
        <f>'Compra -HOJA1'!#REF!</f>
        <v>#REF!</v>
      </c>
      <c r="B14" s="131"/>
      <c r="C14" s="131"/>
      <c r="D14" s="73"/>
      <c r="E14" s="73"/>
      <c r="F14" s="132"/>
      <c r="G14" s="132"/>
    </row>
    <row r="15" spans="1:7" ht="15" x14ac:dyDescent="0.25">
      <c r="A15" s="133"/>
      <c r="B15" s="73"/>
      <c r="C15" s="73"/>
      <c r="D15" s="5697" t="s">
        <v>1058</v>
      </c>
      <c r="E15" s="5697"/>
      <c r="F15" s="5698"/>
      <c r="G15" s="132"/>
    </row>
    <row r="16" spans="1:7" ht="30" x14ac:dyDescent="0.25">
      <c r="A16" s="134" t="s">
        <v>29</v>
      </c>
      <c r="B16" s="135" t="s">
        <v>1084</v>
      </c>
      <c r="C16" s="135" t="s">
        <v>1085</v>
      </c>
      <c r="D16" s="135" t="s">
        <v>287</v>
      </c>
      <c r="E16" s="135" t="s">
        <v>289</v>
      </c>
      <c r="F16" s="136" t="s">
        <v>288</v>
      </c>
      <c r="G16" s="132"/>
    </row>
    <row r="17" spans="1:7" x14ac:dyDescent="0.2">
      <c r="A17" s="133"/>
      <c r="B17" s="73"/>
      <c r="C17" s="73"/>
      <c r="D17" s="73"/>
      <c r="E17" s="73"/>
      <c r="F17" s="132"/>
      <c r="G17" s="132"/>
    </row>
    <row r="18" spans="1:7" ht="15.75" x14ac:dyDescent="0.25">
      <c r="A18" s="137" t="s">
        <v>23</v>
      </c>
      <c r="B18" s="140">
        <f>'SECCION I-II'!D222</f>
        <v>0</v>
      </c>
      <c r="C18" s="140">
        <f>'SECCION I-II'!F222</f>
        <v>0</v>
      </c>
      <c r="D18" s="140">
        <f>'SECCION I-II'!G222</f>
        <v>0</v>
      </c>
      <c r="E18" s="140">
        <f>'SECCION I-II'!H222</f>
        <v>0</v>
      </c>
      <c r="F18" s="140">
        <f ca="1">'SECCION I-II'!I222</f>
        <v>0</v>
      </c>
      <c r="G18" s="132"/>
    </row>
    <row r="19" spans="1:7" x14ac:dyDescent="0.2">
      <c r="A19" s="133"/>
      <c r="B19" s="73"/>
      <c r="C19" s="73"/>
      <c r="D19" s="73"/>
      <c r="E19" s="73"/>
      <c r="F19" s="132"/>
      <c r="G19" s="132"/>
    </row>
    <row r="20" spans="1:7" ht="15.75" x14ac:dyDescent="0.25">
      <c r="A20" s="137" t="s">
        <v>24</v>
      </c>
      <c r="B20" s="140">
        <f>'SECCION I-II'!D248</f>
        <v>0</v>
      </c>
      <c r="C20" s="140" t="e">
        <f>'SECCION I-II'!F248</f>
        <v>#REF!</v>
      </c>
      <c r="D20" s="140" t="e">
        <f>'SECCION I-II'!G248</f>
        <v>#REF!</v>
      </c>
      <c r="E20" s="140" t="e">
        <f>'SECCION I-II'!H248</f>
        <v>#REF!</v>
      </c>
      <c r="F20" s="140" t="e">
        <f ca="1">'SECCION I-II'!I248</f>
        <v>#REF!</v>
      </c>
      <c r="G20" s="132"/>
    </row>
    <row r="21" spans="1:7" ht="13.5" thickBot="1" x14ac:dyDescent="0.25">
      <c r="A21" s="141"/>
      <c r="B21" s="142"/>
      <c r="C21" s="142"/>
      <c r="D21" s="142"/>
      <c r="E21" s="142"/>
      <c r="F21" s="143"/>
      <c r="G21" s="143"/>
    </row>
    <row r="22" spans="1:7" ht="13.5" thickBot="1" x14ac:dyDescent="0.25">
      <c r="A22" s="126"/>
      <c r="F22" s="96"/>
      <c r="G22" s="96"/>
    </row>
    <row r="23" spans="1:7" ht="15" x14ac:dyDescent="0.25">
      <c r="A23" s="144" t="s">
        <v>1074</v>
      </c>
      <c r="B23" s="145"/>
      <c r="C23" s="145"/>
      <c r="D23" s="145"/>
      <c r="E23" s="145"/>
      <c r="F23" s="146"/>
      <c r="G23" s="146"/>
    </row>
    <row r="24" spans="1:7" x14ac:dyDescent="0.2">
      <c r="A24" s="130" t="e">
        <f>'Compra -HOJA1'!#REF!</f>
        <v>#REF!</v>
      </c>
      <c r="B24" s="131"/>
      <c r="C24" s="131"/>
      <c r="D24" s="73"/>
      <c r="E24" s="73"/>
      <c r="F24" s="132"/>
      <c r="G24" s="132"/>
    </row>
    <row r="25" spans="1:7" ht="15" x14ac:dyDescent="0.25">
      <c r="A25" s="133"/>
      <c r="B25" s="73"/>
      <c r="C25" s="73"/>
      <c r="D25" s="5697" t="s">
        <v>1058</v>
      </c>
      <c r="E25" s="5697"/>
      <c r="F25" s="5698"/>
      <c r="G25" s="132"/>
    </row>
    <row r="26" spans="1:7" ht="30" x14ac:dyDescent="0.25">
      <c r="A26" s="134" t="s">
        <v>29</v>
      </c>
      <c r="B26" s="135" t="s">
        <v>1084</v>
      </c>
      <c r="C26" s="135" t="s">
        <v>1085</v>
      </c>
      <c r="D26" s="135" t="s">
        <v>287</v>
      </c>
      <c r="E26" s="135" t="s">
        <v>289</v>
      </c>
      <c r="F26" s="136" t="s">
        <v>288</v>
      </c>
      <c r="G26" s="132"/>
    </row>
    <row r="27" spans="1:7" x14ac:dyDescent="0.2">
      <c r="A27" s="133"/>
      <c r="B27" s="73"/>
      <c r="C27" s="73"/>
      <c r="D27" s="73"/>
      <c r="E27" s="73"/>
      <c r="F27" s="132"/>
      <c r="G27" s="132"/>
    </row>
    <row r="28" spans="1:7" ht="15.75" x14ac:dyDescent="0.25">
      <c r="A28" s="137" t="s">
        <v>23</v>
      </c>
      <c r="B28" s="140" t="str">
        <f>'SECCION I-II'!D223</f>
        <v>Consumo c/ Ahorro &gt; 20%</v>
      </c>
      <c r="C28" s="140">
        <f>'SECCION I-II'!F223</f>
        <v>0</v>
      </c>
      <c r="D28" s="140">
        <f>'SECCION I-II'!G223</f>
        <v>0</v>
      </c>
      <c r="E28" s="140">
        <f>'SECCION I-II'!H223</f>
        <v>0</v>
      </c>
      <c r="F28" s="140">
        <f ca="1">'SECCION I-II'!I223</f>
        <v>0</v>
      </c>
      <c r="G28" s="132"/>
    </row>
    <row r="29" spans="1:7" x14ac:dyDescent="0.2">
      <c r="A29" s="133"/>
      <c r="B29" s="73"/>
      <c r="C29" s="73"/>
      <c r="D29" s="73"/>
      <c r="E29" s="73"/>
      <c r="F29" s="132"/>
      <c r="G29" s="132"/>
    </row>
    <row r="30" spans="1:7" ht="15.75" x14ac:dyDescent="0.25">
      <c r="A30" s="137" t="s">
        <v>24</v>
      </c>
      <c r="B30" s="140">
        <f>'SECCION I-II'!D249</f>
        <v>0</v>
      </c>
      <c r="C30" s="140" t="str">
        <f>'SECCION I-II'!F249</f>
        <v>Energia Facturada (kWh)</v>
      </c>
      <c r="D30" s="140">
        <f>'SECCION I-II'!G249</f>
        <v>0</v>
      </c>
      <c r="E30" s="140">
        <f>'SECCION I-II'!H249</f>
        <v>0</v>
      </c>
      <c r="F30" s="140" t="str">
        <f>'SECCION I-II'!I249</f>
        <v>Perdida en la red (kWh)</v>
      </c>
      <c r="G30" s="132"/>
    </row>
    <row r="31" spans="1:7" ht="13.5" thickBot="1" x14ac:dyDescent="0.25">
      <c r="A31" s="141"/>
      <c r="B31" s="142"/>
      <c r="C31" s="142"/>
      <c r="D31" s="142"/>
      <c r="E31" s="142"/>
      <c r="F31" s="143"/>
      <c r="G31" s="143"/>
    </row>
    <row r="32" spans="1:7" ht="13.5" thickBot="1" x14ac:dyDescent="0.25">
      <c r="A32" s="126"/>
      <c r="F32" s="96"/>
      <c r="G32" s="96"/>
    </row>
    <row r="33" spans="1:7" ht="15" x14ac:dyDescent="0.25">
      <c r="A33" s="127" t="s">
        <v>1074</v>
      </c>
      <c r="B33" s="128"/>
      <c r="C33" s="128"/>
      <c r="D33" s="128"/>
      <c r="E33" s="128"/>
      <c r="F33" s="129"/>
      <c r="G33" s="129"/>
    </row>
    <row r="34" spans="1:7" x14ac:dyDescent="0.2">
      <c r="A34" s="130" t="e">
        <f>'Compra -HOJA1'!#REF!</f>
        <v>#REF!</v>
      </c>
      <c r="B34" s="131"/>
      <c r="C34" s="131"/>
      <c r="D34" s="73"/>
      <c r="E34" s="73"/>
      <c r="F34" s="132"/>
      <c r="G34" s="132"/>
    </row>
    <row r="35" spans="1:7" ht="15" x14ac:dyDescent="0.25">
      <c r="A35" s="133"/>
      <c r="B35" s="73"/>
      <c r="C35" s="73"/>
      <c r="D35" s="5697" t="s">
        <v>1058</v>
      </c>
      <c r="E35" s="5697"/>
      <c r="F35" s="5698"/>
      <c r="G35" s="132"/>
    </row>
    <row r="36" spans="1:7" ht="30" x14ac:dyDescent="0.25">
      <c r="A36" s="134" t="s">
        <v>29</v>
      </c>
      <c r="B36" s="135" t="s">
        <v>1084</v>
      </c>
      <c r="C36" s="135" t="s">
        <v>1085</v>
      </c>
      <c r="D36" s="135" t="s">
        <v>287</v>
      </c>
      <c r="E36" s="135" t="s">
        <v>289</v>
      </c>
      <c r="F36" s="136" t="s">
        <v>288</v>
      </c>
      <c r="G36" s="132"/>
    </row>
    <row r="37" spans="1:7" x14ac:dyDescent="0.2">
      <c r="A37" s="133"/>
      <c r="B37" s="73"/>
      <c r="C37" s="73"/>
      <c r="D37" s="73"/>
      <c r="E37" s="73"/>
      <c r="F37" s="132"/>
      <c r="G37" s="132"/>
    </row>
    <row r="38" spans="1:7" ht="15.75" x14ac:dyDescent="0.25">
      <c r="A38" s="137" t="s">
        <v>23</v>
      </c>
      <c r="B38" s="140" t="str">
        <f>'SECCION I-II'!D226</f>
        <v>Excedente hasta 150 kWh</v>
      </c>
      <c r="C38" s="140" t="e">
        <f>'SECCION I-II'!F226</f>
        <v>#REF!</v>
      </c>
      <c r="D38" s="140" t="e">
        <f>'SECCION I-II'!G226</f>
        <v>#REF!</v>
      </c>
      <c r="E38" s="140" t="e">
        <f>'SECCION I-II'!H226</f>
        <v>#REF!</v>
      </c>
      <c r="F38" s="140" t="e">
        <f>'SECCION I-II'!I226</f>
        <v>#REF!</v>
      </c>
      <c r="G38" s="132"/>
    </row>
    <row r="39" spans="1:7" x14ac:dyDescent="0.2">
      <c r="A39" s="133"/>
      <c r="B39" s="73"/>
      <c r="C39" s="73"/>
      <c r="D39" s="73"/>
      <c r="E39" s="73"/>
      <c r="F39" s="132"/>
      <c r="G39" s="132"/>
    </row>
    <row r="40" spans="1:7" ht="15.75" x14ac:dyDescent="0.25">
      <c r="A40" s="137" t="s">
        <v>24</v>
      </c>
      <c r="B40" s="140">
        <f>'SECCION I-II'!D250</f>
        <v>0</v>
      </c>
      <c r="C40" s="140" t="str">
        <f>'SECCION I-II'!F250</f>
        <v>Pico</v>
      </c>
      <c r="D40" s="140" t="str">
        <f>'SECCION I-II'!G250</f>
        <v>Valle</v>
      </c>
      <c r="E40" s="140" t="str">
        <f>'SECCION I-II'!H250</f>
        <v>Resto</v>
      </c>
      <c r="F40" s="140" t="str">
        <f>'SECCION I-II'!I250</f>
        <v>Pico</v>
      </c>
      <c r="G40" s="132"/>
    </row>
    <row r="41" spans="1:7" ht="13.5" thickBot="1" x14ac:dyDescent="0.25">
      <c r="A41" s="141"/>
      <c r="B41" s="142"/>
      <c r="C41" s="142"/>
      <c r="D41" s="142"/>
      <c r="E41" s="142"/>
      <c r="F41" s="143"/>
      <c r="G41" s="143"/>
    </row>
    <row r="42" spans="1:7" ht="13.5" thickBot="1" x14ac:dyDescent="0.25">
      <c r="A42" s="126"/>
      <c r="F42" s="96"/>
      <c r="G42" s="96"/>
    </row>
    <row r="43" spans="1:7" ht="15" x14ac:dyDescent="0.25">
      <c r="A43" s="127" t="s">
        <v>1074</v>
      </c>
      <c r="B43" s="128"/>
      <c r="C43" s="128"/>
      <c r="D43" s="128"/>
      <c r="E43" s="128"/>
      <c r="F43" s="129"/>
      <c r="G43" s="129"/>
    </row>
    <row r="44" spans="1:7" x14ac:dyDescent="0.2">
      <c r="A44" s="130" t="e">
        <f>'Compra -HOJA1'!#REF!</f>
        <v>#REF!</v>
      </c>
      <c r="B44" s="131"/>
      <c r="C44" s="131"/>
      <c r="D44" s="73"/>
      <c r="E44" s="73"/>
      <c r="F44" s="132"/>
      <c r="G44" s="132"/>
    </row>
    <row r="45" spans="1:7" ht="15" x14ac:dyDescent="0.25">
      <c r="A45" s="133"/>
      <c r="B45" s="73"/>
      <c r="C45" s="73"/>
      <c r="D45" s="5697" t="s">
        <v>1058</v>
      </c>
      <c r="E45" s="5697"/>
      <c r="F45" s="5698"/>
      <c r="G45" s="132"/>
    </row>
    <row r="46" spans="1:7" ht="30" x14ac:dyDescent="0.25">
      <c r="A46" s="134" t="s">
        <v>29</v>
      </c>
      <c r="B46" s="135" t="s">
        <v>1084</v>
      </c>
      <c r="C46" s="135" t="s">
        <v>1085</v>
      </c>
      <c r="D46" s="135" t="s">
        <v>287</v>
      </c>
      <c r="E46" s="135" t="s">
        <v>289</v>
      </c>
      <c r="F46" s="136" t="s">
        <v>288</v>
      </c>
      <c r="G46" s="132"/>
    </row>
    <row r="47" spans="1:7" x14ac:dyDescent="0.2">
      <c r="A47" s="133"/>
      <c r="B47" s="73"/>
      <c r="C47" s="73"/>
      <c r="D47" s="73"/>
      <c r="E47" s="73"/>
      <c r="F47" s="132"/>
      <c r="G47" s="132"/>
    </row>
    <row r="48" spans="1:7" ht="15.75" x14ac:dyDescent="0.25">
      <c r="A48" s="137" t="s">
        <v>23</v>
      </c>
      <c r="B48" s="140" t="e">
        <f>'SECCION I-II'!#REF!</f>
        <v>#REF!</v>
      </c>
      <c r="C48" s="140" t="e">
        <f>'SECCION I-II'!#REF!</f>
        <v>#REF!</v>
      </c>
      <c r="D48" s="140" t="e">
        <f>'SECCION I-II'!#REF!</f>
        <v>#REF!</v>
      </c>
      <c r="E48" s="140" t="e">
        <f>'SECCION I-II'!#REF!</f>
        <v>#REF!</v>
      </c>
      <c r="F48" s="140" t="e">
        <f>'SECCION I-II'!#REF!</f>
        <v>#REF!</v>
      </c>
      <c r="G48" s="132"/>
    </row>
    <row r="49" spans="1:7" x14ac:dyDescent="0.2">
      <c r="A49" s="133"/>
      <c r="B49" s="73"/>
      <c r="C49" s="73"/>
      <c r="D49" s="73"/>
      <c r="E49" s="73"/>
      <c r="F49" s="132"/>
      <c r="G49" s="132"/>
    </row>
    <row r="50" spans="1:7" ht="15.75" x14ac:dyDescent="0.25">
      <c r="A50" s="137" t="s">
        <v>24</v>
      </c>
      <c r="B50" s="140" t="str">
        <f>'SECCION I-II'!D253</f>
        <v>Cantidad de Usuarios</v>
      </c>
      <c r="C50" s="140" t="str">
        <f>'SECCION I-II'!F253</f>
        <v>Potencia Máxima Promedio kW</v>
      </c>
      <c r="D50" s="140" t="str">
        <f>'SECCION I-II'!G253</f>
        <v>Energia Facturada (kWh)</v>
      </c>
      <c r="E50" s="140">
        <f>'SECCION I-II'!H253</f>
        <v>0</v>
      </c>
      <c r="F50" s="140">
        <f>'SECCION I-II'!I253</f>
        <v>0</v>
      </c>
      <c r="G50" s="132"/>
    </row>
    <row r="51" spans="1:7" ht="13.5" thickBot="1" x14ac:dyDescent="0.25">
      <c r="A51" s="141"/>
      <c r="B51" s="142"/>
      <c r="C51" s="142"/>
      <c r="D51" s="142"/>
      <c r="E51" s="142"/>
      <c r="F51" s="143"/>
      <c r="G51" s="143"/>
    </row>
    <row r="52" spans="1:7" ht="13.5" thickBot="1" x14ac:dyDescent="0.25">
      <c r="A52" s="126"/>
      <c r="F52" s="96"/>
      <c r="G52" s="96"/>
    </row>
    <row r="53" spans="1:7" ht="15" x14ac:dyDescent="0.25">
      <c r="A53" s="127" t="s">
        <v>1074</v>
      </c>
      <c r="B53" s="128"/>
      <c r="C53" s="128"/>
      <c r="D53" s="128"/>
      <c r="E53" s="128"/>
      <c r="F53" s="129"/>
      <c r="G53" s="129"/>
    </row>
    <row r="54" spans="1:7" x14ac:dyDescent="0.2">
      <c r="A54" s="130" t="e">
        <f>'Compra -HOJA1'!#REF!</f>
        <v>#REF!</v>
      </c>
      <c r="B54" s="131"/>
      <c r="C54" s="131"/>
      <c r="D54" s="73"/>
      <c r="E54" s="73"/>
      <c r="F54" s="132"/>
      <c r="G54" s="132"/>
    </row>
    <row r="55" spans="1:7" ht="15" x14ac:dyDescent="0.25">
      <c r="A55" s="133"/>
      <c r="B55" s="73"/>
      <c r="C55" s="73"/>
      <c r="D55" s="5697" t="s">
        <v>1058</v>
      </c>
      <c r="E55" s="5697"/>
      <c r="F55" s="5698"/>
      <c r="G55" s="132"/>
    </row>
    <row r="56" spans="1:7" ht="30" x14ac:dyDescent="0.25">
      <c r="A56" s="134" t="s">
        <v>29</v>
      </c>
      <c r="B56" s="135" t="s">
        <v>1084</v>
      </c>
      <c r="C56" s="135" t="s">
        <v>1085</v>
      </c>
      <c r="D56" s="135" t="s">
        <v>287</v>
      </c>
      <c r="E56" s="135" t="s">
        <v>289</v>
      </c>
      <c r="F56" s="136" t="s">
        <v>288</v>
      </c>
      <c r="G56" s="132"/>
    </row>
    <row r="57" spans="1:7" x14ac:dyDescent="0.2">
      <c r="A57" s="133"/>
      <c r="B57" s="73"/>
      <c r="C57" s="73"/>
      <c r="D57" s="73"/>
      <c r="E57" s="73"/>
      <c r="F57" s="132"/>
      <c r="G57" s="132"/>
    </row>
    <row r="58" spans="1:7" ht="15.75" x14ac:dyDescent="0.25">
      <c r="A58" s="137" t="s">
        <v>23</v>
      </c>
      <c r="B58" s="140" t="str">
        <f>'SECCION I-II'!D227</f>
        <v>Excedente superior a 150 kWh</v>
      </c>
      <c r="C58" s="140" t="e">
        <f>'SECCION I-II'!F227</f>
        <v>#REF!</v>
      </c>
      <c r="D58" s="140" t="e">
        <f>'SECCION I-II'!G227</f>
        <v>#REF!</v>
      </c>
      <c r="E58" s="140" t="e">
        <f>'SECCION I-II'!H227</f>
        <v>#REF!</v>
      </c>
      <c r="F58" s="140" t="e">
        <f>'SECCION I-II'!I227</f>
        <v>#REF!</v>
      </c>
      <c r="G58" s="132"/>
    </row>
    <row r="59" spans="1:7" x14ac:dyDescent="0.2">
      <c r="A59" s="133"/>
      <c r="B59" s="73"/>
      <c r="C59" s="73"/>
      <c r="D59" s="73"/>
      <c r="E59" s="73"/>
      <c r="F59" s="132"/>
      <c r="G59" s="132"/>
    </row>
    <row r="60" spans="1:7" ht="15.75" x14ac:dyDescent="0.25">
      <c r="A60" s="137" t="s">
        <v>24</v>
      </c>
      <c r="B60" s="140">
        <f>'SECCION I-II'!D254</f>
        <v>0</v>
      </c>
      <c r="C60" s="140">
        <f>'SECCION I-II'!F254</f>
        <v>0</v>
      </c>
      <c r="D60" s="140" t="str">
        <f>'SECCION I-II'!G254</f>
        <v>Pico</v>
      </c>
      <c r="E60" s="140" t="str">
        <f>'SECCION I-II'!H254</f>
        <v xml:space="preserve">Valle </v>
      </c>
      <c r="F60" s="140" t="str">
        <f>'SECCION I-II'!I254</f>
        <v>Resto</v>
      </c>
      <c r="G60" s="132"/>
    </row>
    <row r="61" spans="1:7" ht="13.5" thickBot="1" x14ac:dyDescent="0.25">
      <c r="A61" s="141"/>
      <c r="B61" s="142"/>
      <c r="C61" s="142"/>
      <c r="D61" s="142"/>
      <c r="E61" s="142"/>
      <c r="F61" s="143"/>
      <c r="G61" s="143"/>
    </row>
    <row r="62" spans="1:7" ht="13.5" thickBot="1" x14ac:dyDescent="0.25">
      <c r="A62" s="126"/>
      <c r="F62" s="96"/>
      <c r="G62" s="96"/>
    </row>
    <row r="63" spans="1:7" ht="15" x14ac:dyDescent="0.25">
      <c r="A63" s="127" t="s">
        <v>1074</v>
      </c>
      <c r="B63" s="128"/>
      <c r="C63" s="128"/>
      <c r="D63" s="128"/>
      <c r="E63" s="128"/>
      <c r="F63" s="129"/>
      <c r="G63" s="129"/>
    </row>
    <row r="64" spans="1:7" x14ac:dyDescent="0.2">
      <c r="A64" s="130" t="e">
        <f>'Compra -HOJA1'!#REF!</f>
        <v>#REF!</v>
      </c>
      <c r="B64" s="131"/>
      <c r="C64" s="131"/>
      <c r="D64" s="73"/>
      <c r="E64" s="73"/>
      <c r="F64" s="132"/>
      <c r="G64" s="132"/>
    </row>
    <row r="65" spans="1:7" ht="15" x14ac:dyDescent="0.25">
      <c r="A65" s="133"/>
      <c r="B65" s="73"/>
      <c r="C65" s="73"/>
      <c r="D65" s="5697" t="s">
        <v>1058</v>
      </c>
      <c r="E65" s="5697"/>
      <c r="F65" s="5698"/>
      <c r="G65" s="132"/>
    </row>
    <row r="66" spans="1:7" ht="30" x14ac:dyDescent="0.25">
      <c r="A66" s="134" t="s">
        <v>29</v>
      </c>
      <c r="B66" s="135" t="s">
        <v>1084</v>
      </c>
      <c r="C66" s="135" t="s">
        <v>1085</v>
      </c>
      <c r="D66" s="135" t="s">
        <v>287</v>
      </c>
      <c r="E66" s="135" t="s">
        <v>289</v>
      </c>
      <c r="F66" s="136" t="s">
        <v>288</v>
      </c>
      <c r="G66" s="132"/>
    </row>
    <row r="67" spans="1:7" x14ac:dyDescent="0.2">
      <c r="A67" s="133"/>
      <c r="B67" s="73"/>
      <c r="C67" s="73"/>
      <c r="D67" s="73"/>
      <c r="E67" s="73"/>
      <c r="F67" s="132"/>
      <c r="G67" s="132"/>
    </row>
    <row r="68" spans="1:7" ht="15.75" x14ac:dyDescent="0.25">
      <c r="A68" s="137" t="s">
        <v>23</v>
      </c>
      <c r="B68" s="140" t="str">
        <f>'SECCION I-II'!D228</f>
        <v>HOGARES INDIGENTES: &gt; 120 kWh/mes y &lt;= 150 kWh/mes</v>
      </c>
      <c r="C68" s="140">
        <f>'SECCION I-II'!F228</f>
        <v>0</v>
      </c>
      <c r="D68" s="140">
        <f>'SECCION I-II'!G228</f>
        <v>0</v>
      </c>
      <c r="E68" s="140">
        <f>'SECCION I-II'!H228</f>
        <v>0</v>
      </c>
      <c r="F68" s="140">
        <f ca="1">'SECCION I-II'!I228</f>
        <v>0</v>
      </c>
      <c r="G68" s="132"/>
    </row>
    <row r="69" spans="1:7" x14ac:dyDescent="0.2">
      <c r="A69" s="133"/>
      <c r="B69" s="73"/>
      <c r="C69" s="73"/>
      <c r="D69" s="73"/>
      <c r="E69" s="73"/>
      <c r="F69" s="132"/>
      <c r="G69" s="132"/>
    </row>
    <row r="70" spans="1:7" ht="15.75" x14ac:dyDescent="0.25">
      <c r="A70" s="137" t="s">
        <v>24</v>
      </c>
      <c r="B70" s="140">
        <f>'SECCION I-II'!D255</f>
        <v>0</v>
      </c>
      <c r="C70" s="140">
        <f>'SECCION I-II'!F255</f>
        <v>0</v>
      </c>
      <c r="D70" s="140">
        <f>'SECCION I-II'!G255</f>
        <v>0</v>
      </c>
      <c r="E70" s="140">
        <f>'SECCION I-II'!H255</f>
        <v>0</v>
      </c>
      <c r="F70" s="140">
        <f>'SECCION I-II'!I255</f>
        <v>0</v>
      </c>
      <c r="G70" s="132"/>
    </row>
    <row r="71" spans="1:7" ht="13.5" thickBot="1" x14ac:dyDescent="0.25">
      <c r="A71" s="141"/>
      <c r="B71" s="142"/>
      <c r="C71" s="142"/>
      <c r="D71" s="142"/>
      <c r="E71" s="142"/>
      <c r="F71" s="143"/>
      <c r="G71" s="143"/>
    </row>
    <row r="72" spans="1:7" ht="15" x14ac:dyDescent="0.25">
      <c r="A72" s="127" t="s">
        <v>1074</v>
      </c>
      <c r="B72" s="128"/>
      <c r="C72" s="128"/>
      <c r="D72" s="128"/>
      <c r="E72" s="128"/>
      <c r="F72" s="129"/>
      <c r="G72" s="132"/>
    </row>
    <row r="73" spans="1:7" x14ac:dyDescent="0.2">
      <c r="A73" s="130" t="e">
        <f>'Compra -HOJA1'!#REF!</f>
        <v>#REF!</v>
      </c>
      <c r="B73" s="131"/>
      <c r="C73" s="131"/>
      <c r="D73" s="73"/>
      <c r="E73" s="73"/>
      <c r="F73" s="132"/>
      <c r="G73" s="132"/>
    </row>
    <row r="74" spans="1:7" ht="15" x14ac:dyDescent="0.25">
      <c r="A74" s="133"/>
      <c r="B74" s="73"/>
      <c r="C74" s="73"/>
      <c r="D74" s="5697" t="s">
        <v>1058</v>
      </c>
      <c r="E74" s="5697"/>
      <c r="F74" s="5698"/>
      <c r="G74" s="132"/>
    </row>
    <row r="75" spans="1:7" ht="30" x14ac:dyDescent="0.25">
      <c r="A75" s="134" t="s">
        <v>29</v>
      </c>
      <c r="B75" s="135" t="s">
        <v>1084</v>
      </c>
      <c r="C75" s="135" t="s">
        <v>1085</v>
      </c>
      <c r="D75" s="135" t="s">
        <v>287</v>
      </c>
      <c r="E75" s="135" t="s">
        <v>289</v>
      </c>
      <c r="F75" s="136" t="s">
        <v>288</v>
      </c>
      <c r="G75" s="132"/>
    </row>
    <row r="76" spans="1:7" x14ac:dyDescent="0.2">
      <c r="A76" s="133"/>
      <c r="B76" s="73"/>
      <c r="C76" s="73"/>
      <c r="D76" s="73"/>
      <c r="E76" s="73"/>
      <c r="F76" s="132"/>
      <c r="G76" s="132"/>
    </row>
    <row r="77" spans="1:7" ht="15.75" x14ac:dyDescent="0.25">
      <c r="A77" s="137" t="s">
        <v>23</v>
      </c>
      <c r="B77" s="140" t="str">
        <f>'SECCION I-II'!D232</f>
        <v xml:space="preserve">TARIFA E.D. - </v>
      </c>
      <c r="C77" s="140">
        <f>'SECCION I-II'!F232</f>
        <v>0</v>
      </c>
      <c r="D77" s="140">
        <f>'SECCION I-II'!G232</f>
        <v>0</v>
      </c>
      <c r="E77" s="140">
        <f>'SECCION I-II'!H232</f>
        <v>0</v>
      </c>
      <c r="F77" s="140">
        <f ca="1">'SECCION I-II'!I232</f>
        <v>0</v>
      </c>
      <c r="G77" s="132"/>
    </row>
    <row r="78" spans="1:7" x14ac:dyDescent="0.2">
      <c r="A78" s="133"/>
      <c r="B78" s="73"/>
      <c r="C78" s="73"/>
      <c r="D78" s="73"/>
      <c r="E78" s="73"/>
      <c r="F78" s="132"/>
      <c r="G78" s="132"/>
    </row>
    <row r="79" spans="1:7" ht="15.75" x14ac:dyDescent="0.25">
      <c r="A79" s="137" t="s">
        <v>24</v>
      </c>
      <c r="B79" s="140">
        <f>'SECCION I-II'!D256</f>
        <v>0</v>
      </c>
      <c r="C79" s="140">
        <f>'SECCION I-II'!F256</f>
        <v>0</v>
      </c>
      <c r="D79" s="140">
        <f>'SECCION I-II'!G256</f>
        <v>0</v>
      </c>
      <c r="E79" s="140">
        <f>'SECCION I-II'!H256</f>
        <v>0</v>
      </c>
      <c r="F79" s="140">
        <f>'SECCION I-II'!I256</f>
        <v>0</v>
      </c>
      <c r="G79" s="132"/>
    </row>
    <row r="80" spans="1:7" ht="13.5" thickBot="1" x14ac:dyDescent="0.25">
      <c r="A80" s="133"/>
      <c r="B80" s="73"/>
      <c r="C80" s="73"/>
      <c r="D80" s="73"/>
      <c r="E80" s="73"/>
      <c r="F80" s="132"/>
      <c r="G80" s="132"/>
    </row>
    <row r="81" spans="1:7" ht="15" x14ac:dyDescent="0.25">
      <c r="A81" s="127" t="s">
        <v>1074</v>
      </c>
      <c r="B81" s="128"/>
      <c r="C81" s="128"/>
      <c r="D81" s="128"/>
      <c r="E81" s="128"/>
      <c r="F81" s="129"/>
      <c r="G81" s="132"/>
    </row>
    <row r="82" spans="1:7" x14ac:dyDescent="0.2">
      <c r="A82" s="130" t="e">
        <f>'Compra -HOJA1'!#REF!</f>
        <v>#REF!</v>
      </c>
      <c r="B82" s="131"/>
      <c r="C82" s="131"/>
      <c r="D82" s="73"/>
      <c r="E82" s="73"/>
      <c r="F82" s="132"/>
      <c r="G82" s="132"/>
    </row>
    <row r="83" spans="1:7" ht="15" x14ac:dyDescent="0.25">
      <c r="A83" s="133"/>
      <c r="B83" s="73"/>
      <c r="C83" s="73"/>
      <c r="D83" s="5697" t="s">
        <v>1058</v>
      </c>
      <c r="E83" s="5697"/>
      <c r="F83" s="5698"/>
      <c r="G83" s="132"/>
    </row>
    <row r="84" spans="1:7" ht="30" x14ac:dyDescent="0.25">
      <c r="A84" s="134" t="s">
        <v>29</v>
      </c>
      <c r="B84" s="135" t="s">
        <v>1084</v>
      </c>
      <c r="C84" s="135" t="s">
        <v>1085</v>
      </c>
      <c r="D84" s="135" t="s">
        <v>287</v>
      </c>
      <c r="E84" s="135" t="s">
        <v>289</v>
      </c>
      <c r="F84" s="136" t="s">
        <v>288</v>
      </c>
      <c r="G84" s="132"/>
    </row>
    <row r="85" spans="1:7" x14ac:dyDescent="0.2">
      <c r="A85" s="133"/>
      <c r="B85" s="73"/>
      <c r="C85" s="73"/>
      <c r="D85" s="73"/>
      <c r="E85" s="73"/>
      <c r="F85" s="132"/>
      <c r="G85" s="132"/>
    </row>
    <row r="86" spans="1:7" ht="15.75" x14ac:dyDescent="0.25">
      <c r="A86" s="137" t="s">
        <v>23</v>
      </c>
      <c r="B86" s="140" t="e">
        <f>'SECCION I-II'!#REF!</f>
        <v>#REF!</v>
      </c>
      <c r="C86" s="140" t="e">
        <f>'SECCION I-II'!#REF!</f>
        <v>#REF!</v>
      </c>
      <c r="D86" s="140" t="e">
        <f>'SECCION I-II'!#REF!</f>
        <v>#REF!</v>
      </c>
      <c r="E86" s="140" t="e">
        <f>'SECCION I-II'!#REF!</f>
        <v>#REF!</v>
      </c>
      <c r="F86" s="140" t="e">
        <f>'SECCION I-II'!#REF!</f>
        <v>#REF!</v>
      </c>
      <c r="G86" s="132"/>
    </row>
    <row r="87" spans="1:7" x14ac:dyDescent="0.2">
      <c r="A87" s="133"/>
      <c r="B87" s="73"/>
      <c r="C87" s="73"/>
      <c r="D87" s="73"/>
      <c r="E87" s="73"/>
      <c r="F87" s="132"/>
      <c r="G87" s="132"/>
    </row>
    <row r="88" spans="1:7" ht="15.75" x14ac:dyDescent="0.25">
      <c r="A88" s="137" t="s">
        <v>24</v>
      </c>
      <c r="B88" s="140">
        <f>'SECCION I-II'!D257</f>
        <v>0</v>
      </c>
      <c r="C88" s="140">
        <f>'SECCION I-II'!F257</f>
        <v>0</v>
      </c>
      <c r="D88" s="140">
        <f>'SECCION I-II'!G257</f>
        <v>0</v>
      </c>
      <c r="E88" s="140">
        <f>'SECCION I-II'!H257</f>
        <v>0</v>
      </c>
      <c r="F88" s="140">
        <f>'SECCION I-II'!I257</f>
        <v>0</v>
      </c>
      <c r="G88" s="132"/>
    </row>
    <row r="89" spans="1:7" ht="13.5" thickBot="1" x14ac:dyDescent="0.25">
      <c r="A89" s="133"/>
      <c r="B89" s="73"/>
      <c r="C89" s="73"/>
      <c r="D89" s="73"/>
      <c r="E89" s="73"/>
      <c r="F89" s="132"/>
      <c r="G89" s="132"/>
    </row>
    <row r="90" spans="1:7" ht="15" x14ac:dyDescent="0.25">
      <c r="A90" s="127" t="s">
        <v>1074</v>
      </c>
      <c r="B90" s="128"/>
      <c r="C90" s="128"/>
      <c r="D90" s="128"/>
      <c r="E90" s="128"/>
      <c r="F90" s="129"/>
      <c r="G90" s="132"/>
    </row>
    <row r="91" spans="1:7" x14ac:dyDescent="0.2">
      <c r="A91" s="130" t="e">
        <f>'Compra -HOJA1'!#REF!</f>
        <v>#REF!</v>
      </c>
      <c r="B91" s="131"/>
      <c r="C91" s="131"/>
      <c r="D91" s="73"/>
      <c r="E91" s="73"/>
      <c r="F91" s="132"/>
      <c r="G91" s="132"/>
    </row>
    <row r="92" spans="1:7" ht="15" x14ac:dyDescent="0.25">
      <c r="A92" s="133"/>
      <c r="B92" s="73"/>
      <c r="C92" s="73"/>
      <c r="D92" s="5697" t="s">
        <v>1058</v>
      </c>
      <c r="E92" s="5697"/>
      <c r="F92" s="5698"/>
      <c r="G92" s="132"/>
    </row>
    <row r="93" spans="1:7" ht="30" x14ac:dyDescent="0.25">
      <c r="A93" s="134" t="s">
        <v>29</v>
      </c>
      <c r="B93" s="135" t="s">
        <v>1084</v>
      </c>
      <c r="C93" s="135" t="s">
        <v>1085</v>
      </c>
      <c r="D93" s="135" t="s">
        <v>287</v>
      </c>
      <c r="E93" s="135" t="s">
        <v>289</v>
      </c>
      <c r="F93" s="136" t="s">
        <v>288</v>
      </c>
      <c r="G93" s="132"/>
    </row>
    <row r="94" spans="1:7" x14ac:dyDescent="0.2">
      <c r="A94" s="133"/>
      <c r="B94" s="73"/>
      <c r="C94" s="73"/>
      <c r="D94" s="73"/>
      <c r="E94" s="73"/>
      <c r="F94" s="132"/>
      <c r="G94" s="132"/>
    </row>
    <row r="95" spans="1:7" ht="15.75" x14ac:dyDescent="0.25">
      <c r="A95" s="137" t="s">
        <v>23</v>
      </c>
      <c r="B95" s="140" t="str">
        <f>'SECCION I-II'!D236</f>
        <v>HOGARES POBRES O CARENCIADOS &gt; 120 kWh/mes y &lt;= 150 kWh/mes</v>
      </c>
      <c r="C95" s="140" t="e">
        <f>'SECCION I-II'!F236</f>
        <v>#REF!</v>
      </c>
      <c r="D95" s="140" t="e">
        <f>'SECCION I-II'!G236</f>
        <v>#REF!</v>
      </c>
      <c r="E95" s="140" t="e">
        <f>'SECCION I-II'!H236</f>
        <v>#REF!</v>
      </c>
      <c r="F95" s="140" t="e">
        <f>'SECCION I-II'!I236</f>
        <v>#REF!</v>
      </c>
      <c r="G95" s="132"/>
    </row>
    <row r="96" spans="1:7" x14ac:dyDescent="0.2">
      <c r="A96" s="133"/>
      <c r="B96" s="73"/>
      <c r="C96" s="73"/>
      <c r="D96" s="73"/>
      <c r="E96" s="73"/>
      <c r="F96" s="132"/>
      <c r="G96" s="132"/>
    </row>
    <row r="97" spans="1:7" ht="15.75" x14ac:dyDescent="0.25">
      <c r="A97" s="137" t="s">
        <v>24</v>
      </c>
      <c r="B97" s="140">
        <f>'SECCION I-II'!D258</f>
        <v>0</v>
      </c>
      <c r="C97" s="140">
        <f>'SECCION I-II'!F258</f>
        <v>0</v>
      </c>
      <c r="D97" s="140">
        <f>'SECCION I-II'!G258</f>
        <v>0</v>
      </c>
      <c r="E97" s="140">
        <f>'SECCION I-II'!H258</f>
        <v>0</v>
      </c>
      <c r="F97" s="140">
        <f>'SECCION I-II'!I258</f>
        <v>0</v>
      </c>
      <c r="G97" s="132"/>
    </row>
    <row r="98" spans="1:7" ht="13.5" thickBot="1" x14ac:dyDescent="0.25">
      <c r="A98" s="133"/>
      <c r="B98" s="73"/>
      <c r="C98" s="73"/>
      <c r="D98" s="73"/>
      <c r="E98" s="73"/>
      <c r="F98" s="132"/>
      <c r="G98" s="132"/>
    </row>
    <row r="99" spans="1:7" ht="15" x14ac:dyDescent="0.25">
      <c r="A99" s="127" t="s">
        <v>1074</v>
      </c>
      <c r="B99" s="128"/>
      <c r="C99" s="128"/>
      <c r="D99" s="128"/>
      <c r="E99" s="128"/>
      <c r="F99" s="129"/>
      <c r="G99" s="132"/>
    </row>
    <row r="100" spans="1:7" x14ac:dyDescent="0.2">
      <c r="A100" s="130" t="e">
        <f>'Compra -HOJA1'!#REF!</f>
        <v>#REF!</v>
      </c>
      <c r="B100" s="131"/>
      <c r="C100" s="131"/>
      <c r="D100" s="73"/>
      <c r="E100" s="73"/>
      <c r="F100" s="132"/>
      <c r="G100" s="132"/>
    </row>
    <row r="101" spans="1:7" ht="15" x14ac:dyDescent="0.25">
      <c r="A101" s="133"/>
      <c r="B101" s="73"/>
      <c r="C101" s="73"/>
      <c r="D101" s="5697" t="s">
        <v>1058</v>
      </c>
      <c r="E101" s="5697"/>
      <c r="F101" s="5698"/>
      <c r="G101" s="132"/>
    </row>
    <row r="102" spans="1:7" ht="30" x14ac:dyDescent="0.25">
      <c r="A102" s="134" t="s">
        <v>29</v>
      </c>
      <c r="B102" s="135" t="s">
        <v>1084</v>
      </c>
      <c r="C102" s="135" t="s">
        <v>1085</v>
      </c>
      <c r="D102" s="135" t="s">
        <v>287</v>
      </c>
      <c r="E102" s="135" t="s">
        <v>289</v>
      </c>
      <c r="F102" s="136" t="s">
        <v>288</v>
      </c>
      <c r="G102" s="132"/>
    </row>
    <row r="103" spans="1:7" x14ac:dyDescent="0.2">
      <c r="A103" s="133"/>
      <c r="B103" s="73"/>
      <c r="C103" s="73"/>
      <c r="D103" s="73"/>
      <c r="E103" s="73"/>
      <c r="F103" s="132"/>
      <c r="G103" s="132"/>
    </row>
    <row r="104" spans="1:7" ht="15.75" x14ac:dyDescent="0.25">
      <c r="A104" s="137" t="s">
        <v>23</v>
      </c>
      <c r="B104" s="140" t="str">
        <f>'SECCION I-II'!D237</f>
        <v>Excedente hasta 150 kWh</v>
      </c>
      <c r="C104" s="140" t="e">
        <f>'SECCION I-II'!F237</f>
        <v>#REF!</v>
      </c>
      <c r="D104" s="140" t="e">
        <f>'SECCION I-II'!G237</f>
        <v>#REF!</v>
      </c>
      <c r="E104" s="140" t="e">
        <f>'SECCION I-II'!H237</f>
        <v>#REF!</v>
      </c>
      <c r="F104" s="140" t="e">
        <f>'SECCION I-II'!I237</f>
        <v>#REF!</v>
      </c>
      <c r="G104" s="132"/>
    </row>
    <row r="105" spans="1:7" x14ac:dyDescent="0.2">
      <c r="A105" s="133"/>
      <c r="B105" s="73"/>
      <c r="C105" s="73"/>
      <c r="D105" s="73"/>
      <c r="E105" s="73"/>
      <c r="F105" s="132"/>
      <c r="G105" s="132"/>
    </row>
    <row r="106" spans="1:7" ht="15.75" x14ac:dyDescent="0.25">
      <c r="A106" s="137" t="s">
        <v>24</v>
      </c>
      <c r="B106" s="140">
        <f>'SECCION I-II'!D259</f>
        <v>0</v>
      </c>
      <c r="C106" s="140">
        <f>'SECCION I-II'!F259</f>
        <v>0</v>
      </c>
      <c r="D106" s="140">
        <f>'SECCION I-II'!G259</f>
        <v>0</v>
      </c>
      <c r="E106" s="140">
        <f>'SECCION I-II'!H259</f>
        <v>0</v>
      </c>
      <c r="F106" s="140">
        <f>'SECCION I-II'!I259</f>
        <v>0</v>
      </c>
      <c r="G106" s="132"/>
    </row>
    <row r="107" spans="1:7" x14ac:dyDescent="0.2">
      <c r="A107" s="133"/>
      <c r="B107" s="73"/>
      <c r="C107" s="73"/>
      <c r="D107" s="73"/>
      <c r="E107" s="73"/>
      <c r="F107" s="132"/>
      <c r="G107" s="132"/>
    </row>
    <row r="108" spans="1:7" x14ac:dyDescent="0.2">
      <c r="A108" s="147"/>
      <c r="B108" s="105"/>
      <c r="C108" s="105"/>
      <c r="D108" s="105"/>
      <c r="E108" s="105"/>
      <c r="F108" s="148"/>
      <c r="G108" s="96"/>
    </row>
    <row r="109" spans="1:7" ht="18" x14ac:dyDescent="0.25">
      <c r="A109" s="147" t="s">
        <v>1075</v>
      </c>
      <c r="B109" s="228" t="e">
        <f>B18+B20+B28+B30+B38+B40+B48+B50+B58+B60+B68+B70+B77+B79+B88+B86+B95+B97+B104+B106</f>
        <v>#VALUE!</v>
      </c>
      <c r="C109" s="228"/>
      <c r="D109" s="228" t="e">
        <f>D18+D20+D28+D30+D38+D40+D48+D50+D58+D60+D68+D70+D77+D79+D88+D86+D95+D97+D104+D106</f>
        <v>#REF!</v>
      </c>
      <c r="E109" s="228" t="e">
        <f>E18+E20+E28+E30+E38+E40+E48+E50+E58+E60+E68+E70+E77+E79+E88+E86+E95+E97+E104+E106</f>
        <v>#REF!</v>
      </c>
      <c r="F109" s="228" t="e">
        <f ca="1">F18+F20+F28+F30+F38+F40+F48+F50+F58+F60+F68+F70+F77+F79+F88+F86+F95+F97+F104+F106</f>
        <v>#REF!</v>
      </c>
      <c r="G109" s="96"/>
    </row>
    <row r="110" spans="1:7" ht="13.5" thickBot="1" x14ac:dyDescent="0.25">
      <c r="A110" s="150"/>
      <c r="B110" s="151"/>
      <c r="C110" s="151"/>
      <c r="D110" s="170"/>
      <c r="E110" s="170"/>
      <c r="F110" s="171"/>
      <c r="G110" s="96"/>
    </row>
    <row r="111" spans="1:7" ht="13.5" thickBot="1" x14ac:dyDescent="0.25">
      <c r="A111" s="153"/>
      <c r="B111" s="154"/>
      <c r="C111" s="154"/>
      <c r="D111" s="105"/>
      <c r="E111" s="105"/>
      <c r="F111" s="105"/>
      <c r="G111" s="165"/>
    </row>
    <row r="112" spans="1:7" ht="15" x14ac:dyDescent="0.25">
      <c r="A112" s="144" t="s">
        <v>1068</v>
      </c>
      <c r="B112" s="145"/>
      <c r="C112" s="145"/>
      <c r="D112" s="155" t="s">
        <v>287</v>
      </c>
      <c r="E112" s="155" t="s">
        <v>289</v>
      </c>
      <c r="F112" s="156" t="s">
        <v>288</v>
      </c>
    </row>
    <row r="113" spans="1:6" x14ac:dyDescent="0.2">
      <c r="A113" s="126"/>
      <c r="D113" s="12"/>
      <c r="E113" s="12"/>
      <c r="F113" s="157"/>
    </row>
    <row r="114" spans="1:6" x14ac:dyDescent="0.2">
      <c r="A114" s="126" t="s">
        <v>1059</v>
      </c>
      <c r="B114" s="149" t="e">
        <f>B7+B9</f>
        <v>#VALUE!</v>
      </c>
      <c r="D114" s="149" t="e">
        <f>D7+D9</f>
        <v>#REF!</v>
      </c>
      <c r="E114" s="149" t="e">
        <f>E7+E9</f>
        <v>#REF!</v>
      </c>
      <c r="F114" s="149" t="e">
        <f>F7+F9</f>
        <v>#REF!</v>
      </c>
    </row>
    <row r="115" spans="1:6" x14ac:dyDescent="0.2">
      <c r="A115" s="126"/>
      <c r="B115" s="12"/>
      <c r="D115" s="159"/>
      <c r="E115" s="159"/>
      <c r="F115" s="160"/>
    </row>
    <row r="116" spans="1:6" x14ac:dyDescent="0.2">
      <c r="A116" s="126" t="s">
        <v>1060</v>
      </c>
      <c r="B116" s="149" t="e">
        <f>B109</f>
        <v>#VALUE!</v>
      </c>
      <c r="D116" s="149" t="e">
        <f>D109</f>
        <v>#REF!</v>
      </c>
      <c r="E116" s="149" t="e">
        <f>E109</f>
        <v>#REF!</v>
      </c>
      <c r="F116" s="149" t="e">
        <f ca="1">F109</f>
        <v>#REF!</v>
      </c>
    </row>
    <row r="117" spans="1:6" x14ac:dyDescent="0.2">
      <c r="A117" s="126"/>
      <c r="B117" s="12"/>
      <c r="D117" s="12"/>
      <c r="E117" s="12"/>
      <c r="F117" s="157"/>
    </row>
    <row r="118" spans="1:6" ht="15" x14ac:dyDescent="0.25">
      <c r="A118" s="109" t="s">
        <v>1069</v>
      </c>
      <c r="B118" s="238" t="e">
        <f>SUM(B114:B116)</f>
        <v>#VALUE!</v>
      </c>
      <c r="C118" s="234"/>
      <c r="D118" s="161" t="e">
        <f>D114+D116</f>
        <v>#REF!</v>
      </c>
      <c r="E118" s="161" t="e">
        <f>E114+E116</f>
        <v>#REF!</v>
      </c>
      <c r="F118" s="161" t="e">
        <f ca="1">F114+F116</f>
        <v>#REF!</v>
      </c>
    </row>
    <row r="119" spans="1:6" ht="13.5" thickBot="1" x14ac:dyDescent="0.25">
      <c r="A119" s="163"/>
      <c r="B119" s="164"/>
      <c r="C119" s="164"/>
      <c r="E119" s="164"/>
      <c r="F119" s="165"/>
    </row>
    <row r="120" spans="1:6" ht="16.5" thickBot="1" x14ac:dyDescent="0.3">
      <c r="A120" s="5699" t="s">
        <v>1070</v>
      </c>
      <c r="B120" s="5700"/>
      <c r="C120" s="5701"/>
      <c r="D120" s="166">
        <f>'Compra -HOJA1'!G10</f>
        <v>0</v>
      </c>
      <c r="E120" s="167">
        <f>'Compra -HOJA1'!I10</f>
        <v>0</v>
      </c>
      <c r="F120" s="168">
        <f>'Compra -HOJA1'!H10</f>
        <v>0</v>
      </c>
    </row>
    <row r="122" spans="1:6" x14ac:dyDescent="0.2">
      <c r="D122" s="25" t="str">
        <f>'SECCION I-II'!G263</f>
        <v>Energia Facturada (kWh)</v>
      </c>
      <c r="E122" s="25">
        <f>'SECCION I-II'!H263</f>
        <v>0</v>
      </c>
      <c r="F122" s="25">
        <f>'SECCION I-II'!I263</f>
        <v>0</v>
      </c>
    </row>
  </sheetData>
  <mergeCells count="13">
    <mergeCell ref="D83:F83"/>
    <mergeCell ref="D92:F92"/>
    <mergeCell ref="D101:F101"/>
    <mergeCell ref="A120:C120"/>
    <mergeCell ref="A1:G1"/>
    <mergeCell ref="D4:F4"/>
    <mergeCell ref="D15:F15"/>
    <mergeCell ref="D25:F25"/>
    <mergeCell ref="D35:F35"/>
    <mergeCell ref="D45:F45"/>
    <mergeCell ref="D55:F55"/>
    <mergeCell ref="D65:F65"/>
    <mergeCell ref="D74:F74"/>
  </mergeCells>
  <phoneticPr fontId="74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Hoja28"/>
  <dimension ref="A1:G122"/>
  <sheetViews>
    <sheetView topLeftCell="A90" workbookViewId="0">
      <selection activeCell="B114" sqref="B114:B118"/>
    </sheetView>
  </sheetViews>
  <sheetFormatPr baseColWidth="10" defaultColWidth="11.42578125" defaultRowHeight="12.75" x14ac:dyDescent="0.2"/>
  <cols>
    <col min="1" max="1" width="37.42578125" style="9" customWidth="1"/>
    <col min="2" max="3" width="19.5703125" style="9" customWidth="1"/>
    <col min="4" max="6" width="22.5703125" style="9" customWidth="1"/>
    <col min="7" max="7" width="22.5703125" style="9" hidden="1" customWidth="1"/>
    <col min="8" max="16384" width="11.42578125" style="9"/>
  </cols>
  <sheetData>
    <row r="1" spans="1:7" ht="21" x14ac:dyDescent="0.35">
      <c r="A1" s="5703" t="s">
        <v>1088</v>
      </c>
      <c r="B1" s="5704"/>
      <c r="C1" s="5704"/>
      <c r="D1" s="5704"/>
      <c r="E1" s="5704"/>
      <c r="F1" s="5704"/>
      <c r="G1" s="5705"/>
    </row>
    <row r="2" spans="1:7" ht="15.75" thickBot="1" x14ac:dyDescent="0.3">
      <c r="A2" s="109" t="s">
        <v>1089</v>
      </c>
      <c r="G2" s="96"/>
    </row>
    <row r="3" spans="1:7" ht="15" x14ac:dyDescent="0.25">
      <c r="A3" s="110" t="s">
        <v>1073</v>
      </c>
      <c r="B3" s="111"/>
      <c r="C3" s="111"/>
      <c r="D3" s="111"/>
      <c r="E3" s="111"/>
      <c r="F3" s="112"/>
      <c r="G3" s="112"/>
    </row>
    <row r="4" spans="1:7" ht="15" x14ac:dyDescent="0.25">
      <c r="A4" s="113"/>
      <c r="B4" s="114"/>
      <c r="C4" s="114"/>
      <c r="D4" s="5706" t="s">
        <v>1058</v>
      </c>
      <c r="E4" s="5706"/>
      <c r="F4" s="5707"/>
      <c r="G4" s="115"/>
    </row>
    <row r="5" spans="1:7" ht="30" x14ac:dyDescent="0.25">
      <c r="A5" s="116" t="s">
        <v>29</v>
      </c>
      <c r="B5" s="117" t="s">
        <v>1084</v>
      </c>
      <c r="C5" s="117" t="s">
        <v>1085</v>
      </c>
      <c r="D5" s="117" t="s">
        <v>287</v>
      </c>
      <c r="E5" s="117" t="s">
        <v>289</v>
      </c>
      <c r="F5" s="118" t="s">
        <v>288</v>
      </c>
      <c r="G5" s="115"/>
    </row>
    <row r="6" spans="1:7" x14ac:dyDescent="0.2">
      <c r="A6" s="113"/>
      <c r="B6" s="114"/>
      <c r="C6" s="114"/>
      <c r="D6" s="114"/>
      <c r="E6" s="114"/>
      <c r="F6" s="115"/>
      <c r="G6" s="115"/>
    </row>
    <row r="7" spans="1:7" ht="15.75" x14ac:dyDescent="0.25">
      <c r="A7" s="119" t="s">
        <v>23</v>
      </c>
      <c r="B7" s="172" t="e">
        <f>'SECCION I-II'!#REF!</f>
        <v>#REF!</v>
      </c>
      <c r="C7" s="172" t="e">
        <f>'SECCION I-II'!#REF!</f>
        <v>#REF!</v>
      </c>
      <c r="D7" s="172" t="e">
        <f>'SECCION I-II'!#REF!</f>
        <v>#REF!</v>
      </c>
      <c r="E7" s="172" t="e">
        <f>'SECCION I-II'!#REF!</f>
        <v>#REF!</v>
      </c>
      <c r="F7" s="172" t="e">
        <f>'SECCION I-II'!#REF!</f>
        <v>#REF!</v>
      </c>
      <c r="G7" s="115"/>
    </row>
    <row r="8" spans="1:7" x14ac:dyDescent="0.2">
      <c r="A8" s="113"/>
      <c r="B8" s="114"/>
      <c r="C8" s="114"/>
      <c r="D8" s="114"/>
      <c r="E8" s="114"/>
      <c r="F8" s="115"/>
      <c r="G8" s="115"/>
    </row>
    <row r="9" spans="1:7" ht="15.75" x14ac:dyDescent="0.25">
      <c r="A9" s="119" t="s">
        <v>24</v>
      </c>
      <c r="B9" s="172" t="e">
        <f>'SECCION I-II'!#REF!</f>
        <v>#REF!</v>
      </c>
      <c r="C9" s="172" t="e">
        <f>'SECCION I-II'!#REF!</f>
        <v>#REF!</v>
      </c>
      <c r="D9" s="172" t="e">
        <f>'SECCION I-II'!#REF!</f>
        <v>#REF!</v>
      </c>
      <c r="E9" s="172" t="e">
        <f>'SECCION I-II'!#REF!</f>
        <v>#REF!</v>
      </c>
      <c r="F9" s="172" t="e">
        <f>'SECCION I-II'!#REF!</f>
        <v>#REF!</v>
      </c>
      <c r="G9" s="115"/>
    </row>
    <row r="10" spans="1:7" x14ac:dyDescent="0.2">
      <c r="A10" s="113"/>
      <c r="B10" s="114"/>
      <c r="C10" s="114"/>
      <c r="D10" s="114"/>
      <c r="E10" s="114"/>
      <c r="F10" s="115"/>
      <c r="G10" s="115"/>
    </row>
    <row r="11" spans="1:7" ht="13.5" thickBot="1" x14ac:dyDescent="0.25">
      <c r="A11" s="123"/>
      <c r="B11" s="124"/>
      <c r="C11" s="124"/>
      <c r="D11" s="124"/>
      <c r="E11" s="124"/>
      <c r="F11" s="125"/>
      <c r="G11" s="125"/>
    </row>
    <row r="12" spans="1:7" ht="13.5" thickBot="1" x14ac:dyDescent="0.25">
      <c r="A12" s="126"/>
      <c r="G12" s="96"/>
    </row>
    <row r="13" spans="1:7" ht="15" x14ac:dyDescent="0.25">
      <c r="A13" s="127" t="s">
        <v>1074</v>
      </c>
      <c r="B13" s="128"/>
      <c r="C13" s="128"/>
      <c r="D13" s="128"/>
      <c r="E13" s="128"/>
      <c r="F13" s="129"/>
      <c r="G13" s="129"/>
    </row>
    <row r="14" spans="1:7" x14ac:dyDescent="0.2">
      <c r="A14" s="130" t="e">
        <f>'Compra -HOJA1'!#REF!</f>
        <v>#REF!</v>
      </c>
      <c r="B14" s="131"/>
      <c r="C14" s="131"/>
      <c r="D14" s="73"/>
      <c r="E14" s="73"/>
      <c r="F14" s="132"/>
      <c r="G14" s="132"/>
    </row>
    <row r="15" spans="1:7" ht="15" x14ac:dyDescent="0.25">
      <c r="A15" s="133"/>
      <c r="B15" s="73"/>
      <c r="C15" s="73"/>
      <c r="D15" s="5697" t="s">
        <v>1058</v>
      </c>
      <c r="E15" s="5697"/>
      <c r="F15" s="5698"/>
      <c r="G15" s="132"/>
    </row>
    <row r="16" spans="1:7" ht="30" x14ac:dyDescent="0.25">
      <c r="A16" s="134" t="s">
        <v>29</v>
      </c>
      <c r="B16" s="135" t="s">
        <v>1084</v>
      </c>
      <c r="C16" s="135" t="s">
        <v>1085</v>
      </c>
      <c r="D16" s="135" t="s">
        <v>287</v>
      </c>
      <c r="E16" s="135" t="s">
        <v>289</v>
      </c>
      <c r="F16" s="136" t="s">
        <v>288</v>
      </c>
      <c r="G16" s="132"/>
    </row>
    <row r="17" spans="1:7" x14ac:dyDescent="0.2">
      <c r="A17" s="133"/>
      <c r="B17" s="73"/>
      <c r="C17" s="73"/>
      <c r="D17" s="73"/>
      <c r="E17" s="73"/>
      <c r="F17" s="132"/>
      <c r="G17" s="132"/>
    </row>
    <row r="18" spans="1:7" ht="15.75" x14ac:dyDescent="0.25">
      <c r="A18" s="137" t="s">
        <v>23</v>
      </c>
      <c r="B18" s="173" t="e">
        <f>'SECCION I-II'!#REF!</f>
        <v>#REF!</v>
      </c>
      <c r="C18" s="173" t="e">
        <f>'SECCION I-II'!#REF!</f>
        <v>#REF!</v>
      </c>
      <c r="D18" s="173" t="e">
        <f>'SECCION I-II'!#REF!</f>
        <v>#REF!</v>
      </c>
      <c r="E18" s="173" t="e">
        <f>'SECCION I-II'!#REF!</f>
        <v>#REF!</v>
      </c>
      <c r="F18" s="173" t="e">
        <f>'SECCION I-II'!#REF!</f>
        <v>#REF!</v>
      </c>
      <c r="G18" s="132"/>
    </row>
    <row r="19" spans="1:7" x14ac:dyDescent="0.2">
      <c r="A19" s="133"/>
      <c r="B19" s="73"/>
      <c r="C19" s="73"/>
      <c r="D19" s="73"/>
      <c r="E19" s="73"/>
      <c r="F19" s="132"/>
      <c r="G19" s="132"/>
    </row>
    <row r="20" spans="1:7" ht="15.75" x14ac:dyDescent="0.25">
      <c r="A20" s="137" t="s">
        <v>24</v>
      </c>
      <c r="B20" s="173" t="e">
        <f>'SECCION I-II'!#REF!</f>
        <v>#REF!</v>
      </c>
      <c r="C20" s="173" t="e">
        <f>'SECCION I-II'!#REF!</f>
        <v>#REF!</v>
      </c>
      <c r="D20" s="173" t="e">
        <f>'SECCION I-II'!#REF!</f>
        <v>#REF!</v>
      </c>
      <c r="E20" s="173" t="e">
        <f>'SECCION I-II'!#REF!</f>
        <v>#REF!</v>
      </c>
      <c r="F20" s="173" t="e">
        <f>'SECCION I-II'!#REF!</f>
        <v>#REF!</v>
      </c>
      <c r="G20" s="132"/>
    </row>
    <row r="21" spans="1:7" ht="13.5" thickBot="1" x14ac:dyDescent="0.25">
      <c r="A21" s="141"/>
      <c r="B21" s="142"/>
      <c r="C21" s="142"/>
      <c r="D21" s="142"/>
      <c r="E21" s="142"/>
      <c r="F21" s="143"/>
      <c r="G21" s="143"/>
    </row>
    <row r="22" spans="1:7" ht="13.5" thickBot="1" x14ac:dyDescent="0.25">
      <c r="A22" s="126"/>
      <c r="F22" s="96"/>
      <c r="G22" s="96"/>
    </row>
    <row r="23" spans="1:7" ht="15" x14ac:dyDescent="0.25">
      <c r="A23" s="144" t="s">
        <v>1074</v>
      </c>
      <c r="B23" s="145"/>
      <c r="C23" s="145"/>
      <c r="D23" s="145"/>
      <c r="E23" s="145"/>
      <c r="F23" s="146"/>
      <c r="G23" s="146"/>
    </row>
    <row r="24" spans="1:7" x14ac:dyDescent="0.2">
      <c r="A24" s="130" t="e">
        <f>'Compra -HOJA1'!#REF!</f>
        <v>#REF!</v>
      </c>
      <c r="B24" s="131"/>
      <c r="C24" s="131"/>
      <c r="D24" s="73"/>
      <c r="E24" s="73"/>
      <c r="F24" s="132"/>
      <c r="G24" s="132"/>
    </row>
    <row r="25" spans="1:7" ht="15" x14ac:dyDescent="0.25">
      <c r="A25" s="133"/>
      <c r="B25" s="73"/>
      <c r="C25" s="73"/>
      <c r="D25" s="5697" t="s">
        <v>1058</v>
      </c>
      <c r="E25" s="5697"/>
      <c r="F25" s="5698"/>
      <c r="G25" s="132"/>
    </row>
    <row r="26" spans="1:7" ht="30" x14ac:dyDescent="0.25">
      <c r="A26" s="134" t="s">
        <v>29</v>
      </c>
      <c r="B26" s="135" t="s">
        <v>1084</v>
      </c>
      <c r="C26" s="135" t="s">
        <v>1085</v>
      </c>
      <c r="D26" s="135" t="s">
        <v>287</v>
      </c>
      <c r="E26" s="135" t="s">
        <v>289</v>
      </c>
      <c r="F26" s="136" t="s">
        <v>288</v>
      </c>
      <c r="G26" s="132"/>
    </row>
    <row r="27" spans="1:7" x14ac:dyDescent="0.2">
      <c r="A27" s="133"/>
      <c r="B27" s="73"/>
      <c r="C27" s="73"/>
      <c r="D27" s="73"/>
      <c r="E27" s="73"/>
      <c r="F27" s="132"/>
      <c r="G27" s="132"/>
    </row>
    <row r="28" spans="1:7" ht="15.75" x14ac:dyDescent="0.25">
      <c r="A28" s="137" t="s">
        <v>23</v>
      </c>
      <c r="B28" s="173" t="e">
        <f>'SECCION I-II'!#REF!</f>
        <v>#REF!</v>
      </c>
      <c r="C28" s="173" t="e">
        <f>'SECCION I-II'!#REF!</f>
        <v>#REF!</v>
      </c>
      <c r="D28" s="173" t="e">
        <f>'SECCION I-II'!#REF!</f>
        <v>#REF!</v>
      </c>
      <c r="E28" s="173" t="e">
        <f>'SECCION I-II'!#REF!</f>
        <v>#REF!</v>
      </c>
      <c r="F28" s="173" t="e">
        <f>'SECCION I-II'!#REF!</f>
        <v>#REF!</v>
      </c>
      <c r="G28" s="132"/>
    </row>
    <row r="29" spans="1:7" x14ac:dyDescent="0.2">
      <c r="A29" s="133"/>
      <c r="B29" s="73"/>
      <c r="C29" s="73"/>
      <c r="D29" s="73"/>
      <c r="E29" s="73"/>
      <c r="F29" s="132"/>
      <c r="G29" s="132"/>
    </row>
    <row r="30" spans="1:7" ht="15.75" x14ac:dyDescent="0.25">
      <c r="A30" s="137" t="s">
        <v>24</v>
      </c>
      <c r="B30" s="173" t="e">
        <f>'SECCION I-II'!#REF!</f>
        <v>#REF!</v>
      </c>
      <c r="C30" s="173" t="e">
        <f>'SECCION I-II'!#REF!</f>
        <v>#REF!</v>
      </c>
      <c r="D30" s="173" t="e">
        <f>'SECCION I-II'!#REF!</f>
        <v>#REF!</v>
      </c>
      <c r="E30" s="173" t="e">
        <f>'SECCION I-II'!#REF!</f>
        <v>#REF!</v>
      </c>
      <c r="F30" s="173" t="e">
        <f>'SECCION I-II'!#REF!</f>
        <v>#REF!</v>
      </c>
      <c r="G30" s="132"/>
    </row>
    <row r="31" spans="1:7" ht="13.5" thickBot="1" x14ac:dyDescent="0.25">
      <c r="A31" s="141"/>
      <c r="B31" s="142"/>
      <c r="C31" s="142"/>
      <c r="D31" s="142"/>
      <c r="E31" s="142"/>
      <c r="F31" s="143"/>
      <c r="G31" s="143"/>
    </row>
    <row r="32" spans="1:7" ht="13.5" thickBot="1" x14ac:dyDescent="0.25">
      <c r="A32" s="126"/>
      <c r="F32" s="96"/>
      <c r="G32" s="96"/>
    </row>
    <row r="33" spans="1:7" ht="15" x14ac:dyDescent="0.25">
      <c r="A33" s="127" t="s">
        <v>1074</v>
      </c>
      <c r="B33" s="128"/>
      <c r="C33" s="128"/>
      <c r="D33" s="128"/>
      <c r="E33" s="128"/>
      <c r="F33" s="129"/>
      <c r="G33" s="129"/>
    </row>
    <row r="34" spans="1:7" x14ac:dyDescent="0.2">
      <c r="A34" s="130" t="e">
        <f>'Compra -HOJA1'!#REF!</f>
        <v>#REF!</v>
      </c>
      <c r="B34" s="131"/>
      <c r="C34" s="131"/>
      <c r="D34" s="73"/>
      <c r="E34" s="73"/>
      <c r="F34" s="132"/>
      <c r="G34" s="132"/>
    </row>
    <row r="35" spans="1:7" ht="15" x14ac:dyDescent="0.25">
      <c r="A35" s="133"/>
      <c r="B35" s="73"/>
      <c r="C35" s="73"/>
      <c r="D35" s="5697" t="s">
        <v>1058</v>
      </c>
      <c r="E35" s="5697"/>
      <c r="F35" s="5698"/>
      <c r="G35" s="132"/>
    </row>
    <row r="36" spans="1:7" ht="30" x14ac:dyDescent="0.25">
      <c r="A36" s="134" t="s">
        <v>29</v>
      </c>
      <c r="B36" s="135" t="s">
        <v>1084</v>
      </c>
      <c r="C36" s="135" t="s">
        <v>1085</v>
      </c>
      <c r="D36" s="135" t="s">
        <v>287</v>
      </c>
      <c r="E36" s="135" t="s">
        <v>289</v>
      </c>
      <c r="F36" s="136" t="s">
        <v>288</v>
      </c>
      <c r="G36" s="132"/>
    </row>
    <row r="37" spans="1:7" x14ac:dyDescent="0.2">
      <c r="A37" s="133"/>
      <c r="B37" s="73"/>
      <c r="C37" s="73"/>
      <c r="D37" s="73"/>
      <c r="E37" s="73"/>
      <c r="F37" s="132"/>
      <c r="G37" s="132"/>
    </row>
    <row r="38" spans="1:7" ht="15.75" x14ac:dyDescent="0.25">
      <c r="A38" s="137" t="s">
        <v>23</v>
      </c>
      <c r="B38" s="173" t="e">
        <f>'SECCION I-II'!#REF!</f>
        <v>#REF!</v>
      </c>
      <c r="C38" s="173" t="e">
        <f>'SECCION I-II'!#REF!</f>
        <v>#REF!</v>
      </c>
      <c r="D38" s="173" t="e">
        <f>'SECCION I-II'!#REF!</f>
        <v>#REF!</v>
      </c>
      <c r="E38" s="173" t="e">
        <f>'SECCION I-II'!#REF!</f>
        <v>#REF!</v>
      </c>
      <c r="F38" s="173" t="e">
        <f>'SECCION I-II'!#REF!</f>
        <v>#REF!</v>
      </c>
      <c r="G38" s="132"/>
    </row>
    <row r="39" spans="1:7" x14ac:dyDescent="0.2">
      <c r="A39" s="133"/>
      <c r="B39" s="73"/>
      <c r="C39" s="73"/>
      <c r="D39" s="73"/>
      <c r="E39" s="73"/>
      <c r="F39" s="132"/>
      <c r="G39" s="132"/>
    </row>
    <row r="40" spans="1:7" ht="15.75" x14ac:dyDescent="0.25">
      <c r="A40" s="137" t="s">
        <v>24</v>
      </c>
      <c r="B40" s="173" t="e">
        <f>'SECCION I-II'!#REF!</f>
        <v>#REF!</v>
      </c>
      <c r="C40" s="173" t="e">
        <f>'SECCION I-II'!#REF!</f>
        <v>#REF!</v>
      </c>
      <c r="D40" s="173" t="e">
        <f>'SECCION I-II'!#REF!</f>
        <v>#REF!</v>
      </c>
      <c r="E40" s="173" t="e">
        <f>'SECCION I-II'!#REF!</f>
        <v>#REF!</v>
      </c>
      <c r="F40" s="173" t="e">
        <f>'SECCION I-II'!#REF!</f>
        <v>#REF!</v>
      </c>
      <c r="G40" s="132"/>
    </row>
    <row r="41" spans="1:7" ht="13.5" thickBot="1" x14ac:dyDescent="0.25">
      <c r="A41" s="141"/>
      <c r="B41" s="142"/>
      <c r="C41" s="142"/>
      <c r="D41" s="142"/>
      <c r="E41" s="142"/>
      <c r="F41" s="143"/>
      <c r="G41" s="143"/>
    </row>
    <row r="42" spans="1:7" ht="13.5" thickBot="1" x14ac:dyDescent="0.25">
      <c r="A42" s="126"/>
      <c r="F42" s="96"/>
      <c r="G42" s="96"/>
    </row>
    <row r="43" spans="1:7" ht="15" x14ac:dyDescent="0.25">
      <c r="A43" s="127" t="s">
        <v>1074</v>
      </c>
      <c r="B43" s="128"/>
      <c r="C43" s="128"/>
      <c r="D43" s="128"/>
      <c r="E43" s="128"/>
      <c r="F43" s="129"/>
      <c r="G43" s="129"/>
    </row>
    <row r="44" spans="1:7" x14ac:dyDescent="0.2">
      <c r="A44" s="130" t="e">
        <f>'Compra -HOJA1'!#REF!</f>
        <v>#REF!</v>
      </c>
      <c r="B44" s="131"/>
      <c r="C44" s="131"/>
      <c r="D44" s="73"/>
      <c r="E44" s="73"/>
      <c r="F44" s="132"/>
      <c r="G44" s="132"/>
    </row>
    <row r="45" spans="1:7" ht="15" x14ac:dyDescent="0.25">
      <c r="A45" s="133"/>
      <c r="B45" s="73"/>
      <c r="C45" s="73"/>
      <c r="D45" s="5697" t="s">
        <v>1058</v>
      </c>
      <c r="E45" s="5697"/>
      <c r="F45" s="5698"/>
      <c r="G45" s="132"/>
    </row>
    <row r="46" spans="1:7" ht="30" x14ac:dyDescent="0.25">
      <c r="A46" s="134" t="s">
        <v>29</v>
      </c>
      <c r="B46" s="135" t="s">
        <v>1084</v>
      </c>
      <c r="C46" s="135" t="s">
        <v>1085</v>
      </c>
      <c r="D46" s="135" t="s">
        <v>287</v>
      </c>
      <c r="E46" s="135" t="s">
        <v>289</v>
      </c>
      <c r="F46" s="136" t="s">
        <v>288</v>
      </c>
      <c r="G46" s="132"/>
    </row>
    <row r="47" spans="1:7" x14ac:dyDescent="0.2">
      <c r="A47" s="133"/>
      <c r="B47" s="73"/>
      <c r="C47" s="73"/>
      <c r="D47" s="73"/>
      <c r="E47" s="73"/>
      <c r="F47" s="132"/>
      <c r="G47" s="132"/>
    </row>
    <row r="48" spans="1:7" ht="15.75" x14ac:dyDescent="0.25">
      <c r="A48" s="137" t="s">
        <v>23</v>
      </c>
      <c r="B48" s="173" t="e">
        <f>'SECCION I-II'!#REF!</f>
        <v>#REF!</v>
      </c>
      <c r="C48" s="173" t="e">
        <f>'SECCION I-II'!#REF!</f>
        <v>#REF!</v>
      </c>
      <c r="D48" s="173" t="e">
        <f>'SECCION I-II'!#REF!</f>
        <v>#REF!</v>
      </c>
      <c r="E48" s="173" t="e">
        <f>'SECCION I-II'!#REF!</f>
        <v>#REF!</v>
      </c>
      <c r="F48" s="173" t="e">
        <f>'SECCION I-II'!#REF!</f>
        <v>#REF!</v>
      </c>
      <c r="G48" s="132"/>
    </row>
    <row r="49" spans="1:7" x14ac:dyDescent="0.2">
      <c r="A49" s="133"/>
      <c r="B49" s="73"/>
      <c r="C49" s="73"/>
      <c r="D49" s="73"/>
      <c r="E49" s="73"/>
      <c r="F49" s="132"/>
      <c r="G49" s="132"/>
    </row>
    <row r="50" spans="1:7" ht="15.75" x14ac:dyDescent="0.25">
      <c r="A50" s="137" t="s">
        <v>24</v>
      </c>
      <c r="B50" s="173" t="e">
        <f>'SECCION I-II'!#REF!</f>
        <v>#REF!</v>
      </c>
      <c r="C50" s="173" t="e">
        <f>'SECCION I-II'!#REF!</f>
        <v>#REF!</v>
      </c>
      <c r="D50" s="173" t="e">
        <f>'SECCION I-II'!#REF!</f>
        <v>#REF!</v>
      </c>
      <c r="E50" s="173" t="e">
        <f>'SECCION I-II'!#REF!</f>
        <v>#REF!</v>
      </c>
      <c r="F50" s="173" t="e">
        <f>'SECCION I-II'!#REF!</f>
        <v>#REF!</v>
      </c>
      <c r="G50" s="132"/>
    </row>
    <row r="51" spans="1:7" ht="13.5" thickBot="1" x14ac:dyDescent="0.25">
      <c r="A51" s="141"/>
      <c r="B51" s="142"/>
      <c r="C51" s="142"/>
      <c r="D51" s="142"/>
      <c r="E51" s="142"/>
      <c r="F51" s="143"/>
      <c r="G51" s="143"/>
    </row>
    <row r="52" spans="1:7" ht="13.5" thickBot="1" x14ac:dyDescent="0.25">
      <c r="A52" s="126"/>
      <c r="F52" s="96"/>
      <c r="G52" s="96"/>
    </row>
    <row r="53" spans="1:7" ht="15" x14ac:dyDescent="0.25">
      <c r="A53" s="127" t="s">
        <v>1074</v>
      </c>
      <c r="B53" s="128"/>
      <c r="C53" s="128"/>
      <c r="D53" s="128"/>
      <c r="E53" s="128"/>
      <c r="F53" s="129"/>
      <c r="G53" s="129"/>
    </row>
    <row r="54" spans="1:7" x14ac:dyDescent="0.2">
      <c r="A54" s="130" t="e">
        <f>'Compra -HOJA1'!#REF!</f>
        <v>#REF!</v>
      </c>
      <c r="B54" s="131"/>
      <c r="C54" s="131"/>
      <c r="D54" s="73"/>
      <c r="E54" s="73"/>
      <c r="F54" s="132"/>
      <c r="G54" s="132"/>
    </row>
    <row r="55" spans="1:7" ht="15" x14ac:dyDescent="0.25">
      <c r="A55" s="133"/>
      <c r="B55" s="73"/>
      <c r="C55" s="73"/>
      <c r="D55" s="5697" t="s">
        <v>1058</v>
      </c>
      <c r="E55" s="5697"/>
      <c r="F55" s="5698"/>
      <c r="G55" s="132"/>
    </row>
    <row r="56" spans="1:7" ht="30" x14ac:dyDescent="0.25">
      <c r="A56" s="134" t="s">
        <v>29</v>
      </c>
      <c r="B56" s="135" t="s">
        <v>1084</v>
      </c>
      <c r="C56" s="135" t="s">
        <v>1085</v>
      </c>
      <c r="D56" s="135" t="s">
        <v>287</v>
      </c>
      <c r="E56" s="135" t="s">
        <v>289</v>
      </c>
      <c r="F56" s="136" t="s">
        <v>288</v>
      </c>
      <c r="G56" s="132"/>
    </row>
    <row r="57" spans="1:7" x14ac:dyDescent="0.2">
      <c r="A57" s="133"/>
      <c r="B57" s="73"/>
      <c r="C57" s="73"/>
      <c r="D57" s="73"/>
      <c r="E57" s="73"/>
      <c r="F57" s="132"/>
      <c r="G57" s="132"/>
    </row>
    <row r="58" spans="1:7" ht="15.75" x14ac:dyDescent="0.25">
      <c r="A58" s="137" t="s">
        <v>23</v>
      </c>
      <c r="B58" s="173" t="e">
        <f>'SECCION I-II'!#REF!</f>
        <v>#REF!</v>
      </c>
      <c r="C58" s="173" t="e">
        <f>'SECCION I-II'!#REF!</f>
        <v>#REF!</v>
      </c>
      <c r="D58" s="173" t="e">
        <f>'SECCION I-II'!#REF!</f>
        <v>#REF!</v>
      </c>
      <c r="E58" s="173" t="e">
        <f>'SECCION I-II'!#REF!</f>
        <v>#REF!</v>
      </c>
      <c r="F58" s="173" t="e">
        <f>'SECCION I-II'!#REF!</f>
        <v>#REF!</v>
      </c>
      <c r="G58" s="132"/>
    </row>
    <row r="59" spans="1:7" x14ac:dyDescent="0.2">
      <c r="A59" s="133"/>
      <c r="B59" s="73"/>
      <c r="C59" s="73"/>
      <c r="D59" s="73"/>
      <c r="E59" s="73"/>
      <c r="F59" s="132"/>
      <c r="G59" s="132"/>
    </row>
    <row r="60" spans="1:7" ht="15.75" x14ac:dyDescent="0.25">
      <c r="A60" s="137" t="s">
        <v>24</v>
      </c>
      <c r="B60" s="173" t="e">
        <f>'SECCION I-II'!#REF!</f>
        <v>#REF!</v>
      </c>
      <c r="C60" s="173" t="e">
        <f>'SECCION I-II'!#REF!</f>
        <v>#REF!</v>
      </c>
      <c r="D60" s="173" t="e">
        <f>'SECCION I-II'!#REF!</f>
        <v>#REF!</v>
      </c>
      <c r="E60" s="173" t="e">
        <f>'SECCION I-II'!#REF!</f>
        <v>#REF!</v>
      </c>
      <c r="F60" s="173" t="e">
        <f>'SECCION I-II'!#REF!</f>
        <v>#REF!</v>
      </c>
      <c r="G60" s="132"/>
    </row>
    <row r="61" spans="1:7" ht="13.5" thickBot="1" x14ac:dyDescent="0.25">
      <c r="A61" s="141"/>
      <c r="B61" s="142"/>
      <c r="C61" s="142"/>
      <c r="D61" s="142"/>
      <c r="E61" s="142"/>
      <c r="F61" s="143"/>
      <c r="G61" s="143"/>
    </row>
    <row r="62" spans="1:7" ht="13.5" thickBot="1" x14ac:dyDescent="0.25">
      <c r="A62" s="126"/>
      <c r="F62" s="96"/>
      <c r="G62" s="96"/>
    </row>
    <row r="63" spans="1:7" ht="15" x14ac:dyDescent="0.25">
      <c r="A63" s="127" t="s">
        <v>1074</v>
      </c>
      <c r="B63" s="128"/>
      <c r="C63" s="128"/>
      <c r="D63" s="128"/>
      <c r="E63" s="128"/>
      <c r="F63" s="129"/>
      <c r="G63" s="129"/>
    </row>
    <row r="64" spans="1:7" x14ac:dyDescent="0.2">
      <c r="A64" s="130" t="e">
        <f>'Compra -HOJA1'!#REF!</f>
        <v>#REF!</v>
      </c>
      <c r="B64" s="131"/>
      <c r="C64" s="131"/>
      <c r="D64" s="73"/>
      <c r="E64" s="73"/>
      <c r="F64" s="132"/>
      <c r="G64" s="132"/>
    </row>
    <row r="65" spans="1:7" ht="15" x14ac:dyDescent="0.25">
      <c r="A65" s="133"/>
      <c r="B65" s="73"/>
      <c r="C65" s="73"/>
      <c r="D65" s="5697" t="s">
        <v>1058</v>
      </c>
      <c r="E65" s="5697"/>
      <c r="F65" s="5698"/>
      <c r="G65" s="132"/>
    </row>
    <row r="66" spans="1:7" ht="30" x14ac:dyDescent="0.25">
      <c r="A66" s="134" t="s">
        <v>29</v>
      </c>
      <c r="B66" s="135" t="s">
        <v>1084</v>
      </c>
      <c r="C66" s="135" t="s">
        <v>1085</v>
      </c>
      <c r="D66" s="135" t="s">
        <v>287</v>
      </c>
      <c r="E66" s="135" t="s">
        <v>289</v>
      </c>
      <c r="F66" s="136" t="s">
        <v>288</v>
      </c>
      <c r="G66" s="132"/>
    </row>
    <row r="67" spans="1:7" x14ac:dyDescent="0.2">
      <c r="A67" s="133"/>
      <c r="B67" s="73"/>
      <c r="C67" s="73"/>
      <c r="D67" s="73"/>
      <c r="E67" s="73"/>
      <c r="F67" s="132"/>
      <c r="G67" s="132"/>
    </row>
    <row r="68" spans="1:7" ht="15.75" x14ac:dyDescent="0.25">
      <c r="A68" s="137" t="s">
        <v>23</v>
      </c>
      <c r="B68" s="173" t="e">
        <f>'SECCION I-II'!#REF!</f>
        <v>#REF!</v>
      </c>
      <c r="C68" s="173" t="e">
        <f>'SECCION I-II'!#REF!</f>
        <v>#REF!</v>
      </c>
      <c r="D68" s="173" t="e">
        <f>'SECCION I-II'!#REF!</f>
        <v>#REF!</v>
      </c>
      <c r="E68" s="173" t="e">
        <f>'SECCION I-II'!#REF!</f>
        <v>#REF!</v>
      </c>
      <c r="F68" s="173" t="e">
        <f>'SECCION I-II'!#REF!</f>
        <v>#REF!</v>
      </c>
      <c r="G68" s="132"/>
    </row>
    <row r="69" spans="1:7" x14ac:dyDescent="0.2">
      <c r="A69" s="133"/>
      <c r="B69" s="73"/>
      <c r="C69" s="73"/>
      <c r="D69" s="73"/>
      <c r="E69" s="73"/>
      <c r="F69" s="132"/>
      <c r="G69" s="132"/>
    </row>
    <row r="70" spans="1:7" ht="15.75" x14ac:dyDescent="0.25">
      <c r="A70" s="137" t="s">
        <v>24</v>
      </c>
      <c r="B70" s="173" t="e">
        <f>'SECCION I-II'!#REF!</f>
        <v>#REF!</v>
      </c>
      <c r="C70" s="173" t="e">
        <f>'SECCION I-II'!#REF!</f>
        <v>#REF!</v>
      </c>
      <c r="D70" s="173" t="e">
        <f>'SECCION I-II'!#REF!</f>
        <v>#REF!</v>
      </c>
      <c r="E70" s="173" t="e">
        <f>'SECCION I-II'!#REF!</f>
        <v>#REF!</v>
      </c>
      <c r="F70" s="173" t="e">
        <f>'SECCION I-II'!#REF!</f>
        <v>#REF!</v>
      </c>
      <c r="G70" s="132"/>
    </row>
    <row r="71" spans="1:7" ht="13.5" thickBot="1" x14ac:dyDescent="0.25">
      <c r="A71" s="141"/>
      <c r="B71" s="142"/>
      <c r="C71" s="142"/>
      <c r="D71" s="142"/>
      <c r="E71" s="142"/>
      <c r="F71" s="143"/>
      <c r="G71" s="143"/>
    </row>
    <row r="72" spans="1:7" ht="15" x14ac:dyDescent="0.25">
      <c r="A72" s="127" t="s">
        <v>1074</v>
      </c>
      <c r="B72" s="128"/>
      <c r="C72" s="128"/>
      <c r="D72" s="128"/>
      <c r="E72" s="128"/>
      <c r="F72" s="129"/>
      <c r="G72" s="132"/>
    </row>
    <row r="73" spans="1:7" x14ac:dyDescent="0.2">
      <c r="A73" s="130" t="e">
        <f>'Compra -HOJA1'!#REF!</f>
        <v>#REF!</v>
      </c>
      <c r="B73" s="131"/>
      <c r="C73" s="131"/>
      <c r="D73" s="73"/>
      <c r="E73" s="73"/>
      <c r="F73" s="132"/>
      <c r="G73" s="132"/>
    </row>
    <row r="74" spans="1:7" ht="15" x14ac:dyDescent="0.25">
      <c r="A74" s="133"/>
      <c r="B74" s="73"/>
      <c r="C74" s="73"/>
      <c r="D74" s="5697" t="s">
        <v>1058</v>
      </c>
      <c r="E74" s="5697"/>
      <c r="F74" s="5698"/>
      <c r="G74" s="132"/>
    </row>
    <row r="75" spans="1:7" ht="30" x14ac:dyDescent="0.25">
      <c r="A75" s="134" t="s">
        <v>29</v>
      </c>
      <c r="B75" s="135" t="s">
        <v>1084</v>
      </c>
      <c r="C75" s="135" t="s">
        <v>1085</v>
      </c>
      <c r="D75" s="135" t="s">
        <v>287</v>
      </c>
      <c r="E75" s="135" t="s">
        <v>289</v>
      </c>
      <c r="F75" s="136" t="s">
        <v>288</v>
      </c>
      <c r="G75" s="132"/>
    </row>
    <row r="76" spans="1:7" x14ac:dyDescent="0.2">
      <c r="A76" s="133"/>
      <c r="B76" s="73"/>
      <c r="C76" s="73"/>
      <c r="D76" s="73"/>
      <c r="E76" s="73"/>
      <c r="F76" s="132"/>
      <c r="G76" s="132"/>
    </row>
    <row r="77" spans="1:7" ht="15.75" x14ac:dyDescent="0.25">
      <c r="A77" s="137" t="s">
        <v>23</v>
      </c>
      <c r="B77" s="173" t="e">
        <f>'SECCION I-II'!#REF!</f>
        <v>#REF!</v>
      </c>
      <c r="C77" s="173" t="e">
        <f>'SECCION I-II'!#REF!</f>
        <v>#REF!</v>
      </c>
      <c r="D77" s="173" t="e">
        <f>'SECCION I-II'!#REF!</f>
        <v>#REF!</v>
      </c>
      <c r="E77" s="173" t="e">
        <f>'SECCION I-II'!#REF!</f>
        <v>#REF!</v>
      </c>
      <c r="F77" s="173" t="e">
        <f>'SECCION I-II'!#REF!</f>
        <v>#REF!</v>
      </c>
      <c r="G77" s="132"/>
    </row>
    <row r="78" spans="1:7" x14ac:dyDescent="0.2">
      <c r="A78" s="133"/>
      <c r="B78" s="73"/>
      <c r="C78" s="73"/>
      <c r="D78" s="73"/>
      <c r="E78" s="73"/>
      <c r="F78" s="132"/>
      <c r="G78" s="132"/>
    </row>
    <row r="79" spans="1:7" ht="15.75" x14ac:dyDescent="0.25">
      <c r="A79" s="137" t="s">
        <v>24</v>
      </c>
      <c r="B79" s="173" t="e">
        <f>'SECCION I-II'!#REF!</f>
        <v>#REF!</v>
      </c>
      <c r="C79" s="173" t="e">
        <f>'SECCION I-II'!#REF!</f>
        <v>#REF!</v>
      </c>
      <c r="D79" s="173" t="e">
        <f>'SECCION I-II'!#REF!</f>
        <v>#REF!</v>
      </c>
      <c r="E79" s="173" t="e">
        <f>'SECCION I-II'!#REF!</f>
        <v>#REF!</v>
      </c>
      <c r="F79" s="173" t="e">
        <f>'SECCION I-II'!#REF!</f>
        <v>#REF!</v>
      </c>
      <c r="G79" s="132"/>
    </row>
    <row r="80" spans="1:7" ht="13.5" thickBot="1" x14ac:dyDescent="0.25">
      <c r="A80" s="133"/>
      <c r="B80" s="73"/>
      <c r="C80" s="73"/>
      <c r="D80" s="73"/>
      <c r="E80" s="73"/>
      <c r="F80" s="132"/>
      <c r="G80" s="132"/>
    </row>
    <row r="81" spans="1:7" ht="15" x14ac:dyDescent="0.25">
      <c r="A81" s="127" t="s">
        <v>1074</v>
      </c>
      <c r="B81" s="128"/>
      <c r="C81" s="128"/>
      <c r="D81" s="128"/>
      <c r="E81" s="128"/>
      <c r="F81" s="129"/>
      <c r="G81" s="132"/>
    </row>
    <row r="82" spans="1:7" x14ac:dyDescent="0.2">
      <c r="A82" s="130" t="e">
        <f>'Compra -HOJA1'!#REF!</f>
        <v>#REF!</v>
      </c>
      <c r="B82" s="131"/>
      <c r="C82" s="131"/>
      <c r="D82" s="73"/>
      <c r="E82" s="73"/>
      <c r="F82" s="132"/>
      <c r="G82" s="132"/>
    </row>
    <row r="83" spans="1:7" ht="15" x14ac:dyDescent="0.25">
      <c r="A83" s="133"/>
      <c r="B83" s="73"/>
      <c r="C83" s="73"/>
      <c r="D83" s="5697" t="s">
        <v>1058</v>
      </c>
      <c r="E83" s="5697"/>
      <c r="F83" s="5698"/>
      <c r="G83" s="132"/>
    </row>
    <row r="84" spans="1:7" ht="30" x14ac:dyDescent="0.25">
      <c r="A84" s="134" t="s">
        <v>29</v>
      </c>
      <c r="B84" s="135" t="s">
        <v>1084</v>
      </c>
      <c r="C84" s="135" t="s">
        <v>1085</v>
      </c>
      <c r="D84" s="135" t="s">
        <v>287</v>
      </c>
      <c r="E84" s="135" t="s">
        <v>289</v>
      </c>
      <c r="F84" s="136" t="s">
        <v>288</v>
      </c>
      <c r="G84" s="132"/>
    </row>
    <row r="85" spans="1:7" x14ac:dyDescent="0.2">
      <c r="A85" s="133"/>
      <c r="B85" s="73"/>
      <c r="C85" s="73"/>
      <c r="D85" s="73"/>
      <c r="E85" s="73"/>
      <c r="F85" s="132"/>
      <c r="G85" s="132"/>
    </row>
    <row r="86" spans="1:7" ht="15.75" x14ac:dyDescent="0.25">
      <c r="A86" s="137" t="s">
        <v>23</v>
      </c>
      <c r="B86" s="173" t="e">
        <f>'SECCION I-II'!#REF!</f>
        <v>#REF!</v>
      </c>
      <c r="C86" s="173" t="e">
        <f>'SECCION I-II'!#REF!</f>
        <v>#REF!</v>
      </c>
      <c r="D86" s="173" t="e">
        <f>'SECCION I-II'!#REF!</f>
        <v>#REF!</v>
      </c>
      <c r="E86" s="173" t="e">
        <f>'SECCION I-II'!#REF!</f>
        <v>#REF!</v>
      </c>
      <c r="F86" s="173" t="e">
        <f>'SECCION I-II'!#REF!</f>
        <v>#REF!</v>
      </c>
      <c r="G86" s="132"/>
    </row>
    <row r="87" spans="1:7" x14ac:dyDescent="0.2">
      <c r="A87" s="133"/>
      <c r="B87" s="73"/>
      <c r="C87" s="73"/>
      <c r="D87" s="73"/>
      <c r="E87" s="73"/>
      <c r="F87" s="132"/>
      <c r="G87" s="132"/>
    </row>
    <row r="88" spans="1:7" ht="15.75" x14ac:dyDescent="0.25">
      <c r="A88" s="137" t="s">
        <v>24</v>
      </c>
      <c r="B88" s="173" t="e">
        <f>'SECCION I-II'!#REF!</f>
        <v>#REF!</v>
      </c>
      <c r="C88" s="173" t="e">
        <f>'SECCION I-II'!#REF!</f>
        <v>#REF!</v>
      </c>
      <c r="D88" s="173" t="e">
        <f>'SECCION I-II'!#REF!</f>
        <v>#REF!</v>
      </c>
      <c r="E88" s="173" t="e">
        <f>'SECCION I-II'!#REF!</f>
        <v>#REF!</v>
      </c>
      <c r="F88" s="173" t="e">
        <f>'SECCION I-II'!#REF!</f>
        <v>#REF!</v>
      </c>
      <c r="G88" s="132"/>
    </row>
    <row r="89" spans="1:7" ht="13.5" thickBot="1" x14ac:dyDescent="0.25">
      <c r="A89" s="133"/>
      <c r="B89" s="73"/>
      <c r="C89" s="73"/>
      <c r="D89" s="73"/>
      <c r="E89" s="73"/>
      <c r="F89" s="132"/>
      <c r="G89" s="132"/>
    </row>
    <row r="90" spans="1:7" ht="15" x14ac:dyDescent="0.25">
      <c r="A90" s="127" t="s">
        <v>1074</v>
      </c>
      <c r="B90" s="128"/>
      <c r="C90" s="128"/>
      <c r="D90" s="128"/>
      <c r="E90" s="128"/>
      <c r="F90" s="129"/>
      <c r="G90" s="132"/>
    </row>
    <row r="91" spans="1:7" x14ac:dyDescent="0.2">
      <c r="A91" s="130" t="e">
        <f>'Compra -HOJA1'!#REF!</f>
        <v>#REF!</v>
      </c>
      <c r="B91" s="131"/>
      <c r="C91" s="131"/>
      <c r="D91" s="73"/>
      <c r="E91" s="73"/>
      <c r="F91" s="132"/>
      <c r="G91" s="132"/>
    </row>
    <row r="92" spans="1:7" ht="15" x14ac:dyDescent="0.25">
      <c r="A92" s="133"/>
      <c r="B92" s="73"/>
      <c r="C92" s="73"/>
      <c r="D92" s="5697" t="s">
        <v>1058</v>
      </c>
      <c r="E92" s="5697"/>
      <c r="F92" s="5698"/>
      <c r="G92" s="132"/>
    </row>
    <row r="93" spans="1:7" ht="30" x14ac:dyDescent="0.25">
      <c r="A93" s="134" t="s">
        <v>29</v>
      </c>
      <c r="B93" s="135" t="s">
        <v>1084</v>
      </c>
      <c r="C93" s="135" t="s">
        <v>1085</v>
      </c>
      <c r="D93" s="135" t="s">
        <v>287</v>
      </c>
      <c r="E93" s="135" t="s">
        <v>289</v>
      </c>
      <c r="F93" s="136" t="s">
        <v>288</v>
      </c>
      <c r="G93" s="132"/>
    </row>
    <row r="94" spans="1:7" x14ac:dyDescent="0.2">
      <c r="A94" s="133"/>
      <c r="B94" s="73"/>
      <c r="C94" s="73"/>
      <c r="D94" s="73"/>
      <c r="E94" s="73"/>
      <c r="F94" s="132"/>
      <c r="G94" s="132"/>
    </row>
    <row r="95" spans="1:7" ht="15.75" x14ac:dyDescent="0.25">
      <c r="A95" s="137" t="s">
        <v>23</v>
      </c>
      <c r="B95" s="173" t="e">
        <f>'SECCION I-II'!#REF!</f>
        <v>#REF!</v>
      </c>
      <c r="C95" s="173" t="e">
        <f>'SECCION I-II'!#REF!</f>
        <v>#REF!</v>
      </c>
      <c r="D95" s="173" t="e">
        <f>'SECCION I-II'!#REF!</f>
        <v>#REF!</v>
      </c>
      <c r="E95" s="173" t="e">
        <f>'SECCION I-II'!#REF!</f>
        <v>#REF!</v>
      </c>
      <c r="F95" s="173" t="e">
        <f>'SECCION I-II'!#REF!</f>
        <v>#REF!</v>
      </c>
      <c r="G95" s="132"/>
    </row>
    <row r="96" spans="1:7" x14ac:dyDescent="0.2">
      <c r="A96" s="133"/>
      <c r="B96" s="73"/>
      <c r="C96" s="73"/>
      <c r="D96" s="73"/>
      <c r="E96" s="73"/>
      <c r="F96" s="132"/>
      <c r="G96" s="132"/>
    </row>
    <row r="97" spans="1:7" ht="15.75" x14ac:dyDescent="0.25">
      <c r="A97" s="137" t="s">
        <v>24</v>
      </c>
      <c r="B97" s="173" t="e">
        <f>'SECCION I-II'!#REF!</f>
        <v>#REF!</v>
      </c>
      <c r="C97" s="173" t="e">
        <f>'SECCION I-II'!#REF!</f>
        <v>#REF!</v>
      </c>
      <c r="D97" s="173" t="e">
        <f>'SECCION I-II'!#REF!</f>
        <v>#REF!</v>
      </c>
      <c r="E97" s="173" t="e">
        <f>'SECCION I-II'!#REF!</f>
        <v>#REF!</v>
      </c>
      <c r="F97" s="173" t="e">
        <f>'SECCION I-II'!#REF!</f>
        <v>#REF!</v>
      </c>
      <c r="G97" s="132"/>
    </row>
    <row r="98" spans="1:7" ht="13.5" thickBot="1" x14ac:dyDescent="0.25">
      <c r="A98" s="133"/>
      <c r="B98" s="73"/>
      <c r="C98" s="73"/>
      <c r="D98" s="73"/>
      <c r="E98" s="73"/>
      <c r="F98" s="132"/>
      <c r="G98" s="132"/>
    </row>
    <row r="99" spans="1:7" ht="15" x14ac:dyDescent="0.25">
      <c r="A99" s="127" t="s">
        <v>1074</v>
      </c>
      <c r="B99" s="128"/>
      <c r="C99" s="128"/>
      <c r="D99" s="128"/>
      <c r="E99" s="128"/>
      <c r="F99" s="129"/>
      <c r="G99" s="132"/>
    </row>
    <row r="100" spans="1:7" x14ac:dyDescent="0.2">
      <c r="A100" s="130" t="e">
        <f>'Compra -HOJA1'!#REF!</f>
        <v>#REF!</v>
      </c>
      <c r="B100" s="131"/>
      <c r="C100" s="131"/>
      <c r="D100" s="73"/>
      <c r="E100" s="73"/>
      <c r="F100" s="132"/>
      <c r="G100" s="132"/>
    </row>
    <row r="101" spans="1:7" ht="15" x14ac:dyDescent="0.25">
      <c r="A101" s="133"/>
      <c r="B101" s="73"/>
      <c r="C101" s="73"/>
      <c r="D101" s="5697" t="s">
        <v>1058</v>
      </c>
      <c r="E101" s="5697"/>
      <c r="F101" s="5698"/>
      <c r="G101" s="132"/>
    </row>
    <row r="102" spans="1:7" ht="30" x14ac:dyDescent="0.25">
      <c r="A102" s="134" t="s">
        <v>29</v>
      </c>
      <c r="B102" s="135" t="s">
        <v>1084</v>
      </c>
      <c r="C102" s="135" t="s">
        <v>1085</v>
      </c>
      <c r="D102" s="135" t="s">
        <v>287</v>
      </c>
      <c r="E102" s="135" t="s">
        <v>289</v>
      </c>
      <c r="F102" s="136" t="s">
        <v>288</v>
      </c>
      <c r="G102" s="132"/>
    </row>
    <row r="103" spans="1:7" x14ac:dyDescent="0.2">
      <c r="A103" s="133"/>
      <c r="B103" s="73"/>
      <c r="C103" s="73"/>
      <c r="D103" s="73"/>
      <c r="E103" s="73"/>
      <c r="F103" s="132"/>
      <c r="G103" s="132"/>
    </row>
    <row r="104" spans="1:7" ht="15.75" x14ac:dyDescent="0.25">
      <c r="A104" s="137" t="s">
        <v>23</v>
      </c>
      <c r="B104" s="173" t="e">
        <f>'SECCION I-II'!#REF!</f>
        <v>#REF!</v>
      </c>
      <c r="C104" s="173" t="e">
        <f>'SECCION I-II'!#REF!</f>
        <v>#REF!</v>
      </c>
      <c r="D104" s="173" t="e">
        <f>'SECCION I-II'!#REF!</f>
        <v>#REF!</v>
      </c>
      <c r="E104" s="173" t="e">
        <f>'SECCION I-II'!#REF!</f>
        <v>#REF!</v>
      </c>
      <c r="F104" s="173" t="e">
        <f>'SECCION I-II'!#REF!</f>
        <v>#REF!</v>
      </c>
      <c r="G104" s="132"/>
    </row>
    <row r="105" spans="1:7" x14ac:dyDescent="0.2">
      <c r="A105" s="133"/>
      <c r="B105" s="73"/>
      <c r="C105" s="73"/>
      <c r="D105" s="73"/>
      <c r="E105" s="73"/>
      <c r="F105" s="132"/>
      <c r="G105" s="132"/>
    </row>
    <row r="106" spans="1:7" ht="15.75" x14ac:dyDescent="0.25">
      <c r="A106" s="137" t="s">
        <v>24</v>
      </c>
      <c r="B106" s="173" t="e">
        <f>'SECCION I-II'!#REF!</f>
        <v>#REF!</v>
      </c>
      <c r="C106" s="173" t="e">
        <f>'SECCION I-II'!#REF!</f>
        <v>#REF!</v>
      </c>
      <c r="D106" s="173" t="e">
        <f>'SECCION I-II'!#REF!</f>
        <v>#REF!</v>
      </c>
      <c r="E106" s="173" t="e">
        <f>'SECCION I-II'!#REF!</f>
        <v>#REF!</v>
      </c>
      <c r="F106" s="173" t="e">
        <f>'SECCION I-II'!#REF!</f>
        <v>#REF!</v>
      </c>
      <c r="G106" s="132"/>
    </row>
    <row r="107" spans="1:7" x14ac:dyDescent="0.2">
      <c r="A107" s="133"/>
      <c r="B107" s="73"/>
      <c r="C107" s="73"/>
      <c r="D107" s="73"/>
      <c r="E107" s="73"/>
      <c r="F107" s="132"/>
      <c r="G107" s="132"/>
    </row>
    <row r="108" spans="1:7" x14ac:dyDescent="0.2">
      <c r="A108" s="147"/>
      <c r="B108" s="105"/>
      <c r="C108" s="105"/>
      <c r="D108" s="105"/>
      <c r="E108" s="105"/>
      <c r="F108" s="148"/>
      <c r="G108" s="96"/>
    </row>
    <row r="109" spans="1:7" ht="15.75" x14ac:dyDescent="0.25">
      <c r="A109" s="147" t="s">
        <v>1075</v>
      </c>
      <c r="B109" s="174" t="e">
        <f>B18+B20+B28+B30+B40+B48+B50+B58+B60+B68+B70+B77+B79+B86+B88+B95+B97+B104+B106+B38</f>
        <v>#REF!</v>
      </c>
      <c r="C109" s="174"/>
      <c r="D109" s="174" t="e">
        <f>D18+D20+D28+D30+D40+D48+D50+D58+D60+D68+D70+D77+D79+D86+D88+D95+D97+D104+D106+D38</f>
        <v>#REF!</v>
      </c>
      <c r="E109" s="174" t="e">
        <f>E18+E20+E28+E30+E40+E48+E50+E58+E60+E68+E70+E77+E79+E86+E88+E95+E97+E104+E106+E38</f>
        <v>#REF!</v>
      </c>
      <c r="F109" s="174" t="e">
        <f>F18+F20+F28+F30+F40+F48+F50+F58+F60+F68+F70+F77+F79+F86+F88+F95+F97+F104+F106+F38</f>
        <v>#REF!</v>
      </c>
      <c r="G109" s="96"/>
    </row>
    <row r="110" spans="1:7" ht="13.5" thickBot="1" x14ac:dyDescent="0.25">
      <c r="A110" s="150"/>
      <c r="B110" s="151"/>
      <c r="C110" s="151"/>
      <c r="D110" s="170"/>
      <c r="E110" s="170"/>
      <c r="F110" s="171"/>
      <c r="G110" s="96"/>
    </row>
    <row r="111" spans="1:7" ht="13.5" thickBot="1" x14ac:dyDescent="0.25">
      <c r="A111" s="153"/>
      <c r="B111" s="154"/>
      <c r="C111" s="154"/>
      <c r="D111" s="105"/>
      <c r="E111" s="105"/>
      <c r="F111" s="105"/>
      <c r="G111" s="165"/>
    </row>
    <row r="112" spans="1:7" ht="15" x14ac:dyDescent="0.25">
      <c r="A112" s="144" t="s">
        <v>1068</v>
      </c>
      <c r="B112" s="145"/>
      <c r="C112" s="145"/>
      <c r="D112" s="155" t="s">
        <v>287</v>
      </c>
      <c r="E112" s="155" t="s">
        <v>289</v>
      </c>
      <c r="F112" s="156" t="s">
        <v>288</v>
      </c>
    </row>
    <row r="113" spans="1:6" x14ac:dyDescent="0.2">
      <c r="A113" s="126"/>
      <c r="D113" s="12"/>
      <c r="E113" s="12"/>
      <c r="F113" s="157"/>
    </row>
    <row r="114" spans="1:6" x14ac:dyDescent="0.2">
      <c r="A114" s="126" t="s">
        <v>1059</v>
      </c>
      <c r="B114" s="54" t="e">
        <f>B7+B9</f>
        <v>#REF!</v>
      </c>
      <c r="D114" s="149" t="e">
        <f>D7+D9</f>
        <v>#REF!</v>
      </c>
      <c r="E114" s="149" t="e">
        <f>E7+E9</f>
        <v>#REF!</v>
      </c>
      <c r="F114" s="149" t="e">
        <f>F7+F9</f>
        <v>#REF!</v>
      </c>
    </row>
    <row r="115" spans="1:6" x14ac:dyDescent="0.2">
      <c r="A115" s="126"/>
      <c r="B115" s="12"/>
      <c r="D115" s="159"/>
      <c r="E115" s="159"/>
      <c r="F115" s="159"/>
    </row>
    <row r="116" spans="1:6" x14ac:dyDescent="0.2">
      <c r="A116" s="126" t="s">
        <v>1060</v>
      </c>
      <c r="B116" s="54" t="e">
        <f>B109</f>
        <v>#REF!</v>
      </c>
      <c r="D116" s="149" t="e">
        <f>D109</f>
        <v>#REF!</v>
      </c>
      <c r="E116" s="149" t="e">
        <f>E109</f>
        <v>#REF!</v>
      </c>
      <c r="F116" s="149" t="e">
        <f>F109</f>
        <v>#REF!</v>
      </c>
    </row>
    <row r="117" spans="1:6" x14ac:dyDescent="0.2">
      <c r="A117" s="126"/>
      <c r="B117" s="12"/>
      <c r="D117" s="12"/>
      <c r="E117" s="12"/>
      <c r="F117" s="12"/>
    </row>
    <row r="118" spans="1:6" ht="15" x14ac:dyDescent="0.25">
      <c r="A118" s="109" t="s">
        <v>1069</v>
      </c>
      <c r="B118" s="239" t="e">
        <f>SUM(B114:B116)</f>
        <v>#REF!</v>
      </c>
      <c r="C118" s="234"/>
      <c r="D118" s="161" t="e">
        <f>D114+D116</f>
        <v>#REF!</v>
      </c>
      <c r="E118" s="161" t="e">
        <f>E114+E116</f>
        <v>#REF!</v>
      </c>
      <c r="F118" s="161" t="e">
        <f>F114+F116</f>
        <v>#REF!</v>
      </c>
    </row>
    <row r="119" spans="1:6" ht="13.5" thickBot="1" x14ac:dyDescent="0.25">
      <c r="A119" s="163"/>
      <c r="B119" s="164"/>
      <c r="C119" s="164"/>
      <c r="E119" s="164"/>
      <c r="F119" s="165"/>
    </row>
    <row r="120" spans="1:6" ht="16.5" thickBot="1" x14ac:dyDescent="0.3">
      <c r="A120" s="5699" t="s">
        <v>1070</v>
      </c>
      <c r="B120" s="5700"/>
      <c r="C120" s="5701"/>
      <c r="D120" s="166">
        <f>'Compra -HOJA1'!G10</f>
        <v>0</v>
      </c>
      <c r="E120" s="167">
        <f>'Compra -HOJA1'!I10</f>
        <v>0</v>
      </c>
      <c r="F120" s="168">
        <f>'Compra -HOJA1'!H10</f>
        <v>0</v>
      </c>
    </row>
    <row r="122" spans="1:6" x14ac:dyDescent="0.2">
      <c r="D122" s="25" t="e">
        <f>'SECCION I-II'!#REF!</f>
        <v>#REF!</v>
      </c>
      <c r="E122" s="25" t="e">
        <f>'SECCION I-II'!#REF!</f>
        <v>#REF!</v>
      </c>
      <c r="F122" s="25" t="e">
        <f>'SECCION I-II'!#REF!</f>
        <v>#REF!</v>
      </c>
    </row>
  </sheetData>
  <mergeCells count="13">
    <mergeCell ref="A120:C120"/>
    <mergeCell ref="D55:F55"/>
    <mergeCell ref="D65:F65"/>
    <mergeCell ref="D35:F35"/>
    <mergeCell ref="D45:F45"/>
    <mergeCell ref="D74:F74"/>
    <mergeCell ref="D83:F83"/>
    <mergeCell ref="D101:F101"/>
    <mergeCell ref="A1:G1"/>
    <mergeCell ref="D4:F4"/>
    <mergeCell ref="D15:F15"/>
    <mergeCell ref="D25:F25"/>
    <mergeCell ref="D92:F92"/>
  </mergeCells>
  <phoneticPr fontId="74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21"/>
  <dimension ref="A1:R95"/>
  <sheetViews>
    <sheetView topLeftCell="A12" zoomScale="62" zoomScaleNormal="62" workbookViewId="0">
      <selection activeCell="F28" sqref="F28"/>
    </sheetView>
  </sheetViews>
  <sheetFormatPr baseColWidth="10" defaultColWidth="11.42578125" defaultRowHeight="15" x14ac:dyDescent="0.2"/>
  <cols>
    <col min="1" max="1" width="11.42578125" style="9"/>
    <col min="2" max="2" width="25.5703125" style="9" hidden="1" customWidth="1"/>
    <col min="3" max="3" width="45.5703125" style="9" customWidth="1"/>
    <col min="4" max="4" width="18.5703125" style="12" customWidth="1"/>
    <col min="5" max="5" width="32" style="2381" customWidth="1"/>
    <col min="6" max="6" width="35.5703125" style="2381" customWidth="1"/>
    <col min="7" max="8" width="31.140625" style="2381" customWidth="1"/>
    <col min="9" max="11" width="31.140625" style="12" customWidth="1"/>
    <col min="12" max="12" width="29" style="9" customWidth="1"/>
    <col min="13" max="13" width="16.140625" style="9" customWidth="1"/>
    <col min="14" max="14" width="15.140625" style="9" hidden="1" customWidth="1"/>
    <col min="15" max="15" width="14.85546875" style="9" hidden="1" customWidth="1"/>
    <col min="16" max="17" width="0" style="9" hidden="1" customWidth="1"/>
    <col min="18" max="18" width="26" style="9" customWidth="1"/>
    <col min="19" max="16384" width="11.42578125" style="9"/>
  </cols>
  <sheetData>
    <row r="1" spans="1:11" ht="139.5" customHeight="1" thickBot="1" x14ac:dyDescent="0.25">
      <c r="A1" s="5721" t="s">
        <v>1090</v>
      </c>
      <c r="B1" s="5722"/>
      <c r="C1" s="5722"/>
      <c r="D1" s="5722"/>
      <c r="E1" s="5722"/>
      <c r="F1" s="5722"/>
      <c r="G1" s="5722"/>
      <c r="H1" s="5722"/>
      <c r="I1" s="5722"/>
      <c r="J1" s="5722"/>
      <c r="K1" s="5723"/>
    </row>
    <row r="2" spans="1:11" ht="27" customHeight="1" x14ac:dyDescent="0.35">
      <c r="E2" s="2374" t="s">
        <v>1091</v>
      </c>
      <c r="F2" s="2388"/>
      <c r="G2" s="2388"/>
      <c r="H2" s="2388"/>
      <c r="I2" s="2382"/>
      <c r="J2" s="2382"/>
    </row>
    <row r="3" spans="1:11" ht="27" customHeight="1" x14ac:dyDescent="0.25">
      <c r="D3" s="12" t="s">
        <v>1092</v>
      </c>
      <c r="E3" s="390">
        <f>+'Compra -HOJA1'!F4</f>
        <v>45536</v>
      </c>
      <c r="F3" s="1944"/>
      <c r="G3" s="1944"/>
      <c r="H3" s="1944"/>
    </row>
    <row r="4" spans="1:11" ht="47.25" thickBot="1" x14ac:dyDescent="0.4">
      <c r="C4" s="271" t="s">
        <v>1093</v>
      </c>
      <c r="D4" s="272" t="s">
        <v>1094</v>
      </c>
      <c r="E4" s="2375"/>
      <c r="J4" s="2374" t="s">
        <v>1095</v>
      </c>
    </row>
    <row r="5" spans="1:11" ht="31.5" customHeight="1" x14ac:dyDescent="0.4">
      <c r="A5" s="5724" t="s">
        <v>789</v>
      </c>
      <c r="B5" s="5727" t="s">
        <v>834</v>
      </c>
      <c r="C5" s="1481" t="s">
        <v>1096</v>
      </c>
      <c r="D5" s="275" t="s">
        <v>1097</v>
      </c>
      <c r="E5" s="2367"/>
      <c r="F5" s="2389"/>
      <c r="G5" s="2389"/>
      <c r="H5" s="2389"/>
      <c r="I5" s="1992" t="s">
        <v>786</v>
      </c>
      <c r="J5" s="2383" t="e">
        <f>+'DTO 641-SET 25'!X63</f>
        <v>#DIV/0!</v>
      </c>
    </row>
    <row r="6" spans="1:11" ht="31.5" customHeight="1" x14ac:dyDescent="0.4">
      <c r="A6" s="5725"/>
      <c r="B6" s="5728"/>
      <c r="C6" s="1482" t="s">
        <v>1098</v>
      </c>
      <c r="D6" s="277" t="s">
        <v>1097</v>
      </c>
      <c r="E6" s="2367"/>
      <c r="F6" s="2389"/>
      <c r="G6" s="2389"/>
      <c r="H6" s="2389"/>
      <c r="I6" s="1992" t="s">
        <v>796</v>
      </c>
      <c r="J6" s="2383" t="e">
        <f>+'DTO 641-SET 25'!X87</f>
        <v>#DIV/0!</v>
      </c>
    </row>
    <row r="7" spans="1:11" ht="31.5" customHeight="1" thickBot="1" x14ac:dyDescent="0.45">
      <c r="A7" s="5726"/>
      <c r="B7" s="5729"/>
      <c r="C7" s="1483" t="s">
        <v>1099</v>
      </c>
      <c r="D7" s="279"/>
      <c r="E7" s="2368"/>
      <c r="F7" s="2390"/>
      <c r="G7" s="2390"/>
      <c r="H7" s="2390"/>
      <c r="I7" s="1992" t="s">
        <v>799</v>
      </c>
      <c r="J7" s="2383" t="e">
        <f>+'DTO 641-SET 25'!X111</f>
        <v>#DIV/0!</v>
      </c>
    </row>
    <row r="8" spans="1:11" ht="31.5" customHeight="1" x14ac:dyDescent="0.4">
      <c r="A8" s="5740" t="s">
        <v>1100</v>
      </c>
      <c r="B8" s="5743"/>
      <c r="C8" s="280" t="s">
        <v>1096</v>
      </c>
      <c r="D8" s="281" t="s">
        <v>1097</v>
      </c>
      <c r="E8" s="2369"/>
      <c r="F8" s="2389"/>
      <c r="G8" s="2389"/>
      <c r="H8" s="2389"/>
      <c r="I8" s="1992" t="s">
        <v>802</v>
      </c>
      <c r="J8" s="2383" t="e">
        <f>+'DTO 641-SET 25'!X135</f>
        <v>#DIV/0!</v>
      </c>
    </row>
    <row r="9" spans="1:11" ht="31.5" customHeight="1" x14ac:dyDescent="0.35">
      <c r="A9" s="5741"/>
      <c r="B9" s="5744"/>
      <c r="C9" s="283" t="s">
        <v>1098</v>
      </c>
      <c r="D9" s="284" t="s">
        <v>1097</v>
      </c>
      <c r="E9" s="2367"/>
      <c r="F9" s="2389"/>
      <c r="G9" s="2389"/>
      <c r="H9" s="2389"/>
    </row>
    <row r="10" spans="1:11" ht="31.5" customHeight="1" thickBot="1" x14ac:dyDescent="0.4">
      <c r="A10" s="5741"/>
      <c r="B10" s="5744"/>
      <c r="C10" s="285" t="s">
        <v>1101</v>
      </c>
      <c r="D10" s="286" t="s">
        <v>1102</v>
      </c>
      <c r="E10" s="2370">
        <f ca="1">+'DDJJ EPEC S-II'!M578</f>
        <v>0</v>
      </c>
      <c r="F10" s="2391"/>
      <c r="G10" s="2391"/>
      <c r="H10" s="2391"/>
    </row>
    <row r="11" spans="1:11" ht="31.5" customHeight="1" thickBot="1" x14ac:dyDescent="0.4">
      <c r="A11" s="5741"/>
      <c r="B11" s="5744"/>
      <c r="C11" s="285" t="s">
        <v>1103</v>
      </c>
      <c r="D11" s="286" t="s">
        <v>1102</v>
      </c>
      <c r="E11" s="2370">
        <f ca="1">+'DDJJ EPEC S-II'!O578</f>
        <v>0</v>
      </c>
      <c r="F11" s="2391"/>
      <c r="G11" s="2391"/>
      <c r="H11" s="2391"/>
    </row>
    <row r="12" spans="1:11" ht="31.5" customHeight="1" thickBot="1" x14ac:dyDescent="0.4">
      <c r="A12" s="5742"/>
      <c r="B12" s="5745"/>
      <c r="C12" s="285" t="s">
        <v>1104</v>
      </c>
      <c r="D12" s="288" t="s">
        <v>1102</v>
      </c>
      <c r="E12" s="2370">
        <f ca="1">+'DDJJ EPEC S-II'!N578</f>
        <v>0</v>
      </c>
      <c r="F12" s="2391"/>
      <c r="G12" s="2391"/>
      <c r="H12" s="2391"/>
    </row>
    <row r="13" spans="1:11" ht="31.5" hidden="1" customHeight="1" x14ac:dyDescent="0.35">
      <c r="A13" s="5746" t="s">
        <v>1100</v>
      </c>
      <c r="B13" s="5749" t="s">
        <v>992</v>
      </c>
      <c r="C13" s="289" t="s">
        <v>1096</v>
      </c>
      <c r="D13" s="290" t="s">
        <v>1097</v>
      </c>
      <c r="E13" s="2371"/>
      <c r="F13" s="365"/>
      <c r="G13" s="365"/>
      <c r="H13" s="365"/>
    </row>
    <row r="14" spans="1:11" ht="31.5" hidden="1" customHeight="1" x14ac:dyDescent="0.35">
      <c r="A14" s="5747"/>
      <c r="B14" s="5750"/>
      <c r="C14" s="292" t="s">
        <v>1098</v>
      </c>
      <c r="D14" s="293" t="s">
        <v>1097</v>
      </c>
      <c r="E14" s="2371"/>
      <c r="F14" s="365"/>
      <c r="G14" s="365"/>
      <c r="H14" s="365"/>
    </row>
    <row r="15" spans="1:11" ht="31.5" hidden="1" customHeight="1" thickBot="1" x14ac:dyDescent="0.4">
      <c r="A15" s="5747"/>
      <c r="B15" s="5750"/>
      <c r="C15" s="294" t="s">
        <v>1101</v>
      </c>
      <c r="D15" s="293" t="s">
        <v>1102</v>
      </c>
      <c r="E15" s="2371"/>
      <c r="F15" s="365"/>
      <c r="G15" s="365"/>
      <c r="H15" s="365"/>
    </row>
    <row r="16" spans="1:11" ht="31.5" hidden="1" customHeight="1" thickBot="1" x14ac:dyDescent="0.4">
      <c r="A16" s="5747"/>
      <c r="B16" s="5750"/>
      <c r="C16" s="294" t="s">
        <v>1103</v>
      </c>
      <c r="D16" s="293" t="s">
        <v>1102</v>
      </c>
      <c r="E16" s="2371"/>
      <c r="F16" s="365"/>
      <c r="G16" s="365"/>
      <c r="H16" s="365"/>
    </row>
    <row r="17" spans="1:18" ht="31.5" hidden="1" customHeight="1" thickBot="1" x14ac:dyDescent="0.4">
      <c r="A17" s="5748"/>
      <c r="B17" s="5754"/>
      <c r="C17" s="294" t="s">
        <v>1104</v>
      </c>
      <c r="D17" s="295" t="s">
        <v>1102</v>
      </c>
      <c r="E17" s="2371"/>
      <c r="F17" s="365"/>
      <c r="G17" s="365"/>
      <c r="H17" s="365"/>
    </row>
    <row r="18" spans="1:18" ht="31.5" customHeight="1" x14ac:dyDescent="0.35">
      <c r="A18" s="5755" t="s">
        <v>1105</v>
      </c>
      <c r="B18" s="5761" t="s">
        <v>1106</v>
      </c>
      <c r="C18" s="296" t="s">
        <v>1096</v>
      </c>
      <c r="D18" s="297" t="s">
        <v>1097</v>
      </c>
      <c r="E18" s="2369"/>
      <c r="F18" s="2389"/>
      <c r="G18" s="2389"/>
      <c r="H18" s="2389"/>
    </row>
    <row r="19" spans="1:18" ht="31.5" customHeight="1" x14ac:dyDescent="0.35">
      <c r="A19" s="5756"/>
      <c r="B19" s="5762"/>
      <c r="C19" s="298" t="s">
        <v>1098</v>
      </c>
      <c r="D19" s="299" t="s">
        <v>1097</v>
      </c>
      <c r="E19" s="2369"/>
      <c r="F19" s="2389"/>
      <c r="G19" s="2389"/>
      <c r="H19" s="2389"/>
    </row>
    <row r="20" spans="1:18" ht="31.5" customHeight="1" thickBot="1" x14ac:dyDescent="0.4">
      <c r="A20" s="5756"/>
      <c r="B20" s="5762"/>
      <c r="C20" s="300" t="s">
        <v>1107</v>
      </c>
      <c r="D20" s="301" t="s">
        <v>1102</v>
      </c>
      <c r="E20" s="2370">
        <f>+'Compra -HOJA1'!O38</f>
        <v>0</v>
      </c>
      <c r="F20" s="2391"/>
      <c r="G20" s="2391"/>
      <c r="H20" s="2391"/>
      <c r="J20" s="1956"/>
      <c r="K20" s="1956"/>
    </row>
    <row r="21" spans="1:18" ht="31.5" customHeight="1" thickBot="1" x14ac:dyDescent="0.4">
      <c r="A21" s="5756"/>
      <c r="B21" s="5762"/>
      <c r="C21" s="302" t="s">
        <v>1108</v>
      </c>
      <c r="D21" s="301" t="s">
        <v>1102</v>
      </c>
      <c r="E21" s="2370">
        <f>+'Compra -HOJA1'!P38</f>
        <v>0</v>
      </c>
      <c r="F21" s="2391"/>
      <c r="G21" s="2391"/>
      <c r="H21" s="2391"/>
      <c r="I21" s="483"/>
      <c r="J21" s="483"/>
      <c r="K21" s="483"/>
    </row>
    <row r="22" spans="1:18" ht="31.5" customHeight="1" thickBot="1" x14ac:dyDescent="0.4">
      <c r="A22" s="5757"/>
      <c r="B22" s="5763"/>
      <c r="C22" s="300" t="s">
        <v>1109</v>
      </c>
      <c r="D22" s="303" t="s">
        <v>1102</v>
      </c>
      <c r="E22" s="2372">
        <f>+'Compra -HOJA1'!Q38</f>
        <v>0</v>
      </c>
      <c r="F22" s="1991" t="s">
        <v>1110</v>
      </c>
      <c r="G22" s="1991" t="s">
        <v>1111</v>
      </c>
      <c r="H22" s="1991" t="s">
        <v>1112</v>
      </c>
      <c r="I22" s="2004" t="s">
        <v>762</v>
      </c>
      <c r="J22" s="2005" t="s">
        <v>778</v>
      </c>
      <c r="K22" s="2005" t="s">
        <v>1113</v>
      </c>
      <c r="N22" s="9" t="s">
        <v>627</v>
      </c>
      <c r="O22" s="9" t="s">
        <v>1114</v>
      </c>
      <c r="R22" s="2005" t="s">
        <v>627</v>
      </c>
    </row>
    <row r="23" spans="1:18" ht="31.5" hidden="1" customHeight="1" thickBot="1" x14ac:dyDescent="0.4">
      <c r="A23" s="5746" t="s">
        <v>1105</v>
      </c>
      <c r="B23" s="5749" t="s">
        <v>992</v>
      </c>
      <c r="C23" s="289" t="s">
        <v>1096</v>
      </c>
      <c r="D23" s="290" t="s">
        <v>1097</v>
      </c>
      <c r="E23" s="2371"/>
      <c r="F23" s="2392"/>
      <c r="G23" s="2392"/>
      <c r="H23" s="2392"/>
      <c r="I23" s="2384" t="e">
        <f>+#REF!</f>
        <v>#REF!</v>
      </c>
      <c r="J23" s="2384" t="e">
        <f>+#REF!</f>
        <v>#REF!</v>
      </c>
      <c r="K23" s="2384" t="e">
        <f>+#REF!</f>
        <v>#REF!</v>
      </c>
    </row>
    <row r="24" spans="1:18" ht="31.5" hidden="1" customHeight="1" thickBot="1" x14ac:dyDescent="0.4">
      <c r="A24" s="5747"/>
      <c r="B24" s="5750"/>
      <c r="C24" s="292" t="s">
        <v>1098</v>
      </c>
      <c r="D24" s="293" t="s">
        <v>1097</v>
      </c>
      <c r="E24" s="2371"/>
      <c r="F24" s="2392"/>
      <c r="G24" s="2392"/>
      <c r="H24" s="2392"/>
      <c r="I24" s="2384" t="e">
        <f>+#REF!</f>
        <v>#REF!</v>
      </c>
      <c r="J24" s="2384" t="e">
        <f>+#REF!</f>
        <v>#REF!</v>
      </c>
      <c r="K24" s="2384" t="e">
        <f>+#REF!</f>
        <v>#REF!</v>
      </c>
    </row>
    <row r="25" spans="1:18" ht="31.5" hidden="1" customHeight="1" thickBot="1" x14ac:dyDescent="0.4">
      <c r="A25" s="5747"/>
      <c r="B25" s="5750"/>
      <c r="C25" s="307" t="s">
        <v>1107</v>
      </c>
      <c r="D25" s="293" t="s">
        <v>1102</v>
      </c>
      <c r="E25" s="2371"/>
      <c r="F25" s="2392"/>
      <c r="G25" s="2392"/>
      <c r="H25" s="2392"/>
      <c r="I25" s="2384" t="e">
        <f>+#REF!</f>
        <v>#REF!</v>
      </c>
      <c r="J25" s="2384" t="e">
        <f>+#REF!</f>
        <v>#REF!</v>
      </c>
      <c r="K25" s="2384" t="e">
        <f>+#REF!</f>
        <v>#REF!</v>
      </c>
    </row>
    <row r="26" spans="1:18" ht="31.5" hidden="1" customHeight="1" thickBot="1" x14ac:dyDescent="0.4">
      <c r="A26" s="5747"/>
      <c r="B26" s="5750"/>
      <c r="C26" s="308" t="s">
        <v>1108</v>
      </c>
      <c r="D26" s="293" t="s">
        <v>1102</v>
      </c>
      <c r="E26" s="2371"/>
      <c r="F26" s="2392"/>
      <c r="G26" s="2392"/>
      <c r="H26" s="2392"/>
      <c r="I26" s="2384" t="e">
        <f>+#REF!</f>
        <v>#REF!</v>
      </c>
      <c r="J26" s="2384" t="e">
        <f>+#REF!</f>
        <v>#REF!</v>
      </c>
      <c r="K26" s="2384" t="e">
        <f>+#REF!</f>
        <v>#REF!</v>
      </c>
    </row>
    <row r="27" spans="1:18" ht="31.5" hidden="1" customHeight="1" thickBot="1" x14ac:dyDescent="0.4">
      <c r="A27" s="5748"/>
      <c r="B27" s="5751"/>
      <c r="C27" s="307" t="s">
        <v>1109</v>
      </c>
      <c r="D27" s="295" t="s">
        <v>1102</v>
      </c>
      <c r="E27" s="2371"/>
      <c r="F27" s="2392"/>
      <c r="G27" s="2392"/>
      <c r="H27" s="2392"/>
      <c r="I27" s="2384" t="e">
        <f>+#REF!</f>
        <v>#REF!</v>
      </c>
      <c r="J27" s="2384" t="e">
        <f>+#REF!</f>
        <v>#REF!</v>
      </c>
      <c r="K27" s="2384" t="e">
        <f>+#REF!</f>
        <v>#REF!</v>
      </c>
    </row>
    <row r="28" spans="1:18" ht="31.5" customHeight="1" x14ac:dyDescent="0.35">
      <c r="A28" s="5752" t="s">
        <v>1115</v>
      </c>
      <c r="B28" s="5730" t="s">
        <v>1106</v>
      </c>
      <c r="C28" s="309" t="s">
        <v>1116</v>
      </c>
      <c r="D28" s="310" t="s">
        <v>1102</v>
      </c>
      <c r="E28" s="2370">
        <f ca="1">+'DDJJ EPEC S-II'!L17+'DDJJ EPEC S-II'!L37</f>
        <v>0</v>
      </c>
      <c r="F28" s="2385" t="e">
        <f ca="1">+'DDJJ EPEC S-II'!L18+'DDJJ EPEC S-II'!L38+N28+O28</f>
        <v>#REF!</v>
      </c>
      <c r="G28" s="2385">
        <f ca="1">+'DDJJ EPEC S-II'!L19+'DDJJ EPEC S-II'!L41</f>
        <v>0</v>
      </c>
      <c r="H28" s="2385" t="e">
        <f>+'DDJJ EPEC S-II'!#REF!</f>
        <v>#REF!</v>
      </c>
      <c r="I28" s="2385">
        <f ca="1">+'DDJJ EPEC S-II'!L20+'DDJJ EPEC S-II'!L21+'DDJJ EPEC S-II'!L44+'DDJJ EPEC S-II'!L45</f>
        <v>0</v>
      </c>
      <c r="J28" s="2385">
        <f ca="1">+'DDJJ EPEC S-II'!L22+'DDJJ EPEC S-II'!L23+'DDJJ EPEC S-II'!L47+'DDJJ EPEC S-II'!L48</f>
        <v>0</v>
      </c>
      <c r="K28" s="2385">
        <f ca="1">+'SECCION I-II'!P$21+'SECCION I-II'!P$37</f>
        <v>0</v>
      </c>
      <c r="N28" s="25" t="e">
        <f>+'DDJJ EPEC S-II'!#REF!+'DDJJ EPEC S-II'!#REF!</f>
        <v>#REF!</v>
      </c>
      <c r="O28" s="9" t="e">
        <f>+IF('DDJJ EPEC S-II'!#REF!="S1",'DDJJ EPEC S-II'!#REF!,0)</f>
        <v>#REF!</v>
      </c>
      <c r="R28" s="2399" t="e">
        <f>+N28+O28</f>
        <v>#REF!</v>
      </c>
    </row>
    <row r="29" spans="1:18" ht="31.5" customHeight="1" x14ac:dyDescent="0.35">
      <c r="A29" s="5753"/>
      <c r="B29" s="5731"/>
      <c r="C29" s="311" t="s">
        <v>1117</v>
      </c>
      <c r="D29" s="312" t="s">
        <v>1102</v>
      </c>
      <c r="E29" s="2370">
        <f ca="1">+'DDJJ EPEC S-II'!L65</f>
        <v>0</v>
      </c>
      <c r="F29" s="2385" t="e">
        <f ca="1">+'DDJJ EPEC S-II'!L66+N29+O29</f>
        <v>#REF!</v>
      </c>
      <c r="G29" s="2385">
        <f ca="1">+'DDJJ EPEC S-II'!L68</f>
        <v>0</v>
      </c>
      <c r="H29" s="2385">
        <f ca="1">+'DDJJ EPEC S-II'!L69</f>
        <v>0</v>
      </c>
      <c r="I29" s="2385">
        <f ca="1">+'DDJJ EPEC S-II'!L72</f>
        <v>0</v>
      </c>
      <c r="J29" s="2385">
        <f ca="1">+'DDJJ EPEC S-II'!L74</f>
        <v>0</v>
      </c>
      <c r="K29" s="2385" t="e">
        <f>+'SECCION I-II'!P$53</f>
        <v>#REF!</v>
      </c>
      <c r="N29" s="25" t="e">
        <f>+'DDJJ EPEC S-II'!#REF!</f>
        <v>#REF!</v>
      </c>
      <c r="O29" s="9" t="e">
        <f>+IF('DDJJ EPEC S-II'!#REF!="S2",'DDJJ EPEC S-II'!#REF!,0)</f>
        <v>#REF!</v>
      </c>
      <c r="R29" s="2399" t="e">
        <f>+N29+O29</f>
        <v>#REF!</v>
      </c>
    </row>
    <row r="30" spans="1:18" ht="31.5" customHeight="1" x14ac:dyDescent="0.35">
      <c r="A30" s="5753"/>
      <c r="B30" s="5731"/>
      <c r="C30" s="311" t="s">
        <v>1118</v>
      </c>
      <c r="D30" s="312" t="s">
        <v>1102</v>
      </c>
      <c r="E30" s="2370">
        <f ca="1">+'DDJJ EPEC S-II'!L87</f>
        <v>0</v>
      </c>
      <c r="F30" s="2385" t="e">
        <f ca="1">+'DDJJ EPEC S-II'!L88+N30+O30</f>
        <v>#REF!</v>
      </c>
      <c r="G30" s="2385">
        <f ca="1">+'DDJJ EPEC S-II'!L91</f>
        <v>0</v>
      </c>
      <c r="H30" s="2385" t="e">
        <f>+'DDJJ EPEC S-II'!#REF!</f>
        <v>#REF!</v>
      </c>
      <c r="I30" s="2385">
        <f ca="1">+'DDJJ EPEC S-II'!L94</f>
        <v>0</v>
      </c>
      <c r="J30" s="2385">
        <f ca="1">+'DDJJ EPEC S-II'!L96</f>
        <v>0</v>
      </c>
      <c r="K30" s="2385">
        <f ca="1">+'SECCION I-II'!P$69</f>
        <v>0</v>
      </c>
      <c r="N30" s="25" t="e">
        <f>+'DDJJ EPEC S-II'!#REF!</f>
        <v>#REF!</v>
      </c>
      <c r="O30" s="9" t="e">
        <f>+IF('DDJJ EPEC S-II'!#REF!="S3",'DDJJ EPEC S-II'!#REF!,0)</f>
        <v>#REF!</v>
      </c>
      <c r="R30" s="2399" t="e">
        <f>+N30+O30</f>
        <v>#REF!</v>
      </c>
    </row>
    <row r="31" spans="1:18" ht="31.5" customHeight="1" x14ac:dyDescent="0.35">
      <c r="A31" s="5753"/>
      <c r="B31" s="5731"/>
      <c r="C31" s="311" t="s">
        <v>1119</v>
      </c>
      <c r="D31" s="312" t="s">
        <v>1102</v>
      </c>
      <c r="E31" s="2370">
        <f ca="1">+'DDJJ EPEC S-II'!L109</f>
        <v>0</v>
      </c>
      <c r="F31" s="2385" t="e">
        <f ca="1">+'DDJJ EPEC S-II'!L110+N31+O31</f>
        <v>#REF!</v>
      </c>
      <c r="G31" s="2385">
        <f ca="1">+'DDJJ EPEC S-II'!L113</f>
        <v>0</v>
      </c>
      <c r="H31" s="2385" t="e">
        <f>+'DDJJ EPEC S-II'!#REF!</f>
        <v>#REF!</v>
      </c>
      <c r="I31" s="2385">
        <f ca="1">+'DDJJ EPEC S-II'!L116</f>
        <v>0</v>
      </c>
      <c r="J31" s="2385">
        <f ca="1">+'DDJJ EPEC S-II'!L118</f>
        <v>0</v>
      </c>
      <c r="K31" s="2385" t="e">
        <f>+'SECCION I-II'!P$85</f>
        <v>#REF!</v>
      </c>
      <c r="N31" s="25" t="e">
        <f>+'DDJJ EPEC S-II'!#REF!+'DDJJ EPEC S-II'!#REF!+'DDJJ EPEC S-II'!#REF!+'DDJJ EPEC S-II'!#REF!</f>
        <v>#REF!</v>
      </c>
      <c r="O31" s="9" t="e">
        <f>+IF('DDJJ EPEC S-II'!#REF!="S4",'DDJJ EPEC S-II'!#REF!,0)</f>
        <v>#REF!</v>
      </c>
      <c r="R31" s="2399" t="e">
        <f>+N31+O31</f>
        <v>#REF!</v>
      </c>
    </row>
    <row r="32" spans="1:18" ht="31.5" customHeight="1" x14ac:dyDescent="0.35">
      <c r="A32" s="5753"/>
      <c r="B32" s="5731"/>
      <c r="C32" s="311" t="s">
        <v>1120</v>
      </c>
      <c r="D32" s="312" t="s">
        <v>1102</v>
      </c>
      <c r="E32" s="2370">
        <f>+'DDJJ EPEC S-II'!L221</f>
        <v>0</v>
      </c>
      <c r="F32" s="2398" t="e">
        <f>+N32+O32</f>
        <v>#REF!</v>
      </c>
      <c r="G32" s="2396"/>
      <c r="H32" s="2396"/>
      <c r="I32" s="2386"/>
      <c r="J32" s="2386"/>
      <c r="K32" s="2386"/>
      <c r="N32" s="2397" t="e">
        <f>SUM(N28:N31)</f>
        <v>#REF!</v>
      </c>
      <c r="O32" s="2397" t="e">
        <f>SUM(O28:O31)</f>
        <v>#REF!</v>
      </c>
    </row>
    <row r="33" spans="1:18" ht="31.5" customHeight="1" x14ac:dyDescent="0.35">
      <c r="A33" s="5753"/>
      <c r="B33" s="5731"/>
      <c r="C33" s="311" t="s">
        <v>1121</v>
      </c>
      <c r="D33" s="312" t="s">
        <v>1102</v>
      </c>
      <c r="E33" s="2370">
        <f ca="1">+'DDJJ EPEC S-II'!L204</f>
        <v>0</v>
      </c>
      <c r="F33" s="2385">
        <f ca="1">+'DDJJ EPEC S-II'!L203</f>
        <v>0</v>
      </c>
      <c r="G33" s="2396"/>
      <c r="H33" s="2396"/>
      <c r="I33" s="2386"/>
      <c r="J33" s="2386"/>
      <c r="K33" s="2386"/>
    </row>
    <row r="34" spans="1:18" ht="31.5" customHeight="1" x14ac:dyDescent="0.35">
      <c r="A34" s="5753"/>
      <c r="B34" s="5731"/>
      <c r="C34" s="311" t="s">
        <v>1122</v>
      </c>
      <c r="D34" s="312" t="s">
        <v>1102</v>
      </c>
      <c r="E34" s="2370">
        <f ca="1">+'DDJJ EPEC S-II'!L213</f>
        <v>0</v>
      </c>
      <c r="F34" s="2385">
        <f ca="1">+'DDJJ EPEC S-II'!L212</f>
        <v>0</v>
      </c>
      <c r="G34" s="2396"/>
      <c r="H34" s="2396"/>
      <c r="I34" s="2386"/>
      <c r="J34" s="2386"/>
      <c r="K34" s="2386"/>
    </row>
    <row r="35" spans="1:18" ht="31.5" customHeight="1" thickBot="1" x14ac:dyDescent="0.4">
      <c r="A35" s="5753"/>
      <c r="B35" s="5731"/>
      <c r="C35" s="311" t="s">
        <v>1123</v>
      </c>
      <c r="D35" s="312" t="s">
        <v>1102</v>
      </c>
      <c r="E35" s="2370">
        <f>+'SECCION I-II'!F142+'SECCION I-II'!F151-'PARA 870'!E20</f>
        <v>0</v>
      </c>
      <c r="F35" s="2391"/>
      <c r="G35" s="2391"/>
      <c r="H35" s="2391"/>
      <c r="I35" s="483"/>
    </row>
    <row r="36" spans="1:18" ht="31.5" customHeight="1" thickBot="1" x14ac:dyDescent="0.4">
      <c r="A36" s="5753"/>
      <c r="B36" s="5732"/>
      <c r="C36" s="313" t="s">
        <v>1101</v>
      </c>
      <c r="D36" s="314" t="s">
        <v>1102</v>
      </c>
      <c r="E36" s="2373"/>
      <c r="F36" s="1991" t="s">
        <v>1110</v>
      </c>
      <c r="G36" s="1991" t="s">
        <v>1111</v>
      </c>
      <c r="H36" s="1991" t="s">
        <v>1112</v>
      </c>
      <c r="I36" s="2004" t="s">
        <v>762</v>
      </c>
      <c r="J36" s="2005" t="s">
        <v>778</v>
      </c>
      <c r="K36" s="2005" t="s">
        <v>1113</v>
      </c>
      <c r="R36" s="2005" t="s">
        <v>627</v>
      </c>
    </row>
    <row r="37" spans="1:18" ht="31.5" hidden="1" customHeight="1" thickBot="1" x14ac:dyDescent="0.4">
      <c r="A37" s="5753"/>
      <c r="B37" s="5733" t="s">
        <v>992</v>
      </c>
      <c r="C37" s="316" t="s">
        <v>1116</v>
      </c>
      <c r="D37" s="317" t="s">
        <v>1102</v>
      </c>
      <c r="E37" s="2371"/>
      <c r="F37" s="2392"/>
      <c r="G37" s="2392"/>
      <c r="H37" s="2392"/>
      <c r="I37" s="2384"/>
      <c r="J37" s="2384"/>
      <c r="K37" s="2384"/>
    </row>
    <row r="38" spans="1:18" ht="31.5" hidden="1" customHeight="1" thickBot="1" x14ac:dyDescent="0.4">
      <c r="A38" s="5753"/>
      <c r="B38" s="5734"/>
      <c r="C38" s="318" t="s">
        <v>1117</v>
      </c>
      <c r="D38" s="319" t="s">
        <v>1102</v>
      </c>
      <c r="E38" s="2371"/>
      <c r="F38" s="2392"/>
      <c r="G38" s="2392"/>
      <c r="H38" s="2392"/>
      <c r="I38" s="2384"/>
      <c r="J38" s="2384"/>
      <c r="K38" s="2384"/>
    </row>
    <row r="39" spans="1:18" ht="31.5" hidden="1" customHeight="1" thickBot="1" x14ac:dyDescent="0.4">
      <c r="A39" s="5753"/>
      <c r="B39" s="5734"/>
      <c r="C39" s="318" t="s">
        <v>1118</v>
      </c>
      <c r="D39" s="319" t="s">
        <v>1102</v>
      </c>
      <c r="E39" s="2371"/>
      <c r="F39" s="2392"/>
      <c r="G39" s="2392"/>
      <c r="H39" s="2392"/>
      <c r="I39" s="2384"/>
      <c r="J39" s="2384"/>
      <c r="K39" s="2384"/>
    </row>
    <row r="40" spans="1:18" ht="31.5" hidden="1" customHeight="1" thickBot="1" x14ac:dyDescent="0.4">
      <c r="A40" s="5753"/>
      <c r="B40" s="5734"/>
      <c r="C40" s="318" t="s">
        <v>1119</v>
      </c>
      <c r="D40" s="319" t="s">
        <v>1102</v>
      </c>
      <c r="E40" s="2371"/>
      <c r="F40" s="2392"/>
      <c r="G40" s="2392"/>
      <c r="H40" s="2392"/>
      <c r="I40" s="2384"/>
      <c r="J40" s="2384"/>
      <c r="K40" s="2384"/>
    </row>
    <row r="41" spans="1:18" ht="31.5" hidden="1" customHeight="1" thickBot="1" x14ac:dyDescent="0.4">
      <c r="A41" s="5753"/>
      <c r="B41" s="5734"/>
      <c r="C41" s="318" t="s">
        <v>1120</v>
      </c>
      <c r="D41" s="319" t="s">
        <v>1102</v>
      </c>
      <c r="E41" s="2371"/>
      <c r="F41" s="2392"/>
      <c r="G41" s="2392"/>
      <c r="H41" s="2392"/>
      <c r="I41" s="2384"/>
      <c r="J41" s="2384"/>
      <c r="K41" s="2384"/>
    </row>
    <row r="42" spans="1:18" ht="31.5" hidden="1" customHeight="1" x14ac:dyDescent="0.35">
      <c r="A42" s="5753"/>
      <c r="B42" s="5734"/>
      <c r="C42" s="318" t="s">
        <v>1121</v>
      </c>
      <c r="D42" s="319" t="s">
        <v>1102</v>
      </c>
      <c r="E42" s="2371"/>
      <c r="F42" s="420"/>
      <c r="G42" s="420"/>
      <c r="H42" s="420"/>
      <c r="I42" s="2387"/>
      <c r="J42" s="2387"/>
      <c r="K42" s="2387"/>
    </row>
    <row r="43" spans="1:18" ht="31.5" hidden="1" customHeight="1" x14ac:dyDescent="0.35">
      <c r="A43" s="5753"/>
      <c r="B43" s="5734"/>
      <c r="C43" s="318" t="s">
        <v>1122</v>
      </c>
      <c r="D43" s="319" t="s">
        <v>1102</v>
      </c>
      <c r="E43" s="2371"/>
      <c r="F43" s="420"/>
      <c r="G43" s="420"/>
      <c r="H43" s="420"/>
      <c r="I43" s="2387"/>
      <c r="J43" s="2387"/>
      <c r="K43" s="2387"/>
    </row>
    <row r="44" spans="1:18" ht="31.5" hidden="1" customHeight="1" x14ac:dyDescent="0.35">
      <c r="A44" s="5753"/>
      <c r="B44" s="5734"/>
      <c r="C44" s="318" t="s">
        <v>1123</v>
      </c>
      <c r="D44" s="319" t="s">
        <v>1102</v>
      </c>
      <c r="E44" s="2371"/>
      <c r="F44" s="420"/>
      <c r="G44" s="420"/>
      <c r="H44" s="420"/>
      <c r="I44" s="2387"/>
      <c r="J44" s="2387"/>
      <c r="K44" s="2387"/>
    </row>
    <row r="45" spans="1:18" ht="31.5" hidden="1" customHeight="1" thickBot="1" x14ac:dyDescent="0.4">
      <c r="A45" s="5753"/>
      <c r="B45" s="5735"/>
      <c r="C45" s="320" t="s">
        <v>1101</v>
      </c>
      <c r="D45" s="321" t="s">
        <v>1102</v>
      </c>
      <c r="E45" s="2371"/>
      <c r="F45" s="420"/>
      <c r="G45" s="420"/>
      <c r="H45" s="420"/>
      <c r="I45" s="2387"/>
      <c r="J45" s="2387"/>
      <c r="K45" s="2387"/>
    </row>
    <row r="46" spans="1:18" ht="31.5" customHeight="1" x14ac:dyDescent="0.35">
      <c r="A46" s="5753"/>
      <c r="B46" s="5730" t="s">
        <v>1106</v>
      </c>
      <c r="C46" s="322" t="s">
        <v>1124</v>
      </c>
      <c r="D46" s="323" t="s">
        <v>1102</v>
      </c>
      <c r="E46" s="2370">
        <f ca="1">+'DDJJ EPEC S-II'!N17+'DDJJ EPEC S-II'!N37</f>
        <v>0</v>
      </c>
      <c r="F46" s="2385" t="e">
        <f ca="1">+'DDJJ EPEC S-II'!N18+'DDJJ EPEC S-II'!N38+N46+O46</f>
        <v>#REF!</v>
      </c>
      <c r="G46" s="2385">
        <f ca="1">+'DDJJ EPEC S-II'!N19+'DDJJ EPEC S-II'!N41</f>
        <v>0</v>
      </c>
      <c r="H46" s="2385" t="e">
        <f>+'DDJJ EPEC S-II'!#REF!</f>
        <v>#REF!</v>
      </c>
      <c r="I46" s="2385">
        <f ca="1">+'DDJJ EPEC S-II'!N20+'DDJJ EPEC S-II'!N21+'DDJJ EPEC S-II'!N44+'DDJJ EPEC S-II'!N45</f>
        <v>0</v>
      </c>
      <c r="J46" s="2385">
        <f ca="1">+'DDJJ EPEC S-II'!N22+'DDJJ EPEC S-II'!N23+'DDJJ EPEC S-II'!N47+'DDJJ EPEC S-II'!N48</f>
        <v>0</v>
      </c>
      <c r="K46" s="2385">
        <f ca="1">+'SECCION I-II'!R$21+'SECCION I-II'!R$37</f>
        <v>0</v>
      </c>
      <c r="N46" s="25" t="e">
        <f>+'DDJJ EPEC S-II'!#REF!+'DDJJ EPEC S-II'!#REF!</f>
        <v>#REF!</v>
      </c>
      <c r="O46" s="9" t="e">
        <f>+IF('DDJJ EPEC S-II'!#REF!="S1",'DDJJ EPEC S-II'!#REF!,0)</f>
        <v>#REF!</v>
      </c>
      <c r="R46" s="2399" t="e">
        <f>+N46+O46</f>
        <v>#REF!</v>
      </c>
    </row>
    <row r="47" spans="1:18" ht="31.5" customHeight="1" x14ac:dyDescent="0.35">
      <c r="A47" s="5753"/>
      <c r="B47" s="5731"/>
      <c r="C47" s="324" t="s">
        <v>1125</v>
      </c>
      <c r="D47" s="325" t="s">
        <v>1102</v>
      </c>
      <c r="E47" s="2370">
        <f ca="1">+'DDJJ EPEC S-II'!N65</f>
        <v>0</v>
      </c>
      <c r="F47" s="2385" t="e">
        <f ca="1">+'DDJJ EPEC S-II'!N66+N47+O47</f>
        <v>#REF!</v>
      </c>
      <c r="G47" s="2385">
        <f ca="1">+'DDJJ EPEC S-II'!N68</f>
        <v>0</v>
      </c>
      <c r="H47" s="2385">
        <f ca="1">+'DDJJ EPEC S-II'!N69</f>
        <v>0</v>
      </c>
      <c r="I47" s="2385">
        <f ca="1">+'DDJJ EPEC S-II'!N72</f>
        <v>0</v>
      </c>
      <c r="J47" s="2385">
        <f ca="1">+'DDJJ EPEC S-II'!N74</f>
        <v>0</v>
      </c>
      <c r="K47" s="2385" t="e">
        <f>+'SECCION I-II'!R$53</f>
        <v>#REF!</v>
      </c>
      <c r="N47" s="25" t="e">
        <f>+'DDJJ EPEC S-II'!#REF!</f>
        <v>#REF!</v>
      </c>
      <c r="O47" s="9" t="e">
        <f>+IF('DDJJ EPEC S-II'!#REF!="S2",'DDJJ EPEC S-II'!#REF!,0)</f>
        <v>#REF!</v>
      </c>
      <c r="R47" s="2399" t="e">
        <f>+N47+O47</f>
        <v>#REF!</v>
      </c>
    </row>
    <row r="48" spans="1:18" ht="31.5" customHeight="1" x14ac:dyDescent="0.35">
      <c r="A48" s="5753"/>
      <c r="B48" s="5731"/>
      <c r="C48" s="324" t="s">
        <v>1126</v>
      </c>
      <c r="D48" s="325" t="s">
        <v>1102</v>
      </c>
      <c r="E48" s="2370">
        <f ca="1">+'DDJJ EPEC S-II'!N87</f>
        <v>0</v>
      </c>
      <c r="F48" s="2385" t="e">
        <f ca="1">+'DDJJ EPEC S-II'!N88+N48+O48</f>
        <v>#REF!</v>
      </c>
      <c r="G48" s="2385">
        <f ca="1">+'DDJJ EPEC S-II'!N91</f>
        <v>0</v>
      </c>
      <c r="H48" s="2385" t="e">
        <f>+'DDJJ EPEC S-II'!#REF!</f>
        <v>#REF!</v>
      </c>
      <c r="I48" s="2385">
        <f ca="1">+'DDJJ EPEC S-II'!N94</f>
        <v>0</v>
      </c>
      <c r="J48" s="2385">
        <f ca="1">+'DDJJ EPEC S-II'!N96</f>
        <v>0</v>
      </c>
      <c r="K48" s="2385">
        <f ca="1">+'SECCION I-II'!R$69</f>
        <v>0</v>
      </c>
      <c r="N48" s="25" t="e">
        <f>+'DDJJ EPEC S-II'!#REF!</f>
        <v>#REF!</v>
      </c>
      <c r="O48" s="9" t="e">
        <f>+IF('DDJJ EPEC S-II'!#REF!="S3",'DDJJ EPEC S-II'!#REF!,0)</f>
        <v>#REF!</v>
      </c>
      <c r="R48" s="2399" t="e">
        <f>+N48+O48</f>
        <v>#REF!</v>
      </c>
    </row>
    <row r="49" spans="1:18" ht="31.5" customHeight="1" x14ac:dyDescent="0.35">
      <c r="A49" s="5753"/>
      <c r="B49" s="5731"/>
      <c r="C49" s="324" t="s">
        <v>1127</v>
      </c>
      <c r="D49" s="325" t="s">
        <v>1102</v>
      </c>
      <c r="E49" s="2370">
        <f ca="1">+'DDJJ EPEC S-II'!N109</f>
        <v>0</v>
      </c>
      <c r="F49" s="2385" t="e">
        <f ca="1">+'DDJJ EPEC S-II'!N110+N49+O49</f>
        <v>#REF!</v>
      </c>
      <c r="G49" s="2385">
        <f ca="1">+'DDJJ EPEC S-II'!N113</f>
        <v>0</v>
      </c>
      <c r="H49" s="2385" t="e">
        <f>+'DDJJ EPEC S-II'!#REF!</f>
        <v>#REF!</v>
      </c>
      <c r="I49" s="2385">
        <f ca="1">+'DDJJ EPEC S-II'!N116</f>
        <v>0</v>
      </c>
      <c r="J49" s="2385">
        <f ca="1">+'DDJJ EPEC S-II'!N118</f>
        <v>0</v>
      </c>
      <c r="K49" s="2385" t="e">
        <f>+'SECCION I-II'!R$85</f>
        <v>#REF!</v>
      </c>
      <c r="N49" s="25" t="e">
        <f>+'DDJJ EPEC S-II'!#REF!+'DDJJ EPEC S-II'!#REF!+'DDJJ EPEC S-II'!#REF!+'DDJJ EPEC S-II'!#REF!</f>
        <v>#REF!</v>
      </c>
      <c r="O49" s="9" t="e">
        <f>+IF('DDJJ EPEC S-II'!#REF!="S4",'DDJJ EPEC S-II'!#REF!,0)</f>
        <v>#REF!</v>
      </c>
      <c r="R49" s="2399" t="e">
        <f>+N49+O49</f>
        <v>#REF!</v>
      </c>
    </row>
    <row r="50" spans="1:18" ht="31.5" customHeight="1" x14ac:dyDescent="0.35">
      <c r="A50" s="5753"/>
      <c r="B50" s="5731"/>
      <c r="C50" s="324" t="s">
        <v>1128</v>
      </c>
      <c r="D50" s="325" t="s">
        <v>1102</v>
      </c>
      <c r="E50" s="2370">
        <f>+'DDJJ EPEC S-II'!N221</f>
        <v>0</v>
      </c>
      <c r="F50" s="2398" t="e">
        <f>+N50+O50</f>
        <v>#REF!</v>
      </c>
      <c r="G50" s="2396"/>
      <c r="H50" s="2396"/>
      <c r="I50" s="2386"/>
      <c r="J50" s="2386"/>
      <c r="K50" s="2386"/>
      <c r="N50" s="2397" t="e">
        <f>SUM(N46:N49)</f>
        <v>#REF!</v>
      </c>
      <c r="O50" s="2397" t="e">
        <f>SUM(O46:O49)</f>
        <v>#REF!</v>
      </c>
    </row>
    <row r="51" spans="1:18" ht="31.5" customHeight="1" x14ac:dyDescent="0.35">
      <c r="A51" s="5753"/>
      <c r="B51" s="5731"/>
      <c r="C51" s="324" t="s">
        <v>1129</v>
      </c>
      <c r="D51" s="325" t="s">
        <v>1102</v>
      </c>
      <c r="E51" s="2370">
        <f ca="1">+'DDJJ EPEC S-II'!N204</f>
        <v>0</v>
      </c>
      <c r="F51" s="2385">
        <f ca="1">+'DDJJ EPEC S-II'!N203</f>
        <v>0</v>
      </c>
      <c r="G51" s="2396"/>
      <c r="H51" s="2396"/>
      <c r="I51" s="2386"/>
      <c r="J51" s="2386"/>
      <c r="K51" s="2386"/>
    </row>
    <row r="52" spans="1:18" ht="31.5" customHeight="1" x14ac:dyDescent="0.35">
      <c r="A52" s="5753"/>
      <c r="B52" s="5731"/>
      <c r="C52" s="324" t="s">
        <v>1130</v>
      </c>
      <c r="D52" s="325" t="s">
        <v>1102</v>
      </c>
      <c r="E52" s="2370">
        <f ca="1">+'DDJJ EPEC S-II'!N213</f>
        <v>0</v>
      </c>
      <c r="F52" s="2385">
        <f ca="1">+'DDJJ EPEC S-II'!N212</f>
        <v>0</v>
      </c>
      <c r="G52" s="2396"/>
      <c r="H52" s="2396"/>
      <c r="I52" s="2386"/>
      <c r="J52" s="2386"/>
      <c r="K52" s="2386"/>
    </row>
    <row r="53" spans="1:18" ht="31.5" customHeight="1" thickBot="1" x14ac:dyDescent="0.4">
      <c r="A53" s="5753"/>
      <c r="B53" s="5731"/>
      <c r="C53" s="324" t="s">
        <v>1108</v>
      </c>
      <c r="D53" s="325" t="s">
        <v>1102</v>
      </c>
      <c r="E53" s="2370">
        <f>+'SECCION I-II'!H142+'SECCION I-II'!H151-'PARA 870'!E21</f>
        <v>0</v>
      </c>
      <c r="F53" s="2391"/>
      <c r="G53" s="2391"/>
      <c r="H53" s="2391"/>
      <c r="I53" s="483"/>
    </row>
    <row r="54" spans="1:18" ht="31.5" customHeight="1" thickBot="1" x14ac:dyDescent="0.4">
      <c r="A54" s="5753"/>
      <c r="B54" s="5732"/>
      <c r="C54" s="326" t="s">
        <v>1103</v>
      </c>
      <c r="D54" s="327" t="s">
        <v>1102</v>
      </c>
      <c r="E54" s="2373"/>
      <c r="F54" s="1991" t="s">
        <v>1110</v>
      </c>
      <c r="G54" s="1991" t="s">
        <v>1111</v>
      </c>
      <c r="H54" s="1991" t="s">
        <v>1112</v>
      </c>
      <c r="I54" s="2004" t="s">
        <v>762</v>
      </c>
      <c r="J54" s="2005" t="s">
        <v>778</v>
      </c>
      <c r="K54" s="2005" t="s">
        <v>1113</v>
      </c>
      <c r="R54" s="2005" t="s">
        <v>627</v>
      </c>
    </row>
    <row r="55" spans="1:18" ht="31.5" hidden="1" customHeight="1" x14ac:dyDescent="0.35">
      <c r="A55" s="5753"/>
      <c r="B55" s="5733" t="s">
        <v>992</v>
      </c>
      <c r="C55" s="328" t="s">
        <v>1124</v>
      </c>
      <c r="D55" s="329" t="s">
        <v>1102</v>
      </c>
      <c r="E55" s="2371"/>
      <c r="F55" s="365"/>
      <c r="G55" s="365"/>
      <c r="H55" s="365"/>
    </row>
    <row r="56" spans="1:18" ht="31.5" hidden="1" customHeight="1" x14ac:dyDescent="0.35">
      <c r="A56" s="5753"/>
      <c r="B56" s="5734"/>
      <c r="C56" s="331" t="s">
        <v>1125</v>
      </c>
      <c r="D56" s="332" t="s">
        <v>1102</v>
      </c>
      <c r="E56" s="2371"/>
      <c r="F56" s="365"/>
      <c r="G56" s="365"/>
      <c r="H56" s="365"/>
    </row>
    <row r="57" spans="1:18" ht="31.5" hidden="1" customHeight="1" x14ac:dyDescent="0.35">
      <c r="A57" s="5753"/>
      <c r="B57" s="5734"/>
      <c r="C57" s="331" t="s">
        <v>1126</v>
      </c>
      <c r="D57" s="332" t="s">
        <v>1102</v>
      </c>
      <c r="E57" s="2371"/>
      <c r="F57" s="365"/>
      <c r="G57" s="365"/>
      <c r="H57" s="365"/>
    </row>
    <row r="58" spans="1:18" ht="31.5" hidden="1" customHeight="1" x14ac:dyDescent="0.35">
      <c r="A58" s="5753"/>
      <c r="B58" s="5734"/>
      <c r="C58" s="331" t="s">
        <v>1127</v>
      </c>
      <c r="D58" s="332" t="s">
        <v>1102</v>
      </c>
      <c r="E58" s="2371"/>
      <c r="F58" s="365"/>
      <c r="G58" s="365"/>
      <c r="H58" s="365"/>
    </row>
    <row r="59" spans="1:18" ht="31.5" hidden="1" customHeight="1" x14ac:dyDescent="0.35">
      <c r="A59" s="5753"/>
      <c r="B59" s="5734"/>
      <c r="C59" s="331" t="s">
        <v>1128</v>
      </c>
      <c r="D59" s="332" t="s">
        <v>1102</v>
      </c>
      <c r="E59" s="2371"/>
      <c r="F59" s="365"/>
      <c r="G59" s="365"/>
      <c r="H59" s="365"/>
    </row>
    <row r="60" spans="1:18" ht="31.5" hidden="1" customHeight="1" x14ac:dyDescent="0.35">
      <c r="A60" s="5753"/>
      <c r="B60" s="5734"/>
      <c r="C60" s="331" t="s">
        <v>1129</v>
      </c>
      <c r="D60" s="332" t="s">
        <v>1102</v>
      </c>
      <c r="E60" s="2371"/>
      <c r="F60" s="365"/>
      <c r="G60" s="365"/>
      <c r="H60" s="365"/>
    </row>
    <row r="61" spans="1:18" ht="31.5" hidden="1" customHeight="1" x14ac:dyDescent="0.35">
      <c r="A61" s="5753"/>
      <c r="B61" s="5734"/>
      <c r="C61" s="331" t="s">
        <v>1130</v>
      </c>
      <c r="D61" s="332" t="s">
        <v>1102</v>
      </c>
      <c r="E61" s="2371"/>
      <c r="F61" s="365"/>
      <c r="G61" s="365"/>
      <c r="H61" s="365"/>
    </row>
    <row r="62" spans="1:18" ht="31.5" hidden="1" customHeight="1" x14ac:dyDescent="0.35">
      <c r="A62" s="5753"/>
      <c r="B62" s="5734"/>
      <c r="C62" s="331" t="s">
        <v>1108</v>
      </c>
      <c r="D62" s="332" t="s">
        <v>1102</v>
      </c>
      <c r="E62" s="2371"/>
      <c r="F62" s="365"/>
      <c r="G62" s="365"/>
      <c r="H62" s="365"/>
    </row>
    <row r="63" spans="1:18" ht="31.5" hidden="1" customHeight="1" thickBot="1" x14ac:dyDescent="0.4">
      <c r="A63" s="5753"/>
      <c r="B63" s="5735"/>
      <c r="C63" s="333" t="s">
        <v>1103</v>
      </c>
      <c r="D63" s="334" t="s">
        <v>1102</v>
      </c>
      <c r="E63" s="2371"/>
      <c r="F63" s="365"/>
      <c r="G63" s="365"/>
      <c r="H63" s="365"/>
    </row>
    <row r="64" spans="1:18" ht="31.5" customHeight="1" x14ac:dyDescent="0.35">
      <c r="A64" s="5753"/>
      <c r="B64" s="5730" t="s">
        <v>1106</v>
      </c>
      <c r="C64" s="335" t="s">
        <v>1131</v>
      </c>
      <c r="D64" s="336" t="s">
        <v>1102</v>
      </c>
      <c r="E64" s="2370">
        <f ca="1">+'DDJJ EPEC S-II'!M17+'DDJJ EPEC S-II'!M37</f>
        <v>0</v>
      </c>
      <c r="F64" s="2385" t="e">
        <f ca="1">+'DDJJ EPEC S-II'!M18+'DDJJ EPEC S-II'!M38+N64+O64</f>
        <v>#REF!</v>
      </c>
      <c r="G64" s="2385">
        <f ca="1">+'DDJJ EPEC S-II'!M19+'DDJJ EPEC S-II'!M41</f>
        <v>0</v>
      </c>
      <c r="H64" s="2385" t="e">
        <f>+'DDJJ EPEC S-II'!#REF!</f>
        <v>#REF!</v>
      </c>
      <c r="I64" s="2385">
        <f ca="1">+'DDJJ EPEC S-II'!M20+'DDJJ EPEC S-II'!M21+'DDJJ EPEC S-II'!M44+'DDJJ EPEC S-II'!M45</f>
        <v>0</v>
      </c>
      <c r="J64" s="2385">
        <f ca="1">+'DDJJ EPEC S-II'!M22+'DDJJ EPEC S-II'!M23+'DDJJ EPEC S-II'!M47+'DDJJ EPEC S-II'!M48</f>
        <v>0</v>
      </c>
      <c r="K64" s="2385">
        <f ca="1">+'SECCION I-II'!Q$21+'SECCION I-II'!Q$37</f>
        <v>0</v>
      </c>
      <c r="N64" s="25" t="e">
        <f>+'DDJJ EPEC S-II'!#REF!+'DDJJ EPEC S-II'!#REF!</f>
        <v>#REF!</v>
      </c>
      <c r="O64" s="9" t="e">
        <f>+IF('DDJJ EPEC S-II'!#REF!="S1",'DDJJ EPEC S-II'!#REF!,0)</f>
        <v>#REF!</v>
      </c>
      <c r="R64" s="2399" t="e">
        <f>+N64+O64</f>
        <v>#REF!</v>
      </c>
    </row>
    <row r="65" spans="1:18" ht="31.5" customHeight="1" x14ac:dyDescent="0.35">
      <c r="A65" s="5753"/>
      <c r="B65" s="5731"/>
      <c r="C65" s="337" t="s">
        <v>1132</v>
      </c>
      <c r="D65" s="338" t="s">
        <v>1102</v>
      </c>
      <c r="E65" s="2370">
        <f ca="1">+'DDJJ EPEC S-II'!M65</f>
        <v>0</v>
      </c>
      <c r="F65" s="2385" t="e">
        <f ca="1">+'DDJJ EPEC S-II'!M66+N65+O65</f>
        <v>#REF!</v>
      </c>
      <c r="G65" s="2385">
        <f ca="1">+'DDJJ EPEC S-II'!M68</f>
        <v>0</v>
      </c>
      <c r="H65" s="2385">
        <f ca="1">+'DDJJ EPEC S-II'!M69</f>
        <v>0</v>
      </c>
      <c r="I65" s="2385">
        <f ca="1">+'DDJJ EPEC S-II'!M72</f>
        <v>0</v>
      </c>
      <c r="J65" s="2385">
        <f ca="1">+'DDJJ EPEC S-II'!M74</f>
        <v>0</v>
      </c>
      <c r="K65" s="2385" t="e">
        <f>+'SECCION I-II'!Q$53</f>
        <v>#REF!</v>
      </c>
      <c r="N65" s="25" t="e">
        <f>+'DDJJ EPEC S-II'!#REF!</f>
        <v>#REF!</v>
      </c>
      <c r="O65" s="9" t="e">
        <f>+IF('DDJJ EPEC S-II'!#REF!="S2",'DDJJ EPEC S-II'!#REF!,0)</f>
        <v>#REF!</v>
      </c>
      <c r="R65" s="2399" t="e">
        <f>+N65+O65</f>
        <v>#REF!</v>
      </c>
    </row>
    <row r="66" spans="1:18" ht="31.5" customHeight="1" x14ac:dyDescent="0.35">
      <c r="A66" s="5753"/>
      <c r="B66" s="5731"/>
      <c r="C66" s="337" t="s">
        <v>1133</v>
      </c>
      <c r="D66" s="338" t="s">
        <v>1102</v>
      </c>
      <c r="E66" s="2370">
        <f ca="1">+'DDJJ EPEC S-II'!M87</f>
        <v>0</v>
      </c>
      <c r="F66" s="2385" t="e">
        <f ca="1">+'DDJJ EPEC S-II'!M88+N66+O66</f>
        <v>#REF!</v>
      </c>
      <c r="G66" s="2385">
        <f ca="1">+'DDJJ EPEC S-II'!M91</f>
        <v>0</v>
      </c>
      <c r="H66" s="2385" t="e">
        <f>+'DDJJ EPEC S-II'!#REF!</f>
        <v>#REF!</v>
      </c>
      <c r="I66" s="2385">
        <f ca="1">+'DDJJ EPEC S-II'!M94</f>
        <v>0</v>
      </c>
      <c r="J66" s="2385">
        <f ca="1">+'DDJJ EPEC S-II'!M96</f>
        <v>0</v>
      </c>
      <c r="K66" s="2385">
        <f ca="1">+'SECCION I-II'!Q$69</f>
        <v>0</v>
      </c>
      <c r="N66" s="25" t="e">
        <f>+'DDJJ EPEC S-II'!#REF!</f>
        <v>#REF!</v>
      </c>
      <c r="O66" s="9" t="e">
        <f>+IF('DDJJ EPEC S-II'!#REF!="S3",'DDJJ EPEC S-II'!#REF!,0)</f>
        <v>#REF!</v>
      </c>
      <c r="R66" s="2399" t="e">
        <f>+N66+O66</f>
        <v>#REF!</v>
      </c>
    </row>
    <row r="67" spans="1:18" ht="31.5" customHeight="1" x14ac:dyDescent="0.35">
      <c r="A67" s="5753"/>
      <c r="B67" s="5731"/>
      <c r="C67" s="337" t="s">
        <v>1134</v>
      </c>
      <c r="D67" s="338" t="s">
        <v>1102</v>
      </c>
      <c r="E67" s="2370">
        <f ca="1">+'DDJJ EPEC S-II'!M109</f>
        <v>0</v>
      </c>
      <c r="F67" s="2385" t="e">
        <f ca="1">+'DDJJ EPEC S-II'!M110+N67+O67</f>
        <v>#REF!</v>
      </c>
      <c r="G67" s="2385">
        <f ca="1">+'DDJJ EPEC S-II'!M113</f>
        <v>0</v>
      </c>
      <c r="H67" s="2385" t="e">
        <f>+'DDJJ EPEC S-II'!#REF!</f>
        <v>#REF!</v>
      </c>
      <c r="I67" s="2385">
        <f ca="1">+'DDJJ EPEC S-II'!M116</f>
        <v>0</v>
      </c>
      <c r="J67" s="2385">
        <f ca="1">+'DDJJ EPEC S-II'!M118</f>
        <v>0</v>
      </c>
      <c r="K67" s="2385" t="e">
        <f>+'SECCION I-II'!Q$85</f>
        <v>#REF!</v>
      </c>
      <c r="N67" s="25" t="e">
        <f>+'DDJJ EPEC S-II'!#REF!+'DDJJ EPEC S-II'!#REF!+'DDJJ EPEC S-II'!#REF!+'DDJJ EPEC S-II'!#REF!</f>
        <v>#REF!</v>
      </c>
      <c r="O67" s="9" t="e">
        <f>+IF('DDJJ EPEC S-II'!#REF!="S4",'DDJJ EPEC S-II'!#REF!,0)</f>
        <v>#REF!</v>
      </c>
      <c r="R67" s="2399" t="e">
        <f>+N67+O67</f>
        <v>#REF!</v>
      </c>
    </row>
    <row r="68" spans="1:18" ht="31.5" customHeight="1" x14ac:dyDescent="0.35">
      <c r="A68" s="5753"/>
      <c r="B68" s="5731"/>
      <c r="C68" s="337" t="s">
        <v>1135</v>
      </c>
      <c r="D68" s="338" t="s">
        <v>1102</v>
      </c>
      <c r="E68" s="2370">
        <f>+'DDJJ EPEC S-II'!M221</f>
        <v>0</v>
      </c>
      <c r="F68" s="2398" t="e">
        <f>+N68+O68</f>
        <v>#REF!</v>
      </c>
      <c r="G68" s="2396"/>
      <c r="H68" s="2396"/>
      <c r="I68" s="2386"/>
      <c r="J68" s="2386"/>
      <c r="K68" s="2386"/>
      <c r="N68" s="2397" t="e">
        <f>SUM(N64:N67)</f>
        <v>#REF!</v>
      </c>
      <c r="O68" s="2397" t="e">
        <f>SUM(O64:O67)</f>
        <v>#REF!</v>
      </c>
    </row>
    <row r="69" spans="1:18" ht="31.5" customHeight="1" x14ac:dyDescent="0.35">
      <c r="A69" s="5753"/>
      <c r="B69" s="5731"/>
      <c r="C69" s="337" t="s">
        <v>1136</v>
      </c>
      <c r="D69" s="338" t="s">
        <v>1102</v>
      </c>
      <c r="E69" s="2370">
        <f ca="1">+'DDJJ EPEC S-II'!M204</f>
        <v>0</v>
      </c>
      <c r="F69" s="2385">
        <f ca="1">+'DDJJ EPEC S-II'!M203</f>
        <v>0</v>
      </c>
      <c r="G69" s="2396"/>
      <c r="H69" s="2396"/>
      <c r="I69" s="2386"/>
      <c r="J69" s="2386"/>
      <c r="K69" s="2386"/>
    </row>
    <row r="70" spans="1:18" ht="31.5" customHeight="1" x14ac:dyDescent="0.35">
      <c r="A70" s="5753"/>
      <c r="B70" s="5731"/>
      <c r="C70" s="337" t="s">
        <v>1137</v>
      </c>
      <c r="D70" s="338" t="s">
        <v>1102</v>
      </c>
      <c r="E70" s="2370">
        <f ca="1">+'DDJJ EPEC S-II'!M213</f>
        <v>0</v>
      </c>
      <c r="F70" s="2385">
        <f ca="1">+'DDJJ EPEC S-II'!M212</f>
        <v>0</v>
      </c>
      <c r="G70" s="2396"/>
      <c r="H70" s="2396"/>
      <c r="I70" s="2386"/>
      <c r="J70" s="2386"/>
      <c r="K70" s="2386"/>
    </row>
    <row r="71" spans="1:18" ht="31.5" customHeight="1" x14ac:dyDescent="0.35">
      <c r="A71" s="5753"/>
      <c r="B71" s="5731"/>
      <c r="C71" s="337" t="s">
        <v>1109</v>
      </c>
      <c r="D71" s="338" t="s">
        <v>1102</v>
      </c>
      <c r="E71" s="2370">
        <f>+'SECCION I-II'!G142+'SECCION I-II'!G151-'PARA 870'!E22</f>
        <v>0</v>
      </c>
      <c r="F71" s="2391"/>
      <c r="G71" s="2391"/>
      <c r="H71" s="2391"/>
    </row>
    <row r="72" spans="1:18" ht="31.5" customHeight="1" thickBot="1" x14ac:dyDescent="0.4">
      <c r="A72" s="5753"/>
      <c r="B72" s="5732"/>
      <c r="C72" s="339" t="s">
        <v>1104</v>
      </c>
      <c r="D72" s="340" t="s">
        <v>1102</v>
      </c>
      <c r="E72" s="2371"/>
      <c r="F72" s="365"/>
      <c r="G72" s="365"/>
      <c r="H72" s="365"/>
    </row>
    <row r="73" spans="1:18" ht="15" hidden="1" customHeight="1" x14ac:dyDescent="0.25">
      <c r="A73" s="5753"/>
      <c r="B73" s="5733" t="s">
        <v>992</v>
      </c>
      <c r="C73" s="328" t="s">
        <v>1131</v>
      </c>
      <c r="D73" s="329" t="s">
        <v>1102</v>
      </c>
      <c r="E73" s="2376"/>
      <c r="F73" s="365"/>
      <c r="G73" s="365"/>
      <c r="H73" s="365"/>
    </row>
    <row r="74" spans="1:18" ht="15.6" hidden="1" customHeight="1" x14ac:dyDescent="0.25">
      <c r="A74" s="5753"/>
      <c r="B74" s="5734"/>
      <c r="C74" s="331" t="s">
        <v>1132</v>
      </c>
      <c r="D74" s="332" t="s">
        <v>1102</v>
      </c>
      <c r="E74" s="2376"/>
      <c r="F74" s="365"/>
      <c r="G74" s="365"/>
      <c r="H74" s="365"/>
    </row>
    <row r="75" spans="1:18" ht="15.6" hidden="1" customHeight="1" x14ac:dyDescent="0.25">
      <c r="A75" s="5753"/>
      <c r="B75" s="5734"/>
      <c r="C75" s="331" t="s">
        <v>1133</v>
      </c>
      <c r="D75" s="332" t="s">
        <v>1102</v>
      </c>
      <c r="E75" s="2376"/>
      <c r="F75" s="365"/>
      <c r="G75" s="365"/>
      <c r="H75" s="365"/>
    </row>
    <row r="76" spans="1:18" ht="15.6" hidden="1" customHeight="1" x14ac:dyDescent="0.25">
      <c r="A76" s="5753"/>
      <c r="B76" s="5734"/>
      <c r="C76" s="331" t="s">
        <v>1134</v>
      </c>
      <c r="D76" s="332" t="s">
        <v>1102</v>
      </c>
      <c r="E76" s="2376"/>
      <c r="F76" s="365"/>
      <c r="G76" s="365"/>
      <c r="H76" s="365"/>
    </row>
    <row r="77" spans="1:18" ht="15.6" hidden="1" customHeight="1" x14ac:dyDescent="0.25">
      <c r="A77" s="5753"/>
      <c r="B77" s="5734"/>
      <c r="C77" s="331" t="s">
        <v>1135</v>
      </c>
      <c r="D77" s="332" t="s">
        <v>1102</v>
      </c>
      <c r="E77" s="2376"/>
      <c r="F77" s="365"/>
      <c r="G77" s="365"/>
      <c r="H77" s="365"/>
    </row>
    <row r="78" spans="1:18" ht="15.6" hidden="1" customHeight="1" x14ac:dyDescent="0.25">
      <c r="A78" s="5753"/>
      <c r="B78" s="5734"/>
      <c r="C78" s="331" t="s">
        <v>1136</v>
      </c>
      <c r="D78" s="332" t="s">
        <v>1102</v>
      </c>
      <c r="E78" s="2376"/>
      <c r="F78" s="365"/>
      <c r="G78" s="365"/>
      <c r="H78" s="365"/>
    </row>
    <row r="79" spans="1:18" ht="15.6" hidden="1" customHeight="1" x14ac:dyDescent="0.25">
      <c r="A79" s="5753"/>
      <c r="B79" s="5734"/>
      <c r="C79" s="331" t="s">
        <v>1137</v>
      </c>
      <c r="D79" s="332" t="s">
        <v>1102</v>
      </c>
      <c r="E79" s="2376"/>
      <c r="F79" s="365"/>
      <c r="G79" s="365"/>
      <c r="H79" s="365"/>
    </row>
    <row r="80" spans="1:18" ht="15.6" hidden="1" customHeight="1" x14ac:dyDescent="0.25">
      <c r="A80" s="5753"/>
      <c r="B80" s="5734"/>
      <c r="C80" s="331" t="s">
        <v>1109</v>
      </c>
      <c r="D80" s="332" t="s">
        <v>1102</v>
      </c>
      <c r="E80" s="2376"/>
      <c r="F80" s="365"/>
      <c r="G80" s="365"/>
      <c r="H80" s="365"/>
    </row>
    <row r="81" spans="1:15" ht="15.95" hidden="1" customHeight="1" thickBot="1" x14ac:dyDescent="0.3">
      <c r="A81" s="5753"/>
      <c r="B81" s="5735"/>
      <c r="C81" s="333" t="s">
        <v>1104</v>
      </c>
      <c r="D81" s="334" t="s">
        <v>1102</v>
      </c>
      <c r="E81" s="2376"/>
      <c r="F81" s="365"/>
      <c r="G81" s="365"/>
      <c r="H81" s="365"/>
    </row>
    <row r="82" spans="1:15" ht="15.95" hidden="1" customHeight="1" thickBot="1" x14ac:dyDescent="0.25">
      <c r="E82" s="2377"/>
      <c r="F82" s="2377"/>
      <c r="G82" s="2377"/>
      <c r="H82" s="2377"/>
    </row>
    <row r="83" spans="1:15" ht="18" hidden="1" customHeight="1" x14ac:dyDescent="0.25">
      <c r="B83" s="5737" t="s">
        <v>1106</v>
      </c>
      <c r="C83" s="342" t="s">
        <v>1138</v>
      </c>
      <c r="D83" s="343" t="s">
        <v>1102</v>
      </c>
      <c r="E83" s="2378">
        <f ca="1">E10+E20+SUM(E28:E36)+F33+F34</f>
        <v>0</v>
      </c>
      <c r="F83" s="2378"/>
      <c r="G83" s="2378"/>
      <c r="H83" s="2378"/>
      <c r="I83" s="2378"/>
      <c r="J83" s="2378"/>
      <c r="K83" s="2378"/>
    </row>
    <row r="84" spans="1:15" ht="18" hidden="1" customHeight="1" x14ac:dyDescent="0.25">
      <c r="B84" s="5738"/>
      <c r="C84" s="345" t="s">
        <v>1139</v>
      </c>
      <c r="D84" s="343" t="s">
        <v>1102</v>
      </c>
      <c r="E84" s="2378">
        <f ca="1">E11+E21+SUM(E46:E54)+F51+F52</f>
        <v>0</v>
      </c>
      <c r="F84" s="2378"/>
      <c r="G84" s="2378"/>
      <c r="H84" s="2378"/>
      <c r="I84" s="2378"/>
      <c r="J84" s="2378"/>
      <c r="K84" s="2378"/>
    </row>
    <row r="85" spans="1:15" ht="18" hidden="1" customHeight="1" x14ac:dyDescent="0.25">
      <c r="B85" s="5738"/>
      <c r="C85" s="345" t="s">
        <v>1140</v>
      </c>
      <c r="D85" s="343" t="s">
        <v>1102</v>
      </c>
      <c r="E85" s="2378">
        <f ca="1">E12+E22+SUM(E64:E72)+F69+F70</f>
        <v>0</v>
      </c>
      <c r="F85" s="2378"/>
      <c r="G85" s="2378"/>
      <c r="H85" s="2378"/>
      <c r="I85" s="2378"/>
      <c r="J85" s="2378"/>
      <c r="K85" s="2378"/>
    </row>
    <row r="86" spans="1:15" ht="18.600000000000001" hidden="1" customHeight="1" thickBot="1" x14ac:dyDescent="0.3">
      <c r="B86" s="5739"/>
      <c r="C86" s="346" t="s">
        <v>1141</v>
      </c>
      <c r="D86" s="343" t="s">
        <v>1102</v>
      </c>
      <c r="E86" s="2378">
        <f t="shared" ref="E86" ca="1" si="0">SUBTOTAL(9,E83:E85)</f>
        <v>0</v>
      </c>
      <c r="F86" s="2378"/>
      <c r="G86" s="2378"/>
      <c r="H86" s="2378"/>
      <c r="I86" s="2378"/>
      <c r="J86" s="2378"/>
      <c r="K86" s="2378"/>
    </row>
    <row r="87" spans="1:15" ht="15.6" hidden="1" customHeight="1" x14ac:dyDescent="0.25">
      <c r="B87" s="5758" t="s">
        <v>992</v>
      </c>
      <c r="C87" s="342" t="s">
        <v>1138</v>
      </c>
      <c r="D87" s="332" t="s">
        <v>1102</v>
      </c>
      <c r="E87" s="2378"/>
      <c r="F87" s="2378"/>
      <c r="G87" s="2378"/>
      <c r="H87" s="2378"/>
      <c r="I87" s="2378"/>
      <c r="J87" s="2378"/>
      <c r="K87" s="2378"/>
    </row>
    <row r="88" spans="1:15" ht="15.6" hidden="1" customHeight="1" x14ac:dyDescent="0.25">
      <c r="B88" s="5759"/>
      <c r="C88" s="345" t="s">
        <v>1139</v>
      </c>
      <c r="D88" s="332" t="s">
        <v>1102</v>
      </c>
      <c r="E88" s="2378"/>
      <c r="F88" s="2378"/>
      <c r="G88" s="2378"/>
      <c r="H88" s="2378"/>
      <c r="I88" s="2378"/>
      <c r="J88" s="2378"/>
      <c r="K88" s="2378"/>
    </row>
    <row r="89" spans="1:15" ht="15.6" hidden="1" customHeight="1" x14ac:dyDescent="0.25">
      <c r="B89" s="5759"/>
      <c r="C89" s="345" t="s">
        <v>1140</v>
      </c>
      <c r="D89" s="332" t="s">
        <v>1102</v>
      </c>
      <c r="E89" s="2378"/>
      <c r="F89" s="2378"/>
      <c r="G89" s="2378"/>
      <c r="H89" s="2378"/>
      <c r="I89" s="2378"/>
      <c r="J89" s="2378"/>
      <c r="K89" s="2378"/>
    </row>
    <row r="90" spans="1:15" ht="15.95" hidden="1" customHeight="1" thickBot="1" x14ac:dyDescent="0.3">
      <c r="B90" s="5760"/>
      <c r="C90" s="346" t="s">
        <v>1142</v>
      </c>
      <c r="D90" s="1484" t="s">
        <v>1102</v>
      </c>
      <c r="E90" s="2379"/>
      <c r="F90" s="2379"/>
      <c r="G90" s="2379"/>
      <c r="H90" s="2379"/>
      <c r="I90" s="2379"/>
      <c r="J90" s="2379"/>
      <c r="K90" s="2379"/>
    </row>
    <row r="91" spans="1:15" ht="45.75" customHeight="1" thickBot="1" x14ac:dyDescent="0.3">
      <c r="C91" s="1485"/>
      <c r="D91" s="1486"/>
      <c r="E91" s="1993" t="s">
        <v>1143</v>
      </c>
      <c r="F91" s="2366" t="s">
        <v>1144</v>
      </c>
      <c r="G91" s="2366" t="s">
        <v>1111</v>
      </c>
      <c r="H91" s="2366" t="s">
        <v>1112</v>
      </c>
      <c r="I91" s="2004" t="s">
        <v>762</v>
      </c>
      <c r="J91" s="2005" t="s">
        <v>778</v>
      </c>
      <c r="K91" s="2005" t="s">
        <v>887</v>
      </c>
      <c r="L91" s="2366" t="s">
        <v>4</v>
      </c>
      <c r="M91" s="2394" t="s">
        <v>241</v>
      </c>
    </row>
    <row r="92" spans="1:15" ht="18" x14ac:dyDescent="0.25">
      <c r="B92" s="5736" t="s">
        <v>4</v>
      </c>
      <c r="C92" s="1487" t="s">
        <v>1138</v>
      </c>
      <c r="D92" s="40" t="s">
        <v>1102</v>
      </c>
      <c r="E92" s="2378">
        <f ca="1">E83+E87</f>
        <v>0</v>
      </c>
      <c r="F92" s="2378" t="e">
        <f ca="1">+SUM(F28:F31)</f>
        <v>#REF!</v>
      </c>
      <c r="G92" s="2378">
        <f t="shared" ref="G92:K92" ca="1" si="1">+SUM(G28:G31)</f>
        <v>0</v>
      </c>
      <c r="H92" s="2378" t="e">
        <f t="shared" si="1"/>
        <v>#REF!</v>
      </c>
      <c r="I92" s="2378">
        <f t="shared" ca="1" si="1"/>
        <v>0</v>
      </c>
      <c r="J92" s="2378">
        <f t="shared" ca="1" si="1"/>
        <v>0</v>
      </c>
      <c r="K92" s="2378" t="e">
        <f t="shared" ca="1" si="1"/>
        <v>#REF!</v>
      </c>
      <c r="L92" s="229" t="e">
        <f ca="1">+SUM(E92:K92)</f>
        <v>#REF!</v>
      </c>
      <c r="M92" s="2395" t="e">
        <f ca="1">+IF(L92='Compra -HOJA1'!G10,"OK","VERIFICAR")</f>
        <v>#REF!</v>
      </c>
      <c r="N92" s="25"/>
      <c r="O92" s="457"/>
    </row>
    <row r="93" spans="1:15" ht="18" x14ac:dyDescent="0.25">
      <c r="B93" s="5736"/>
      <c r="C93" s="1487" t="s">
        <v>1139</v>
      </c>
      <c r="D93" s="40" t="s">
        <v>1102</v>
      </c>
      <c r="E93" s="2378">
        <f ca="1">E84+E88</f>
        <v>0</v>
      </c>
      <c r="F93" s="2378" t="e">
        <f ca="1">+SUM(F46:F49)</f>
        <v>#REF!</v>
      </c>
      <c r="G93" s="2378">
        <f t="shared" ref="G93:K93" ca="1" si="2">+SUM(G46:G49)</f>
        <v>0</v>
      </c>
      <c r="H93" s="2378" t="e">
        <f t="shared" si="2"/>
        <v>#REF!</v>
      </c>
      <c r="I93" s="2378">
        <f t="shared" ca="1" si="2"/>
        <v>0</v>
      </c>
      <c r="J93" s="2378">
        <f t="shared" ca="1" si="2"/>
        <v>0</v>
      </c>
      <c r="K93" s="2378" t="e">
        <f t="shared" ca="1" si="2"/>
        <v>#REF!</v>
      </c>
      <c r="L93" s="229" t="e">
        <f t="shared" ref="L93:L94" ca="1" si="3">+SUM(E93:K93)</f>
        <v>#REF!</v>
      </c>
      <c r="M93" s="2395" t="e">
        <f ca="1">+IF(L93='Compra -HOJA1'!H10,"OK","VERIFICAR")</f>
        <v>#REF!</v>
      </c>
      <c r="N93" s="25"/>
      <c r="O93" s="457"/>
    </row>
    <row r="94" spans="1:15" ht="18" x14ac:dyDescent="0.25">
      <c r="B94" s="5736"/>
      <c r="C94" s="1487" t="s">
        <v>1140</v>
      </c>
      <c r="D94" s="40" t="s">
        <v>1102</v>
      </c>
      <c r="E94" s="2378">
        <f ca="1">E85+E89</f>
        <v>0</v>
      </c>
      <c r="F94" s="2378" t="e">
        <f ca="1">+SUM(F64:F67)</f>
        <v>#REF!</v>
      </c>
      <c r="G94" s="2378">
        <f t="shared" ref="G94:K94" ca="1" si="4">+SUM(G64:G67)</f>
        <v>0</v>
      </c>
      <c r="H94" s="2378" t="e">
        <f t="shared" si="4"/>
        <v>#REF!</v>
      </c>
      <c r="I94" s="2378">
        <f t="shared" ca="1" si="4"/>
        <v>0</v>
      </c>
      <c r="J94" s="2378">
        <f t="shared" ca="1" si="4"/>
        <v>0</v>
      </c>
      <c r="K94" s="2378" t="e">
        <f t="shared" ca="1" si="4"/>
        <v>#REF!</v>
      </c>
      <c r="L94" s="229" t="e">
        <f t="shared" ca="1" si="3"/>
        <v>#REF!</v>
      </c>
      <c r="M94" s="2395" t="e">
        <f ca="1">+IF(L94='Compra -HOJA1'!I10,"OK","VERIFICAR")</f>
        <v>#REF!</v>
      </c>
      <c r="N94" s="25"/>
      <c r="O94" s="457"/>
    </row>
    <row r="95" spans="1:15" ht="24" thickBot="1" x14ac:dyDescent="0.4">
      <c r="B95" s="5736"/>
      <c r="C95" s="315" t="s">
        <v>1145</v>
      </c>
      <c r="D95" s="1488" t="s">
        <v>1102</v>
      </c>
      <c r="E95" s="2380">
        <f ca="1">SUM(E92:E94)</f>
        <v>0</v>
      </c>
      <c r="F95" s="2380" t="e">
        <f t="shared" ref="F95:H95" ca="1" si="5">SUM(F92:F94)</f>
        <v>#REF!</v>
      </c>
      <c r="G95" s="2380">
        <f t="shared" ca="1" si="5"/>
        <v>0</v>
      </c>
      <c r="H95" s="2380" t="e">
        <f t="shared" si="5"/>
        <v>#REF!</v>
      </c>
      <c r="I95" s="2380">
        <f ca="1">SUM(I92:I94)</f>
        <v>0</v>
      </c>
      <c r="J95" s="2380">
        <f t="shared" ref="J95" ca="1" si="6">SUM(J92:J94)</f>
        <v>0</v>
      </c>
      <c r="K95" s="2380" t="e">
        <f ca="1">SUM(K92:K94)</f>
        <v>#REF!</v>
      </c>
      <c r="L95" s="2393" t="e">
        <f ca="1">SUM(L92:L94)</f>
        <v>#REF!</v>
      </c>
      <c r="M95" s="12"/>
    </row>
  </sheetData>
  <mergeCells count="21">
    <mergeCell ref="B92:B95"/>
    <mergeCell ref="B64:B72"/>
    <mergeCell ref="B83:B86"/>
    <mergeCell ref="A8:A12"/>
    <mergeCell ref="B8:B12"/>
    <mergeCell ref="B28:B36"/>
    <mergeCell ref="A13:A17"/>
    <mergeCell ref="B23:B27"/>
    <mergeCell ref="A28:A81"/>
    <mergeCell ref="B13:B17"/>
    <mergeCell ref="B37:B45"/>
    <mergeCell ref="A18:A22"/>
    <mergeCell ref="B87:B90"/>
    <mergeCell ref="B18:B22"/>
    <mergeCell ref="A23:A27"/>
    <mergeCell ref="A1:K1"/>
    <mergeCell ref="A5:A7"/>
    <mergeCell ref="B5:B7"/>
    <mergeCell ref="B46:B54"/>
    <mergeCell ref="B73:B81"/>
    <mergeCell ref="B55:B63"/>
  </mergeCells>
  <phoneticPr fontId="242" type="noConversion"/>
  <pageMargins left="0.7" right="0.7" top="0.75" bottom="0.75" header="0.3" footer="0.3"/>
  <pageSetup orientation="portrait" horizontalDpi="4294967292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22"/>
  <dimension ref="A1:P263"/>
  <sheetViews>
    <sheetView workbookViewId="0">
      <selection sqref="A1:IV65536"/>
    </sheetView>
  </sheetViews>
  <sheetFormatPr baseColWidth="10" defaultColWidth="11.42578125" defaultRowHeight="15" x14ac:dyDescent="0.2"/>
  <cols>
    <col min="1" max="1" width="11.42578125" style="9"/>
    <col min="2" max="2" width="25.5703125" style="9" hidden="1" customWidth="1"/>
    <col min="3" max="3" width="45.5703125" style="9" customWidth="1"/>
    <col min="4" max="4" width="18.5703125" style="12" customWidth="1"/>
    <col min="5" max="5" width="25.42578125" style="351" customWidth="1"/>
    <col min="6" max="6" width="25.42578125" style="9" customWidth="1"/>
    <col min="7" max="11" width="23.5703125" style="9" customWidth="1"/>
    <col min="12" max="12" width="26.42578125" style="9" customWidth="1"/>
    <col min="13" max="13" width="22" style="9" bestFit="1" customWidth="1"/>
    <col min="14" max="14" width="33" style="9" bestFit="1" customWidth="1"/>
    <col min="15" max="15" width="24.42578125" style="9" bestFit="1" customWidth="1"/>
    <col min="16" max="16" width="31.5703125" style="9" customWidth="1"/>
    <col min="17" max="16384" width="11.42578125" style="9"/>
  </cols>
  <sheetData>
    <row r="1" spans="1:11" ht="139.5" customHeight="1" thickBot="1" x14ac:dyDescent="0.25">
      <c r="A1" s="5764" t="s">
        <v>1090</v>
      </c>
      <c r="B1" s="5765"/>
      <c r="C1" s="5765"/>
      <c r="D1" s="5765"/>
      <c r="E1" s="5765"/>
      <c r="F1" s="5765"/>
      <c r="G1" s="5765"/>
      <c r="H1" s="5765"/>
      <c r="I1" s="5765"/>
      <c r="J1" s="5766"/>
      <c r="K1" s="5767"/>
    </row>
    <row r="2" spans="1:11" ht="27" customHeight="1" x14ac:dyDescent="0.35">
      <c r="E2" s="269" t="s">
        <v>1091</v>
      </c>
      <c r="F2" s="270"/>
      <c r="G2" s="270"/>
    </row>
    <row r="3" spans="1:11" ht="27" customHeight="1" x14ac:dyDescent="0.25">
      <c r="D3" s="12" t="s">
        <v>1092</v>
      </c>
      <c r="E3" s="390">
        <v>42767</v>
      </c>
    </row>
    <row r="4" spans="1:11" ht="19.5" thickBot="1" x14ac:dyDescent="0.35">
      <c r="C4" s="271" t="s">
        <v>1093</v>
      </c>
      <c r="D4" s="272" t="s">
        <v>1094</v>
      </c>
      <c r="E4" s="273"/>
    </row>
    <row r="5" spans="1:11" ht="15.75" x14ac:dyDescent="0.25">
      <c r="A5" s="5724" t="s">
        <v>789</v>
      </c>
      <c r="B5" s="5727" t="s">
        <v>834</v>
      </c>
      <c r="C5" s="274" t="s">
        <v>1096</v>
      </c>
      <c r="D5" s="275" t="s">
        <v>1097</v>
      </c>
      <c r="E5" s="282"/>
    </row>
    <row r="6" spans="1:11" ht="15.75" x14ac:dyDescent="0.25">
      <c r="A6" s="5725"/>
      <c r="B6" s="5728"/>
      <c r="C6" s="276" t="s">
        <v>1098</v>
      </c>
      <c r="D6" s="277" t="s">
        <v>1097</v>
      </c>
      <c r="E6" s="282"/>
    </row>
    <row r="7" spans="1:11" ht="16.5" thickBot="1" x14ac:dyDescent="0.3">
      <c r="A7" s="5726"/>
      <c r="B7" s="5729"/>
      <c r="C7" s="278" t="s">
        <v>1099</v>
      </c>
      <c r="D7" s="279"/>
      <c r="E7" s="282"/>
    </row>
    <row r="8" spans="1:11" ht="15.75" x14ac:dyDescent="0.25">
      <c r="A8" s="5740" t="s">
        <v>1100</v>
      </c>
      <c r="B8" s="5743"/>
      <c r="C8" s="280" t="s">
        <v>1096</v>
      </c>
      <c r="D8" s="281" t="s">
        <v>1097</v>
      </c>
      <c r="E8" s="282"/>
    </row>
    <row r="9" spans="1:11" ht="15.75" x14ac:dyDescent="0.25">
      <c r="A9" s="5741"/>
      <c r="B9" s="5744"/>
      <c r="C9" s="283" t="s">
        <v>1098</v>
      </c>
      <c r="D9" s="284" t="s">
        <v>1097</v>
      </c>
      <c r="E9" s="282"/>
    </row>
    <row r="10" spans="1:11" ht="16.5" thickBot="1" x14ac:dyDescent="0.3">
      <c r="A10" s="5741"/>
      <c r="B10" s="5744"/>
      <c r="C10" s="285" t="s">
        <v>1101</v>
      </c>
      <c r="D10" s="286" t="s">
        <v>1102</v>
      </c>
      <c r="E10" s="287">
        <f>+'[2] SECCION I-II'!F154</f>
        <v>0</v>
      </c>
    </row>
    <row r="11" spans="1:11" ht="16.5" thickBot="1" x14ac:dyDescent="0.3">
      <c r="A11" s="5741"/>
      <c r="B11" s="5744"/>
      <c r="C11" s="285" t="s">
        <v>1103</v>
      </c>
      <c r="D11" s="286" t="s">
        <v>1102</v>
      </c>
      <c r="E11" s="287">
        <f>+'[2] SECCION I-II'!H154</f>
        <v>0</v>
      </c>
    </row>
    <row r="12" spans="1:11" ht="16.5" thickBot="1" x14ac:dyDescent="0.3">
      <c r="A12" s="5742"/>
      <c r="B12" s="5745"/>
      <c r="C12" s="285" t="s">
        <v>1104</v>
      </c>
      <c r="D12" s="288" t="s">
        <v>1102</v>
      </c>
      <c r="E12" s="287">
        <f>+'[2] SECCION I-II'!G154</f>
        <v>0</v>
      </c>
    </row>
    <row r="13" spans="1:11" ht="16.5" hidden="1" customHeight="1" x14ac:dyDescent="0.25">
      <c r="A13" s="5746" t="s">
        <v>1100</v>
      </c>
      <c r="B13" s="5749" t="s">
        <v>992</v>
      </c>
      <c r="C13" s="289" t="s">
        <v>1096</v>
      </c>
      <c r="D13" s="290" t="s">
        <v>1097</v>
      </c>
      <c r="E13" s="291"/>
    </row>
    <row r="14" spans="1:11" ht="16.5" hidden="1" thickBot="1" x14ac:dyDescent="0.3">
      <c r="A14" s="5747"/>
      <c r="B14" s="5750"/>
      <c r="C14" s="292" t="s">
        <v>1098</v>
      </c>
      <c r="D14" s="293" t="s">
        <v>1097</v>
      </c>
      <c r="E14" s="291"/>
    </row>
    <row r="15" spans="1:11" ht="16.5" hidden="1" thickBot="1" x14ac:dyDescent="0.3">
      <c r="A15" s="5747"/>
      <c r="B15" s="5750"/>
      <c r="C15" s="294" t="s">
        <v>1101</v>
      </c>
      <c r="D15" s="293" t="s">
        <v>1102</v>
      </c>
      <c r="E15" s="291"/>
    </row>
    <row r="16" spans="1:11" ht="16.5" hidden="1" thickBot="1" x14ac:dyDescent="0.3">
      <c r="A16" s="5747"/>
      <c r="B16" s="5750"/>
      <c r="C16" s="294" t="s">
        <v>1103</v>
      </c>
      <c r="D16" s="293" t="s">
        <v>1102</v>
      </c>
      <c r="E16" s="291"/>
    </row>
    <row r="17" spans="1:15" ht="16.5" hidden="1" thickBot="1" x14ac:dyDescent="0.3">
      <c r="A17" s="5748"/>
      <c r="B17" s="5754"/>
      <c r="C17" s="294" t="s">
        <v>1104</v>
      </c>
      <c r="D17" s="295" t="s">
        <v>1102</v>
      </c>
      <c r="E17" s="291"/>
    </row>
    <row r="18" spans="1:15" ht="15.75" x14ac:dyDescent="0.25">
      <c r="A18" s="5755" t="s">
        <v>1105</v>
      </c>
      <c r="B18" s="5761" t="s">
        <v>1106</v>
      </c>
      <c r="C18" s="296" t="s">
        <v>1096</v>
      </c>
      <c r="D18" s="297" t="s">
        <v>1097</v>
      </c>
      <c r="E18" s="282"/>
    </row>
    <row r="19" spans="1:15" ht="15.75" x14ac:dyDescent="0.25">
      <c r="A19" s="5756"/>
      <c r="B19" s="5762"/>
      <c r="C19" s="298" t="s">
        <v>1098</v>
      </c>
      <c r="D19" s="299" t="s">
        <v>1097</v>
      </c>
      <c r="E19" s="282"/>
    </row>
    <row r="20" spans="1:15" ht="16.5" thickBot="1" x14ac:dyDescent="0.3">
      <c r="A20" s="5756"/>
      <c r="B20" s="5762"/>
      <c r="C20" s="300" t="s">
        <v>1107</v>
      </c>
      <c r="D20" s="301" t="s">
        <v>1102</v>
      </c>
      <c r="E20" s="287">
        <f>+'[2]Compra -HOJA1'!O114</f>
        <v>0</v>
      </c>
    </row>
    <row r="21" spans="1:15" ht="16.5" thickBot="1" x14ac:dyDescent="0.3">
      <c r="A21" s="5756"/>
      <c r="B21" s="5762"/>
      <c r="C21" s="302" t="s">
        <v>1108</v>
      </c>
      <c r="D21" s="301" t="s">
        <v>1102</v>
      </c>
      <c r="E21" s="287">
        <f>+'[2]Compra -HOJA1'!P114</f>
        <v>0</v>
      </c>
      <c r="F21" s="12">
        <v>5010</v>
      </c>
      <c r="G21" s="12">
        <v>5020</v>
      </c>
      <c r="H21" s="12">
        <v>5500</v>
      </c>
      <c r="I21" s="12">
        <v>5510</v>
      </c>
      <c r="J21" s="12">
        <v>5530</v>
      </c>
      <c r="K21" s="12">
        <v>5540</v>
      </c>
      <c r="L21" s="12">
        <v>6000</v>
      </c>
      <c r="M21" s="12">
        <v>6010</v>
      </c>
      <c r="N21" s="12">
        <v>6020</v>
      </c>
      <c r="O21" s="12">
        <v>6030</v>
      </c>
    </row>
    <row r="22" spans="1:15" ht="16.5" thickBot="1" x14ac:dyDescent="0.3">
      <c r="A22" s="5757"/>
      <c r="B22" s="5763"/>
      <c r="C22" s="300" t="s">
        <v>1109</v>
      </c>
      <c r="D22" s="303" t="s">
        <v>1102</v>
      </c>
      <c r="E22" s="304">
        <f>+'[2]Compra -HOJA1'!Q114</f>
        <v>0</v>
      </c>
      <c r="F22" s="305" t="s">
        <v>1146</v>
      </c>
      <c r="G22" s="306" t="s">
        <v>1147</v>
      </c>
      <c r="H22" s="391" t="s">
        <v>1148</v>
      </c>
      <c r="I22" s="391" t="s">
        <v>1149</v>
      </c>
      <c r="J22" s="391" t="s">
        <v>1150</v>
      </c>
      <c r="K22" s="392" t="s">
        <v>1151</v>
      </c>
      <c r="L22" s="391" t="s">
        <v>1152</v>
      </c>
      <c r="M22" s="391" t="s">
        <v>1153</v>
      </c>
      <c r="N22" s="391" t="s">
        <v>1154</v>
      </c>
      <c r="O22" s="392" t="s">
        <v>1155</v>
      </c>
    </row>
    <row r="23" spans="1:15" ht="16.5" hidden="1" thickBot="1" x14ac:dyDescent="0.3">
      <c r="A23" s="5746" t="s">
        <v>1105</v>
      </c>
      <c r="B23" s="5749" t="s">
        <v>992</v>
      </c>
      <c r="C23" s="289" t="s">
        <v>1096</v>
      </c>
      <c r="D23" s="290" t="s">
        <v>1097</v>
      </c>
      <c r="E23" s="291"/>
      <c r="H23" s="25"/>
      <c r="I23" s="25"/>
      <c r="J23" s="25"/>
      <c r="K23" s="25"/>
    </row>
    <row r="24" spans="1:15" ht="16.5" hidden="1" thickBot="1" x14ac:dyDescent="0.3">
      <c r="A24" s="5747"/>
      <c r="B24" s="5750"/>
      <c r="C24" s="292" t="s">
        <v>1098</v>
      </c>
      <c r="D24" s="293" t="s">
        <v>1097</v>
      </c>
      <c r="E24" s="291"/>
      <c r="H24" s="25"/>
      <c r="I24" s="25"/>
      <c r="J24" s="25"/>
      <c r="K24" s="25"/>
    </row>
    <row r="25" spans="1:15" ht="16.5" hidden="1" thickBot="1" x14ac:dyDescent="0.3">
      <c r="A25" s="5747"/>
      <c r="B25" s="5750"/>
      <c r="C25" s="307" t="s">
        <v>1107</v>
      </c>
      <c r="D25" s="293" t="s">
        <v>1102</v>
      </c>
      <c r="E25" s="291"/>
      <c r="H25" s="25"/>
      <c r="I25" s="25"/>
      <c r="J25" s="25"/>
      <c r="K25" s="25"/>
    </row>
    <row r="26" spans="1:15" ht="16.5" hidden="1" thickBot="1" x14ac:dyDescent="0.3">
      <c r="A26" s="5747"/>
      <c r="B26" s="5750"/>
      <c r="C26" s="308" t="s">
        <v>1108</v>
      </c>
      <c r="D26" s="293" t="s">
        <v>1102</v>
      </c>
      <c r="E26" s="291"/>
      <c r="H26" s="25"/>
      <c r="I26" s="25"/>
      <c r="J26" s="25"/>
      <c r="K26" s="25"/>
    </row>
    <row r="27" spans="1:15" ht="16.5" hidden="1" thickBot="1" x14ac:dyDescent="0.3">
      <c r="A27" s="5748"/>
      <c r="B27" s="5751"/>
      <c r="C27" s="307" t="s">
        <v>1109</v>
      </c>
      <c r="D27" s="295" t="s">
        <v>1102</v>
      </c>
      <c r="E27" s="291"/>
      <c r="H27" s="25"/>
      <c r="I27" s="25"/>
      <c r="J27" s="25"/>
      <c r="K27" s="25"/>
    </row>
    <row r="28" spans="1:15" ht="15.75" customHeight="1" x14ac:dyDescent="0.25">
      <c r="A28" s="5752" t="s">
        <v>1115</v>
      </c>
      <c r="B28" s="5768" t="s">
        <v>1106</v>
      </c>
      <c r="C28" s="309" t="s">
        <v>1116</v>
      </c>
      <c r="D28" s="310" t="s">
        <v>1102</v>
      </c>
      <c r="E28" s="287">
        <f>+'[2] SECCION I-II'!P15+'[2] SECCION I-II'!P26</f>
        <v>0</v>
      </c>
      <c r="F28" s="287">
        <f>+'[2] SECCION I-II'!P$16+'[2] SECCION I-II'!P$27</f>
        <v>0</v>
      </c>
      <c r="G28" s="287">
        <f>+'[2] SECCION I-II'!P$17+'[2] SECCION I-II'!P$28</f>
        <v>0</v>
      </c>
      <c r="H28" s="287">
        <f>+'[2] SECCION I-II'!P$18+'[2] SECCION I-II'!P$29</f>
        <v>0</v>
      </c>
      <c r="I28" s="287">
        <f>+('[2] SECCION I-II'!P$30)</f>
        <v>0</v>
      </c>
      <c r="J28" s="287">
        <f>+('[2] SECCION I-II'!P$31)</f>
        <v>0</v>
      </c>
      <c r="K28" s="287">
        <v>0</v>
      </c>
      <c r="L28" s="287">
        <f>+'[2] SECCION I-II'!P$19+'[2] SECCION I-II'!P$32</f>
        <v>0</v>
      </c>
      <c r="M28" s="9">
        <v>0</v>
      </c>
      <c r="N28" s="9">
        <v>0</v>
      </c>
      <c r="O28" s="9">
        <v>0</v>
      </c>
    </row>
    <row r="29" spans="1:15" ht="15.75" x14ac:dyDescent="0.25">
      <c r="A29" s="5753"/>
      <c r="B29" s="5768"/>
      <c r="C29" s="311" t="s">
        <v>1117</v>
      </c>
      <c r="D29" s="312" t="s">
        <v>1102</v>
      </c>
      <c r="E29" s="287">
        <f>+'[2] SECCION I-II'!P38</f>
        <v>0</v>
      </c>
      <c r="F29" s="287">
        <f>+'[2] SECCION I-II'!P$39</f>
        <v>0</v>
      </c>
      <c r="G29" s="287">
        <f>+'[2] SECCION I-II'!P$40</f>
        <v>0</v>
      </c>
      <c r="H29" s="287">
        <f>+'[2] SECCION I-II'!P$41</f>
        <v>0</v>
      </c>
      <c r="I29" s="287">
        <f>+'[2] SECCION I-II'!P$42</f>
        <v>0</v>
      </c>
      <c r="J29" s="287">
        <f>+'[2] SECCION I-II'!P$43</f>
        <v>0</v>
      </c>
      <c r="K29" s="287">
        <f>+'[2] SECCION I-II'!P$44</f>
        <v>0</v>
      </c>
      <c r="L29" s="287">
        <f>+'[2] SECCION I-II'!P$45</f>
        <v>0</v>
      </c>
      <c r="M29" s="287">
        <f>+'[2] SECCION I-II'!P$46</f>
        <v>0</v>
      </c>
      <c r="N29" s="287">
        <f>+'[2] SECCION I-II'!P$47</f>
        <v>0</v>
      </c>
      <c r="O29" s="287">
        <v>0</v>
      </c>
    </row>
    <row r="30" spans="1:15" ht="15.75" x14ac:dyDescent="0.25">
      <c r="A30" s="5753"/>
      <c r="B30" s="5768"/>
      <c r="C30" s="311" t="s">
        <v>1118</v>
      </c>
      <c r="D30" s="312" t="s">
        <v>1102</v>
      </c>
      <c r="E30" s="287">
        <f>+'[2] SECCION I-II'!P53</f>
        <v>0</v>
      </c>
      <c r="F30" s="287">
        <f>+'[2] SECCION I-II'!P$54</f>
        <v>0</v>
      </c>
      <c r="G30" s="287">
        <f>+'[2] SECCION I-II'!P$55</f>
        <v>0</v>
      </c>
      <c r="H30" s="287">
        <f>+'[2] SECCION I-II'!P$56</f>
        <v>0</v>
      </c>
      <c r="I30" s="287">
        <f>+'[2] SECCION I-II'!P$57</f>
        <v>0</v>
      </c>
      <c r="J30" s="287">
        <f>+'[2] SECCION I-II'!P$58</f>
        <v>0</v>
      </c>
      <c r="K30" s="287">
        <f>+'[2] SECCION I-II'!P$59</f>
        <v>0</v>
      </c>
      <c r="L30" s="287">
        <f>+'[2] SECCION I-II'!P$60</f>
        <v>0</v>
      </c>
      <c r="M30" s="287">
        <f>+'[2] SECCION I-II'!P$61</f>
        <v>0</v>
      </c>
      <c r="N30" s="287">
        <f>+'[2] SECCION I-II'!P$62</f>
        <v>0</v>
      </c>
      <c r="O30" s="287">
        <f>+'[2] SECCION I-II'!P$63</f>
        <v>0</v>
      </c>
    </row>
    <row r="31" spans="1:15" ht="15.75" x14ac:dyDescent="0.25">
      <c r="A31" s="5753"/>
      <c r="B31" s="5768"/>
      <c r="C31" s="311" t="s">
        <v>1119</v>
      </c>
      <c r="D31" s="312" t="s">
        <v>1102</v>
      </c>
      <c r="E31" s="287">
        <f>+'[2] SECCION I-II'!P69</f>
        <v>0</v>
      </c>
      <c r="F31" s="287">
        <f>+'[2] SECCION I-II'!P$70</f>
        <v>0</v>
      </c>
      <c r="G31" s="287">
        <f>+'[2] SECCION I-II'!P$71</f>
        <v>0</v>
      </c>
      <c r="H31" s="287">
        <f>+'[2] SECCION I-II'!P$72</f>
        <v>0</v>
      </c>
      <c r="I31" s="287">
        <f>+'[2] SECCION I-II'!P$73</f>
        <v>0</v>
      </c>
      <c r="J31" s="287">
        <f>+'[2] SECCION I-II'!P$74</f>
        <v>0</v>
      </c>
      <c r="K31" s="287">
        <f>+'[2] SECCION I-II'!P$75</f>
        <v>0</v>
      </c>
      <c r="L31" s="287">
        <f>+'[2] SECCION I-II'!P$76</f>
        <v>0</v>
      </c>
      <c r="M31" s="287">
        <f>+'[2] SECCION I-II'!P$77</f>
        <v>0</v>
      </c>
      <c r="N31" s="287">
        <f>+'[2] SECCION I-II'!P$78</f>
        <v>0</v>
      </c>
      <c r="O31" s="287">
        <f>+'[2] SECCION I-II'!P$79</f>
        <v>0</v>
      </c>
    </row>
    <row r="32" spans="1:15" ht="15.75" x14ac:dyDescent="0.25">
      <c r="A32" s="5753"/>
      <c r="B32" s="5768"/>
      <c r="C32" s="311" t="s">
        <v>1120</v>
      </c>
      <c r="D32" s="312" t="s">
        <v>1102</v>
      </c>
      <c r="E32" s="287">
        <f>+'[2] SECCION I-II'!F122</f>
        <v>0</v>
      </c>
      <c r="H32" s="25"/>
      <c r="I32" s="25"/>
      <c r="J32" s="25"/>
      <c r="K32" s="25"/>
    </row>
    <row r="33" spans="1:15" ht="15.75" x14ac:dyDescent="0.25">
      <c r="A33" s="5753"/>
      <c r="B33" s="5768"/>
      <c r="C33" s="311" t="s">
        <v>1121</v>
      </c>
      <c r="D33" s="312" t="s">
        <v>1102</v>
      </c>
      <c r="E33" s="287">
        <f>+'[2] SECCION I-II'!F106</f>
        <v>0</v>
      </c>
      <c r="H33" s="25"/>
      <c r="I33" s="25"/>
      <c r="J33" s="25"/>
      <c r="K33" s="25"/>
    </row>
    <row r="34" spans="1:15" ht="15.75" x14ac:dyDescent="0.25">
      <c r="A34" s="5753"/>
      <c r="B34" s="5768"/>
      <c r="C34" s="311" t="s">
        <v>1122</v>
      </c>
      <c r="D34" s="312" t="s">
        <v>1102</v>
      </c>
      <c r="E34" s="287">
        <f>+'[2] SECCION I-II'!F114</f>
        <v>0</v>
      </c>
      <c r="H34" s="25"/>
      <c r="I34" s="25"/>
      <c r="J34" s="25"/>
      <c r="K34" s="25"/>
    </row>
    <row r="35" spans="1:15" ht="16.5" thickBot="1" x14ac:dyDescent="0.3">
      <c r="A35" s="5753"/>
      <c r="B35" s="5768"/>
      <c r="C35" s="311" t="s">
        <v>1123</v>
      </c>
      <c r="D35" s="312" t="s">
        <v>1102</v>
      </c>
      <c r="E35" s="287">
        <f>+'[2] SECCION I-II'!F136+'[2] SECCION I-II'!F145-'[2]PARA 870'!E20</f>
        <v>0</v>
      </c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spans="1:15" ht="16.5" thickBot="1" x14ac:dyDescent="0.3">
      <c r="A36" s="5753"/>
      <c r="B36" s="5768"/>
      <c r="C36" s="313" t="s">
        <v>1101</v>
      </c>
      <c r="D36" s="314" t="s">
        <v>1102</v>
      </c>
      <c r="E36" s="315"/>
      <c r="F36" s="305" t="s">
        <v>1146</v>
      </c>
      <c r="G36" s="306" t="s">
        <v>1147</v>
      </c>
      <c r="H36" s="391" t="s">
        <v>1148</v>
      </c>
      <c r="I36" s="391" t="s">
        <v>1149</v>
      </c>
      <c r="J36" s="391" t="s">
        <v>1150</v>
      </c>
      <c r="K36" s="392" t="s">
        <v>1151</v>
      </c>
      <c r="L36" s="391" t="s">
        <v>1152</v>
      </c>
      <c r="M36" s="391" t="s">
        <v>1153</v>
      </c>
      <c r="N36" s="391" t="s">
        <v>1154</v>
      </c>
      <c r="O36" s="392" t="s">
        <v>1155</v>
      </c>
    </row>
    <row r="37" spans="1:15" ht="16.5" hidden="1" customHeight="1" x14ac:dyDescent="0.25">
      <c r="A37" s="5753"/>
      <c r="B37" s="5769" t="s">
        <v>992</v>
      </c>
      <c r="C37" s="316" t="s">
        <v>1116</v>
      </c>
      <c r="D37" s="317" t="s">
        <v>1102</v>
      </c>
      <c r="E37" s="291"/>
      <c r="H37" s="25"/>
      <c r="I37" s="25"/>
      <c r="J37" s="25"/>
      <c r="K37" s="25"/>
    </row>
    <row r="38" spans="1:15" ht="16.5" hidden="1" customHeight="1" x14ac:dyDescent="0.25">
      <c r="A38" s="5753"/>
      <c r="B38" s="5769"/>
      <c r="C38" s="318" t="s">
        <v>1117</v>
      </c>
      <c r="D38" s="319" t="s">
        <v>1102</v>
      </c>
      <c r="E38" s="291"/>
      <c r="H38" s="25"/>
      <c r="I38" s="25"/>
      <c r="J38" s="25"/>
      <c r="K38" s="25"/>
    </row>
    <row r="39" spans="1:15" ht="16.5" hidden="1" customHeight="1" x14ac:dyDescent="0.25">
      <c r="A39" s="5753"/>
      <c r="B39" s="5769"/>
      <c r="C39" s="318" t="s">
        <v>1118</v>
      </c>
      <c r="D39" s="319" t="s">
        <v>1102</v>
      </c>
      <c r="E39" s="291"/>
      <c r="H39" s="25"/>
      <c r="I39" s="25"/>
      <c r="J39" s="25"/>
      <c r="K39" s="25"/>
    </row>
    <row r="40" spans="1:15" ht="16.5" hidden="1" customHeight="1" x14ac:dyDescent="0.25">
      <c r="A40" s="5753"/>
      <c r="B40" s="5769"/>
      <c r="C40" s="318" t="s">
        <v>1119</v>
      </c>
      <c r="D40" s="319" t="s">
        <v>1102</v>
      </c>
      <c r="E40" s="291"/>
      <c r="H40" s="25"/>
      <c r="I40" s="25"/>
      <c r="J40" s="25"/>
      <c r="K40" s="25"/>
    </row>
    <row r="41" spans="1:15" ht="16.5" hidden="1" customHeight="1" x14ac:dyDescent="0.25">
      <c r="A41" s="5753"/>
      <c r="B41" s="5769"/>
      <c r="C41" s="318" t="s">
        <v>1120</v>
      </c>
      <c r="D41" s="319" t="s">
        <v>1102</v>
      </c>
      <c r="E41" s="291"/>
      <c r="H41" s="25"/>
      <c r="I41" s="25"/>
      <c r="J41" s="25"/>
      <c r="K41" s="25"/>
    </row>
    <row r="42" spans="1:15" ht="16.5" hidden="1" customHeight="1" x14ac:dyDescent="0.25">
      <c r="A42" s="5753"/>
      <c r="B42" s="5769"/>
      <c r="C42" s="318" t="s">
        <v>1121</v>
      </c>
      <c r="D42" s="319" t="s">
        <v>1102</v>
      </c>
      <c r="E42" s="291"/>
      <c r="H42" s="25"/>
      <c r="I42" s="25"/>
      <c r="J42" s="25"/>
      <c r="K42" s="25"/>
    </row>
    <row r="43" spans="1:15" ht="16.5" hidden="1" customHeight="1" x14ac:dyDescent="0.25">
      <c r="A43" s="5753"/>
      <c r="B43" s="5769"/>
      <c r="C43" s="318" t="s">
        <v>1122</v>
      </c>
      <c r="D43" s="319" t="s">
        <v>1102</v>
      </c>
      <c r="E43" s="291"/>
      <c r="H43" s="25"/>
      <c r="I43" s="25"/>
      <c r="J43" s="25"/>
      <c r="K43" s="25"/>
    </row>
    <row r="44" spans="1:15" ht="16.5" hidden="1" customHeight="1" x14ac:dyDescent="0.25">
      <c r="A44" s="5753"/>
      <c r="B44" s="5769"/>
      <c r="C44" s="318" t="s">
        <v>1123</v>
      </c>
      <c r="D44" s="319" t="s">
        <v>1102</v>
      </c>
      <c r="E44" s="291"/>
      <c r="H44" s="25"/>
      <c r="I44" s="25"/>
      <c r="J44" s="25"/>
      <c r="K44" s="25"/>
    </row>
    <row r="45" spans="1:15" ht="16.5" hidden="1" customHeight="1" x14ac:dyDescent="0.25">
      <c r="A45" s="5753"/>
      <c r="B45" s="5769"/>
      <c r="C45" s="320" t="s">
        <v>1101</v>
      </c>
      <c r="D45" s="321" t="s">
        <v>1102</v>
      </c>
      <c r="E45" s="291"/>
      <c r="H45" s="25"/>
      <c r="I45" s="25"/>
      <c r="J45" s="25"/>
      <c r="K45" s="25"/>
    </row>
    <row r="46" spans="1:15" ht="15.75" customHeight="1" x14ac:dyDescent="0.25">
      <c r="A46" s="5753"/>
      <c r="B46" s="5768" t="s">
        <v>1106</v>
      </c>
      <c r="C46" s="322" t="s">
        <v>1124</v>
      </c>
      <c r="D46" s="323" t="s">
        <v>1102</v>
      </c>
      <c r="E46" s="287">
        <f>+'[2] SECCION I-II'!R15+'[2] SECCION I-II'!R26</f>
        <v>0</v>
      </c>
      <c r="F46" s="287">
        <f>+'[2] SECCION I-II'!R$16+'[2] SECCION I-II'!R$27</f>
        <v>0</v>
      </c>
      <c r="G46" s="287">
        <f>+'[2] SECCION I-II'!R$17+'[2] SECCION I-II'!R$28</f>
        <v>0</v>
      </c>
      <c r="H46" s="287">
        <f>+'[2] SECCION I-II'!R$18+'[2] SECCION I-II'!R$29</f>
        <v>0</v>
      </c>
      <c r="I46" s="287">
        <f>+('[2] SECCION I-II'!R$30)</f>
        <v>0</v>
      </c>
      <c r="J46" s="287">
        <f>+('[2] SECCION I-II'!R$31)</f>
        <v>0</v>
      </c>
      <c r="K46" s="287">
        <v>0</v>
      </c>
      <c r="L46" s="287">
        <f>+'[2] SECCION I-II'!R$19+'[2] SECCION I-II'!R$32</f>
        <v>0</v>
      </c>
      <c r="M46" s="9">
        <v>0</v>
      </c>
      <c r="N46" s="9">
        <v>0</v>
      </c>
      <c r="O46" s="9">
        <v>0</v>
      </c>
    </row>
    <row r="47" spans="1:15" ht="15.75" x14ac:dyDescent="0.25">
      <c r="A47" s="5753"/>
      <c r="B47" s="5768"/>
      <c r="C47" s="324" t="s">
        <v>1125</v>
      </c>
      <c r="D47" s="325" t="s">
        <v>1102</v>
      </c>
      <c r="E47" s="287">
        <f>+'[2] SECCION I-II'!R38</f>
        <v>0</v>
      </c>
      <c r="F47" s="287">
        <f>+'[2] SECCION I-II'!R$39</f>
        <v>0</v>
      </c>
      <c r="G47" s="287">
        <f>+'[2] SECCION I-II'!R$40</f>
        <v>0</v>
      </c>
      <c r="H47" s="287">
        <f>+'[2] SECCION I-II'!R$41</f>
        <v>0</v>
      </c>
      <c r="I47" s="287">
        <f>+'[2] SECCION I-II'!R$42</f>
        <v>0</v>
      </c>
      <c r="J47" s="287">
        <f>+'[2] SECCION I-II'!R$43</f>
        <v>0</v>
      </c>
      <c r="K47" s="287">
        <f>+'[2] SECCION I-II'!R$44</f>
        <v>0</v>
      </c>
      <c r="L47" s="287">
        <f>+'[2] SECCION I-II'!R$45</f>
        <v>0</v>
      </c>
      <c r="M47" s="287">
        <f>+'[2] SECCION I-II'!R$46</f>
        <v>0</v>
      </c>
      <c r="N47" s="287">
        <f>+'[2] SECCION I-II'!R$47</f>
        <v>0</v>
      </c>
      <c r="O47" s="287">
        <v>0</v>
      </c>
    </row>
    <row r="48" spans="1:15" ht="15.75" x14ac:dyDescent="0.25">
      <c r="A48" s="5753"/>
      <c r="B48" s="5768"/>
      <c r="C48" s="324" t="s">
        <v>1126</v>
      </c>
      <c r="D48" s="325" t="s">
        <v>1102</v>
      </c>
      <c r="E48" s="287">
        <f>+'[2] SECCION I-II'!R53</f>
        <v>0</v>
      </c>
      <c r="F48" s="287">
        <f>+'[2] SECCION I-II'!R$54</f>
        <v>0</v>
      </c>
      <c r="G48" s="287">
        <f>+'[2] SECCION I-II'!R$55</f>
        <v>0</v>
      </c>
      <c r="H48" s="287">
        <f>+'[2] SECCION I-II'!R$56</f>
        <v>0</v>
      </c>
      <c r="I48" s="287">
        <f>+'[2] SECCION I-II'!R$57</f>
        <v>0</v>
      </c>
      <c r="J48" s="287">
        <f>+'[2] SECCION I-II'!R$58</f>
        <v>0</v>
      </c>
      <c r="K48" s="287">
        <f>+'[2] SECCION I-II'!R$59</f>
        <v>0</v>
      </c>
      <c r="L48" s="287">
        <f>+'[2] SECCION I-II'!R$60</f>
        <v>0</v>
      </c>
      <c r="M48" s="287">
        <f>+'[2] SECCION I-II'!R$61</f>
        <v>0</v>
      </c>
      <c r="N48" s="287">
        <f>+'[2] SECCION I-II'!R$62</f>
        <v>0</v>
      </c>
      <c r="O48" s="287">
        <f>+'[2] SECCION I-II'!R$63</f>
        <v>0</v>
      </c>
    </row>
    <row r="49" spans="1:15" ht="15.75" x14ac:dyDescent="0.25">
      <c r="A49" s="5753"/>
      <c r="B49" s="5768"/>
      <c r="C49" s="324" t="s">
        <v>1127</v>
      </c>
      <c r="D49" s="325" t="s">
        <v>1102</v>
      </c>
      <c r="E49" s="287">
        <f>+'[2] SECCION I-II'!R69</f>
        <v>0</v>
      </c>
      <c r="F49" s="287">
        <f>+'[2] SECCION I-II'!R$70</f>
        <v>0</v>
      </c>
      <c r="G49" s="287">
        <f>+'[2] SECCION I-II'!R$71</f>
        <v>0</v>
      </c>
      <c r="H49" s="287">
        <f>+'[2] SECCION I-II'!R$72</f>
        <v>0</v>
      </c>
      <c r="I49" s="287">
        <f>+'[2] SECCION I-II'!R$73</f>
        <v>0</v>
      </c>
      <c r="J49" s="287">
        <f>+'[2] SECCION I-II'!R$74</f>
        <v>0</v>
      </c>
      <c r="K49" s="287">
        <f>+'[2] SECCION I-II'!R$75</f>
        <v>0</v>
      </c>
      <c r="L49" s="287">
        <f>+'[2] SECCION I-II'!R$76</f>
        <v>0</v>
      </c>
      <c r="M49" s="287">
        <f>+'[2] SECCION I-II'!R$77</f>
        <v>0</v>
      </c>
      <c r="N49" s="287">
        <f>+'[2] SECCION I-II'!R$78</f>
        <v>0</v>
      </c>
      <c r="O49" s="287">
        <f>+'[2] SECCION I-II'!R$79</f>
        <v>0</v>
      </c>
    </row>
    <row r="50" spans="1:15" ht="15.75" x14ac:dyDescent="0.25">
      <c r="A50" s="5753"/>
      <c r="B50" s="5768"/>
      <c r="C50" s="324" t="s">
        <v>1128</v>
      </c>
      <c r="D50" s="325" t="s">
        <v>1102</v>
      </c>
      <c r="E50" s="287">
        <f>+'[2] SECCION I-II'!H122</f>
        <v>0</v>
      </c>
      <c r="H50" s="25"/>
      <c r="I50" s="25"/>
      <c r="J50" s="25"/>
      <c r="K50" s="25"/>
    </row>
    <row r="51" spans="1:15" ht="15.75" x14ac:dyDescent="0.25">
      <c r="A51" s="5753"/>
      <c r="B51" s="5768"/>
      <c r="C51" s="324" t="s">
        <v>1129</v>
      </c>
      <c r="D51" s="325" t="s">
        <v>1102</v>
      </c>
      <c r="E51" s="287">
        <f>+'[2] SECCION I-II'!H106</f>
        <v>0</v>
      </c>
      <c r="H51" s="25"/>
      <c r="I51" s="25"/>
      <c r="J51" s="25"/>
      <c r="K51" s="25"/>
    </row>
    <row r="52" spans="1:15" ht="15.75" x14ac:dyDescent="0.25">
      <c r="A52" s="5753"/>
      <c r="B52" s="5768"/>
      <c r="C52" s="324" t="s">
        <v>1130</v>
      </c>
      <c r="D52" s="325" t="s">
        <v>1102</v>
      </c>
      <c r="E52" s="287">
        <f>+'[2] SECCION I-II'!H114</f>
        <v>0</v>
      </c>
      <c r="H52" s="25"/>
      <c r="I52" s="25"/>
      <c r="J52" s="25"/>
      <c r="K52" s="25"/>
    </row>
    <row r="53" spans="1:15" ht="16.5" thickBot="1" x14ac:dyDescent="0.3">
      <c r="A53" s="5753"/>
      <c r="B53" s="5768"/>
      <c r="C53" s="324" t="s">
        <v>1108</v>
      </c>
      <c r="D53" s="325" t="s">
        <v>1102</v>
      </c>
      <c r="E53" s="287">
        <f>+'[2] SECCION I-II'!H136+'[2] SECCION I-II'!H145-'[2]PARA 870'!E21</f>
        <v>0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</row>
    <row r="54" spans="1:15" ht="16.5" thickBot="1" x14ac:dyDescent="0.3">
      <c r="A54" s="5753"/>
      <c r="B54" s="5768"/>
      <c r="C54" s="326" t="s">
        <v>1103</v>
      </c>
      <c r="D54" s="327" t="s">
        <v>1102</v>
      </c>
      <c r="E54" s="315"/>
      <c r="F54" s="305" t="s">
        <v>1146</v>
      </c>
      <c r="G54" s="306" t="s">
        <v>1147</v>
      </c>
      <c r="H54" s="391" t="s">
        <v>1148</v>
      </c>
      <c r="I54" s="391" t="s">
        <v>1149</v>
      </c>
      <c r="J54" s="391" t="s">
        <v>1150</v>
      </c>
      <c r="K54" s="392" t="s">
        <v>1151</v>
      </c>
      <c r="L54" s="391" t="s">
        <v>1152</v>
      </c>
      <c r="M54" s="391" t="s">
        <v>1153</v>
      </c>
      <c r="N54" s="391" t="s">
        <v>1154</v>
      </c>
      <c r="O54" s="392" t="s">
        <v>1155</v>
      </c>
    </row>
    <row r="55" spans="1:15" ht="15.75" hidden="1" customHeight="1" x14ac:dyDescent="0.25">
      <c r="A55" s="5753"/>
      <c r="B55" s="5769" t="s">
        <v>992</v>
      </c>
      <c r="C55" s="328" t="s">
        <v>1124</v>
      </c>
      <c r="D55" s="329" t="s">
        <v>1102</v>
      </c>
      <c r="E55" s="330"/>
      <c r="H55" s="25"/>
      <c r="I55" s="25"/>
      <c r="J55" s="25"/>
      <c r="K55" s="25"/>
    </row>
    <row r="56" spans="1:15" ht="16.5" hidden="1" customHeight="1" x14ac:dyDescent="0.25">
      <c r="A56" s="5753"/>
      <c r="B56" s="5769"/>
      <c r="C56" s="331" t="s">
        <v>1125</v>
      </c>
      <c r="D56" s="332" t="s">
        <v>1102</v>
      </c>
      <c r="E56" s="330"/>
      <c r="H56" s="25"/>
      <c r="I56" s="25"/>
      <c r="J56" s="25"/>
      <c r="K56" s="25"/>
    </row>
    <row r="57" spans="1:15" ht="16.5" hidden="1" customHeight="1" x14ac:dyDescent="0.25">
      <c r="A57" s="5753"/>
      <c r="B57" s="5769"/>
      <c r="C57" s="331" t="s">
        <v>1126</v>
      </c>
      <c r="D57" s="332" t="s">
        <v>1102</v>
      </c>
      <c r="E57" s="330"/>
      <c r="H57" s="25"/>
      <c r="I57" s="25"/>
      <c r="J57" s="25"/>
      <c r="K57" s="25"/>
    </row>
    <row r="58" spans="1:15" ht="16.5" hidden="1" customHeight="1" x14ac:dyDescent="0.25">
      <c r="A58" s="5753"/>
      <c r="B58" s="5769"/>
      <c r="C58" s="331" t="s">
        <v>1127</v>
      </c>
      <c r="D58" s="332" t="s">
        <v>1102</v>
      </c>
      <c r="E58" s="330"/>
      <c r="H58" s="25"/>
      <c r="I58" s="25"/>
      <c r="J58" s="25"/>
      <c r="K58" s="25"/>
    </row>
    <row r="59" spans="1:15" ht="16.5" hidden="1" customHeight="1" x14ac:dyDescent="0.25">
      <c r="A59" s="5753"/>
      <c r="B59" s="5769"/>
      <c r="C59" s="331" t="s">
        <v>1128</v>
      </c>
      <c r="D59" s="332" t="s">
        <v>1102</v>
      </c>
      <c r="E59" s="330"/>
      <c r="H59" s="25"/>
      <c r="I59" s="25"/>
      <c r="J59" s="25"/>
      <c r="K59" s="25"/>
    </row>
    <row r="60" spans="1:15" ht="16.5" hidden="1" customHeight="1" x14ac:dyDescent="0.25">
      <c r="A60" s="5753"/>
      <c r="B60" s="5769"/>
      <c r="C60" s="331" t="s">
        <v>1129</v>
      </c>
      <c r="D60" s="332" t="s">
        <v>1102</v>
      </c>
      <c r="E60" s="330"/>
      <c r="H60" s="25"/>
      <c r="I60" s="25"/>
      <c r="J60" s="25"/>
      <c r="K60" s="25"/>
    </row>
    <row r="61" spans="1:15" ht="16.5" hidden="1" customHeight="1" x14ac:dyDescent="0.25">
      <c r="A61" s="5753"/>
      <c r="B61" s="5769"/>
      <c r="C61" s="331" t="s">
        <v>1130</v>
      </c>
      <c r="D61" s="332" t="s">
        <v>1102</v>
      </c>
      <c r="E61" s="330"/>
      <c r="H61" s="25"/>
      <c r="I61" s="25"/>
      <c r="J61" s="25"/>
      <c r="K61" s="25"/>
    </row>
    <row r="62" spans="1:15" ht="16.5" hidden="1" customHeight="1" x14ac:dyDescent="0.25">
      <c r="A62" s="5753"/>
      <c r="B62" s="5769"/>
      <c r="C62" s="331" t="s">
        <v>1108</v>
      </c>
      <c r="D62" s="332" t="s">
        <v>1102</v>
      </c>
      <c r="E62" s="330"/>
      <c r="H62" s="25"/>
      <c r="I62" s="25"/>
      <c r="J62" s="25"/>
      <c r="K62" s="25"/>
    </row>
    <row r="63" spans="1:15" ht="16.5" hidden="1" customHeight="1" x14ac:dyDescent="0.25">
      <c r="A63" s="5753"/>
      <c r="B63" s="5769"/>
      <c r="C63" s="333" t="s">
        <v>1103</v>
      </c>
      <c r="D63" s="334" t="s">
        <v>1102</v>
      </c>
      <c r="E63" s="330"/>
      <c r="H63" s="25"/>
      <c r="I63" s="25"/>
      <c r="J63" s="25"/>
      <c r="K63" s="25"/>
    </row>
    <row r="64" spans="1:15" ht="15.75" x14ac:dyDescent="0.25">
      <c r="A64" s="5753"/>
      <c r="B64" s="5768" t="s">
        <v>1106</v>
      </c>
      <c r="C64" s="335" t="s">
        <v>1131</v>
      </c>
      <c r="D64" s="336" t="s">
        <v>1102</v>
      </c>
      <c r="E64" s="287">
        <f>+'[2] SECCION I-II'!Q15+'[2] SECCION I-II'!Q26</f>
        <v>0</v>
      </c>
      <c r="F64" s="287">
        <f>+'[2] SECCION I-II'!Q$16+'[2] SECCION I-II'!Q$27</f>
        <v>0</v>
      </c>
      <c r="G64" s="287">
        <f>+'[2] SECCION I-II'!Q$17+'[2] SECCION I-II'!Q$28</f>
        <v>0</v>
      </c>
      <c r="H64" s="287">
        <f>+'[2] SECCION I-II'!Q$18+'[2] SECCION I-II'!Q$29</f>
        <v>0</v>
      </c>
      <c r="I64" s="287">
        <f>+('[2] SECCION I-II'!Q$30)</f>
        <v>0</v>
      </c>
      <c r="J64" s="287">
        <f>+('[2] SECCION I-II'!Q$31)</f>
        <v>0</v>
      </c>
      <c r="K64" s="287">
        <v>0</v>
      </c>
      <c r="L64" s="287">
        <f>+'[2] SECCION I-II'!Q$19+'[2] SECCION I-II'!Q$32</f>
        <v>0</v>
      </c>
      <c r="M64" s="9">
        <v>0</v>
      </c>
      <c r="N64" s="9">
        <v>0</v>
      </c>
      <c r="O64" s="9">
        <v>0</v>
      </c>
    </row>
    <row r="65" spans="1:15" ht="15.75" x14ac:dyDescent="0.25">
      <c r="A65" s="5753"/>
      <c r="B65" s="5768"/>
      <c r="C65" s="337" t="s">
        <v>1132</v>
      </c>
      <c r="D65" s="338" t="s">
        <v>1102</v>
      </c>
      <c r="E65" s="287">
        <f>+'[2] SECCION I-II'!Q38</f>
        <v>0</v>
      </c>
      <c r="F65" s="287">
        <f>+'[2] SECCION I-II'!Q$39</f>
        <v>0</v>
      </c>
      <c r="G65" s="287">
        <f>+'[2] SECCION I-II'!Q$40</f>
        <v>0</v>
      </c>
      <c r="H65" s="287">
        <f>+'[2] SECCION I-II'!Q$41</f>
        <v>0</v>
      </c>
      <c r="I65" s="287">
        <f>+'[2] SECCION I-II'!Q$42</f>
        <v>0</v>
      </c>
      <c r="J65" s="287">
        <f>+'[2] SECCION I-II'!Q$43</f>
        <v>0</v>
      </c>
      <c r="K65" s="287">
        <f>+'[2] SECCION I-II'!Q$44</f>
        <v>0</v>
      </c>
      <c r="L65" s="287">
        <f>+'[2] SECCION I-II'!Q$45</f>
        <v>0</v>
      </c>
      <c r="M65" s="287">
        <f>+'[2] SECCION I-II'!Q$46</f>
        <v>0</v>
      </c>
      <c r="N65" s="287">
        <f>+'[2] SECCION I-II'!Q$47</f>
        <v>0</v>
      </c>
      <c r="O65" s="287">
        <v>0</v>
      </c>
    </row>
    <row r="66" spans="1:15" ht="15.75" x14ac:dyDescent="0.25">
      <c r="A66" s="5753"/>
      <c r="B66" s="5768"/>
      <c r="C66" s="337" t="s">
        <v>1133</v>
      </c>
      <c r="D66" s="338" t="s">
        <v>1102</v>
      </c>
      <c r="E66" s="287">
        <f>+'[2] SECCION I-II'!Q53</f>
        <v>0</v>
      </c>
      <c r="F66" s="287">
        <f>+'[2] SECCION I-II'!Q$54</f>
        <v>0</v>
      </c>
      <c r="G66" s="287">
        <f>+'[2] SECCION I-II'!Q$55</f>
        <v>0</v>
      </c>
      <c r="H66" s="287">
        <f>+'[2] SECCION I-II'!Q$56</f>
        <v>0</v>
      </c>
      <c r="I66" s="287">
        <f>+'[2] SECCION I-II'!Q$57</f>
        <v>0</v>
      </c>
      <c r="J66" s="287">
        <f>+'[2] SECCION I-II'!Q$58</f>
        <v>0</v>
      </c>
      <c r="K66" s="287">
        <f>+'[2] SECCION I-II'!Q$59</f>
        <v>0</v>
      </c>
      <c r="L66" s="287">
        <f>+'[2] SECCION I-II'!Q$60</f>
        <v>0</v>
      </c>
      <c r="M66" s="287">
        <f>+'[2] SECCION I-II'!Q$61</f>
        <v>0</v>
      </c>
      <c r="N66" s="287">
        <f>+'[2] SECCION I-II'!Q$62</f>
        <v>0</v>
      </c>
      <c r="O66" s="287">
        <f>+'[2] SECCION I-II'!Q$63</f>
        <v>0</v>
      </c>
    </row>
    <row r="67" spans="1:15" ht="15.75" x14ac:dyDescent="0.25">
      <c r="A67" s="5753"/>
      <c r="B67" s="5768"/>
      <c r="C67" s="337" t="s">
        <v>1134</v>
      </c>
      <c r="D67" s="338" t="s">
        <v>1102</v>
      </c>
      <c r="E67" s="287">
        <f>+'[2] SECCION I-II'!Q69</f>
        <v>0</v>
      </c>
      <c r="F67" s="287">
        <f>+'[2] SECCION I-II'!Q$70</f>
        <v>0</v>
      </c>
      <c r="G67" s="287">
        <f>+'[2] SECCION I-II'!Q$71</f>
        <v>0</v>
      </c>
      <c r="H67" s="287">
        <f>+'[2] SECCION I-II'!Q$72</f>
        <v>0</v>
      </c>
      <c r="I67" s="287">
        <f>+'[2] SECCION I-II'!Q$73</f>
        <v>0</v>
      </c>
      <c r="J67" s="287">
        <f>+'[2] SECCION I-II'!Q$74</f>
        <v>0</v>
      </c>
      <c r="K67" s="287">
        <f>+'[2] SECCION I-II'!Q$75</f>
        <v>0</v>
      </c>
      <c r="L67" s="287">
        <f>+'[2] SECCION I-II'!Q$76</f>
        <v>0</v>
      </c>
      <c r="M67" s="287">
        <f>+'[2] SECCION I-II'!Q$77</f>
        <v>0</v>
      </c>
      <c r="N67" s="287">
        <f>+'[2] SECCION I-II'!Q$78</f>
        <v>0</v>
      </c>
      <c r="O67" s="287">
        <f>+'[2] SECCION I-II'!Q$79</f>
        <v>0</v>
      </c>
    </row>
    <row r="68" spans="1:15" ht="15.75" x14ac:dyDescent="0.25">
      <c r="A68" s="5753"/>
      <c r="B68" s="5768"/>
      <c r="C68" s="337" t="s">
        <v>1135</v>
      </c>
      <c r="D68" s="338" t="s">
        <v>1102</v>
      </c>
      <c r="E68" s="287">
        <f>+'[2] SECCION I-II'!G122</f>
        <v>0</v>
      </c>
    </row>
    <row r="69" spans="1:15" ht="15.75" x14ac:dyDescent="0.25">
      <c r="A69" s="5753"/>
      <c r="B69" s="5768"/>
      <c r="C69" s="337" t="s">
        <v>1136</v>
      </c>
      <c r="D69" s="338" t="s">
        <v>1102</v>
      </c>
      <c r="E69" s="287">
        <f>+'[2] SECCION I-II'!G106</f>
        <v>0</v>
      </c>
    </row>
    <row r="70" spans="1:15" ht="15.75" x14ac:dyDescent="0.25">
      <c r="A70" s="5753"/>
      <c r="B70" s="5768"/>
      <c r="C70" s="337" t="s">
        <v>1137</v>
      </c>
      <c r="D70" s="338" t="s">
        <v>1102</v>
      </c>
      <c r="E70" s="287">
        <f>+'[2] SECCION I-II'!G114</f>
        <v>0</v>
      </c>
    </row>
    <row r="71" spans="1:15" ht="15.75" x14ac:dyDescent="0.25">
      <c r="A71" s="5753"/>
      <c r="B71" s="5768"/>
      <c r="C71" s="337" t="s">
        <v>1109</v>
      </c>
      <c r="D71" s="338" t="s">
        <v>1102</v>
      </c>
      <c r="E71" s="287">
        <f>+'[2] SECCION I-II'!G136+'[2] SECCION I-II'!G145-'[2]PARA 870'!E22</f>
        <v>0</v>
      </c>
    </row>
    <row r="72" spans="1:15" ht="16.5" thickBot="1" x14ac:dyDescent="0.3">
      <c r="A72" s="5753"/>
      <c r="B72" s="5768"/>
      <c r="C72" s="339" t="s">
        <v>1104</v>
      </c>
      <c r="D72" s="340" t="s">
        <v>1102</v>
      </c>
      <c r="E72" s="330"/>
    </row>
    <row r="73" spans="1:15" ht="15.75" hidden="1" x14ac:dyDescent="0.25">
      <c r="A73" s="5753"/>
      <c r="B73" s="5769" t="s">
        <v>992</v>
      </c>
      <c r="C73" s="328" t="s">
        <v>1131</v>
      </c>
      <c r="D73" s="329" t="s">
        <v>1102</v>
      </c>
      <c r="E73" s="291"/>
    </row>
    <row r="74" spans="1:15" ht="15.75" hidden="1" x14ac:dyDescent="0.25">
      <c r="A74" s="5753"/>
      <c r="B74" s="5769"/>
      <c r="C74" s="331" t="s">
        <v>1132</v>
      </c>
      <c r="D74" s="332" t="s">
        <v>1102</v>
      </c>
      <c r="E74" s="291"/>
    </row>
    <row r="75" spans="1:15" ht="15.75" hidden="1" x14ac:dyDescent="0.25">
      <c r="A75" s="5753"/>
      <c r="B75" s="5769"/>
      <c r="C75" s="331" t="s">
        <v>1133</v>
      </c>
      <c r="D75" s="332" t="s">
        <v>1102</v>
      </c>
      <c r="E75" s="291"/>
    </row>
    <row r="76" spans="1:15" ht="15.75" hidden="1" x14ac:dyDescent="0.25">
      <c r="A76" s="5753"/>
      <c r="B76" s="5769"/>
      <c r="C76" s="331" t="s">
        <v>1134</v>
      </c>
      <c r="D76" s="332" t="s">
        <v>1102</v>
      </c>
      <c r="E76" s="291"/>
    </row>
    <row r="77" spans="1:15" ht="15.75" hidden="1" x14ac:dyDescent="0.25">
      <c r="A77" s="5753"/>
      <c r="B77" s="5769"/>
      <c r="C77" s="331" t="s">
        <v>1135</v>
      </c>
      <c r="D77" s="332" t="s">
        <v>1102</v>
      </c>
      <c r="E77" s="291"/>
    </row>
    <row r="78" spans="1:15" ht="15.75" hidden="1" x14ac:dyDescent="0.25">
      <c r="A78" s="5753"/>
      <c r="B78" s="5769"/>
      <c r="C78" s="331" t="s">
        <v>1136</v>
      </c>
      <c r="D78" s="332" t="s">
        <v>1102</v>
      </c>
      <c r="E78" s="291"/>
    </row>
    <row r="79" spans="1:15" ht="15.75" hidden="1" x14ac:dyDescent="0.25">
      <c r="A79" s="5753"/>
      <c r="B79" s="5769"/>
      <c r="C79" s="331" t="s">
        <v>1137</v>
      </c>
      <c r="D79" s="332" t="s">
        <v>1102</v>
      </c>
      <c r="E79" s="291"/>
    </row>
    <row r="80" spans="1:15" ht="15.75" hidden="1" x14ac:dyDescent="0.25">
      <c r="A80" s="5753"/>
      <c r="B80" s="5769"/>
      <c r="C80" s="331" t="s">
        <v>1109</v>
      </c>
      <c r="D80" s="332" t="s">
        <v>1102</v>
      </c>
      <c r="E80" s="291"/>
    </row>
    <row r="81" spans="1:16" ht="16.5" hidden="1" thickBot="1" x14ac:dyDescent="0.3">
      <c r="A81" s="5753"/>
      <c r="B81" s="5769"/>
      <c r="C81" s="333" t="s">
        <v>1104</v>
      </c>
      <c r="D81" s="334" t="s">
        <v>1102</v>
      </c>
      <c r="E81" s="291"/>
    </row>
    <row r="82" spans="1:16" x14ac:dyDescent="0.2">
      <c r="E82" s="341"/>
    </row>
    <row r="83" spans="1:16" ht="18" hidden="1" x14ac:dyDescent="0.25">
      <c r="B83" s="5737" t="s">
        <v>1106</v>
      </c>
      <c r="C83" s="342" t="s">
        <v>1138</v>
      </c>
      <c r="D83" s="343" t="s">
        <v>1102</v>
      </c>
      <c r="E83" s="344">
        <f>E10+E20+SUM(E28:E36)</f>
        <v>0</v>
      </c>
      <c r="F83" s="344">
        <f>SUM(F28:F36)</f>
        <v>0</v>
      </c>
      <c r="G83" s="344">
        <f t="shared" ref="G83:O83" si="0">SUM(G28:G36)</f>
        <v>0</v>
      </c>
      <c r="H83" s="344">
        <f t="shared" si="0"/>
        <v>0</v>
      </c>
      <c r="I83" s="344">
        <f t="shared" si="0"/>
        <v>0</v>
      </c>
      <c r="J83" s="344">
        <f t="shared" si="0"/>
        <v>0</v>
      </c>
      <c r="K83" s="344">
        <f t="shared" si="0"/>
        <v>0</v>
      </c>
      <c r="L83" s="344">
        <f t="shared" si="0"/>
        <v>0</v>
      </c>
      <c r="M83" s="344">
        <f t="shared" si="0"/>
        <v>0</v>
      </c>
      <c r="N83" s="344">
        <f t="shared" si="0"/>
        <v>0</v>
      </c>
      <c r="O83" s="344">
        <f t="shared" si="0"/>
        <v>0</v>
      </c>
      <c r="P83" s="421">
        <f>SUM(E83:O83)</f>
        <v>0</v>
      </c>
    </row>
    <row r="84" spans="1:16" ht="18" hidden="1" x14ac:dyDescent="0.25">
      <c r="B84" s="5738"/>
      <c r="C84" s="345" t="s">
        <v>1139</v>
      </c>
      <c r="D84" s="343" t="s">
        <v>1102</v>
      </c>
      <c r="E84" s="344">
        <f>E11+E21+SUM(E46:E54)</f>
        <v>0</v>
      </c>
      <c r="F84" s="344">
        <f>SUM(F46:F54)</f>
        <v>0</v>
      </c>
      <c r="G84" s="344">
        <f t="shared" ref="G84:O84" si="1">SUM(G46:G54)</f>
        <v>0</v>
      </c>
      <c r="H84" s="344">
        <f t="shared" si="1"/>
        <v>0</v>
      </c>
      <c r="I84" s="344">
        <f t="shared" si="1"/>
        <v>0</v>
      </c>
      <c r="J84" s="344">
        <f t="shared" si="1"/>
        <v>0</v>
      </c>
      <c r="K84" s="344">
        <f t="shared" si="1"/>
        <v>0</v>
      </c>
      <c r="L84" s="344">
        <f t="shared" si="1"/>
        <v>0</v>
      </c>
      <c r="M84" s="344">
        <f t="shared" si="1"/>
        <v>0</v>
      </c>
      <c r="N84" s="344">
        <f t="shared" si="1"/>
        <v>0</v>
      </c>
      <c r="O84" s="344">
        <f t="shared" si="1"/>
        <v>0</v>
      </c>
      <c r="P84" s="421">
        <f>SUM(E84:O84)</f>
        <v>0</v>
      </c>
    </row>
    <row r="85" spans="1:16" ht="18" hidden="1" x14ac:dyDescent="0.25">
      <c r="B85" s="5738"/>
      <c r="C85" s="345" t="s">
        <v>1140</v>
      </c>
      <c r="D85" s="343" t="s">
        <v>1102</v>
      </c>
      <c r="E85" s="344">
        <f>E12+E22+SUM(E64:E72)</f>
        <v>0</v>
      </c>
      <c r="F85" s="344">
        <f>SUM(F64:F72)</f>
        <v>0</v>
      </c>
      <c r="G85" s="344">
        <f t="shared" ref="G85:O85" si="2">SUM(G64:G72)</f>
        <v>0</v>
      </c>
      <c r="H85" s="344">
        <f t="shared" si="2"/>
        <v>0</v>
      </c>
      <c r="I85" s="344">
        <f t="shared" si="2"/>
        <v>0</v>
      </c>
      <c r="J85" s="344">
        <f t="shared" si="2"/>
        <v>0</v>
      </c>
      <c r="K85" s="344">
        <f t="shared" si="2"/>
        <v>0</v>
      </c>
      <c r="L85" s="344">
        <f t="shared" si="2"/>
        <v>0</v>
      </c>
      <c r="M85" s="344">
        <f t="shared" si="2"/>
        <v>0</v>
      </c>
      <c r="N85" s="344">
        <f t="shared" si="2"/>
        <v>0</v>
      </c>
      <c r="O85" s="344">
        <f t="shared" si="2"/>
        <v>0</v>
      </c>
      <c r="P85" s="421">
        <f>SUM(E85:O85)</f>
        <v>0</v>
      </c>
    </row>
    <row r="86" spans="1:16" ht="18" hidden="1" x14ac:dyDescent="0.25">
      <c r="B86" s="5739"/>
      <c r="C86" s="346" t="s">
        <v>1156</v>
      </c>
      <c r="D86" s="343" t="s">
        <v>1102</v>
      </c>
      <c r="E86" s="344">
        <f t="shared" ref="E86:O86" si="3">SUBTOTAL(9,E83:E85)</f>
        <v>0</v>
      </c>
      <c r="F86" s="344">
        <f t="shared" si="3"/>
        <v>0</v>
      </c>
      <c r="G86" s="344">
        <f t="shared" si="3"/>
        <v>0</v>
      </c>
      <c r="H86" s="344">
        <f t="shared" si="3"/>
        <v>0</v>
      </c>
      <c r="I86" s="344">
        <f t="shared" si="3"/>
        <v>0</v>
      </c>
      <c r="J86" s="344"/>
      <c r="K86" s="344">
        <f t="shared" si="3"/>
        <v>0</v>
      </c>
      <c r="L86" s="344">
        <f t="shared" si="3"/>
        <v>0</v>
      </c>
      <c r="M86" s="344">
        <f t="shared" si="3"/>
        <v>0</v>
      </c>
      <c r="N86" s="344">
        <f t="shared" si="3"/>
        <v>0</v>
      </c>
      <c r="O86" s="344">
        <f t="shared" si="3"/>
        <v>0</v>
      </c>
      <c r="P86" s="421">
        <f>SUM(E86:O86)</f>
        <v>0</v>
      </c>
    </row>
    <row r="87" spans="1:16" ht="15.75" hidden="1" x14ac:dyDescent="0.25">
      <c r="B87" s="5758" t="s">
        <v>992</v>
      </c>
      <c r="C87" s="342" t="s">
        <v>1138</v>
      </c>
      <c r="D87" s="332" t="s">
        <v>1102</v>
      </c>
      <c r="E87" s="344"/>
      <c r="F87" s="344"/>
      <c r="G87" s="344"/>
      <c r="H87" s="344"/>
      <c r="I87" s="344"/>
      <c r="J87" s="344"/>
      <c r="K87" s="344"/>
    </row>
    <row r="88" spans="1:16" ht="15.75" hidden="1" x14ac:dyDescent="0.25">
      <c r="B88" s="5759"/>
      <c r="C88" s="345" t="s">
        <v>1139</v>
      </c>
      <c r="D88" s="332" t="s">
        <v>1102</v>
      </c>
      <c r="E88" s="344"/>
      <c r="F88" s="344"/>
      <c r="G88" s="344"/>
      <c r="H88" s="344"/>
      <c r="I88" s="344"/>
      <c r="J88" s="344"/>
      <c r="K88" s="344"/>
    </row>
    <row r="89" spans="1:16" ht="15.75" hidden="1" x14ac:dyDescent="0.25">
      <c r="B89" s="5759"/>
      <c r="C89" s="345" t="s">
        <v>1140</v>
      </c>
      <c r="D89" s="332" t="s">
        <v>1102</v>
      </c>
      <c r="E89" s="344"/>
      <c r="F89" s="344"/>
      <c r="G89" s="344"/>
      <c r="H89" s="344"/>
      <c r="I89" s="344"/>
      <c r="J89" s="344"/>
      <c r="K89" s="344"/>
    </row>
    <row r="90" spans="1:16" ht="15.75" hidden="1" x14ac:dyDescent="0.25">
      <c r="B90" s="5760"/>
      <c r="C90" s="346" t="s">
        <v>1142</v>
      </c>
      <c r="D90" s="332" t="s">
        <v>1102</v>
      </c>
      <c r="E90" s="431"/>
      <c r="F90" s="431"/>
      <c r="G90" s="431"/>
      <c r="H90" s="431"/>
      <c r="I90" s="431"/>
      <c r="J90" s="431"/>
      <c r="K90" s="431"/>
    </row>
    <row r="91" spans="1:16" ht="32.25" thickBot="1" x14ac:dyDescent="0.3">
      <c r="E91" s="447" t="s">
        <v>1157</v>
      </c>
      <c r="F91" s="448" t="s">
        <v>1146</v>
      </c>
      <c r="G91" s="448" t="s">
        <v>1147</v>
      </c>
      <c r="H91" s="449" t="s">
        <v>1148</v>
      </c>
      <c r="I91" s="449" t="s">
        <v>1149</v>
      </c>
      <c r="J91" s="449" t="s">
        <v>1150</v>
      </c>
      <c r="K91" s="449" t="s">
        <v>1151</v>
      </c>
      <c r="L91" s="449" t="s">
        <v>1152</v>
      </c>
      <c r="M91" s="449" t="s">
        <v>1153</v>
      </c>
      <c r="N91" s="449" t="s">
        <v>1154</v>
      </c>
      <c r="O91" s="449" t="s">
        <v>1155</v>
      </c>
      <c r="P91" s="422" t="s">
        <v>4</v>
      </c>
    </row>
    <row r="92" spans="1:16" ht="18.75" thickBot="1" x14ac:dyDescent="0.3">
      <c r="B92" s="5774" t="s">
        <v>4</v>
      </c>
      <c r="C92" s="342" t="s">
        <v>1138</v>
      </c>
      <c r="D92" s="252" t="s">
        <v>1102</v>
      </c>
      <c r="E92" s="450">
        <f t="shared" ref="E92:O94" si="4">E83+E87</f>
        <v>0</v>
      </c>
      <c r="F92" s="450">
        <f t="shared" si="4"/>
        <v>0</v>
      </c>
      <c r="G92" s="450">
        <f t="shared" si="4"/>
        <v>0</v>
      </c>
      <c r="H92" s="450">
        <f t="shared" si="4"/>
        <v>0</v>
      </c>
      <c r="I92" s="450">
        <f t="shared" si="4"/>
        <v>0</v>
      </c>
      <c r="J92" s="450">
        <f t="shared" si="4"/>
        <v>0</v>
      </c>
      <c r="K92" s="450">
        <f t="shared" si="4"/>
        <v>0</v>
      </c>
      <c r="L92" s="450">
        <f t="shared" si="4"/>
        <v>0</v>
      </c>
      <c r="M92" s="450">
        <f t="shared" si="4"/>
        <v>0</v>
      </c>
      <c r="N92" s="450">
        <f t="shared" si="4"/>
        <v>0</v>
      </c>
      <c r="O92" s="450">
        <f t="shared" si="4"/>
        <v>0</v>
      </c>
      <c r="P92" s="421">
        <f>SUM(E92:O92)</f>
        <v>0</v>
      </c>
    </row>
    <row r="93" spans="1:16" ht="18.75" thickBot="1" x14ac:dyDescent="0.3">
      <c r="B93" s="5774"/>
      <c r="C93" s="345" t="s">
        <v>1139</v>
      </c>
      <c r="D93" s="54" t="s">
        <v>1102</v>
      </c>
      <c r="E93" s="347">
        <f t="shared" si="4"/>
        <v>0</v>
      </c>
      <c r="F93" s="347">
        <f t="shared" si="4"/>
        <v>0</v>
      </c>
      <c r="G93" s="347">
        <f t="shared" si="4"/>
        <v>0</v>
      </c>
      <c r="H93" s="347">
        <f t="shared" si="4"/>
        <v>0</v>
      </c>
      <c r="I93" s="347">
        <f t="shared" si="4"/>
        <v>0</v>
      </c>
      <c r="J93" s="347">
        <f t="shared" si="4"/>
        <v>0</v>
      </c>
      <c r="K93" s="347">
        <f t="shared" si="4"/>
        <v>0</v>
      </c>
      <c r="L93" s="347">
        <f t="shared" si="4"/>
        <v>0</v>
      </c>
      <c r="M93" s="347">
        <f t="shared" si="4"/>
        <v>0</v>
      </c>
      <c r="N93" s="347">
        <f t="shared" si="4"/>
        <v>0</v>
      </c>
      <c r="O93" s="347">
        <f t="shared" si="4"/>
        <v>0</v>
      </c>
      <c r="P93" s="421">
        <f>SUM(E93:O93)</f>
        <v>0</v>
      </c>
    </row>
    <row r="94" spans="1:16" ht="18" x14ac:dyDescent="0.25">
      <c r="B94" s="5774"/>
      <c r="C94" s="345" t="s">
        <v>1140</v>
      </c>
      <c r="D94" s="54" t="s">
        <v>1102</v>
      </c>
      <c r="E94" s="347">
        <f t="shared" si="4"/>
        <v>0</v>
      </c>
      <c r="F94" s="347">
        <f t="shared" si="4"/>
        <v>0</v>
      </c>
      <c r="G94" s="347">
        <f t="shared" si="4"/>
        <v>0</v>
      </c>
      <c r="H94" s="347">
        <f t="shared" si="4"/>
        <v>0</v>
      </c>
      <c r="I94" s="347">
        <f t="shared" si="4"/>
        <v>0</v>
      </c>
      <c r="J94" s="347">
        <f t="shared" si="4"/>
        <v>0</v>
      </c>
      <c r="K94" s="347">
        <f t="shared" si="4"/>
        <v>0</v>
      </c>
      <c r="L94" s="347">
        <f t="shared" si="4"/>
        <v>0</v>
      </c>
      <c r="M94" s="347">
        <f t="shared" si="4"/>
        <v>0</v>
      </c>
      <c r="N94" s="347">
        <f t="shared" si="4"/>
        <v>0</v>
      </c>
      <c r="O94" s="347">
        <f t="shared" si="4"/>
        <v>0</v>
      </c>
      <c r="P94" s="421">
        <f>SUM(E94:O94)</f>
        <v>0</v>
      </c>
    </row>
    <row r="95" spans="1:16" ht="18.75" thickBot="1" x14ac:dyDescent="0.3">
      <c r="B95" s="5774"/>
      <c r="C95" s="348" t="s">
        <v>1145</v>
      </c>
      <c r="D95" s="349" t="s">
        <v>1102</v>
      </c>
      <c r="E95" s="350">
        <f>SUM(E92:E94)</f>
        <v>0</v>
      </c>
      <c r="F95" s="350">
        <f>SUM(F92:F94)</f>
        <v>0</v>
      </c>
      <c r="G95" s="350">
        <f>SUM(G92:G94)</f>
        <v>0</v>
      </c>
      <c r="H95" s="350">
        <f t="shared" ref="H95:O95" si="5">SUM(H92:H94)</f>
        <v>0</v>
      </c>
      <c r="I95" s="350">
        <f t="shared" si="5"/>
        <v>0</v>
      </c>
      <c r="J95" s="350">
        <f t="shared" si="5"/>
        <v>0</v>
      </c>
      <c r="K95" s="350">
        <f t="shared" si="5"/>
        <v>0</v>
      </c>
      <c r="L95" s="350">
        <f t="shared" si="5"/>
        <v>0</v>
      </c>
      <c r="M95" s="350">
        <f t="shared" si="5"/>
        <v>0</v>
      </c>
      <c r="N95" s="350">
        <f t="shared" si="5"/>
        <v>0</v>
      </c>
      <c r="O95" s="350">
        <f t="shared" si="5"/>
        <v>0</v>
      </c>
      <c r="P95" s="421">
        <f>SUM(E95:O95)</f>
        <v>0</v>
      </c>
    </row>
    <row r="96" spans="1:16" ht="18.75" thickBot="1" x14ac:dyDescent="0.3">
      <c r="E96" s="451"/>
      <c r="F96" s="452">
        <v>5010</v>
      </c>
      <c r="G96" s="452">
        <v>5020</v>
      </c>
      <c r="H96" s="452">
        <v>5500</v>
      </c>
      <c r="I96" s="452">
        <v>5510</v>
      </c>
      <c r="J96" s="452">
        <v>5530</v>
      </c>
      <c r="K96" s="452">
        <v>5540</v>
      </c>
      <c r="L96" s="452">
        <v>6000</v>
      </c>
      <c r="M96" s="452">
        <v>6010</v>
      </c>
      <c r="N96" s="452">
        <v>6020</v>
      </c>
      <c r="O96" s="452">
        <v>6030</v>
      </c>
    </row>
    <row r="97" spans="2:16" ht="54.75" x14ac:dyDescent="0.3">
      <c r="B97" s="352"/>
      <c r="C97" s="146"/>
      <c r="E97" s="453" t="s">
        <v>1157</v>
      </c>
      <c r="F97" s="454" t="s">
        <v>1146</v>
      </c>
      <c r="G97" s="454" t="s">
        <v>1147</v>
      </c>
      <c r="H97" s="454" t="s">
        <v>1148</v>
      </c>
      <c r="I97" s="454" t="s">
        <v>1149</v>
      </c>
      <c r="J97" s="454" t="s">
        <v>1150</v>
      </c>
      <c r="K97" s="454" t="s">
        <v>1158</v>
      </c>
      <c r="L97" s="454" t="s">
        <v>1159</v>
      </c>
      <c r="M97" s="454" t="s">
        <v>1160</v>
      </c>
      <c r="N97" s="454" t="s">
        <v>1161</v>
      </c>
      <c r="O97" s="454" t="s">
        <v>1162</v>
      </c>
      <c r="P97" s="422" t="s">
        <v>4</v>
      </c>
    </row>
    <row r="98" spans="2:16" ht="17.25" customHeight="1" x14ac:dyDescent="0.25">
      <c r="B98" s="5770" t="s">
        <v>786</v>
      </c>
      <c r="C98" s="5771"/>
      <c r="D98" s="423" t="s">
        <v>1102</v>
      </c>
      <c r="E98" s="424">
        <f t="shared" ref="E98:O98" si="6">E28+E46+E64</f>
        <v>0</v>
      </c>
      <c r="F98" s="356">
        <f t="shared" si="6"/>
        <v>0</v>
      </c>
      <c r="G98" s="356">
        <f t="shared" si="6"/>
        <v>0</v>
      </c>
      <c r="H98" s="357">
        <f t="shared" si="6"/>
        <v>0</v>
      </c>
      <c r="I98" s="357">
        <f t="shared" si="6"/>
        <v>0</v>
      </c>
      <c r="J98" s="357">
        <f t="shared" si="6"/>
        <v>0</v>
      </c>
      <c r="K98" s="357">
        <f t="shared" si="6"/>
        <v>0</v>
      </c>
      <c r="L98" s="425">
        <f t="shared" si="6"/>
        <v>0</v>
      </c>
      <c r="M98" s="425">
        <f t="shared" si="6"/>
        <v>0</v>
      </c>
      <c r="N98" s="425">
        <f t="shared" si="6"/>
        <v>0</v>
      </c>
      <c r="O98" s="426">
        <f t="shared" si="6"/>
        <v>0</v>
      </c>
      <c r="P98" s="229">
        <f>SUM(E98:O98)</f>
        <v>0</v>
      </c>
    </row>
    <row r="99" spans="2:16" ht="16.5" hidden="1" customHeight="1" x14ac:dyDescent="0.25">
      <c r="B99" s="5772"/>
      <c r="C99" s="5773"/>
      <c r="D99" s="423" t="s">
        <v>1102</v>
      </c>
      <c r="E99" s="424">
        <f>E37+E55+E73</f>
        <v>0</v>
      </c>
      <c r="F99" s="358"/>
      <c r="G99" s="358"/>
      <c r="H99" s="359"/>
      <c r="I99" s="359"/>
      <c r="J99" s="359"/>
      <c r="K99" s="359"/>
      <c r="L99" s="427"/>
      <c r="M99" s="427"/>
      <c r="N99" s="427"/>
      <c r="O99" s="428"/>
      <c r="P99" s="229">
        <f t="shared" ref="P99:P117" si="7">SUM(E99:O99)</f>
        <v>0</v>
      </c>
    </row>
    <row r="100" spans="2:16" ht="15.75" customHeight="1" x14ac:dyDescent="0.25">
      <c r="B100" s="5770" t="s">
        <v>796</v>
      </c>
      <c r="C100" s="5771"/>
      <c r="D100" s="423" t="s">
        <v>1102</v>
      </c>
      <c r="E100" s="424">
        <f t="shared" ref="E100:O100" si="8">E29+E47+E65</f>
        <v>0</v>
      </c>
      <c r="F100" s="356">
        <f t="shared" si="8"/>
        <v>0</v>
      </c>
      <c r="G100" s="356">
        <f t="shared" si="8"/>
        <v>0</v>
      </c>
      <c r="H100" s="357">
        <f t="shared" si="8"/>
        <v>0</v>
      </c>
      <c r="I100" s="357">
        <f t="shared" si="8"/>
        <v>0</v>
      </c>
      <c r="J100" s="357">
        <f t="shared" si="8"/>
        <v>0</v>
      </c>
      <c r="K100" s="357">
        <f t="shared" si="8"/>
        <v>0</v>
      </c>
      <c r="L100" s="425">
        <f t="shared" si="8"/>
        <v>0</v>
      </c>
      <c r="M100" s="425">
        <f t="shared" si="8"/>
        <v>0</v>
      </c>
      <c r="N100" s="425">
        <f t="shared" si="8"/>
        <v>0</v>
      </c>
      <c r="O100" s="426">
        <f t="shared" si="8"/>
        <v>0</v>
      </c>
      <c r="P100" s="229">
        <f t="shared" si="7"/>
        <v>0</v>
      </c>
    </row>
    <row r="101" spans="2:16" ht="16.5" hidden="1" customHeight="1" x14ac:dyDescent="0.25">
      <c r="B101" s="5772"/>
      <c r="C101" s="5773"/>
      <c r="D101" s="423" t="s">
        <v>1102</v>
      </c>
      <c r="E101" s="424">
        <f>E38+E56+E74</f>
        <v>0</v>
      </c>
      <c r="F101" s="358"/>
      <c r="G101" s="358"/>
      <c r="H101" s="359"/>
      <c r="I101" s="359"/>
      <c r="J101" s="359"/>
      <c r="K101" s="359"/>
      <c r="L101" s="427"/>
      <c r="M101" s="427"/>
      <c r="N101" s="427"/>
      <c r="O101" s="428"/>
      <c r="P101" s="229">
        <f t="shared" si="7"/>
        <v>0</v>
      </c>
    </row>
    <row r="102" spans="2:16" ht="15.75" customHeight="1" x14ac:dyDescent="0.25">
      <c r="B102" s="5770" t="s">
        <v>799</v>
      </c>
      <c r="C102" s="5771"/>
      <c r="D102" s="423" t="s">
        <v>1102</v>
      </c>
      <c r="E102" s="424">
        <f t="shared" ref="E102:O102" si="9">E30+E48+E66</f>
        <v>0</v>
      </c>
      <c r="F102" s="356">
        <f t="shared" si="9"/>
        <v>0</v>
      </c>
      <c r="G102" s="356">
        <f t="shared" si="9"/>
        <v>0</v>
      </c>
      <c r="H102" s="357">
        <f t="shared" si="9"/>
        <v>0</v>
      </c>
      <c r="I102" s="357">
        <f t="shared" si="9"/>
        <v>0</v>
      </c>
      <c r="J102" s="357">
        <f t="shared" si="9"/>
        <v>0</v>
      </c>
      <c r="K102" s="357">
        <f t="shared" si="9"/>
        <v>0</v>
      </c>
      <c r="L102" s="425">
        <f t="shared" si="9"/>
        <v>0</v>
      </c>
      <c r="M102" s="425">
        <f t="shared" si="9"/>
        <v>0</v>
      </c>
      <c r="N102" s="425">
        <f t="shared" si="9"/>
        <v>0</v>
      </c>
      <c r="O102" s="426">
        <f t="shared" si="9"/>
        <v>0</v>
      </c>
      <c r="P102" s="229">
        <f t="shared" si="7"/>
        <v>0</v>
      </c>
    </row>
    <row r="103" spans="2:16" ht="16.5" hidden="1" customHeight="1" x14ac:dyDescent="0.25">
      <c r="B103" s="5772"/>
      <c r="C103" s="5773"/>
      <c r="D103" s="423" t="s">
        <v>1102</v>
      </c>
      <c r="E103" s="424">
        <f>E39+E57+E75</f>
        <v>0</v>
      </c>
      <c r="F103" s="358"/>
      <c r="G103" s="358"/>
      <c r="H103" s="359"/>
      <c r="I103" s="359"/>
      <c r="J103" s="359"/>
      <c r="K103" s="359"/>
      <c r="L103" s="427"/>
      <c r="M103" s="427"/>
      <c r="N103" s="427"/>
      <c r="O103" s="428"/>
      <c r="P103" s="229">
        <f t="shared" si="7"/>
        <v>0</v>
      </c>
    </row>
    <row r="104" spans="2:16" ht="15.75" customHeight="1" thickBot="1" x14ac:dyDescent="0.3">
      <c r="B104" s="5770" t="s">
        <v>802</v>
      </c>
      <c r="C104" s="5771"/>
      <c r="D104" s="423" t="s">
        <v>1102</v>
      </c>
      <c r="E104" s="424">
        <f t="shared" ref="E104:O104" si="10">E31+E49+E67</f>
        <v>0</v>
      </c>
      <c r="F104" s="356">
        <f t="shared" si="10"/>
        <v>0</v>
      </c>
      <c r="G104" s="356">
        <f t="shared" si="10"/>
        <v>0</v>
      </c>
      <c r="H104" s="357">
        <f t="shared" si="10"/>
        <v>0</v>
      </c>
      <c r="I104" s="357">
        <f t="shared" si="10"/>
        <v>0</v>
      </c>
      <c r="J104" s="357">
        <f t="shared" si="10"/>
        <v>0</v>
      </c>
      <c r="K104" s="357">
        <f t="shared" si="10"/>
        <v>0</v>
      </c>
      <c r="L104" s="425">
        <f t="shared" si="10"/>
        <v>0</v>
      </c>
      <c r="M104" s="425">
        <f t="shared" si="10"/>
        <v>0</v>
      </c>
      <c r="N104" s="425">
        <f t="shared" si="10"/>
        <v>0</v>
      </c>
      <c r="O104" s="426">
        <f t="shared" si="10"/>
        <v>0</v>
      </c>
      <c r="P104" s="229">
        <f t="shared" si="7"/>
        <v>0</v>
      </c>
    </row>
    <row r="105" spans="2:16" ht="16.5" hidden="1" customHeight="1" x14ac:dyDescent="0.25">
      <c r="B105" s="5772"/>
      <c r="C105" s="5773"/>
      <c r="D105" s="423" t="s">
        <v>1102</v>
      </c>
      <c r="E105" s="424">
        <f>E40+E58+E76</f>
        <v>0</v>
      </c>
      <c r="F105" s="429"/>
      <c r="G105" s="429"/>
      <c r="H105" s="430"/>
      <c r="I105" s="430"/>
      <c r="J105" s="430"/>
      <c r="K105" s="430"/>
      <c r="L105" s="431">
        <f>SUM(E105:K105)</f>
        <v>0</v>
      </c>
      <c r="P105" s="229">
        <f t="shared" si="7"/>
        <v>0</v>
      </c>
    </row>
    <row r="106" spans="2:16" ht="15.75" customHeight="1" x14ac:dyDescent="0.25">
      <c r="B106" s="5770" t="s">
        <v>158</v>
      </c>
      <c r="C106" s="5771"/>
      <c r="D106" s="423" t="s">
        <v>1102</v>
      </c>
      <c r="E106" s="432">
        <f>E32+E50+E68</f>
        <v>0</v>
      </c>
      <c r="F106" s="352"/>
      <c r="G106" s="145"/>
      <c r="H106" s="145"/>
      <c r="I106" s="145"/>
      <c r="J106" s="145"/>
      <c r="K106" s="145"/>
      <c r="L106" s="433"/>
      <c r="M106" s="145"/>
      <c r="N106" s="145"/>
      <c r="O106" s="145"/>
      <c r="P106" s="229">
        <f t="shared" si="7"/>
        <v>0</v>
      </c>
    </row>
    <row r="107" spans="2:16" ht="16.5" hidden="1" customHeight="1" x14ac:dyDescent="0.25">
      <c r="B107" s="5772"/>
      <c r="C107" s="5773"/>
      <c r="D107" s="423" t="s">
        <v>1102</v>
      </c>
      <c r="E107" s="432">
        <f>E41+E59+E77</f>
        <v>0</v>
      </c>
      <c r="F107" s="126"/>
      <c r="L107" s="341"/>
      <c r="P107" s="229">
        <f t="shared" si="7"/>
        <v>0</v>
      </c>
    </row>
    <row r="108" spans="2:16" ht="15.75" customHeight="1" x14ac:dyDescent="0.25">
      <c r="B108" s="5770" t="s">
        <v>1163</v>
      </c>
      <c r="C108" s="5771"/>
      <c r="D108" s="423" t="s">
        <v>1102</v>
      </c>
      <c r="E108" s="432">
        <f>E33+E51+E69</f>
        <v>0</v>
      </c>
      <c r="F108" s="126"/>
      <c r="L108" s="341"/>
      <c r="P108" s="229">
        <f t="shared" si="7"/>
        <v>0</v>
      </c>
    </row>
    <row r="109" spans="2:16" ht="16.5" hidden="1" customHeight="1" x14ac:dyDescent="0.25">
      <c r="B109" s="5772"/>
      <c r="C109" s="5773"/>
      <c r="D109" s="423" t="s">
        <v>1102</v>
      </c>
      <c r="E109" s="432">
        <f>E42+E60+E78</f>
        <v>0</v>
      </c>
      <c r="F109" s="126"/>
      <c r="L109" s="341"/>
      <c r="P109" s="229">
        <f t="shared" si="7"/>
        <v>0</v>
      </c>
    </row>
    <row r="110" spans="2:16" ht="15.75" customHeight="1" x14ac:dyDescent="0.25">
      <c r="B110" s="5770" t="s">
        <v>1164</v>
      </c>
      <c r="C110" s="5771"/>
      <c r="D110" s="423" t="s">
        <v>1102</v>
      </c>
      <c r="E110" s="432">
        <f>E34+E52+E70</f>
        <v>0</v>
      </c>
      <c r="F110" s="126"/>
      <c r="L110" s="341"/>
      <c r="P110" s="229">
        <f t="shared" si="7"/>
        <v>0</v>
      </c>
    </row>
    <row r="111" spans="2:16" ht="16.5" hidden="1" customHeight="1" x14ac:dyDescent="0.25">
      <c r="B111" s="5772"/>
      <c r="C111" s="5773"/>
      <c r="D111" s="423" t="s">
        <v>1102</v>
      </c>
      <c r="E111" s="432">
        <f>E43+E61+E79</f>
        <v>0</v>
      </c>
      <c r="F111" s="126"/>
      <c r="L111" s="341"/>
      <c r="P111" s="229">
        <f t="shared" si="7"/>
        <v>0</v>
      </c>
    </row>
    <row r="112" spans="2:16" ht="15.75" customHeight="1" x14ac:dyDescent="0.25">
      <c r="B112" s="5770" t="s">
        <v>157</v>
      </c>
      <c r="C112" s="5771"/>
      <c r="D112" s="423" t="s">
        <v>1102</v>
      </c>
      <c r="E112" s="432">
        <f>E35+E53+E71+E20+E21+E22</f>
        <v>0</v>
      </c>
      <c r="F112" s="126"/>
      <c r="L112" s="341"/>
      <c r="P112" s="229">
        <f t="shared" si="7"/>
        <v>0</v>
      </c>
    </row>
    <row r="113" spans="2:16" ht="16.5" hidden="1" customHeight="1" x14ac:dyDescent="0.25">
      <c r="B113" s="5772"/>
      <c r="C113" s="5773"/>
      <c r="D113" s="423" t="s">
        <v>1102</v>
      </c>
      <c r="E113" s="432">
        <f>E25+E26+E27+E44+E62+E80</f>
        <v>0</v>
      </c>
      <c r="F113" s="126"/>
      <c r="L113" s="341"/>
      <c r="P113" s="229">
        <f t="shared" si="7"/>
        <v>0</v>
      </c>
    </row>
    <row r="114" spans="2:16" ht="18.75" customHeight="1" x14ac:dyDescent="0.25">
      <c r="B114" s="5770" t="s">
        <v>18</v>
      </c>
      <c r="C114" s="5771"/>
      <c r="D114" s="423" t="s">
        <v>1102</v>
      </c>
      <c r="E114" s="432">
        <f>E10+E11+E12+E36+E54+E72</f>
        <v>0</v>
      </c>
      <c r="F114" s="126"/>
      <c r="L114" s="341"/>
      <c r="P114" s="229">
        <f t="shared" si="7"/>
        <v>0</v>
      </c>
    </row>
    <row r="115" spans="2:16" ht="18.75" hidden="1" customHeight="1" x14ac:dyDescent="0.25">
      <c r="B115" s="5772"/>
      <c r="C115" s="5773" t="s">
        <v>1165</v>
      </c>
      <c r="D115" s="423" t="s">
        <v>1102</v>
      </c>
      <c r="E115" s="432">
        <f>E15+E16+E17+E45+E63+E81</f>
        <v>0</v>
      </c>
      <c r="F115" s="126"/>
      <c r="P115" s="229">
        <f t="shared" si="7"/>
        <v>0</v>
      </c>
    </row>
    <row r="116" spans="2:16" ht="18.75" customHeight="1" thickBot="1" x14ac:dyDescent="0.3">
      <c r="B116" s="126"/>
      <c r="C116" s="360"/>
      <c r="D116" s="419"/>
      <c r="E116" s="434"/>
      <c r="F116" s="163"/>
      <c r="G116" s="164"/>
      <c r="H116" s="164"/>
      <c r="I116" s="164"/>
      <c r="J116" s="164"/>
      <c r="K116" s="164"/>
      <c r="L116" s="164"/>
      <c r="M116" s="164"/>
      <c r="N116" s="164"/>
      <c r="O116" s="164"/>
      <c r="P116" s="229"/>
    </row>
    <row r="117" spans="2:16" s="361" customFormat="1" ht="18.75" customHeight="1" thickBot="1" x14ac:dyDescent="0.3">
      <c r="B117" s="362"/>
      <c r="C117" s="363" t="s">
        <v>1166</v>
      </c>
      <c r="D117" s="435" t="s">
        <v>1102</v>
      </c>
      <c r="E117" s="436">
        <f>SUM(E98:E116)</f>
        <v>0</v>
      </c>
      <c r="F117" s="437">
        <f t="shared" ref="F117:O117" si="11">SUM(F98:F116)</f>
        <v>0</v>
      </c>
      <c r="G117" s="437">
        <f t="shared" si="11"/>
        <v>0</v>
      </c>
      <c r="H117" s="438">
        <f t="shared" si="11"/>
        <v>0</v>
      </c>
      <c r="I117" s="438">
        <f t="shared" si="11"/>
        <v>0</v>
      </c>
      <c r="J117" s="438">
        <f t="shared" si="11"/>
        <v>0</v>
      </c>
      <c r="K117" s="438">
        <f t="shared" si="11"/>
        <v>0</v>
      </c>
      <c r="L117" s="439">
        <f t="shared" si="11"/>
        <v>0</v>
      </c>
      <c r="M117" s="439">
        <f t="shared" si="11"/>
        <v>0</v>
      </c>
      <c r="N117" s="439">
        <f t="shared" si="11"/>
        <v>0</v>
      </c>
      <c r="O117" s="440">
        <f t="shared" si="11"/>
        <v>0</v>
      </c>
      <c r="P117" s="229">
        <f t="shared" si="7"/>
        <v>0</v>
      </c>
    </row>
    <row r="118" spans="2:16" s="361" customFormat="1" ht="18.75" hidden="1" customHeight="1" x14ac:dyDescent="0.25">
      <c r="C118" s="365"/>
      <c r="D118" s="12"/>
      <c r="E118" s="441" t="s">
        <v>1157</v>
      </c>
      <c r="F118" s="442" t="s">
        <v>1146</v>
      </c>
      <c r="G118" s="442" t="s">
        <v>1147</v>
      </c>
      <c r="H118" s="443" t="s">
        <v>1148</v>
      </c>
      <c r="I118" s="443" t="s">
        <v>1149</v>
      </c>
      <c r="J118" s="444"/>
      <c r="K118" s="445" t="s">
        <v>1151</v>
      </c>
      <c r="L118" s="446" t="s">
        <v>1167</v>
      </c>
    </row>
    <row r="119" spans="2:16" s="361" customFormat="1" ht="18.75" hidden="1" customHeight="1" x14ac:dyDescent="0.3">
      <c r="B119" s="5775" t="s">
        <v>786</v>
      </c>
      <c r="C119" s="366" t="s">
        <v>1168</v>
      </c>
      <c r="D119" s="54" t="s">
        <v>1169</v>
      </c>
      <c r="E119" s="367">
        <f>+'[3]FEB 16'!S232</f>
        <v>169113.03903277693</v>
      </c>
      <c r="F119" s="368">
        <f>+'[3]FEB 16'!T232</f>
        <v>16158.441639680739</v>
      </c>
      <c r="G119" s="368">
        <f>+'[3]FEB 16'!U232</f>
        <v>14676.961772624243</v>
      </c>
      <c r="H119" s="369">
        <f>+'[3]FEB 16'!V232</f>
        <v>0</v>
      </c>
      <c r="I119" s="369">
        <f>+'[3]FEB 16'!W232</f>
        <v>0</v>
      </c>
      <c r="J119" s="369"/>
      <c r="K119" s="369">
        <f>+'[3]FEB 16'!X232</f>
        <v>0</v>
      </c>
      <c r="L119" s="370">
        <f>SUM(E119:K119)</f>
        <v>199948.44244508189</v>
      </c>
    </row>
    <row r="120" spans="2:16" s="361" customFormat="1" ht="18.75" hidden="1" customHeight="1" x14ac:dyDescent="0.3">
      <c r="B120" s="5775"/>
      <c r="C120" s="366" t="s">
        <v>1170</v>
      </c>
      <c r="D120" s="54" t="s">
        <v>1169</v>
      </c>
      <c r="E120" s="367">
        <f>+'[3]FEB 16'!S233</f>
        <v>0</v>
      </c>
      <c r="F120" s="368">
        <f>+'[3]FEB 16'!T233</f>
        <v>0</v>
      </c>
      <c r="G120" s="368">
        <f>+'[3]FEB 16'!U233</f>
        <v>0</v>
      </c>
      <c r="H120" s="369">
        <f>+'[3]FEB 16'!V233</f>
        <v>0</v>
      </c>
      <c r="I120" s="369">
        <f>+'[3]FEB 16'!W233</f>
        <v>0</v>
      </c>
      <c r="J120" s="369"/>
      <c r="K120" s="369">
        <f>+'[3]FEB 16'!X233</f>
        <v>0</v>
      </c>
      <c r="L120" s="371">
        <f t="shared" ref="L120:L138" si="12">SUM(E120:K120)</f>
        <v>0</v>
      </c>
    </row>
    <row r="121" spans="2:16" s="361" customFormat="1" ht="18.75" hidden="1" customHeight="1" x14ac:dyDescent="0.3">
      <c r="B121" s="5775" t="s">
        <v>796</v>
      </c>
      <c r="C121" s="366" t="s">
        <v>1171</v>
      </c>
      <c r="D121" s="54" t="s">
        <v>1169</v>
      </c>
      <c r="E121" s="367">
        <f>+'[3]FEB 16'!S234</f>
        <v>57406.896675541568</v>
      </c>
      <c r="F121" s="368">
        <f>+'[3]FEB 16'!T234</f>
        <v>2961.0177670429425</v>
      </c>
      <c r="G121" s="368">
        <f>+'[3]FEB 16'!U234</f>
        <v>1313.4454463434172</v>
      </c>
      <c r="H121" s="369">
        <f>+'[3]FEB 16'!V234</f>
        <v>0</v>
      </c>
      <c r="I121" s="369">
        <f>+'[3]FEB 16'!W234</f>
        <v>0</v>
      </c>
      <c r="J121" s="369"/>
      <c r="K121" s="369">
        <f>+'[3]FEB 16'!X234</f>
        <v>0</v>
      </c>
      <c r="L121" s="371">
        <f t="shared" si="12"/>
        <v>61681.359888927924</v>
      </c>
    </row>
    <row r="122" spans="2:16" s="361" customFormat="1" ht="18.75" hidden="1" customHeight="1" x14ac:dyDescent="0.3">
      <c r="B122" s="5775"/>
      <c r="C122" s="366" t="s">
        <v>1172</v>
      </c>
      <c r="D122" s="54" t="s">
        <v>1169</v>
      </c>
      <c r="E122" s="367">
        <f>+'[3]FEB 16'!S235</f>
        <v>0</v>
      </c>
      <c r="F122" s="368">
        <f>+'[3]FEB 16'!T235</f>
        <v>0</v>
      </c>
      <c r="G122" s="368">
        <f>+'[3]FEB 16'!U235</f>
        <v>0</v>
      </c>
      <c r="H122" s="369">
        <f>+'[3]FEB 16'!V235</f>
        <v>0</v>
      </c>
      <c r="I122" s="369">
        <f>+'[3]FEB 16'!W235</f>
        <v>0</v>
      </c>
      <c r="J122" s="369"/>
      <c r="K122" s="369">
        <f>+'[3]FEB 16'!X235</f>
        <v>0</v>
      </c>
      <c r="L122" s="371">
        <f t="shared" si="12"/>
        <v>0</v>
      </c>
    </row>
    <row r="123" spans="2:16" s="361" customFormat="1" ht="18.75" hidden="1" customHeight="1" x14ac:dyDescent="0.3">
      <c r="B123" s="5775" t="s">
        <v>799</v>
      </c>
      <c r="C123" s="366" t="s">
        <v>1173</v>
      </c>
      <c r="D123" s="54" t="s">
        <v>1169</v>
      </c>
      <c r="E123" s="367">
        <f>+'[3]FEB 16'!S236</f>
        <v>67413.791700043934</v>
      </c>
      <c r="F123" s="368">
        <f>+'[3]FEB 16'!T236</f>
        <v>4159.3520188338916</v>
      </c>
      <c r="G123" s="368">
        <f>+'[3]FEB 16'!U236</f>
        <v>1263.7263539247756</v>
      </c>
      <c r="H123" s="369">
        <f>+'[3]FEB 16'!V236</f>
        <v>0</v>
      </c>
      <c r="I123" s="369">
        <f>+'[3]FEB 16'!W236</f>
        <v>0</v>
      </c>
      <c r="J123" s="369"/>
      <c r="K123" s="369">
        <f>+'[3]FEB 16'!X236</f>
        <v>0</v>
      </c>
      <c r="L123" s="371">
        <f t="shared" si="12"/>
        <v>72836.870072802601</v>
      </c>
    </row>
    <row r="124" spans="2:16" s="361" customFormat="1" ht="18.75" hidden="1" customHeight="1" x14ac:dyDescent="0.3">
      <c r="B124" s="5775"/>
      <c r="C124" s="366" t="s">
        <v>1174</v>
      </c>
      <c r="D124" s="54" t="s">
        <v>1169</v>
      </c>
      <c r="E124" s="367">
        <f>+'[3]FEB 16'!S237</f>
        <v>0</v>
      </c>
      <c r="F124" s="368">
        <f>+'[3]FEB 16'!T237</f>
        <v>0</v>
      </c>
      <c r="G124" s="368">
        <f>+'[3]FEB 16'!U237</f>
        <v>0</v>
      </c>
      <c r="H124" s="369">
        <f>+'[3]FEB 16'!V237</f>
        <v>0</v>
      </c>
      <c r="I124" s="369">
        <f>+'[3]FEB 16'!W237</f>
        <v>0</v>
      </c>
      <c r="J124" s="369"/>
      <c r="K124" s="369">
        <f>+'[3]FEB 16'!X237</f>
        <v>0</v>
      </c>
      <c r="L124" s="371">
        <f t="shared" si="12"/>
        <v>0</v>
      </c>
    </row>
    <row r="125" spans="2:16" s="361" customFormat="1" ht="18.75" hidden="1" customHeight="1" x14ac:dyDescent="0.3">
      <c r="B125" s="5775" t="s">
        <v>802</v>
      </c>
      <c r="C125" s="366" t="s">
        <v>1175</v>
      </c>
      <c r="D125" s="54" t="s">
        <v>1169</v>
      </c>
      <c r="E125" s="367">
        <f>+'[3]FEB 16'!S238</f>
        <v>9878.8479251500321</v>
      </c>
      <c r="F125" s="368">
        <f>+'[3]FEB 16'!T238</f>
        <v>0</v>
      </c>
      <c r="G125" s="368">
        <f>+'[3]FEB 16'!U238</f>
        <v>0</v>
      </c>
      <c r="H125" s="369">
        <f>+'[3]FEB 16'!V238</f>
        <v>0</v>
      </c>
      <c r="I125" s="369">
        <f>+'[3]FEB 16'!W238</f>
        <v>0</v>
      </c>
      <c r="J125" s="369"/>
      <c r="K125" s="369">
        <f>+'[3]FEB 16'!X238</f>
        <v>0</v>
      </c>
      <c r="L125" s="371">
        <f t="shared" si="12"/>
        <v>9878.8479251500321</v>
      </c>
    </row>
    <row r="126" spans="2:16" s="361" customFormat="1" ht="18.75" hidden="1" customHeight="1" x14ac:dyDescent="0.3">
      <c r="B126" s="5775"/>
      <c r="C126" s="366" t="s">
        <v>1176</v>
      </c>
      <c r="D126" s="54" t="s">
        <v>1169</v>
      </c>
      <c r="E126" s="367">
        <f>+'[3]FEB 16'!S239</f>
        <v>0</v>
      </c>
      <c r="F126" s="368">
        <f>+'[3]FEB 16'!T239</f>
        <v>0</v>
      </c>
      <c r="G126" s="368">
        <f>+'[3]FEB 16'!U239</f>
        <v>0</v>
      </c>
      <c r="H126" s="369">
        <f>+'[3]FEB 16'!V239</f>
        <v>0</v>
      </c>
      <c r="I126" s="369">
        <f>+'[3]FEB 16'!W239</f>
        <v>0</v>
      </c>
      <c r="J126" s="369"/>
      <c r="K126" s="369">
        <f>+'[3]FEB 16'!X239</f>
        <v>0</v>
      </c>
      <c r="L126" s="371">
        <f t="shared" si="12"/>
        <v>0</v>
      </c>
    </row>
    <row r="127" spans="2:16" s="361" customFormat="1" ht="18.75" hidden="1" customHeight="1" x14ac:dyDescent="0.3">
      <c r="B127" s="5775" t="s">
        <v>158</v>
      </c>
      <c r="C127" s="366" t="s">
        <v>1177</v>
      </c>
      <c r="D127" s="54" t="s">
        <v>1169</v>
      </c>
      <c r="E127" s="367">
        <f>+'[3]FEB 16'!S240</f>
        <v>25200.166358876148</v>
      </c>
      <c r="F127" s="368"/>
      <c r="G127" s="368"/>
      <c r="H127" s="369"/>
      <c r="I127" s="369"/>
      <c r="J127" s="369"/>
      <c r="K127" s="369"/>
      <c r="L127" s="371">
        <f t="shared" si="12"/>
        <v>25200.166358876148</v>
      </c>
    </row>
    <row r="128" spans="2:16" s="361" customFormat="1" ht="18.75" hidden="1" customHeight="1" x14ac:dyDescent="0.3">
      <c r="B128" s="5775"/>
      <c r="C128" s="366" t="s">
        <v>1178</v>
      </c>
      <c r="D128" s="54" t="s">
        <v>1169</v>
      </c>
      <c r="E128" s="367">
        <f>+'[3]FEB 16'!S241</f>
        <v>0</v>
      </c>
      <c r="F128" s="368"/>
      <c r="G128" s="368"/>
      <c r="H128" s="369"/>
      <c r="I128" s="369"/>
      <c r="J128" s="369"/>
      <c r="K128" s="369"/>
      <c r="L128" s="371">
        <f t="shared" si="12"/>
        <v>0</v>
      </c>
    </row>
    <row r="129" spans="2:12" s="361" customFormat="1" ht="18.75" hidden="1" customHeight="1" x14ac:dyDescent="0.3">
      <c r="B129" s="5775" t="s">
        <v>1163</v>
      </c>
      <c r="C129" s="366" t="s">
        <v>1179</v>
      </c>
      <c r="D129" s="54" t="s">
        <v>1169</v>
      </c>
      <c r="E129" s="367">
        <f>+'[3]FEB 16'!S242</f>
        <v>84310.339930180038</v>
      </c>
      <c r="F129" s="368"/>
      <c r="G129" s="368"/>
      <c r="H129" s="369"/>
      <c r="I129" s="369"/>
      <c r="J129" s="369"/>
      <c r="K129" s="369"/>
      <c r="L129" s="371">
        <f t="shared" si="12"/>
        <v>84310.339930180038</v>
      </c>
    </row>
    <row r="130" spans="2:12" s="361" customFormat="1" ht="18.75" hidden="1" customHeight="1" x14ac:dyDescent="0.3">
      <c r="B130" s="5775"/>
      <c r="C130" s="366" t="s">
        <v>1180</v>
      </c>
      <c r="D130" s="54" t="s">
        <v>1169</v>
      </c>
      <c r="E130" s="367">
        <f>+'[3]FEB 16'!S243</f>
        <v>0</v>
      </c>
      <c r="F130" s="368"/>
      <c r="G130" s="368"/>
      <c r="H130" s="369"/>
      <c r="I130" s="369"/>
      <c r="J130" s="369"/>
      <c r="K130" s="369"/>
      <c r="L130" s="371">
        <f t="shared" si="12"/>
        <v>0</v>
      </c>
    </row>
    <row r="131" spans="2:12" s="361" customFormat="1" ht="18.75" hidden="1" customHeight="1" x14ac:dyDescent="0.3">
      <c r="B131" s="5775" t="s">
        <v>1164</v>
      </c>
      <c r="C131" s="366" t="s">
        <v>1181</v>
      </c>
      <c r="D131" s="54" t="s">
        <v>1169</v>
      </c>
      <c r="E131" s="367">
        <f>+'[3]FEB 16'!S244</f>
        <v>36216.365303163999</v>
      </c>
      <c r="F131" s="368"/>
      <c r="G131" s="368"/>
      <c r="H131" s="369"/>
      <c r="I131" s="369"/>
      <c r="J131" s="369"/>
      <c r="K131" s="369"/>
      <c r="L131" s="371">
        <f t="shared" si="12"/>
        <v>36216.365303163999</v>
      </c>
    </row>
    <row r="132" spans="2:12" s="361" customFormat="1" ht="18.75" hidden="1" customHeight="1" x14ac:dyDescent="0.3">
      <c r="B132" s="5775"/>
      <c r="C132" s="366" t="s">
        <v>1182</v>
      </c>
      <c r="D132" s="54" t="s">
        <v>1169</v>
      </c>
      <c r="E132" s="367">
        <f>+'[3]FEB 16'!S245</f>
        <v>0</v>
      </c>
      <c r="F132" s="368"/>
      <c r="G132" s="368"/>
      <c r="H132" s="369"/>
      <c r="I132" s="369"/>
      <c r="J132" s="369"/>
      <c r="K132" s="369"/>
      <c r="L132" s="371">
        <f t="shared" si="12"/>
        <v>0</v>
      </c>
    </row>
    <row r="133" spans="2:12" s="361" customFormat="1" ht="18.75" hidden="1" customHeight="1" x14ac:dyDescent="0.3">
      <c r="B133" s="5775" t="s">
        <v>157</v>
      </c>
      <c r="C133" s="366" t="s">
        <v>1183</v>
      </c>
      <c r="D133" s="54" t="s">
        <v>1169</v>
      </c>
      <c r="E133" s="367">
        <f>+'[3]FEB 16'!S246</f>
        <v>164210.14912315249</v>
      </c>
      <c r="F133" s="368"/>
      <c r="G133" s="368"/>
      <c r="H133" s="369"/>
      <c r="I133" s="369"/>
      <c r="J133" s="369"/>
      <c r="K133" s="369"/>
      <c r="L133" s="371">
        <f t="shared" si="12"/>
        <v>164210.14912315249</v>
      </c>
    </row>
    <row r="134" spans="2:12" s="361" customFormat="1" ht="18.75" hidden="1" customHeight="1" x14ac:dyDescent="0.3">
      <c r="B134" s="5775"/>
      <c r="C134" s="366" t="s">
        <v>1184</v>
      </c>
      <c r="D134" s="54" t="s">
        <v>1169</v>
      </c>
      <c r="E134" s="367">
        <f>+'[3]FEB 16'!S247</f>
        <v>0</v>
      </c>
      <c r="F134" s="368"/>
      <c r="G134" s="368"/>
      <c r="H134" s="369"/>
      <c r="I134" s="369"/>
      <c r="J134" s="369"/>
      <c r="K134" s="369"/>
      <c r="L134" s="371">
        <f t="shared" si="12"/>
        <v>0</v>
      </c>
    </row>
    <row r="135" spans="2:12" s="361" customFormat="1" ht="18.75" hidden="1" customHeight="1" x14ac:dyDescent="0.3">
      <c r="B135" s="5775" t="s">
        <v>18</v>
      </c>
      <c r="C135" s="366" t="s">
        <v>1185</v>
      </c>
      <c r="D135" s="54" t="s">
        <v>1169</v>
      </c>
      <c r="E135" s="367">
        <f>+'[3]FEB 16'!S248</f>
        <v>0</v>
      </c>
      <c r="F135" s="368"/>
      <c r="G135" s="368"/>
      <c r="H135" s="369"/>
      <c r="I135" s="369"/>
      <c r="J135" s="369"/>
      <c r="K135" s="369"/>
      <c r="L135" s="371">
        <f t="shared" si="12"/>
        <v>0</v>
      </c>
    </row>
    <row r="136" spans="2:12" s="361" customFormat="1" ht="18.75" hidden="1" customHeight="1" x14ac:dyDescent="0.3">
      <c r="B136" s="5775"/>
      <c r="C136" s="366" t="s">
        <v>1165</v>
      </c>
      <c r="D136" s="54" t="s">
        <v>1169</v>
      </c>
      <c r="E136" s="367">
        <f>+'[3]FEB 16'!S249</f>
        <v>0</v>
      </c>
      <c r="F136" s="368">
        <f>+'[3]FEB 16'!T249</f>
        <v>0</v>
      </c>
      <c r="G136" s="368">
        <f>+'[3]FEB 16'!U249</f>
        <v>0</v>
      </c>
      <c r="H136" s="369">
        <f>+'[3]FEB 16'!V249</f>
        <v>0</v>
      </c>
      <c r="I136" s="369">
        <f>+'[3]FEB 16'!W249</f>
        <v>0</v>
      </c>
      <c r="J136" s="369"/>
      <c r="K136" s="369">
        <f>+'[3]FEB 16'!X249</f>
        <v>0</v>
      </c>
      <c r="L136" s="371">
        <f t="shared" si="12"/>
        <v>0</v>
      </c>
    </row>
    <row r="137" spans="2:12" s="361" customFormat="1" ht="18.75" hidden="1" customHeight="1" x14ac:dyDescent="0.3">
      <c r="C137" s="365"/>
      <c r="D137" s="12"/>
      <c r="E137" s="364"/>
      <c r="F137" s="372"/>
      <c r="G137" s="372"/>
      <c r="H137" s="373"/>
      <c r="I137" s="373"/>
      <c r="J137" s="373"/>
      <c r="K137" s="373"/>
      <c r="L137" s="371">
        <f t="shared" si="12"/>
        <v>0</v>
      </c>
    </row>
    <row r="138" spans="2:12" s="361" customFormat="1" ht="18.75" hidden="1" customHeight="1" x14ac:dyDescent="0.3">
      <c r="C138" s="420" t="s">
        <v>1186</v>
      </c>
      <c r="D138" s="54" t="s">
        <v>1169</v>
      </c>
      <c r="E138" s="367">
        <f t="shared" ref="E138:K138" si="13">SUM(E119:E137)</f>
        <v>613749.59604888514</v>
      </c>
      <c r="F138" s="368">
        <f t="shared" si="13"/>
        <v>23278.811425557575</v>
      </c>
      <c r="G138" s="368">
        <f t="shared" si="13"/>
        <v>17254.133572892435</v>
      </c>
      <c r="H138" s="369">
        <f t="shared" si="13"/>
        <v>0</v>
      </c>
      <c r="I138" s="369">
        <f t="shared" si="13"/>
        <v>0</v>
      </c>
      <c r="J138" s="369"/>
      <c r="K138" s="369">
        <f t="shared" si="13"/>
        <v>0</v>
      </c>
      <c r="L138" s="371">
        <f t="shared" si="12"/>
        <v>654282.54104733514</v>
      </c>
    </row>
    <row r="139" spans="2:12" s="361" customFormat="1" ht="18.75" hidden="1" customHeight="1" x14ac:dyDescent="0.25">
      <c r="C139" s="365"/>
      <c r="D139" s="12"/>
      <c r="E139" s="353" t="s">
        <v>1157</v>
      </c>
      <c r="F139" s="354" t="s">
        <v>1146</v>
      </c>
      <c r="G139" s="354" t="s">
        <v>1147</v>
      </c>
      <c r="H139" s="355" t="s">
        <v>1148</v>
      </c>
      <c r="I139" s="355" t="s">
        <v>1149</v>
      </c>
      <c r="J139" s="355"/>
      <c r="K139" s="374" t="s">
        <v>1151</v>
      </c>
      <c r="L139" s="375" t="s">
        <v>1167</v>
      </c>
    </row>
    <row r="140" spans="2:12" s="361" customFormat="1" ht="18.75" hidden="1" customHeight="1" x14ac:dyDescent="0.25">
      <c r="B140" s="5775" t="s">
        <v>786</v>
      </c>
      <c r="C140" s="366" t="s">
        <v>1168</v>
      </c>
      <c r="D140" s="54" t="s">
        <v>1187</v>
      </c>
      <c r="E140" s="376">
        <f>IF(E98=0,0,E119/E98)</f>
        <v>0</v>
      </c>
      <c r="F140" s="377">
        <f t="shared" ref="F140:L140" si="14">IF(F98=0,0,F119/F98)</f>
        <v>0</v>
      </c>
      <c r="G140" s="377">
        <f t="shared" si="14"/>
        <v>0</v>
      </c>
      <c r="H140" s="378">
        <f t="shared" si="14"/>
        <v>0</v>
      </c>
      <c r="I140" s="378">
        <f t="shared" si="14"/>
        <v>0</v>
      </c>
      <c r="J140" s="378"/>
      <c r="K140" s="378">
        <f t="shared" si="14"/>
        <v>0</v>
      </c>
      <c r="L140" s="379">
        <f t="shared" si="14"/>
        <v>0</v>
      </c>
    </row>
    <row r="141" spans="2:12" s="361" customFormat="1" ht="18.75" hidden="1" customHeight="1" x14ac:dyDescent="0.25">
      <c r="B141" s="5775"/>
      <c r="C141" s="366" t="s">
        <v>1170</v>
      </c>
      <c r="D141" s="54" t="s">
        <v>1187</v>
      </c>
      <c r="E141" s="376">
        <f t="shared" ref="E141:L156" si="15">IF(E99=0,0,E120/E99)</f>
        <v>0</v>
      </c>
      <c r="F141" s="377">
        <f t="shared" si="15"/>
        <v>0</v>
      </c>
      <c r="G141" s="377">
        <f t="shared" si="15"/>
        <v>0</v>
      </c>
      <c r="H141" s="378">
        <f t="shared" si="15"/>
        <v>0</v>
      </c>
      <c r="I141" s="378">
        <f t="shared" si="15"/>
        <v>0</v>
      </c>
      <c r="J141" s="378"/>
      <c r="K141" s="378">
        <f t="shared" si="15"/>
        <v>0</v>
      </c>
      <c r="L141" s="379">
        <f t="shared" si="15"/>
        <v>0</v>
      </c>
    </row>
    <row r="142" spans="2:12" s="361" customFormat="1" ht="18.75" hidden="1" customHeight="1" x14ac:dyDescent="0.25">
      <c r="B142" s="5775" t="s">
        <v>796</v>
      </c>
      <c r="C142" s="366" t="s">
        <v>1171</v>
      </c>
      <c r="D142" s="54" t="s">
        <v>1187</v>
      </c>
      <c r="E142" s="376">
        <f t="shared" si="15"/>
        <v>0</v>
      </c>
      <c r="F142" s="377">
        <f t="shared" si="15"/>
        <v>0</v>
      </c>
      <c r="G142" s="377">
        <f t="shared" si="15"/>
        <v>0</v>
      </c>
      <c r="H142" s="378">
        <f t="shared" si="15"/>
        <v>0</v>
      </c>
      <c r="I142" s="378">
        <f t="shared" si="15"/>
        <v>0</v>
      </c>
      <c r="J142" s="378"/>
      <c r="K142" s="378">
        <f t="shared" si="15"/>
        <v>0</v>
      </c>
      <c r="L142" s="379">
        <f t="shared" si="15"/>
        <v>0</v>
      </c>
    </row>
    <row r="143" spans="2:12" s="361" customFormat="1" ht="18.75" hidden="1" customHeight="1" x14ac:dyDescent="0.25">
      <c r="B143" s="5775"/>
      <c r="C143" s="366" t="s">
        <v>1172</v>
      </c>
      <c r="D143" s="54" t="s">
        <v>1187</v>
      </c>
      <c r="E143" s="376">
        <f t="shared" si="15"/>
        <v>0</v>
      </c>
      <c r="F143" s="377">
        <f t="shared" si="15"/>
        <v>0</v>
      </c>
      <c r="G143" s="377">
        <f t="shared" si="15"/>
        <v>0</v>
      </c>
      <c r="H143" s="378">
        <f t="shared" si="15"/>
        <v>0</v>
      </c>
      <c r="I143" s="378">
        <f t="shared" si="15"/>
        <v>0</v>
      </c>
      <c r="J143" s="378"/>
      <c r="K143" s="378">
        <f t="shared" si="15"/>
        <v>0</v>
      </c>
      <c r="L143" s="379">
        <f t="shared" si="15"/>
        <v>0</v>
      </c>
    </row>
    <row r="144" spans="2:12" s="361" customFormat="1" ht="18.75" hidden="1" customHeight="1" x14ac:dyDescent="0.25">
      <c r="B144" s="5775" t="s">
        <v>799</v>
      </c>
      <c r="C144" s="366" t="s">
        <v>1173</v>
      </c>
      <c r="D144" s="54" t="s">
        <v>1187</v>
      </c>
      <c r="E144" s="376">
        <f t="shared" si="15"/>
        <v>0</v>
      </c>
      <c r="F144" s="377">
        <f t="shared" si="15"/>
        <v>0</v>
      </c>
      <c r="G144" s="377">
        <f t="shared" si="15"/>
        <v>0</v>
      </c>
      <c r="H144" s="378">
        <f t="shared" si="15"/>
        <v>0</v>
      </c>
      <c r="I144" s="378">
        <f t="shared" si="15"/>
        <v>0</v>
      </c>
      <c r="J144" s="378"/>
      <c r="K144" s="378">
        <f t="shared" si="15"/>
        <v>0</v>
      </c>
      <c r="L144" s="379">
        <f t="shared" si="15"/>
        <v>0</v>
      </c>
    </row>
    <row r="145" spans="2:12" s="361" customFormat="1" ht="18.75" hidden="1" customHeight="1" x14ac:dyDescent="0.25">
      <c r="B145" s="5775"/>
      <c r="C145" s="366" t="s">
        <v>1174</v>
      </c>
      <c r="D145" s="54" t="s">
        <v>1187</v>
      </c>
      <c r="E145" s="376">
        <f t="shared" si="15"/>
        <v>0</v>
      </c>
      <c r="F145" s="377">
        <f t="shared" si="15"/>
        <v>0</v>
      </c>
      <c r="G145" s="377">
        <f t="shared" si="15"/>
        <v>0</v>
      </c>
      <c r="H145" s="378">
        <f t="shared" si="15"/>
        <v>0</v>
      </c>
      <c r="I145" s="378">
        <f t="shared" si="15"/>
        <v>0</v>
      </c>
      <c r="J145" s="378"/>
      <c r="K145" s="378">
        <f t="shared" si="15"/>
        <v>0</v>
      </c>
      <c r="L145" s="379">
        <f t="shared" si="15"/>
        <v>0</v>
      </c>
    </row>
    <row r="146" spans="2:12" s="361" customFormat="1" ht="18.75" hidden="1" customHeight="1" x14ac:dyDescent="0.25">
      <c r="B146" s="5775" t="s">
        <v>802</v>
      </c>
      <c r="C146" s="366" t="s">
        <v>1175</v>
      </c>
      <c r="D146" s="54" t="s">
        <v>1187</v>
      </c>
      <c r="E146" s="376">
        <f t="shared" si="15"/>
        <v>0</v>
      </c>
      <c r="F146" s="377">
        <f t="shared" si="15"/>
        <v>0</v>
      </c>
      <c r="G146" s="377">
        <f t="shared" si="15"/>
        <v>0</v>
      </c>
      <c r="H146" s="378">
        <f t="shared" si="15"/>
        <v>0</v>
      </c>
      <c r="I146" s="378">
        <f t="shared" si="15"/>
        <v>0</v>
      </c>
      <c r="J146" s="378"/>
      <c r="K146" s="378">
        <f t="shared" si="15"/>
        <v>0</v>
      </c>
      <c r="L146" s="379">
        <f t="shared" si="15"/>
        <v>0</v>
      </c>
    </row>
    <row r="147" spans="2:12" s="361" customFormat="1" ht="18.75" hidden="1" customHeight="1" x14ac:dyDescent="0.25">
      <c r="B147" s="5775"/>
      <c r="C147" s="366" t="s">
        <v>1176</v>
      </c>
      <c r="D147" s="54" t="s">
        <v>1187</v>
      </c>
      <c r="E147" s="376">
        <f t="shared" si="15"/>
        <v>0</v>
      </c>
      <c r="F147" s="377">
        <f t="shared" si="15"/>
        <v>0</v>
      </c>
      <c r="G147" s="377">
        <f t="shared" si="15"/>
        <v>0</v>
      </c>
      <c r="H147" s="378">
        <f t="shared" si="15"/>
        <v>0</v>
      </c>
      <c r="I147" s="378">
        <f t="shared" si="15"/>
        <v>0</v>
      </c>
      <c r="J147" s="378"/>
      <c r="K147" s="378">
        <f t="shared" si="15"/>
        <v>0</v>
      </c>
      <c r="L147" s="379">
        <f t="shared" si="15"/>
        <v>0</v>
      </c>
    </row>
    <row r="148" spans="2:12" s="361" customFormat="1" ht="18.75" hidden="1" customHeight="1" x14ac:dyDescent="0.25">
      <c r="B148" s="5775" t="s">
        <v>158</v>
      </c>
      <c r="C148" s="366" t="s">
        <v>1177</v>
      </c>
      <c r="D148" s="54" t="s">
        <v>1187</v>
      </c>
      <c r="E148" s="380">
        <f t="shared" si="15"/>
        <v>0</v>
      </c>
      <c r="F148" s="381"/>
      <c r="G148" s="381"/>
      <c r="H148" s="382"/>
      <c r="I148" s="382"/>
      <c r="J148" s="382"/>
      <c r="K148" s="382"/>
      <c r="L148" s="379">
        <f t="shared" si="15"/>
        <v>0</v>
      </c>
    </row>
    <row r="149" spans="2:12" s="361" customFormat="1" ht="18.75" hidden="1" customHeight="1" x14ac:dyDescent="0.25">
      <c r="B149" s="5775"/>
      <c r="C149" s="366" t="s">
        <v>1178</v>
      </c>
      <c r="D149" s="54" t="s">
        <v>1187</v>
      </c>
      <c r="E149" s="376">
        <f t="shared" si="15"/>
        <v>0</v>
      </c>
      <c r="F149" s="372"/>
      <c r="G149" s="372"/>
      <c r="H149" s="373"/>
      <c r="I149" s="373"/>
      <c r="J149" s="373"/>
      <c r="K149" s="373"/>
      <c r="L149" s="379">
        <f t="shared" si="15"/>
        <v>0</v>
      </c>
    </row>
    <row r="150" spans="2:12" s="361" customFormat="1" ht="18.75" hidden="1" customHeight="1" x14ac:dyDescent="0.25">
      <c r="B150" s="5775" t="s">
        <v>1163</v>
      </c>
      <c r="C150" s="366" t="s">
        <v>1179</v>
      </c>
      <c r="D150" s="54" t="s">
        <v>1187</v>
      </c>
      <c r="E150" s="376">
        <f t="shared" si="15"/>
        <v>0</v>
      </c>
      <c r="F150" s="372"/>
      <c r="G150" s="372"/>
      <c r="H150" s="373"/>
      <c r="I150" s="373"/>
      <c r="J150" s="373"/>
      <c r="K150" s="373"/>
      <c r="L150" s="379">
        <f t="shared" si="15"/>
        <v>0</v>
      </c>
    </row>
    <row r="151" spans="2:12" s="361" customFormat="1" ht="18.75" hidden="1" customHeight="1" x14ac:dyDescent="0.25">
      <c r="B151" s="5775"/>
      <c r="C151" s="366" t="s">
        <v>1180</v>
      </c>
      <c r="D151" s="54" t="s">
        <v>1187</v>
      </c>
      <c r="E151" s="376">
        <f t="shared" si="15"/>
        <v>0</v>
      </c>
      <c r="F151" s="372"/>
      <c r="G151" s="372"/>
      <c r="H151" s="373"/>
      <c r="I151" s="373"/>
      <c r="J151" s="373"/>
      <c r="K151" s="373"/>
      <c r="L151" s="379">
        <f t="shared" si="15"/>
        <v>0</v>
      </c>
    </row>
    <row r="152" spans="2:12" s="361" customFormat="1" ht="18.75" hidden="1" customHeight="1" x14ac:dyDescent="0.25">
      <c r="B152" s="5775" t="s">
        <v>1164</v>
      </c>
      <c r="C152" s="366" t="s">
        <v>1181</v>
      </c>
      <c r="D152" s="54" t="s">
        <v>1187</v>
      </c>
      <c r="E152" s="376">
        <f t="shared" si="15"/>
        <v>0</v>
      </c>
      <c r="F152" s="372"/>
      <c r="G152" s="372"/>
      <c r="H152" s="373"/>
      <c r="I152" s="373"/>
      <c r="J152" s="373"/>
      <c r="K152" s="373"/>
      <c r="L152" s="379">
        <f t="shared" si="15"/>
        <v>0</v>
      </c>
    </row>
    <row r="153" spans="2:12" s="361" customFormat="1" ht="18.75" hidden="1" customHeight="1" x14ac:dyDescent="0.25">
      <c r="B153" s="5775"/>
      <c r="C153" s="366" t="s">
        <v>1182</v>
      </c>
      <c r="D153" s="54" t="s">
        <v>1187</v>
      </c>
      <c r="E153" s="376">
        <f t="shared" si="15"/>
        <v>0</v>
      </c>
      <c r="F153" s="372"/>
      <c r="G153" s="372"/>
      <c r="H153" s="373"/>
      <c r="I153" s="373"/>
      <c r="J153" s="373"/>
      <c r="K153" s="373"/>
      <c r="L153" s="379">
        <f t="shared" si="15"/>
        <v>0</v>
      </c>
    </row>
    <row r="154" spans="2:12" s="361" customFormat="1" ht="18.75" hidden="1" customHeight="1" x14ac:dyDescent="0.25">
      <c r="B154" s="5775" t="s">
        <v>157</v>
      </c>
      <c r="C154" s="366" t="s">
        <v>1183</v>
      </c>
      <c r="D154" s="54" t="s">
        <v>1187</v>
      </c>
      <c r="E154" s="376">
        <f t="shared" si="15"/>
        <v>0</v>
      </c>
      <c r="F154" s="372"/>
      <c r="G154" s="372"/>
      <c r="H154" s="373"/>
      <c r="I154" s="373"/>
      <c r="J154" s="373"/>
      <c r="K154" s="373"/>
      <c r="L154" s="379">
        <f t="shared" si="15"/>
        <v>0</v>
      </c>
    </row>
    <row r="155" spans="2:12" s="361" customFormat="1" ht="18.75" hidden="1" customHeight="1" x14ac:dyDescent="0.25">
      <c r="B155" s="5775"/>
      <c r="C155" s="366" t="s">
        <v>1184</v>
      </c>
      <c r="D155" s="54" t="s">
        <v>1187</v>
      </c>
      <c r="E155" s="376">
        <f t="shared" si="15"/>
        <v>0</v>
      </c>
      <c r="F155" s="372"/>
      <c r="G155" s="372"/>
      <c r="H155" s="373"/>
      <c r="I155" s="373"/>
      <c r="J155" s="373"/>
      <c r="K155" s="373"/>
      <c r="L155" s="379">
        <f t="shared" si="15"/>
        <v>0</v>
      </c>
    </row>
    <row r="156" spans="2:12" s="361" customFormat="1" ht="18.75" hidden="1" customHeight="1" x14ac:dyDescent="0.25">
      <c r="B156" s="5775" t="s">
        <v>18</v>
      </c>
      <c r="C156" s="366" t="s">
        <v>1185</v>
      </c>
      <c r="D156" s="54" t="s">
        <v>1187</v>
      </c>
      <c r="E156" s="376">
        <f t="shared" si="15"/>
        <v>0</v>
      </c>
      <c r="F156" s="372"/>
      <c r="G156" s="372"/>
      <c r="H156" s="373"/>
      <c r="I156" s="373"/>
      <c r="J156" s="373"/>
      <c r="K156" s="373"/>
      <c r="L156" s="379">
        <f t="shared" si="15"/>
        <v>0</v>
      </c>
    </row>
    <row r="157" spans="2:12" s="361" customFormat="1" ht="18.75" hidden="1" customHeight="1" x14ac:dyDescent="0.25">
      <c r="B157" s="5775"/>
      <c r="C157" s="366" t="s">
        <v>1165</v>
      </c>
      <c r="D157" s="54" t="s">
        <v>1187</v>
      </c>
      <c r="E157" s="376">
        <f>IF(E115=0,0,E136/E115)</f>
        <v>0</v>
      </c>
      <c r="F157" s="372"/>
      <c r="G157" s="372"/>
      <c r="H157" s="373"/>
      <c r="I157" s="373"/>
      <c r="J157" s="373"/>
      <c r="K157" s="373"/>
      <c r="L157" s="379">
        <f>IF(L115=0,0,L136/L115)</f>
        <v>0</v>
      </c>
    </row>
    <row r="158" spans="2:12" s="361" customFormat="1" ht="18.75" hidden="1" customHeight="1" x14ac:dyDescent="0.25">
      <c r="B158" s="383"/>
      <c r="C158" s="420"/>
      <c r="D158" s="54"/>
      <c r="E158" s="384"/>
      <c r="F158" s="372"/>
      <c r="G158" s="372"/>
      <c r="H158" s="373"/>
      <c r="I158" s="373"/>
      <c r="J158" s="373"/>
      <c r="K158" s="373"/>
      <c r="L158" s="379"/>
    </row>
    <row r="159" spans="2:12" s="361" customFormat="1" ht="18.75" hidden="1" customHeight="1" x14ac:dyDescent="0.25">
      <c r="B159" s="383"/>
      <c r="C159" s="420" t="s">
        <v>1188</v>
      </c>
      <c r="D159" s="54" t="s">
        <v>1187</v>
      </c>
      <c r="E159" s="376" t="e">
        <f t="shared" ref="E159:K159" si="16">E138/E117</f>
        <v>#DIV/0!</v>
      </c>
      <c r="F159" s="377" t="e">
        <f t="shared" si="16"/>
        <v>#DIV/0!</v>
      </c>
      <c r="G159" s="377" t="e">
        <f t="shared" si="16"/>
        <v>#DIV/0!</v>
      </c>
      <c r="H159" s="378" t="e">
        <f t="shared" si="16"/>
        <v>#DIV/0!</v>
      </c>
      <c r="I159" s="378" t="e">
        <f t="shared" si="16"/>
        <v>#DIV/0!</v>
      </c>
      <c r="J159" s="378"/>
      <c r="K159" s="378" t="e">
        <f t="shared" si="16"/>
        <v>#DIV/0!</v>
      </c>
      <c r="L159" s="379">
        <f>IF(L117=0,0,L138/L117)</f>
        <v>0</v>
      </c>
    </row>
    <row r="160" spans="2:12" s="361" customFormat="1" ht="18.75" hidden="1" customHeight="1" x14ac:dyDescent="0.25">
      <c r="C160" s="365"/>
      <c r="D160" s="12"/>
      <c r="E160" s="385"/>
    </row>
    <row r="161" spans="2:5" ht="15.75" hidden="1" x14ac:dyDescent="0.25">
      <c r="C161" s="5776" t="s">
        <v>1189</v>
      </c>
      <c r="D161" s="5776"/>
      <c r="E161" s="5776"/>
    </row>
    <row r="162" spans="2:5" hidden="1" x14ac:dyDescent="0.2">
      <c r="B162" s="5777" t="s">
        <v>1106</v>
      </c>
      <c r="C162" s="386" t="s">
        <v>1116</v>
      </c>
      <c r="D162" s="54" t="s">
        <v>1187</v>
      </c>
      <c r="E162" s="387" t="e">
        <f>'[3]FEB 16'!#REF!</f>
        <v>#REF!</v>
      </c>
    </row>
    <row r="163" spans="2:5" hidden="1" x14ac:dyDescent="0.2">
      <c r="B163" s="5777"/>
      <c r="C163" s="386" t="s">
        <v>1117</v>
      </c>
      <c r="D163" s="54" t="s">
        <v>1187</v>
      </c>
      <c r="E163" s="387" t="e">
        <f>'[3]FEB 16'!#REF!</f>
        <v>#REF!</v>
      </c>
    </row>
    <row r="164" spans="2:5" hidden="1" x14ac:dyDescent="0.2">
      <c r="B164" s="5777"/>
      <c r="C164" s="386" t="s">
        <v>1118</v>
      </c>
      <c r="D164" s="54" t="s">
        <v>1187</v>
      </c>
      <c r="E164" s="387" t="e">
        <f>'[3]FEB 16'!#REF!</f>
        <v>#REF!</v>
      </c>
    </row>
    <row r="165" spans="2:5" hidden="1" x14ac:dyDescent="0.2">
      <c r="B165" s="5777"/>
      <c r="C165" s="386" t="s">
        <v>1119</v>
      </c>
      <c r="D165" s="54" t="s">
        <v>1187</v>
      </c>
      <c r="E165" s="387" t="e">
        <f>'[3]FEB 16'!#REF!</f>
        <v>#REF!</v>
      </c>
    </row>
    <row r="166" spans="2:5" hidden="1" x14ac:dyDescent="0.2">
      <c r="B166" s="5777"/>
      <c r="C166" s="33" t="s">
        <v>1120</v>
      </c>
      <c r="D166" s="54" t="s">
        <v>1187</v>
      </c>
      <c r="E166" s="387" t="e">
        <f>'[3]FEB 16'!#REF!</f>
        <v>#REF!</v>
      </c>
    </row>
    <row r="167" spans="2:5" hidden="1" x14ac:dyDescent="0.2">
      <c r="B167" s="5777"/>
      <c r="C167" s="33" t="s">
        <v>1121</v>
      </c>
      <c r="D167" s="54" t="s">
        <v>1187</v>
      </c>
      <c r="E167" s="387" t="e">
        <f>'[3]FEB 16'!#REF!</f>
        <v>#REF!</v>
      </c>
    </row>
    <row r="168" spans="2:5" hidden="1" x14ac:dyDescent="0.2">
      <c r="B168" s="5777"/>
      <c r="C168" s="33" t="s">
        <v>1122</v>
      </c>
      <c r="D168" s="54" t="s">
        <v>1187</v>
      </c>
      <c r="E168" s="387" t="e">
        <f>'[3]FEB 16'!#REF!</f>
        <v>#REF!</v>
      </c>
    </row>
    <row r="169" spans="2:5" hidden="1" x14ac:dyDescent="0.2">
      <c r="B169" s="5777"/>
      <c r="C169" s="33" t="s">
        <v>1123</v>
      </c>
      <c r="D169" s="54" t="s">
        <v>1187</v>
      </c>
      <c r="E169" s="387" t="e">
        <f>'[3]FEB 16'!#REF!</f>
        <v>#REF!</v>
      </c>
    </row>
    <row r="170" spans="2:5" hidden="1" x14ac:dyDescent="0.2">
      <c r="B170" s="5777"/>
      <c r="C170" s="33" t="s">
        <v>1101</v>
      </c>
      <c r="D170" s="54" t="s">
        <v>1187</v>
      </c>
      <c r="E170" s="387" t="e">
        <f>'[3]FEB 16'!#REF!</f>
        <v>#REF!</v>
      </c>
    </row>
    <row r="171" spans="2:5" hidden="1" x14ac:dyDescent="0.2">
      <c r="B171" s="5777"/>
      <c r="C171" s="388" t="s">
        <v>1124</v>
      </c>
      <c r="D171" s="54" t="s">
        <v>1187</v>
      </c>
      <c r="E171" s="387" t="e">
        <f>'[3]FEB 16'!#REF!</f>
        <v>#REF!</v>
      </c>
    </row>
    <row r="172" spans="2:5" hidden="1" x14ac:dyDescent="0.2">
      <c r="B172" s="5777"/>
      <c r="C172" s="388" t="s">
        <v>1125</v>
      </c>
      <c r="D172" s="54" t="s">
        <v>1187</v>
      </c>
      <c r="E172" s="387" t="e">
        <f>'[3]FEB 16'!#REF!</f>
        <v>#REF!</v>
      </c>
    </row>
    <row r="173" spans="2:5" hidden="1" x14ac:dyDescent="0.2">
      <c r="B173" s="5777"/>
      <c r="C173" s="388" t="s">
        <v>1126</v>
      </c>
      <c r="D173" s="54" t="s">
        <v>1187</v>
      </c>
      <c r="E173" s="387" t="e">
        <f>'[3]FEB 16'!#REF!</f>
        <v>#REF!</v>
      </c>
    </row>
    <row r="174" spans="2:5" hidden="1" x14ac:dyDescent="0.2">
      <c r="B174" s="5777"/>
      <c r="C174" s="388" t="s">
        <v>1127</v>
      </c>
      <c r="D174" s="54" t="s">
        <v>1187</v>
      </c>
      <c r="E174" s="387" t="e">
        <f>'[3]FEB 16'!#REF!</f>
        <v>#REF!</v>
      </c>
    </row>
    <row r="175" spans="2:5" hidden="1" x14ac:dyDescent="0.2">
      <c r="B175" s="5777"/>
      <c r="C175" s="33" t="s">
        <v>1128</v>
      </c>
      <c r="D175" s="54" t="s">
        <v>1187</v>
      </c>
      <c r="E175" s="387" t="e">
        <f>'[3]FEB 16'!#REF!</f>
        <v>#REF!</v>
      </c>
    </row>
    <row r="176" spans="2:5" hidden="1" x14ac:dyDescent="0.2">
      <c r="B176" s="5777"/>
      <c r="C176" s="33" t="s">
        <v>1129</v>
      </c>
      <c r="D176" s="54" t="s">
        <v>1187</v>
      </c>
      <c r="E176" s="387" t="e">
        <f>'[3]FEB 16'!#REF!</f>
        <v>#REF!</v>
      </c>
    </row>
    <row r="177" spans="2:5" hidden="1" x14ac:dyDescent="0.2">
      <c r="B177" s="5777"/>
      <c r="C177" s="33" t="s">
        <v>1130</v>
      </c>
      <c r="D177" s="54" t="s">
        <v>1187</v>
      </c>
      <c r="E177" s="387" t="e">
        <f>'[3]FEB 16'!#REF!</f>
        <v>#REF!</v>
      </c>
    </row>
    <row r="178" spans="2:5" hidden="1" x14ac:dyDescent="0.2">
      <c r="B178" s="5777"/>
      <c r="C178" s="33" t="s">
        <v>1108</v>
      </c>
      <c r="D178" s="54" t="s">
        <v>1187</v>
      </c>
      <c r="E178" s="387" t="e">
        <f>'[3]FEB 16'!#REF!</f>
        <v>#REF!</v>
      </c>
    </row>
    <row r="179" spans="2:5" hidden="1" x14ac:dyDescent="0.2">
      <c r="B179" s="5777"/>
      <c r="C179" s="388" t="s">
        <v>1103</v>
      </c>
      <c r="D179" s="54" t="s">
        <v>1187</v>
      </c>
      <c r="E179" s="387" t="e">
        <f>'[3]FEB 16'!#REF!</f>
        <v>#REF!</v>
      </c>
    </row>
    <row r="180" spans="2:5" hidden="1" x14ac:dyDescent="0.2">
      <c r="B180" s="5777"/>
      <c r="C180" s="389" t="s">
        <v>1131</v>
      </c>
      <c r="D180" s="54" t="s">
        <v>1187</v>
      </c>
      <c r="E180" s="387" t="e">
        <f>'[3]FEB 16'!#REF!</f>
        <v>#REF!</v>
      </c>
    </row>
    <row r="181" spans="2:5" hidden="1" x14ac:dyDescent="0.2">
      <c r="B181" s="5777"/>
      <c r="C181" s="389" t="s">
        <v>1132</v>
      </c>
      <c r="D181" s="54" t="s">
        <v>1187</v>
      </c>
      <c r="E181" s="387" t="e">
        <f>'[3]FEB 16'!#REF!</f>
        <v>#REF!</v>
      </c>
    </row>
    <row r="182" spans="2:5" hidden="1" x14ac:dyDescent="0.2">
      <c r="B182" s="5777"/>
      <c r="C182" s="389" t="s">
        <v>1133</v>
      </c>
      <c r="D182" s="54" t="s">
        <v>1187</v>
      </c>
      <c r="E182" s="387" t="e">
        <f>'[3]FEB 16'!#REF!</f>
        <v>#REF!</v>
      </c>
    </row>
    <row r="183" spans="2:5" hidden="1" x14ac:dyDescent="0.2">
      <c r="B183" s="5777"/>
      <c r="C183" s="389" t="s">
        <v>1134</v>
      </c>
      <c r="D183" s="54" t="s">
        <v>1187</v>
      </c>
      <c r="E183" s="387" t="e">
        <f>'[3]FEB 16'!#REF!</f>
        <v>#REF!</v>
      </c>
    </row>
    <row r="184" spans="2:5" hidden="1" x14ac:dyDescent="0.2">
      <c r="B184" s="5777"/>
      <c r="C184" s="33" t="s">
        <v>1135</v>
      </c>
      <c r="D184" s="54" t="s">
        <v>1187</v>
      </c>
      <c r="E184" s="387" t="e">
        <f>'[3]FEB 16'!#REF!</f>
        <v>#REF!</v>
      </c>
    </row>
    <row r="185" spans="2:5" hidden="1" x14ac:dyDescent="0.2">
      <c r="B185" s="5777"/>
      <c r="C185" s="33" t="s">
        <v>1136</v>
      </c>
      <c r="D185" s="54" t="s">
        <v>1187</v>
      </c>
      <c r="E185" s="387" t="e">
        <f>'[3]FEB 16'!#REF!</f>
        <v>#REF!</v>
      </c>
    </row>
    <row r="186" spans="2:5" hidden="1" x14ac:dyDescent="0.2">
      <c r="B186" s="5777"/>
      <c r="C186" s="33" t="s">
        <v>1137</v>
      </c>
      <c r="D186" s="54" t="s">
        <v>1187</v>
      </c>
      <c r="E186" s="387" t="e">
        <f>'[3]FEB 16'!#REF!</f>
        <v>#REF!</v>
      </c>
    </row>
    <row r="187" spans="2:5" hidden="1" x14ac:dyDescent="0.2">
      <c r="B187" s="5777"/>
      <c r="C187" s="33" t="s">
        <v>1109</v>
      </c>
      <c r="D187" s="54" t="s">
        <v>1187</v>
      </c>
      <c r="E187" s="387" t="e">
        <f>'[3]FEB 16'!#REF!</f>
        <v>#REF!</v>
      </c>
    </row>
    <row r="188" spans="2:5" hidden="1" x14ac:dyDescent="0.2">
      <c r="B188" s="5777"/>
      <c r="C188" s="33" t="s">
        <v>1104</v>
      </c>
      <c r="D188" s="54" t="s">
        <v>1187</v>
      </c>
      <c r="E188" s="387" t="e">
        <f>'[3]FEB 16'!#REF!</f>
        <v>#REF!</v>
      </c>
    </row>
    <row r="189" spans="2:5" hidden="1" x14ac:dyDescent="0.2">
      <c r="B189" s="5778" t="s">
        <v>992</v>
      </c>
      <c r="C189" s="386" t="s">
        <v>1116</v>
      </c>
      <c r="D189" s="54" t="s">
        <v>1187</v>
      </c>
      <c r="E189" s="387" t="e">
        <f>'[3]FEB 16'!#REF!</f>
        <v>#REF!</v>
      </c>
    </row>
    <row r="190" spans="2:5" hidden="1" x14ac:dyDescent="0.2">
      <c r="B190" s="5778"/>
      <c r="C190" s="386" t="s">
        <v>1117</v>
      </c>
      <c r="D190" s="54" t="s">
        <v>1187</v>
      </c>
      <c r="E190" s="387" t="e">
        <f>'[3]FEB 16'!#REF!</f>
        <v>#REF!</v>
      </c>
    </row>
    <row r="191" spans="2:5" hidden="1" x14ac:dyDescent="0.2">
      <c r="B191" s="5778"/>
      <c r="C191" s="386" t="s">
        <v>1118</v>
      </c>
      <c r="D191" s="54" t="s">
        <v>1187</v>
      </c>
      <c r="E191" s="387" t="e">
        <f>'[3]FEB 16'!#REF!</f>
        <v>#REF!</v>
      </c>
    </row>
    <row r="192" spans="2:5" hidden="1" x14ac:dyDescent="0.2">
      <c r="B192" s="5778"/>
      <c r="C192" s="386" t="s">
        <v>1119</v>
      </c>
      <c r="D192" s="54" t="s">
        <v>1187</v>
      </c>
      <c r="E192" s="387" t="e">
        <f>'[3]FEB 16'!#REF!</f>
        <v>#REF!</v>
      </c>
    </row>
    <row r="193" spans="2:5" hidden="1" x14ac:dyDescent="0.2">
      <c r="B193" s="5778"/>
      <c r="C193" s="33" t="s">
        <v>1120</v>
      </c>
      <c r="D193" s="54" t="s">
        <v>1187</v>
      </c>
      <c r="E193" s="387" t="e">
        <f>'[3]FEB 16'!#REF!</f>
        <v>#REF!</v>
      </c>
    </row>
    <row r="194" spans="2:5" hidden="1" x14ac:dyDescent="0.2">
      <c r="B194" s="5778"/>
      <c r="C194" s="33" t="s">
        <v>1121</v>
      </c>
      <c r="D194" s="54" t="s">
        <v>1187</v>
      </c>
      <c r="E194" s="387" t="e">
        <f>'[3]FEB 16'!#REF!</f>
        <v>#REF!</v>
      </c>
    </row>
    <row r="195" spans="2:5" hidden="1" x14ac:dyDescent="0.2">
      <c r="B195" s="5778"/>
      <c r="C195" s="33" t="s">
        <v>1122</v>
      </c>
      <c r="D195" s="54" t="s">
        <v>1187</v>
      </c>
      <c r="E195" s="387" t="e">
        <f>'[3]FEB 16'!#REF!</f>
        <v>#REF!</v>
      </c>
    </row>
    <row r="196" spans="2:5" hidden="1" x14ac:dyDescent="0.2">
      <c r="B196" s="5778"/>
      <c r="C196" s="33" t="s">
        <v>1123</v>
      </c>
      <c r="D196" s="54" t="s">
        <v>1187</v>
      </c>
      <c r="E196" s="387" t="e">
        <f>'[3]FEB 16'!#REF!</f>
        <v>#REF!</v>
      </c>
    </row>
    <row r="197" spans="2:5" hidden="1" x14ac:dyDescent="0.2">
      <c r="B197" s="5778"/>
      <c r="C197" s="33" t="s">
        <v>1101</v>
      </c>
      <c r="D197" s="54" t="s">
        <v>1187</v>
      </c>
      <c r="E197" s="387" t="e">
        <f>'[3]FEB 16'!#REF!</f>
        <v>#REF!</v>
      </c>
    </row>
    <row r="198" spans="2:5" hidden="1" x14ac:dyDescent="0.2">
      <c r="B198" s="5778"/>
      <c r="C198" s="388" t="s">
        <v>1124</v>
      </c>
      <c r="D198" s="54" t="s">
        <v>1187</v>
      </c>
      <c r="E198" s="387" t="e">
        <f>'[3]FEB 16'!#REF!</f>
        <v>#REF!</v>
      </c>
    </row>
    <row r="199" spans="2:5" hidden="1" x14ac:dyDescent="0.2">
      <c r="B199" s="5778"/>
      <c r="C199" s="388" t="s">
        <v>1125</v>
      </c>
      <c r="D199" s="54" t="s">
        <v>1187</v>
      </c>
      <c r="E199" s="387" t="e">
        <f>'[3]FEB 16'!#REF!</f>
        <v>#REF!</v>
      </c>
    </row>
    <row r="200" spans="2:5" hidden="1" x14ac:dyDescent="0.2">
      <c r="B200" s="5778"/>
      <c r="C200" s="388" t="s">
        <v>1126</v>
      </c>
      <c r="D200" s="54" t="s">
        <v>1187</v>
      </c>
      <c r="E200" s="387" t="e">
        <f>'[3]FEB 16'!#REF!</f>
        <v>#REF!</v>
      </c>
    </row>
    <row r="201" spans="2:5" hidden="1" x14ac:dyDescent="0.2">
      <c r="B201" s="5778"/>
      <c r="C201" s="388" t="s">
        <v>1127</v>
      </c>
      <c r="D201" s="54" t="s">
        <v>1187</v>
      </c>
      <c r="E201" s="387" t="e">
        <f>'[3]FEB 16'!#REF!</f>
        <v>#REF!</v>
      </c>
    </row>
    <row r="202" spans="2:5" hidden="1" x14ac:dyDescent="0.2">
      <c r="B202" s="5778"/>
      <c r="C202" s="33" t="s">
        <v>1128</v>
      </c>
      <c r="D202" s="54" t="s">
        <v>1187</v>
      </c>
      <c r="E202" s="387" t="e">
        <f>'[3]FEB 16'!#REF!</f>
        <v>#REF!</v>
      </c>
    </row>
    <row r="203" spans="2:5" hidden="1" x14ac:dyDescent="0.2">
      <c r="B203" s="5778"/>
      <c r="C203" s="33" t="s">
        <v>1129</v>
      </c>
      <c r="D203" s="54" t="s">
        <v>1187</v>
      </c>
      <c r="E203" s="387" t="e">
        <f>'[3]FEB 16'!#REF!</f>
        <v>#REF!</v>
      </c>
    </row>
    <row r="204" spans="2:5" hidden="1" x14ac:dyDescent="0.2">
      <c r="B204" s="5778"/>
      <c r="C204" s="33" t="s">
        <v>1130</v>
      </c>
      <c r="D204" s="54" t="s">
        <v>1187</v>
      </c>
      <c r="E204" s="387" t="e">
        <f>'[3]FEB 16'!#REF!</f>
        <v>#REF!</v>
      </c>
    </row>
    <row r="205" spans="2:5" hidden="1" x14ac:dyDescent="0.2">
      <c r="B205" s="5778"/>
      <c r="C205" s="33" t="s">
        <v>1108</v>
      </c>
      <c r="D205" s="54" t="s">
        <v>1187</v>
      </c>
      <c r="E205" s="387" t="e">
        <f>'[3]FEB 16'!#REF!</f>
        <v>#REF!</v>
      </c>
    </row>
    <row r="206" spans="2:5" hidden="1" x14ac:dyDescent="0.2">
      <c r="B206" s="5778"/>
      <c r="C206" s="388" t="s">
        <v>1103</v>
      </c>
      <c r="D206" s="54" t="s">
        <v>1187</v>
      </c>
      <c r="E206" s="387" t="e">
        <f>'[3]FEB 16'!#REF!</f>
        <v>#REF!</v>
      </c>
    </row>
    <row r="207" spans="2:5" hidden="1" x14ac:dyDescent="0.2">
      <c r="B207" s="5778"/>
      <c r="C207" s="389" t="s">
        <v>1131</v>
      </c>
      <c r="D207" s="54" t="s">
        <v>1187</v>
      </c>
      <c r="E207" s="387" t="e">
        <f>'[3]FEB 16'!#REF!</f>
        <v>#REF!</v>
      </c>
    </row>
    <row r="208" spans="2:5" hidden="1" x14ac:dyDescent="0.2">
      <c r="B208" s="5778"/>
      <c r="C208" s="389" t="s">
        <v>1132</v>
      </c>
      <c r="D208" s="54" t="s">
        <v>1187</v>
      </c>
      <c r="E208" s="387" t="e">
        <f>'[3]FEB 16'!#REF!</f>
        <v>#REF!</v>
      </c>
    </row>
    <row r="209" spans="2:5" hidden="1" x14ac:dyDescent="0.2">
      <c r="B209" s="5778"/>
      <c r="C209" s="389" t="s">
        <v>1133</v>
      </c>
      <c r="D209" s="54" t="s">
        <v>1187</v>
      </c>
      <c r="E209" s="387" t="e">
        <f>'[3]FEB 16'!#REF!</f>
        <v>#REF!</v>
      </c>
    </row>
    <row r="210" spans="2:5" hidden="1" x14ac:dyDescent="0.2">
      <c r="B210" s="5778"/>
      <c r="C210" s="389" t="s">
        <v>1134</v>
      </c>
      <c r="D210" s="54" t="s">
        <v>1187</v>
      </c>
      <c r="E210" s="387" t="e">
        <f>'[3]FEB 16'!#REF!</f>
        <v>#REF!</v>
      </c>
    </row>
    <row r="211" spans="2:5" hidden="1" x14ac:dyDescent="0.2">
      <c r="B211" s="5778"/>
      <c r="C211" s="33" t="s">
        <v>1135</v>
      </c>
      <c r="D211" s="54" t="s">
        <v>1187</v>
      </c>
      <c r="E211" s="387" t="e">
        <f>'[3]FEB 16'!#REF!</f>
        <v>#REF!</v>
      </c>
    </row>
    <row r="212" spans="2:5" hidden="1" x14ac:dyDescent="0.2">
      <c r="B212" s="5778"/>
      <c r="C212" s="33" t="s">
        <v>1136</v>
      </c>
      <c r="D212" s="54" t="s">
        <v>1187</v>
      </c>
      <c r="E212" s="387" t="e">
        <f>'[3]FEB 16'!#REF!</f>
        <v>#REF!</v>
      </c>
    </row>
    <row r="213" spans="2:5" hidden="1" x14ac:dyDescent="0.2">
      <c r="B213" s="5778"/>
      <c r="C213" s="33" t="s">
        <v>1137</v>
      </c>
      <c r="D213" s="54" t="s">
        <v>1187</v>
      </c>
      <c r="E213" s="387" t="e">
        <f>'[3]FEB 16'!#REF!</f>
        <v>#REF!</v>
      </c>
    </row>
    <row r="214" spans="2:5" hidden="1" x14ac:dyDescent="0.2">
      <c r="B214" s="5778"/>
      <c r="C214" s="33" t="s">
        <v>1109</v>
      </c>
      <c r="D214" s="54" t="s">
        <v>1187</v>
      </c>
      <c r="E214" s="387" t="e">
        <f>'[3]FEB 16'!#REF!</f>
        <v>#REF!</v>
      </c>
    </row>
    <row r="215" spans="2:5" hidden="1" x14ac:dyDescent="0.2">
      <c r="B215" s="5778"/>
      <c r="C215" s="33" t="s">
        <v>1104</v>
      </c>
      <c r="D215" s="54" t="s">
        <v>1187</v>
      </c>
      <c r="E215" s="387" t="e">
        <f>'[3]FEB 16'!#REF!</f>
        <v>#REF!</v>
      </c>
    </row>
    <row r="216" spans="2:5" hidden="1" x14ac:dyDescent="0.2"/>
    <row r="217" spans="2:5" hidden="1" x14ac:dyDescent="0.2"/>
    <row r="218" spans="2:5" hidden="1" x14ac:dyDescent="0.2"/>
    <row r="219" spans="2:5" hidden="1" x14ac:dyDescent="0.2"/>
    <row r="220" spans="2:5" hidden="1" x14ac:dyDescent="0.2"/>
    <row r="221" spans="2:5" hidden="1" x14ac:dyDescent="0.2"/>
    <row r="222" spans="2:5" hidden="1" x14ac:dyDescent="0.2"/>
    <row r="223" spans="2:5" hidden="1" x14ac:dyDescent="0.2"/>
    <row r="224" spans="2:5" hidden="1" x14ac:dyDescent="0.2"/>
    <row r="225" s="9" customFormat="1" ht="12.75" hidden="1" x14ac:dyDescent="0.2"/>
    <row r="226" s="9" customFormat="1" ht="12.75" hidden="1" x14ac:dyDescent="0.2"/>
    <row r="227" s="9" customFormat="1" ht="12.75" hidden="1" x14ac:dyDescent="0.2"/>
    <row r="228" s="9" customFormat="1" ht="12.75" hidden="1" x14ac:dyDescent="0.2"/>
    <row r="229" s="9" customFormat="1" ht="12.75" hidden="1" x14ac:dyDescent="0.2"/>
    <row r="230" s="9" customFormat="1" ht="12.75" hidden="1" x14ac:dyDescent="0.2"/>
    <row r="231" s="9" customFormat="1" ht="12.75" hidden="1" x14ac:dyDescent="0.2"/>
    <row r="232" s="9" customFormat="1" ht="12.75" hidden="1" x14ac:dyDescent="0.2"/>
    <row r="233" s="9" customFormat="1" ht="12.75" hidden="1" x14ac:dyDescent="0.2"/>
    <row r="234" s="9" customFormat="1" ht="12.75" hidden="1" x14ac:dyDescent="0.2"/>
    <row r="235" s="9" customFormat="1" ht="12.75" hidden="1" x14ac:dyDescent="0.2"/>
    <row r="236" s="9" customFormat="1" ht="12.75" hidden="1" x14ac:dyDescent="0.2"/>
    <row r="237" s="9" customFormat="1" ht="12.75" hidden="1" x14ac:dyDescent="0.2"/>
    <row r="238" s="9" customFormat="1" ht="12.75" hidden="1" x14ac:dyDescent="0.2"/>
    <row r="239" s="9" customFormat="1" ht="12.75" hidden="1" x14ac:dyDescent="0.2"/>
    <row r="240" s="9" customFormat="1" ht="12.75" hidden="1" x14ac:dyDescent="0.2"/>
    <row r="241" s="9" customFormat="1" ht="12.75" hidden="1" x14ac:dyDescent="0.2"/>
    <row r="242" s="9" customFormat="1" ht="12.75" hidden="1" x14ac:dyDescent="0.2"/>
    <row r="243" s="9" customFormat="1" ht="12.75" hidden="1" x14ac:dyDescent="0.2"/>
    <row r="244" s="9" customFormat="1" ht="12.75" hidden="1" x14ac:dyDescent="0.2"/>
    <row r="245" s="9" customFormat="1" ht="12.75" hidden="1" x14ac:dyDescent="0.2"/>
    <row r="246" s="9" customFormat="1" ht="12.75" hidden="1" x14ac:dyDescent="0.2"/>
    <row r="247" s="9" customFormat="1" ht="12.75" hidden="1" x14ac:dyDescent="0.2"/>
    <row r="248" s="9" customFormat="1" ht="12.75" hidden="1" x14ac:dyDescent="0.2"/>
    <row r="249" s="9" customFormat="1" ht="12.75" hidden="1" x14ac:dyDescent="0.2"/>
    <row r="250" s="9" customFormat="1" ht="12.75" hidden="1" x14ac:dyDescent="0.2"/>
    <row r="251" s="9" customFormat="1" ht="12.75" hidden="1" x14ac:dyDescent="0.2"/>
    <row r="252" s="9" customFormat="1" ht="12.75" hidden="1" x14ac:dyDescent="0.2"/>
    <row r="253" s="9" customFormat="1" ht="12.75" hidden="1" x14ac:dyDescent="0.2"/>
    <row r="254" s="9" customFormat="1" ht="12.75" hidden="1" x14ac:dyDescent="0.2"/>
    <row r="255" s="9" customFormat="1" ht="12.75" hidden="1" x14ac:dyDescent="0.2"/>
    <row r="256" s="9" customFormat="1" ht="12.75" hidden="1" x14ac:dyDescent="0.2"/>
    <row r="257" s="9" customFormat="1" ht="12.75" hidden="1" x14ac:dyDescent="0.2"/>
    <row r="258" s="9" customFormat="1" ht="12.75" hidden="1" x14ac:dyDescent="0.2"/>
    <row r="259" s="9" customFormat="1" ht="12.75" hidden="1" x14ac:dyDescent="0.2"/>
    <row r="260" s="9" customFormat="1" ht="12.75" hidden="1" x14ac:dyDescent="0.2"/>
    <row r="261" s="9" customFormat="1" ht="12.75" hidden="1" x14ac:dyDescent="0.2"/>
    <row r="262" s="9" customFormat="1" ht="12.75" hidden="1" x14ac:dyDescent="0.2"/>
    <row r="263" s="9" customFormat="1" ht="12.75" hidden="1" x14ac:dyDescent="0.2"/>
  </sheetData>
  <mergeCells count="51">
    <mergeCell ref="B156:B157"/>
    <mergeCell ref="C161:E161"/>
    <mergeCell ref="B162:B188"/>
    <mergeCell ref="B189:B215"/>
    <mergeCell ref="B144:B145"/>
    <mergeCell ref="B146:B147"/>
    <mergeCell ref="B148:B149"/>
    <mergeCell ref="B150:B151"/>
    <mergeCell ref="B152:B153"/>
    <mergeCell ref="B154:B155"/>
    <mergeCell ref="B142:B143"/>
    <mergeCell ref="B114:C115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40:B141"/>
    <mergeCell ref="B112:C113"/>
    <mergeCell ref="B73:B81"/>
    <mergeCell ref="B83:B86"/>
    <mergeCell ref="B87:B90"/>
    <mergeCell ref="B92:B95"/>
    <mergeCell ref="B98:C99"/>
    <mergeCell ref="B100:C101"/>
    <mergeCell ref="B102:C103"/>
    <mergeCell ref="B104:C105"/>
    <mergeCell ref="B106:C107"/>
    <mergeCell ref="B108:C109"/>
    <mergeCell ref="B110:C111"/>
    <mergeCell ref="A18:A22"/>
    <mergeCell ref="B18:B22"/>
    <mergeCell ref="A23:A27"/>
    <mergeCell ref="B23:B27"/>
    <mergeCell ref="A28:A81"/>
    <mergeCell ref="B28:B36"/>
    <mergeCell ref="B37:B45"/>
    <mergeCell ref="B46:B54"/>
    <mergeCell ref="B55:B63"/>
    <mergeCell ref="B64:B72"/>
    <mergeCell ref="A13:A17"/>
    <mergeCell ref="B13:B17"/>
    <mergeCell ref="A1:K1"/>
    <mergeCell ref="A5:A7"/>
    <mergeCell ref="B5:B7"/>
    <mergeCell ref="A8:A12"/>
    <mergeCell ref="B8:B12"/>
  </mergeCells>
  <pageMargins left="0.7" right="0.7" top="0.75" bottom="0.75" header="0.3" footer="0.3"/>
  <drawing r:id="rId1"/>
  <legacy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23"/>
  <dimension ref="A1:AM215"/>
  <sheetViews>
    <sheetView topLeftCell="Q54" workbookViewId="0">
      <selection activeCell="S64" sqref="S64:AE67"/>
    </sheetView>
  </sheetViews>
  <sheetFormatPr baseColWidth="10" defaultColWidth="11.42578125" defaultRowHeight="12.75" x14ac:dyDescent="0.2"/>
  <sheetData>
    <row r="1" spans="1:5" x14ac:dyDescent="0.2">
      <c r="A1" t="s">
        <v>1090</v>
      </c>
    </row>
    <row r="2" spans="1:5" x14ac:dyDescent="0.2">
      <c r="E2" t="s">
        <v>1091</v>
      </c>
    </row>
    <row r="3" spans="1:5" x14ac:dyDescent="0.2">
      <c r="D3" t="s">
        <v>1092</v>
      </c>
      <c r="E3">
        <v>42401</v>
      </c>
    </row>
    <row r="4" spans="1:5" x14ac:dyDescent="0.2">
      <c r="C4" t="s">
        <v>1093</v>
      </c>
      <c r="D4" t="s">
        <v>1094</v>
      </c>
    </row>
    <row r="5" spans="1:5" x14ac:dyDescent="0.2">
      <c r="A5" t="s">
        <v>789</v>
      </c>
      <c r="B5" t="s">
        <v>834</v>
      </c>
      <c r="C5" t="s">
        <v>1096</v>
      </c>
      <c r="D5" t="s">
        <v>1097</v>
      </c>
    </row>
    <row r="6" spans="1:5" x14ac:dyDescent="0.2">
      <c r="C6" t="s">
        <v>1098</v>
      </c>
      <c r="D6" t="s">
        <v>1097</v>
      </c>
    </row>
    <row r="7" spans="1:5" x14ac:dyDescent="0.2">
      <c r="C7" t="s">
        <v>1099</v>
      </c>
    </row>
    <row r="8" spans="1:5" x14ac:dyDescent="0.2">
      <c r="A8" t="s">
        <v>1100</v>
      </c>
      <c r="C8" t="s">
        <v>1096</v>
      </c>
      <c r="D8" t="s">
        <v>1097</v>
      </c>
    </row>
    <row r="9" spans="1:5" x14ac:dyDescent="0.2">
      <c r="C9" t="s">
        <v>1098</v>
      </c>
      <c r="D9" t="s">
        <v>1097</v>
      </c>
    </row>
    <row r="10" spans="1:5" x14ac:dyDescent="0.2">
      <c r="C10" t="s">
        <v>1101</v>
      </c>
      <c r="D10" t="s">
        <v>1102</v>
      </c>
      <c r="E10">
        <v>0</v>
      </c>
    </row>
    <row r="11" spans="1:5" x14ac:dyDescent="0.2">
      <c r="C11" t="s">
        <v>1103</v>
      </c>
      <c r="D11" t="s">
        <v>1102</v>
      </c>
      <c r="E11">
        <v>0</v>
      </c>
    </row>
    <row r="12" spans="1:5" x14ac:dyDescent="0.2">
      <c r="C12" t="s">
        <v>1104</v>
      </c>
      <c r="D12" t="s">
        <v>1102</v>
      </c>
      <c r="E12">
        <v>0</v>
      </c>
    </row>
    <row r="13" spans="1:5" x14ac:dyDescent="0.2">
      <c r="A13" t="s">
        <v>1100</v>
      </c>
      <c r="B13" t="s">
        <v>992</v>
      </c>
      <c r="C13" t="s">
        <v>1096</v>
      </c>
      <c r="D13" t="s">
        <v>1097</v>
      </c>
    </row>
    <row r="14" spans="1:5" x14ac:dyDescent="0.2">
      <c r="C14" t="s">
        <v>1098</v>
      </c>
      <c r="D14" t="s">
        <v>1097</v>
      </c>
    </row>
    <row r="15" spans="1:5" x14ac:dyDescent="0.2">
      <c r="C15" t="s">
        <v>1101</v>
      </c>
      <c r="D15" t="s">
        <v>1102</v>
      </c>
    </row>
    <row r="16" spans="1:5" x14ac:dyDescent="0.2">
      <c r="C16" t="s">
        <v>1103</v>
      </c>
      <c r="D16" t="s">
        <v>1102</v>
      </c>
    </row>
    <row r="17" spans="1:39" x14ac:dyDescent="0.2">
      <c r="C17" t="s">
        <v>1104</v>
      </c>
      <c r="D17" t="s">
        <v>1102</v>
      </c>
    </row>
    <row r="18" spans="1:39" x14ac:dyDescent="0.2">
      <c r="A18" t="s">
        <v>1105</v>
      </c>
      <c r="B18" t="s">
        <v>1106</v>
      </c>
      <c r="C18" t="s">
        <v>1096</v>
      </c>
      <c r="D18" t="s">
        <v>1097</v>
      </c>
    </row>
    <row r="19" spans="1:39" x14ac:dyDescent="0.2">
      <c r="C19" t="s">
        <v>1098</v>
      </c>
      <c r="D19" t="s">
        <v>1097</v>
      </c>
    </row>
    <row r="20" spans="1:39" x14ac:dyDescent="0.2">
      <c r="C20" t="s">
        <v>1107</v>
      </c>
      <c r="D20" t="s">
        <v>1102</v>
      </c>
      <c r="E20">
        <v>0</v>
      </c>
    </row>
    <row r="21" spans="1:39" x14ac:dyDescent="0.2">
      <c r="C21" t="s">
        <v>1108</v>
      </c>
      <c r="D21" t="s">
        <v>1102</v>
      </c>
      <c r="E21">
        <v>0</v>
      </c>
      <c r="F21">
        <v>5010</v>
      </c>
      <c r="G21">
        <v>5020</v>
      </c>
      <c r="H21">
        <v>5500</v>
      </c>
      <c r="I21">
        <v>5510</v>
      </c>
      <c r="J21">
        <v>5530</v>
      </c>
      <c r="K21">
        <v>5540</v>
      </c>
      <c r="L21">
        <v>6000</v>
      </c>
      <c r="M21">
        <v>6010</v>
      </c>
      <c r="N21">
        <v>6020</v>
      </c>
      <c r="O21">
        <v>6030</v>
      </c>
    </row>
    <row r="22" spans="1:39" x14ac:dyDescent="0.2">
      <c r="C22" t="s">
        <v>1109</v>
      </c>
      <c r="D22" t="s">
        <v>1102</v>
      </c>
      <c r="E22">
        <v>0</v>
      </c>
      <c r="F22" t="s">
        <v>1146</v>
      </c>
      <c r="G22" t="s">
        <v>1147</v>
      </c>
      <c r="H22" t="s">
        <v>1148</v>
      </c>
      <c r="I22" t="s">
        <v>1149</v>
      </c>
      <c r="J22" t="s">
        <v>1150</v>
      </c>
      <c r="K22" t="s">
        <v>1151</v>
      </c>
      <c r="L22" t="s">
        <v>1152</v>
      </c>
      <c r="M22" t="s">
        <v>1153</v>
      </c>
      <c r="N22" t="s">
        <v>1154</v>
      </c>
      <c r="O22" t="s">
        <v>1155</v>
      </c>
    </row>
    <row r="23" spans="1:39" x14ac:dyDescent="0.2">
      <c r="A23" t="s">
        <v>1105</v>
      </c>
      <c r="B23" t="s">
        <v>992</v>
      </c>
      <c r="C23" t="s">
        <v>1096</v>
      </c>
      <c r="D23" t="s">
        <v>1097</v>
      </c>
    </row>
    <row r="24" spans="1:39" x14ac:dyDescent="0.2">
      <c r="C24" t="s">
        <v>1098</v>
      </c>
      <c r="D24" t="s">
        <v>1097</v>
      </c>
    </row>
    <row r="25" spans="1:39" x14ac:dyDescent="0.2">
      <c r="C25" t="s">
        <v>1107</v>
      </c>
      <c r="D25" t="s">
        <v>1102</v>
      </c>
    </row>
    <row r="26" spans="1:39" x14ac:dyDescent="0.2">
      <c r="C26" t="s">
        <v>1108</v>
      </c>
      <c r="D26" t="s">
        <v>1102</v>
      </c>
    </row>
    <row r="27" spans="1:39" x14ac:dyDescent="0.2">
      <c r="C27" t="s">
        <v>1109</v>
      </c>
      <c r="D27" t="s">
        <v>1102</v>
      </c>
    </row>
    <row r="28" spans="1:39" x14ac:dyDescent="0.2">
      <c r="A28" t="s">
        <v>1115</v>
      </c>
      <c r="B28" t="s">
        <v>1106</v>
      </c>
      <c r="C28" t="s">
        <v>1116</v>
      </c>
      <c r="D28" t="s">
        <v>1102</v>
      </c>
      <c r="E28">
        <v>137963</v>
      </c>
      <c r="F28">
        <v>24190</v>
      </c>
      <c r="G28">
        <v>36223</v>
      </c>
      <c r="H28">
        <v>98867</v>
      </c>
      <c r="I28">
        <v>24088</v>
      </c>
      <c r="J28">
        <v>38737</v>
      </c>
      <c r="K28">
        <v>0</v>
      </c>
      <c r="L28">
        <v>0</v>
      </c>
      <c r="M28">
        <v>0</v>
      </c>
      <c r="N28">
        <v>0</v>
      </c>
      <c r="O28">
        <v>0</v>
      </c>
      <c r="S28" s="72">
        <f ca="1">+E28-'PARA 870'!E28</f>
        <v>137963</v>
      </c>
      <c r="T28" s="72" t="e">
        <f>+F28-'PARA 870'!#REF!</f>
        <v>#REF!</v>
      </c>
      <c r="U28" s="72">
        <f ca="1">+G28-'PARA 870'!I28</f>
        <v>36223</v>
      </c>
      <c r="V28" s="72">
        <f ca="1">+H28-'PARA 870'!J28</f>
        <v>98867</v>
      </c>
      <c r="W28" s="72" t="e">
        <f>+I28-'PARA 870'!#REF!</f>
        <v>#REF!</v>
      </c>
      <c r="X28" s="72" t="e">
        <f>+J28-'PARA 870'!#REF!</f>
        <v>#REF!</v>
      </c>
      <c r="Y28" s="72" t="e">
        <f>+K28-'PARA 870'!#REF!</f>
        <v>#REF!</v>
      </c>
      <c r="Z28" s="72">
        <f ca="1">+L28-'PARA 870'!K28</f>
        <v>0</v>
      </c>
      <c r="AA28" s="72" t="e">
        <f>+M28-'PARA 870'!#REF!</f>
        <v>#REF!</v>
      </c>
      <c r="AB28" s="72" t="e">
        <f>+N28-'PARA 870'!#REF!</f>
        <v>#REF!</v>
      </c>
      <c r="AC28" s="72" t="e">
        <f>+O28-'PARA 870'!#REF!</f>
        <v>#REF!</v>
      </c>
      <c r="AD28" s="72" t="e">
        <f>+P28-'PARA 870'!#REF!</f>
        <v>#REF!</v>
      </c>
      <c r="AE28" s="72" t="e">
        <f>+Q28-'PARA 870'!#REF!</f>
        <v>#REF!</v>
      </c>
      <c r="AF28" s="72" t="e">
        <f>+R28-'PARA 870'!#REF!</f>
        <v>#REF!</v>
      </c>
      <c r="AG28" s="72"/>
      <c r="AH28" s="72"/>
      <c r="AI28" s="72"/>
      <c r="AJ28" s="72"/>
      <c r="AK28" s="72"/>
      <c r="AL28" s="72"/>
      <c r="AM28" s="72"/>
    </row>
    <row r="29" spans="1:39" x14ac:dyDescent="0.2">
      <c r="C29" t="s">
        <v>1117</v>
      </c>
      <c r="D29" t="s">
        <v>1102</v>
      </c>
      <c r="E29">
        <v>38027</v>
      </c>
      <c r="F29">
        <v>5954</v>
      </c>
      <c r="G29">
        <v>4537</v>
      </c>
      <c r="H29">
        <v>9029</v>
      </c>
      <c r="I29">
        <v>7642</v>
      </c>
      <c r="J29">
        <v>16132</v>
      </c>
      <c r="K29">
        <v>813</v>
      </c>
      <c r="L29">
        <v>0</v>
      </c>
      <c r="M29">
        <v>0</v>
      </c>
      <c r="N29">
        <v>0</v>
      </c>
      <c r="O29">
        <v>0</v>
      </c>
      <c r="S29" s="72">
        <f ca="1">+E29-'PARA 870'!E29</f>
        <v>38027</v>
      </c>
      <c r="T29" s="72" t="e">
        <f>+F29-'PARA 870'!#REF!</f>
        <v>#REF!</v>
      </c>
      <c r="U29" s="72">
        <f ca="1">+G29-'PARA 870'!I29</f>
        <v>4537</v>
      </c>
      <c r="V29" s="72">
        <f ca="1">+H29-'PARA 870'!J29</f>
        <v>9029</v>
      </c>
      <c r="W29" s="72" t="e">
        <f>+I29-'PARA 870'!#REF!</f>
        <v>#REF!</v>
      </c>
      <c r="X29" s="72" t="e">
        <f>+J29-'PARA 870'!#REF!</f>
        <v>#REF!</v>
      </c>
      <c r="Y29" s="72" t="e">
        <f>+K29-'PARA 870'!#REF!</f>
        <v>#REF!</v>
      </c>
      <c r="Z29" s="72" t="e">
        <f>+L29-'PARA 870'!K29</f>
        <v>#REF!</v>
      </c>
      <c r="AA29" s="72" t="e">
        <f>+M29-'PARA 870'!#REF!</f>
        <v>#REF!</v>
      </c>
      <c r="AB29" s="72" t="e">
        <f>+N29-'PARA 870'!#REF!</f>
        <v>#REF!</v>
      </c>
      <c r="AC29" s="72" t="e">
        <f>+O29-'PARA 870'!#REF!</f>
        <v>#REF!</v>
      </c>
      <c r="AD29" s="72" t="e">
        <f>+P29-'PARA 870'!#REF!</f>
        <v>#REF!</v>
      </c>
      <c r="AE29" s="72" t="e">
        <f>+Q29-'PARA 870'!#REF!</f>
        <v>#REF!</v>
      </c>
      <c r="AF29" s="72" t="e">
        <f>+R29-'PARA 870'!#REF!</f>
        <v>#REF!</v>
      </c>
      <c r="AG29" s="72"/>
      <c r="AH29" s="72"/>
      <c r="AI29" s="72"/>
      <c r="AJ29" s="72"/>
      <c r="AK29" s="72"/>
      <c r="AL29" s="72"/>
      <c r="AM29" s="72"/>
    </row>
    <row r="30" spans="1:39" x14ac:dyDescent="0.2">
      <c r="C30" t="s">
        <v>1118</v>
      </c>
      <c r="D30" t="s">
        <v>1102</v>
      </c>
      <c r="E30">
        <v>32300</v>
      </c>
      <c r="F30">
        <v>4025</v>
      </c>
      <c r="G30">
        <v>4156</v>
      </c>
      <c r="H30">
        <v>5242</v>
      </c>
      <c r="I30">
        <v>5580</v>
      </c>
      <c r="J30">
        <v>11227</v>
      </c>
      <c r="K30">
        <v>6922</v>
      </c>
      <c r="L30">
        <v>0</v>
      </c>
      <c r="M30">
        <v>0</v>
      </c>
      <c r="N30">
        <v>0</v>
      </c>
      <c r="O30">
        <v>0</v>
      </c>
      <c r="S30" s="72">
        <f ca="1">+E30-'PARA 870'!E30</f>
        <v>32300</v>
      </c>
      <c r="T30" s="72" t="e">
        <f>+F30-'PARA 870'!#REF!</f>
        <v>#REF!</v>
      </c>
      <c r="U30" s="72">
        <f ca="1">+G30-'PARA 870'!I30</f>
        <v>4156</v>
      </c>
      <c r="V30" s="72">
        <f ca="1">+H30-'PARA 870'!J30</f>
        <v>5242</v>
      </c>
      <c r="W30" s="72" t="e">
        <f>+I30-'PARA 870'!#REF!</f>
        <v>#REF!</v>
      </c>
      <c r="X30" s="72" t="e">
        <f>+J30-'PARA 870'!#REF!</f>
        <v>#REF!</v>
      </c>
      <c r="Y30" s="72" t="e">
        <f>+K30-'PARA 870'!#REF!</f>
        <v>#REF!</v>
      </c>
      <c r="Z30" s="72">
        <f ca="1">+L30-'PARA 870'!K30</f>
        <v>0</v>
      </c>
      <c r="AA30" s="72" t="e">
        <f>+M30-'PARA 870'!#REF!</f>
        <v>#REF!</v>
      </c>
      <c r="AB30" s="72" t="e">
        <f>+N30-'PARA 870'!#REF!</f>
        <v>#REF!</v>
      </c>
      <c r="AC30" s="72" t="e">
        <f>+O30-'PARA 870'!#REF!</f>
        <v>#REF!</v>
      </c>
      <c r="AD30" s="72" t="e">
        <f>+P30-'PARA 870'!#REF!</f>
        <v>#REF!</v>
      </c>
      <c r="AE30" s="72" t="e">
        <f>+Q30-'PARA 870'!#REF!</f>
        <v>#REF!</v>
      </c>
      <c r="AF30" s="72" t="e">
        <f>+R30-'PARA 870'!#REF!</f>
        <v>#REF!</v>
      </c>
      <c r="AG30" s="72"/>
      <c r="AH30" s="72"/>
      <c r="AI30" s="72"/>
      <c r="AJ30" s="72"/>
      <c r="AK30" s="72"/>
      <c r="AL30" s="72"/>
      <c r="AM30" s="72"/>
    </row>
    <row r="31" spans="1:39" x14ac:dyDescent="0.2">
      <c r="C31" t="s">
        <v>1119</v>
      </c>
      <c r="D31" t="s">
        <v>1102</v>
      </c>
      <c r="E31">
        <v>7134</v>
      </c>
      <c r="F31">
        <v>384</v>
      </c>
      <c r="G31">
        <v>593</v>
      </c>
      <c r="H31">
        <v>332</v>
      </c>
      <c r="I31">
        <v>372</v>
      </c>
      <c r="J31">
        <v>818</v>
      </c>
      <c r="K31">
        <v>2166</v>
      </c>
      <c r="L31">
        <v>0</v>
      </c>
      <c r="M31">
        <v>0</v>
      </c>
      <c r="N31">
        <v>0</v>
      </c>
      <c r="O31">
        <v>0</v>
      </c>
      <c r="S31" s="72">
        <f ca="1">+E31-'PARA 870'!E31</f>
        <v>7134</v>
      </c>
      <c r="T31" s="72" t="e">
        <f>+F31-'PARA 870'!#REF!</f>
        <v>#REF!</v>
      </c>
      <c r="U31" s="72">
        <f ca="1">+G31-'PARA 870'!I31</f>
        <v>593</v>
      </c>
      <c r="V31" s="72">
        <f ca="1">+H31-'PARA 870'!J31</f>
        <v>332</v>
      </c>
      <c r="W31" s="72" t="e">
        <f>+I31-'PARA 870'!#REF!</f>
        <v>#REF!</v>
      </c>
      <c r="X31" s="72" t="e">
        <f>+J31-'PARA 870'!#REF!</f>
        <v>#REF!</v>
      </c>
      <c r="Y31" s="72" t="e">
        <f>+K31-'PARA 870'!#REF!</f>
        <v>#REF!</v>
      </c>
      <c r="Z31" s="72" t="e">
        <f>+L31-'PARA 870'!K31</f>
        <v>#REF!</v>
      </c>
      <c r="AA31" s="72" t="e">
        <f>+M31-'PARA 870'!#REF!</f>
        <v>#REF!</v>
      </c>
      <c r="AB31" s="72" t="e">
        <f>+N31-'PARA 870'!#REF!</f>
        <v>#REF!</v>
      </c>
      <c r="AC31" s="72" t="e">
        <f>+O31-'PARA 870'!#REF!</f>
        <v>#REF!</v>
      </c>
      <c r="AD31" s="72" t="e">
        <f>+P31-'PARA 870'!#REF!</f>
        <v>#REF!</v>
      </c>
      <c r="AE31" s="72" t="e">
        <f>+Q31-'PARA 870'!#REF!</f>
        <v>#REF!</v>
      </c>
      <c r="AF31" s="72" t="e">
        <f>+R31-'PARA 870'!#REF!</f>
        <v>#REF!</v>
      </c>
      <c r="AG31" s="72"/>
      <c r="AH31" s="72"/>
      <c r="AI31" s="72"/>
      <c r="AJ31" s="72"/>
      <c r="AK31" s="72"/>
      <c r="AL31" s="72"/>
      <c r="AM31" s="72"/>
    </row>
    <row r="32" spans="1:39" x14ac:dyDescent="0.2">
      <c r="C32" t="s">
        <v>1120</v>
      </c>
      <c r="D32" t="s">
        <v>1102</v>
      </c>
      <c r="E32">
        <v>111508</v>
      </c>
      <c r="S32" s="72">
        <f>+E32-'PARA 870'!E32</f>
        <v>111508</v>
      </c>
    </row>
    <row r="33" spans="2:32" x14ac:dyDescent="0.2">
      <c r="C33" t="s">
        <v>1121</v>
      </c>
      <c r="D33" t="s">
        <v>1102</v>
      </c>
      <c r="E33">
        <v>268725</v>
      </c>
      <c r="S33" s="72">
        <f ca="1">+E33-'PARA 870'!E33</f>
        <v>268725</v>
      </c>
    </row>
    <row r="34" spans="2:32" x14ac:dyDescent="0.2">
      <c r="C34" t="s">
        <v>1122</v>
      </c>
      <c r="D34" t="s">
        <v>1102</v>
      </c>
      <c r="E34">
        <v>82698</v>
      </c>
      <c r="S34" s="72">
        <f ca="1">+E34-'PARA 870'!E34</f>
        <v>82698</v>
      </c>
    </row>
    <row r="35" spans="2:32" x14ac:dyDescent="0.2">
      <c r="C35" t="s">
        <v>1123</v>
      </c>
      <c r="D35" t="s">
        <v>1102</v>
      </c>
      <c r="E35">
        <v>279232</v>
      </c>
      <c r="S35" s="72">
        <f>+E35-'PARA 870'!E35</f>
        <v>279232</v>
      </c>
    </row>
    <row r="36" spans="2:32" x14ac:dyDescent="0.2">
      <c r="C36" t="s">
        <v>1101</v>
      </c>
      <c r="D36" t="s">
        <v>1102</v>
      </c>
      <c r="F36" t="s">
        <v>1146</v>
      </c>
      <c r="G36" t="s">
        <v>1147</v>
      </c>
      <c r="H36" t="s">
        <v>1148</v>
      </c>
      <c r="I36" t="s">
        <v>1149</v>
      </c>
      <c r="J36" t="s">
        <v>1150</v>
      </c>
      <c r="K36" t="s">
        <v>1151</v>
      </c>
      <c r="L36" t="s">
        <v>1152</v>
      </c>
      <c r="M36" t="s">
        <v>1153</v>
      </c>
      <c r="N36" t="s">
        <v>1154</v>
      </c>
      <c r="O36" t="s">
        <v>1155</v>
      </c>
      <c r="S36" s="72">
        <f>+E36-'PARA 870'!E36</f>
        <v>0</v>
      </c>
    </row>
    <row r="37" spans="2:32" x14ac:dyDescent="0.2">
      <c r="B37" t="s">
        <v>992</v>
      </c>
      <c r="C37" t="s">
        <v>1116</v>
      </c>
      <c r="D37" t="s">
        <v>1102</v>
      </c>
      <c r="S37" s="72">
        <f>+E37-'PARA 870'!E37</f>
        <v>0</v>
      </c>
    </row>
    <row r="38" spans="2:32" x14ac:dyDescent="0.2">
      <c r="C38" t="s">
        <v>1117</v>
      </c>
      <c r="D38" t="s">
        <v>1102</v>
      </c>
      <c r="S38" s="72">
        <f>+E38-'PARA 870'!E38</f>
        <v>0</v>
      </c>
    </row>
    <row r="39" spans="2:32" x14ac:dyDescent="0.2">
      <c r="C39" t="s">
        <v>1118</v>
      </c>
      <c r="D39" t="s">
        <v>1102</v>
      </c>
      <c r="S39" s="72">
        <f>+E39-'PARA 870'!E39</f>
        <v>0</v>
      </c>
    </row>
    <row r="40" spans="2:32" x14ac:dyDescent="0.2">
      <c r="C40" t="s">
        <v>1119</v>
      </c>
      <c r="D40" t="s">
        <v>1102</v>
      </c>
      <c r="S40" s="72">
        <f>+E40-'PARA 870'!E40</f>
        <v>0</v>
      </c>
    </row>
    <row r="41" spans="2:32" x14ac:dyDescent="0.2">
      <c r="C41" t="s">
        <v>1120</v>
      </c>
      <c r="D41" t="s">
        <v>1102</v>
      </c>
      <c r="S41" s="72">
        <f>+E41-'PARA 870'!E41</f>
        <v>0</v>
      </c>
    </row>
    <row r="42" spans="2:32" x14ac:dyDescent="0.2">
      <c r="C42" t="s">
        <v>1121</v>
      </c>
      <c r="D42" t="s">
        <v>1102</v>
      </c>
      <c r="S42" s="72">
        <f>+E42-'PARA 870'!E42</f>
        <v>0</v>
      </c>
    </row>
    <row r="43" spans="2:32" x14ac:dyDescent="0.2">
      <c r="C43" t="s">
        <v>1122</v>
      </c>
      <c r="D43" t="s">
        <v>1102</v>
      </c>
      <c r="S43" s="72">
        <f>+E43-'PARA 870'!E43</f>
        <v>0</v>
      </c>
    </row>
    <row r="44" spans="2:32" x14ac:dyDescent="0.2">
      <c r="C44" t="s">
        <v>1123</v>
      </c>
      <c r="D44" t="s">
        <v>1102</v>
      </c>
      <c r="S44" s="72">
        <f>+E44-'PARA 870'!E44</f>
        <v>0</v>
      </c>
    </row>
    <row r="45" spans="2:32" x14ac:dyDescent="0.2">
      <c r="C45" t="s">
        <v>1101</v>
      </c>
      <c r="D45" t="s">
        <v>1102</v>
      </c>
      <c r="S45" s="72">
        <f>+E45-'PARA 870'!E45</f>
        <v>0</v>
      </c>
    </row>
    <row r="46" spans="2:32" x14ac:dyDescent="0.2">
      <c r="B46" t="s">
        <v>1106</v>
      </c>
      <c r="C46" t="s">
        <v>1124</v>
      </c>
      <c r="D46" t="s">
        <v>1102</v>
      </c>
      <c r="E46">
        <v>272423</v>
      </c>
      <c r="F46">
        <v>47773</v>
      </c>
      <c r="G46">
        <v>71535</v>
      </c>
      <c r="H46">
        <v>195244</v>
      </c>
      <c r="I46">
        <v>47571</v>
      </c>
      <c r="J46">
        <v>76499</v>
      </c>
      <c r="K46">
        <v>0</v>
      </c>
      <c r="L46">
        <v>0</v>
      </c>
      <c r="M46">
        <v>0</v>
      </c>
      <c r="N46">
        <v>0</v>
      </c>
      <c r="O46">
        <v>0</v>
      </c>
      <c r="S46" s="72">
        <f ca="1">+E46-'PARA 870'!E46</f>
        <v>272423</v>
      </c>
      <c r="T46" s="72" t="e">
        <f>+F46-'PARA 870'!#REF!</f>
        <v>#REF!</v>
      </c>
      <c r="U46" s="72">
        <f ca="1">+G46-'PARA 870'!I46</f>
        <v>71535</v>
      </c>
      <c r="V46" s="72">
        <f ca="1">+H46-'PARA 870'!J46</f>
        <v>195244</v>
      </c>
      <c r="W46" s="72" t="e">
        <f>+I46-'PARA 870'!#REF!</f>
        <v>#REF!</v>
      </c>
      <c r="X46" s="72" t="e">
        <f>+J46-'PARA 870'!#REF!</f>
        <v>#REF!</v>
      </c>
      <c r="Y46" s="72" t="e">
        <f>+K46-'PARA 870'!#REF!</f>
        <v>#REF!</v>
      </c>
      <c r="Z46" s="72">
        <f ca="1">+L46-'PARA 870'!K46</f>
        <v>0</v>
      </c>
      <c r="AA46" s="72" t="e">
        <f>+M46-'PARA 870'!#REF!</f>
        <v>#REF!</v>
      </c>
      <c r="AB46" s="72" t="e">
        <f>+N46-'PARA 870'!#REF!</f>
        <v>#REF!</v>
      </c>
      <c r="AC46" s="72" t="e">
        <f>+O46-'PARA 870'!#REF!</f>
        <v>#REF!</v>
      </c>
      <c r="AD46" s="72" t="e">
        <f>+P46-'PARA 870'!#REF!</f>
        <v>#REF!</v>
      </c>
      <c r="AE46" s="72" t="e">
        <f>+Q46-'PARA 870'!#REF!</f>
        <v>#REF!</v>
      </c>
      <c r="AF46" s="72" t="e">
        <f>+R46-'PARA 870'!#REF!</f>
        <v>#REF!</v>
      </c>
    </row>
    <row r="47" spans="2:32" x14ac:dyDescent="0.2">
      <c r="C47" t="s">
        <v>1125</v>
      </c>
      <c r="D47" t="s">
        <v>1102</v>
      </c>
      <c r="E47">
        <v>75098</v>
      </c>
      <c r="F47">
        <v>11758</v>
      </c>
      <c r="G47">
        <v>8961</v>
      </c>
      <c r="H47">
        <v>17832</v>
      </c>
      <c r="I47">
        <v>15094</v>
      </c>
      <c r="J47">
        <v>31858</v>
      </c>
      <c r="K47">
        <v>1605</v>
      </c>
      <c r="L47">
        <v>0</v>
      </c>
      <c r="M47">
        <v>0</v>
      </c>
      <c r="N47">
        <v>0</v>
      </c>
      <c r="O47">
        <v>0</v>
      </c>
      <c r="S47" s="72">
        <f ca="1">+E47-'PARA 870'!E47</f>
        <v>75098</v>
      </c>
      <c r="T47" s="72" t="e">
        <f>+F47-'PARA 870'!#REF!</f>
        <v>#REF!</v>
      </c>
      <c r="U47" s="72">
        <f ca="1">+G47-'PARA 870'!I47</f>
        <v>8961</v>
      </c>
      <c r="V47" s="72">
        <f ca="1">+H47-'PARA 870'!J47</f>
        <v>17832</v>
      </c>
      <c r="W47" s="72" t="e">
        <f>+I47-'PARA 870'!#REF!</f>
        <v>#REF!</v>
      </c>
      <c r="X47" s="72" t="e">
        <f>+J47-'PARA 870'!#REF!</f>
        <v>#REF!</v>
      </c>
      <c r="Y47" s="72" t="e">
        <f>+K47-'PARA 870'!#REF!</f>
        <v>#REF!</v>
      </c>
      <c r="Z47" s="72" t="e">
        <f>+L47-'PARA 870'!K47</f>
        <v>#REF!</v>
      </c>
      <c r="AA47" s="72" t="e">
        <f>+M47-'PARA 870'!#REF!</f>
        <v>#REF!</v>
      </c>
      <c r="AB47" s="72" t="e">
        <f>+N47-'PARA 870'!#REF!</f>
        <v>#REF!</v>
      </c>
      <c r="AC47" s="72" t="e">
        <f>+O47-'PARA 870'!#REF!</f>
        <v>#REF!</v>
      </c>
      <c r="AD47" s="72" t="e">
        <f>+P47-'PARA 870'!#REF!</f>
        <v>#REF!</v>
      </c>
      <c r="AE47" s="72" t="e">
        <f>+Q47-'PARA 870'!#REF!</f>
        <v>#REF!</v>
      </c>
      <c r="AF47" s="72" t="e">
        <f>+R47-'PARA 870'!#REF!</f>
        <v>#REF!</v>
      </c>
    </row>
    <row r="48" spans="2:32" x14ac:dyDescent="0.2">
      <c r="C48" t="s">
        <v>1126</v>
      </c>
      <c r="D48" t="s">
        <v>1102</v>
      </c>
      <c r="E48">
        <v>63787</v>
      </c>
      <c r="F48">
        <v>7950</v>
      </c>
      <c r="G48">
        <v>8209</v>
      </c>
      <c r="H48">
        <v>10354</v>
      </c>
      <c r="I48">
        <v>11020</v>
      </c>
      <c r="J48">
        <v>22172</v>
      </c>
      <c r="K48">
        <v>13671</v>
      </c>
      <c r="L48">
        <v>0</v>
      </c>
      <c r="M48">
        <v>0</v>
      </c>
      <c r="N48">
        <v>0</v>
      </c>
      <c r="O48">
        <v>0</v>
      </c>
      <c r="S48" s="72">
        <f ca="1">+E48-'PARA 870'!E48</f>
        <v>63787</v>
      </c>
      <c r="T48" s="72" t="e">
        <f>+F48-'PARA 870'!#REF!</f>
        <v>#REF!</v>
      </c>
      <c r="U48" s="72">
        <f ca="1">+G48-'PARA 870'!I48</f>
        <v>8209</v>
      </c>
      <c r="V48" s="72">
        <f ca="1">+H48-'PARA 870'!J48</f>
        <v>10354</v>
      </c>
      <c r="W48" s="72" t="e">
        <f>+I48-'PARA 870'!#REF!</f>
        <v>#REF!</v>
      </c>
      <c r="X48" s="72" t="e">
        <f>+J48-'PARA 870'!#REF!</f>
        <v>#REF!</v>
      </c>
      <c r="Y48" s="72" t="e">
        <f>+K48-'PARA 870'!#REF!</f>
        <v>#REF!</v>
      </c>
      <c r="Z48" s="72">
        <f ca="1">+L48-'PARA 870'!K48</f>
        <v>0</v>
      </c>
      <c r="AA48" s="72" t="e">
        <f>+M48-'PARA 870'!#REF!</f>
        <v>#REF!</v>
      </c>
      <c r="AB48" s="72" t="e">
        <f>+N48-'PARA 870'!#REF!</f>
        <v>#REF!</v>
      </c>
      <c r="AC48" s="72" t="e">
        <f>+O48-'PARA 870'!#REF!</f>
        <v>#REF!</v>
      </c>
      <c r="AD48" s="72" t="e">
        <f>+P48-'PARA 870'!#REF!</f>
        <v>#REF!</v>
      </c>
      <c r="AE48" s="72" t="e">
        <f>+Q48-'PARA 870'!#REF!</f>
        <v>#REF!</v>
      </c>
      <c r="AF48" s="72" t="e">
        <f>+R48-'PARA 870'!#REF!</f>
        <v>#REF!</v>
      </c>
    </row>
    <row r="49" spans="2:32" x14ac:dyDescent="0.2">
      <c r="C49" t="s">
        <v>1127</v>
      </c>
      <c r="D49" t="s">
        <v>1102</v>
      </c>
      <c r="E49">
        <v>14091</v>
      </c>
      <c r="F49">
        <v>759</v>
      </c>
      <c r="G49">
        <v>1171</v>
      </c>
      <c r="H49">
        <v>656</v>
      </c>
      <c r="I49">
        <v>735</v>
      </c>
      <c r="J49">
        <v>1616</v>
      </c>
      <c r="K49">
        <v>4278</v>
      </c>
      <c r="L49">
        <v>0</v>
      </c>
      <c r="M49">
        <v>0</v>
      </c>
      <c r="N49">
        <v>0</v>
      </c>
      <c r="O49">
        <v>0</v>
      </c>
      <c r="S49" s="72">
        <f ca="1">+E49-'PARA 870'!E49</f>
        <v>14091</v>
      </c>
      <c r="T49" s="72" t="e">
        <f>+F49-'PARA 870'!#REF!</f>
        <v>#REF!</v>
      </c>
      <c r="U49" s="72">
        <f ca="1">+G49-'PARA 870'!I49</f>
        <v>1171</v>
      </c>
      <c r="V49" s="72">
        <f ca="1">+H49-'PARA 870'!J49</f>
        <v>656</v>
      </c>
      <c r="W49" s="72" t="e">
        <f>+I49-'PARA 870'!#REF!</f>
        <v>#REF!</v>
      </c>
      <c r="X49" s="72" t="e">
        <f>+J49-'PARA 870'!#REF!</f>
        <v>#REF!</v>
      </c>
      <c r="Y49" s="72" t="e">
        <f>+K49-'PARA 870'!#REF!</f>
        <v>#REF!</v>
      </c>
      <c r="Z49" s="72" t="e">
        <f>+L49-'PARA 870'!K49</f>
        <v>#REF!</v>
      </c>
      <c r="AA49" s="72" t="e">
        <f>+M49-'PARA 870'!#REF!</f>
        <v>#REF!</v>
      </c>
      <c r="AB49" s="72" t="e">
        <f>+N49-'PARA 870'!#REF!</f>
        <v>#REF!</v>
      </c>
      <c r="AC49" s="72" t="e">
        <f>+O49-'PARA 870'!#REF!</f>
        <v>#REF!</v>
      </c>
      <c r="AD49" s="72" t="e">
        <f>+P49-'PARA 870'!#REF!</f>
        <v>#REF!</v>
      </c>
      <c r="AE49" s="72" t="e">
        <f>+Q49-'PARA 870'!#REF!</f>
        <v>#REF!</v>
      </c>
      <c r="AF49" s="72" t="e">
        <f>+R49-'PARA 870'!#REF!</f>
        <v>#REF!</v>
      </c>
    </row>
    <row r="50" spans="2:32" x14ac:dyDescent="0.2">
      <c r="C50" t="s">
        <v>1128</v>
      </c>
      <c r="D50" t="s">
        <v>1102</v>
      </c>
      <c r="E50">
        <v>40548</v>
      </c>
      <c r="S50" s="72">
        <f>+E50-'PARA 870'!E50</f>
        <v>40548</v>
      </c>
    </row>
    <row r="51" spans="2:32" x14ac:dyDescent="0.2">
      <c r="C51" t="s">
        <v>1129</v>
      </c>
      <c r="D51" t="s">
        <v>1102</v>
      </c>
      <c r="E51">
        <v>530683</v>
      </c>
      <c r="S51" s="72">
        <f ca="1">+E51-'PARA 870'!E51</f>
        <v>530683</v>
      </c>
    </row>
    <row r="52" spans="2:32" x14ac:dyDescent="0.2">
      <c r="C52" t="s">
        <v>1130</v>
      </c>
      <c r="D52" t="s">
        <v>1102</v>
      </c>
      <c r="E52">
        <v>163314</v>
      </c>
      <c r="S52" s="72">
        <f ca="1">+E52-'PARA 870'!E52</f>
        <v>163314</v>
      </c>
    </row>
    <row r="53" spans="2:32" x14ac:dyDescent="0.2">
      <c r="C53" t="s">
        <v>1108</v>
      </c>
      <c r="D53" t="s">
        <v>1102</v>
      </c>
      <c r="E53">
        <v>551431</v>
      </c>
      <c r="S53" s="72">
        <f>+E53-'PARA 870'!E53</f>
        <v>551431</v>
      </c>
    </row>
    <row r="54" spans="2:32" x14ac:dyDescent="0.2">
      <c r="C54" t="s">
        <v>1103</v>
      </c>
      <c r="D54" t="s">
        <v>1102</v>
      </c>
      <c r="F54" t="s">
        <v>1146</v>
      </c>
      <c r="G54" t="s">
        <v>1147</v>
      </c>
      <c r="H54" t="s">
        <v>1148</v>
      </c>
      <c r="I54" t="s">
        <v>1149</v>
      </c>
      <c r="J54" t="s">
        <v>1150</v>
      </c>
      <c r="K54" t="s">
        <v>1151</v>
      </c>
      <c r="L54" t="s">
        <v>1152</v>
      </c>
      <c r="M54" t="s">
        <v>1153</v>
      </c>
      <c r="N54" t="s">
        <v>1154</v>
      </c>
      <c r="O54" t="s">
        <v>1155</v>
      </c>
      <c r="S54" s="72">
        <f>+E54-'PARA 870'!E54</f>
        <v>0</v>
      </c>
    </row>
    <row r="55" spans="2:32" x14ac:dyDescent="0.2">
      <c r="B55" t="s">
        <v>992</v>
      </c>
      <c r="C55" t="s">
        <v>1124</v>
      </c>
      <c r="D55" t="s">
        <v>1102</v>
      </c>
      <c r="S55" s="72">
        <f>+E55-'PARA 870'!E55</f>
        <v>0</v>
      </c>
    </row>
    <row r="56" spans="2:32" x14ac:dyDescent="0.2">
      <c r="C56" t="s">
        <v>1125</v>
      </c>
      <c r="D56" t="s">
        <v>1102</v>
      </c>
      <c r="S56" s="72">
        <f>+E56-'PARA 870'!E56</f>
        <v>0</v>
      </c>
    </row>
    <row r="57" spans="2:32" x14ac:dyDescent="0.2">
      <c r="C57" t="s">
        <v>1126</v>
      </c>
      <c r="D57" t="s">
        <v>1102</v>
      </c>
      <c r="S57" s="72">
        <f>+E57-'PARA 870'!E57</f>
        <v>0</v>
      </c>
    </row>
    <row r="58" spans="2:32" x14ac:dyDescent="0.2">
      <c r="C58" t="s">
        <v>1127</v>
      </c>
      <c r="D58" t="s">
        <v>1102</v>
      </c>
      <c r="S58" s="72">
        <f>+E58-'PARA 870'!E58</f>
        <v>0</v>
      </c>
    </row>
    <row r="59" spans="2:32" x14ac:dyDescent="0.2">
      <c r="C59" t="s">
        <v>1128</v>
      </c>
      <c r="D59" t="s">
        <v>1102</v>
      </c>
      <c r="S59" s="72">
        <f>+E59-'PARA 870'!E59</f>
        <v>0</v>
      </c>
    </row>
    <row r="60" spans="2:32" x14ac:dyDescent="0.2">
      <c r="C60" t="s">
        <v>1129</v>
      </c>
      <c r="D60" t="s">
        <v>1102</v>
      </c>
      <c r="S60" s="72">
        <f>+E60-'PARA 870'!E60</f>
        <v>0</v>
      </c>
    </row>
    <row r="61" spans="2:32" x14ac:dyDescent="0.2">
      <c r="C61" t="s">
        <v>1130</v>
      </c>
      <c r="D61" t="s">
        <v>1102</v>
      </c>
      <c r="S61" s="72">
        <f>+E61-'PARA 870'!E61</f>
        <v>0</v>
      </c>
    </row>
    <row r="62" spans="2:32" x14ac:dyDescent="0.2">
      <c r="C62" t="s">
        <v>1108</v>
      </c>
      <c r="D62" t="s">
        <v>1102</v>
      </c>
      <c r="S62" s="72">
        <f>+E62-'PARA 870'!E62</f>
        <v>0</v>
      </c>
    </row>
    <row r="63" spans="2:32" x14ac:dyDescent="0.2">
      <c r="C63" t="s">
        <v>1103</v>
      </c>
      <c r="D63" t="s">
        <v>1102</v>
      </c>
      <c r="S63" s="72">
        <f>+E63-'PARA 870'!E63</f>
        <v>0</v>
      </c>
    </row>
    <row r="64" spans="2:32" x14ac:dyDescent="0.2">
      <c r="B64" t="s">
        <v>1106</v>
      </c>
      <c r="C64" t="s">
        <v>1131</v>
      </c>
      <c r="D64" t="s">
        <v>1102</v>
      </c>
      <c r="E64">
        <v>120615</v>
      </c>
      <c r="F64">
        <v>21146</v>
      </c>
      <c r="G64">
        <v>31665</v>
      </c>
      <c r="H64">
        <v>86428</v>
      </c>
      <c r="I64">
        <v>21058</v>
      </c>
      <c r="J64">
        <v>33864</v>
      </c>
      <c r="K64">
        <v>0</v>
      </c>
      <c r="L64">
        <v>0</v>
      </c>
      <c r="M64">
        <v>0</v>
      </c>
      <c r="N64">
        <v>0</v>
      </c>
      <c r="O64">
        <v>0</v>
      </c>
      <c r="S64" s="72">
        <f ca="1">+E64-'PARA 870'!E64</f>
        <v>120615</v>
      </c>
      <c r="T64" s="72" t="e">
        <f>+F64-'PARA 870'!#REF!</f>
        <v>#REF!</v>
      </c>
      <c r="U64" s="72">
        <f ca="1">+G64-'PARA 870'!I64</f>
        <v>31665</v>
      </c>
      <c r="V64" s="72">
        <f ca="1">+H64-'PARA 870'!J64</f>
        <v>86428</v>
      </c>
      <c r="W64" s="72" t="e">
        <f>+I64-'PARA 870'!#REF!</f>
        <v>#REF!</v>
      </c>
      <c r="X64" s="72" t="e">
        <f>+J64-'PARA 870'!#REF!</f>
        <v>#REF!</v>
      </c>
      <c r="Y64" s="72" t="e">
        <f>+K64-'PARA 870'!#REF!</f>
        <v>#REF!</v>
      </c>
      <c r="Z64" s="72">
        <f ca="1">+L64-'PARA 870'!K64</f>
        <v>0</v>
      </c>
      <c r="AA64" s="72" t="e">
        <f>+M64-'PARA 870'!#REF!</f>
        <v>#REF!</v>
      </c>
      <c r="AB64" s="72" t="e">
        <f>+N64-'PARA 870'!#REF!</f>
        <v>#REF!</v>
      </c>
      <c r="AC64" s="72" t="e">
        <f>+O64-'PARA 870'!#REF!</f>
        <v>#REF!</v>
      </c>
      <c r="AD64" s="72" t="e">
        <f>+P64-'PARA 870'!#REF!</f>
        <v>#REF!</v>
      </c>
      <c r="AE64" s="72" t="e">
        <f>+Q64-'PARA 870'!#REF!</f>
        <v>#REF!</v>
      </c>
    </row>
    <row r="65" spans="2:31" x14ac:dyDescent="0.2">
      <c r="C65" t="s">
        <v>1132</v>
      </c>
      <c r="D65" t="s">
        <v>1102</v>
      </c>
      <c r="E65">
        <v>33243</v>
      </c>
      <c r="F65">
        <v>5205</v>
      </c>
      <c r="G65">
        <v>3966</v>
      </c>
      <c r="H65">
        <v>7893</v>
      </c>
      <c r="I65">
        <v>6681</v>
      </c>
      <c r="J65">
        <v>14102</v>
      </c>
      <c r="K65">
        <v>710</v>
      </c>
      <c r="L65">
        <v>0</v>
      </c>
      <c r="M65">
        <v>0</v>
      </c>
      <c r="N65">
        <v>0</v>
      </c>
      <c r="O65">
        <v>0</v>
      </c>
      <c r="S65" s="72">
        <f ca="1">+E65-'PARA 870'!E65</f>
        <v>33243</v>
      </c>
      <c r="T65" s="72" t="e">
        <f>+F65-'PARA 870'!#REF!</f>
        <v>#REF!</v>
      </c>
      <c r="U65" s="72">
        <f ca="1">+G65-'PARA 870'!I65</f>
        <v>3966</v>
      </c>
      <c r="V65" s="72">
        <f ca="1">+H65-'PARA 870'!J65</f>
        <v>7893</v>
      </c>
      <c r="W65" s="72" t="e">
        <f>+I65-'PARA 870'!#REF!</f>
        <v>#REF!</v>
      </c>
      <c r="X65" s="72" t="e">
        <f>+J65-'PARA 870'!#REF!</f>
        <v>#REF!</v>
      </c>
      <c r="Y65" s="72" t="e">
        <f>+K65-'PARA 870'!#REF!</f>
        <v>#REF!</v>
      </c>
      <c r="Z65" s="72" t="e">
        <f>+L65-'PARA 870'!K65</f>
        <v>#REF!</v>
      </c>
      <c r="AA65" s="72" t="e">
        <f>+M65-'PARA 870'!#REF!</f>
        <v>#REF!</v>
      </c>
      <c r="AB65" s="72" t="e">
        <f>+N65-'PARA 870'!#REF!</f>
        <v>#REF!</v>
      </c>
      <c r="AC65" s="72" t="e">
        <f>+O65-'PARA 870'!#REF!</f>
        <v>#REF!</v>
      </c>
      <c r="AD65" s="72" t="e">
        <f>+P65-'PARA 870'!#REF!</f>
        <v>#REF!</v>
      </c>
      <c r="AE65" s="72" t="e">
        <f>+Q65-'PARA 870'!#REF!</f>
        <v>#REF!</v>
      </c>
    </row>
    <row r="66" spans="2:31" x14ac:dyDescent="0.2">
      <c r="C66" t="s">
        <v>1133</v>
      </c>
      <c r="D66" t="s">
        <v>1102</v>
      </c>
      <c r="E66">
        <v>28236</v>
      </c>
      <c r="F66">
        <v>3519</v>
      </c>
      <c r="G66">
        <v>3633</v>
      </c>
      <c r="H66">
        <v>4583</v>
      </c>
      <c r="I66">
        <v>4877</v>
      </c>
      <c r="J66">
        <v>9814</v>
      </c>
      <c r="K66">
        <v>6051</v>
      </c>
      <c r="L66">
        <v>0</v>
      </c>
      <c r="M66">
        <v>0</v>
      </c>
      <c r="N66">
        <v>0</v>
      </c>
      <c r="O66">
        <v>0</v>
      </c>
      <c r="S66" s="72">
        <f ca="1">+E66-'PARA 870'!E66</f>
        <v>28236</v>
      </c>
      <c r="T66" s="72" t="e">
        <f>+F66-'PARA 870'!#REF!</f>
        <v>#REF!</v>
      </c>
      <c r="U66" s="72">
        <f ca="1">+G66-'PARA 870'!I66</f>
        <v>3633</v>
      </c>
      <c r="V66" s="72">
        <f ca="1">+H66-'PARA 870'!J66</f>
        <v>4583</v>
      </c>
      <c r="W66" s="72" t="e">
        <f>+I66-'PARA 870'!#REF!</f>
        <v>#REF!</v>
      </c>
      <c r="X66" s="72" t="e">
        <f>+J66-'PARA 870'!#REF!</f>
        <v>#REF!</v>
      </c>
      <c r="Y66" s="72" t="e">
        <f>+K66-'PARA 870'!#REF!</f>
        <v>#REF!</v>
      </c>
      <c r="Z66" s="72">
        <f ca="1">+L66-'PARA 870'!K66</f>
        <v>0</v>
      </c>
      <c r="AA66" s="72" t="e">
        <f>+M66-'PARA 870'!#REF!</f>
        <v>#REF!</v>
      </c>
      <c r="AB66" s="72" t="e">
        <f>+N66-'PARA 870'!#REF!</f>
        <v>#REF!</v>
      </c>
      <c r="AC66" s="72" t="e">
        <f>+O66-'PARA 870'!#REF!</f>
        <v>#REF!</v>
      </c>
      <c r="AD66" s="72" t="e">
        <f>+P66-'PARA 870'!#REF!</f>
        <v>#REF!</v>
      </c>
      <c r="AE66" s="72" t="e">
        <f>+Q66-'PARA 870'!#REF!</f>
        <v>#REF!</v>
      </c>
    </row>
    <row r="67" spans="2:31" x14ac:dyDescent="0.2">
      <c r="C67" t="s">
        <v>1134</v>
      </c>
      <c r="D67" t="s">
        <v>1102</v>
      </c>
      <c r="E67">
        <v>6237</v>
      </c>
      <c r="F67">
        <v>336</v>
      </c>
      <c r="G67">
        <v>518</v>
      </c>
      <c r="H67">
        <v>290</v>
      </c>
      <c r="I67">
        <v>325</v>
      </c>
      <c r="J67">
        <v>715</v>
      </c>
      <c r="K67">
        <v>1893</v>
      </c>
      <c r="L67">
        <v>0</v>
      </c>
      <c r="M67">
        <v>0</v>
      </c>
      <c r="N67">
        <v>0</v>
      </c>
      <c r="O67">
        <v>0</v>
      </c>
      <c r="S67" s="72">
        <f ca="1">+E67-'PARA 870'!E67</f>
        <v>6237</v>
      </c>
      <c r="T67" s="72" t="e">
        <f>+F67-'PARA 870'!#REF!</f>
        <v>#REF!</v>
      </c>
      <c r="U67" s="72">
        <f ca="1">+G67-'PARA 870'!I67</f>
        <v>518</v>
      </c>
      <c r="V67" s="72">
        <f ca="1">+H67-'PARA 870'!J67</f>
        <v>290</v>
      </c>
      <c r="W67" s="72" t="e">
        <f>+I67-'PARA 870'!#REF!</f>
        <v>#REF!</v>
      </c>
      <c r="X67" s="72" t="e">
        <f>+J67-'PARA 870'!#REF!</f>
        <v>#REF!</v>
      </c>
      <c r="Y67" s="72" t="e">
        <f>+K67-'PARA 870'!#REF!</f>
        <v>#REF!</v>
      </c>
      <c r="Z67" s="72" t="e">
        <f>+L67-'PARA 870'!K67</f>
        <v>#REF!</v>
      </c>
      <c r="AA67" s="72" t="e">
        <f>+M67-'PARA 870'!#REF!</f>
        <v>#REF!</v>
      </c>
      <c r="AB67" s="72" t="e">
        <f>+N67-'PARA 870'!#REF!</f>
        <v>#REF!</v>
      </c>
      <c r="AC67" s="72" t="e">
        <f>+O67-'PARA 870'!#REF!</f>
        <v>#REF!</v>
      </c>
      <c r="AD67" s="72" t="e">
        <f>+P67-'PARA 870'!#REF!</f>
        <v>#REF!</v>
      </c>
      <c r="AE67" s="72" t="e">
        <f>+Q67-'PARA 870'!#REF!</f>
        <v>#REF!</v>
      </c>
    </row>
    <row r="68" spans="2:31" x14ac:dyDescent="0.2">
      <c r="C68" t="s">
        <v>1135</v>
      </c>
      <c r="D68" t="s">
        <v>1102</v>
      </c>
      <c r="E68">
        <v>185848</v>
      </c>
      <c r="S68" s="72">
        <f>+E68-'PARA 870'!E68</f>
        <v>185848</v>
      </c>
    </row>
    <row r="69" spans="2:31" x14ac:dyDescent="0.2">
      <c r="C69" t="s">
        <v>1136</v>
      </c>
      <c r="D69" t="s">
        <v>1102</v>
      </c>
      <c r="E69">
        <v>234919</v>
      </c>
      <c r="S69" s="72">
        <f ca="1">+E69-'PARA 870'!E69</f>
        <v>234919</v>
      </c>
    </row>
    <row r="70" spans="2:31" x14ac:dyDescent="0.2">
      <c r="C70" t="s">
        <v>1137</v>
      </c>
      <c r="D70" t="s">
        <v>1102</v>
      </c>
      <c r="E70">
        <v>72295</v>
      </c>
      <c r="S70" s="72">
        <f ca="1">+E70-'PARA 870'!E70</f>
        <v>72295</v>
      </c>
    </row>
    <row r="71" spans="2:31" x14ac:dyDescent="0.2">
      <c r="C71" t="s">
        <v>1109</v>
      </c>
      <c r="D71" t="s">
        <v>1102</v>
      </c>
      <c r="E71">
        <v>244103</v>
      </c>
      <c r="S71" s="72">
        <f>+E71-'PARA 870'!E71</f>
        <v>244103</v>
      </c>
    </row>
    <row r="72" spans="2:31" x14ac:dyDescent="0.2">
      <c r="C72" t="s">
        <v>1104</v>
      </c>
      <c r="D72" t="s">
        <v>1102</v>
      </c>
    </row>
    <row r="73" spans="2:31" x14ac:dyDescent="0.2">
      <c r="B73" t="s">
        <v>992</v>
      </c>
      <c r="C73" t="s">
        <v>1131</v>
      </c>
      <c r="D73" t="s">
        <v>1102</v>
      </c>
    </row>
    <row r="74" spans="2:31" x14ac:dyDescent="0.2">
      <c r="C74" t="s">
        <v>1132</v>
      </c>
      <c r="D74" t="s">
        <v>1102</v>
      </c>
    </row>
    <row r="75" spans="2:31" x14ac:dyDescent="0.2">
      <c r="C75" t="s">
        <v>1133</v>
      </c>
      <c r="D75" t="s">
        <v>1102</v>
      </c>
    </row>
    <row r="76" spans="2:31" x14ac:dyDescent="0.2">
      <c r="C76" t="s">
        <v>1134</v>
      </c>
      <c r="D76" t="s">
        <v>1102</v>
      </c>
    </row>
    <row r="77" spans="2:31" x14ac:dyDescent="0.2">
      <c r="C77" t="s">
        <v>1135</v>
      </c>
      <c r="D77" t="s">
        <v>1102</v>
      </c>
    </row>
    <row r="78" spans="2:31" x14ac:dyDescent="0.2">
      <c r="C78" t="s">
        <v>1136</v>
      </c>
      <c r="D78" t="s">
        <v>1102</v>
      </c>
    </row>
    <row r="79" spans="2:31" x14ac:dyDescent="0.2">
      <c r="C79" t="s">
        <v>1137</v>
      </c>
      <c r="D79" t="s">
        <v>1102</v>
      </c>
    </row>
    <row r="80" spans="2:31" x14ac:dyDescent="0.2">
      <c r="C80" t="s">
        <v>1109</v>
      </c>
      <c r="D80" t="s">
        <v>1102</v>
      </c>
    </row>
    <row r="81" spans="2:16" x14ac:dyDescent="0.2">
      <c r="C81" t="s">
        <v>1104</v>
      </c>
      <c r="D81" t="s">
        <v>1102</v>
      </c>
    </row>
    <row r="83" spans="2:16" x14ac:dyDescent="0.2">
      <c r="B83" t="s">
        <v>1106</v>
      </c>
      <c r="C83" t="s">
        <v>1138</v>
      </c>
      <c r="D83" t="s">
        <v>1102</v>
      </c>
      <c r="E83">
        <v>957587</v>
      </c>
      <c r="F83">
        <v>34553</v>
      </c>
      <c r="G83">
        <v>45509</v>
      </c>
      <c r="H83">
        <v>113470</v>
      </c>
      <c r="I83">
        <v>37682</v>
      </c>
      <c r="J83">
        <v>66914</v>
      </c>
      <c r="K83">
        <v>9901</v>
      </c>
      <c r="L83">
        <v>0</v>
      </c>
      <c r="M83">
        <v>0</v>
      </c>
      <c r="N83">
        <v>0</v>
      </c>
      <c r="O83">
        <v>0</v>
      </c>
      <c r="P83">
        <v>1265616</v>
      </c>
    </row>
    <row r="84" spans="2:16" x14ac:dyDescent="0.2">
      <c r="C84" t="s">
        <v>1139</v>
      </c>
      <c r="D84" t="s">
        <v>1102</v>
      </c>
      <c r="E84">
        <v>1711375</v>
      </c>
      <c r="F84">
        <v>68240</v>
      </c>
      <c r="G84">
        <v>89876</v>
      </c>
      <c r="H84">
        <v>224086</v>
      </c>
      <c r="I84">
        <v>74420</v>
      </c>
      <c r="J84">
        <v>132145</v>
      </c>
      <c r="K84">
        <v>19554</v>
      </c>
      <c r="L84">
        <v>0</v>
      </c>
      <c r="M84">
        <v>0</v>
      </c>
      <c r="N84">
        <v>0</v>
      </c>
      <c r="O84">
        <v>0</v>
      </c>
      <c r="P84">
        <v>2319696</v>
      </c>
    </row>
    <row r="85" spans="2:16" x14ac:dyDescent="0.2">
      <c r="C85" t="s">
        <v>1140</v>
      </c>
      <c r="D85" t="s">
        <v>1102</v>
      </c>
      <c r="E85">
        <v>925496</v>
      </c>
      <c r="F85">
        <v>30206</v>
      </c>
      <c r="G85">
        <v>39782</v>
      </c>
      <c r="H85">
        <v>99194</v>
      </c>
      <c r="I85">
        <v>32941</v>
      </c>
      <c r="J85">
        <v>58495</v>
      </c>
      <c r="K85">
        <v>8654</v>
      </c>
      <c r="L85">
        <v>0</v>
      </c>
      <c r="M85">
        <v>0</v>
      </c>
      <c r="N85">
        <v>0</v>
      </c>
      <c r="O85">
        <v>0</v>
      </c>
      <c r="P85">
        <v>1194768</v>
      </c>
    </row>
    <row r="86" spans="2:16" x14ac:dyDescent="0.2">
      <c r="C86" t="s">
        <v>1156</v>
      </c>
      <c r="D86" t="s">
        <v>1102</v>
      </c>
      <c r="E86">
        <v>3594458</v>
      </c>
      <c r="F86">
        <v>132999</v>
      </c>
      <c r="G86">
        <v>175167</v>
      </c>
      <c r="H86">
        <v>436750</v>
      </c>
      <c r="I86">
        <v>145043</v>
      </c>
      <c r="K86">
        <v>38109</v>
      </c>
      <c r="L86">
        <v>0</v>
      </c>
      <c r="M86">
        <v>0</v>
      </c>
      <c r="N86">
        <v>0</v>
      </c>
      <c r="O86">
        <v>0</v>
      </c>
      <c r="P86">
        <v>4522526</v>
      </c>
    </row>
    <row r="87" spans="2:16" x14ac:dyDescent="0.2">
      <c r="B87" t="s">
        <v>992</v>
      </c>
      <c r="C87" t="s">
        <v>1138</v>
      </c>
      <c r="D87" t="s">
        <v>1102</v>
      </c>
    </row>
    <row r="88" spans="2:16" x14ac:dyDescent="0.2">
      <c r="C88" t="s">
        <v>1139</v>
      </c>
      <c r="D88" t="s">
        <v>1102</v>
      </c>
    </row>
    <row r="89" spans="2:16" x14ac:dyDescent="0.2">
      <c r="C89" t="s">
        <v>1140</v>
      </c>
      <c r="D89" t="s">
        <v>1102</v>
      </c>
    </row>
    <row r="90" spans="2:16" x14ac:dyDescent="0.2">
      <c r="C90" t="s">
        <v>1142</v>
      </c>
      <c r="D90" t="s">
        <v>1102</v>
      </c>
    </row>
    <row r="91" spans="2:16" x14ac:dyDescent="0.2">
      <c r="E91" t="s">
        <v>1190</v>
      </c>
      <c r="F91">
        <v>5010</v>
      </c>
      <c r="G91">
        <v>5020</v>
      </c>
      <c r="H91">
        <v>5500</v>
      </c>
      <c r="I91">
        <v>5510</v>
      </c>
      <c r="J91">
        <v>5530</v>
      </c>
      <c r="K91">
        <v>5540</v>
      </c>
      <c r="L91">
        <v>6000</v>
      </c>
      <c r="M91">
        <v>6010</v>
      </c>
      <c r="N91">
        <v>6020</v>
      </c>
      <c r="O91">
        <v>6030</v>
      </c>
      <c r="P91" t="s">
        <v>4</v>
      </c>
    </row>
    <row r="92" spans="2:16" x14ac:dyDescent="0.2">
      <c r="B92" t="s">
        <v>4</v>
      </c>
      <c r="C92" t="s">
        <v>1138</v>
      </c>
      <c r="D92" t="s">
        <v>1102</v>
      </c>
      <c r="E92">
        <v>957587</v>
      </c>
      <c r="F92">
        <v>34553</v>
      </c>
      <c r="G92">
        <v>45509</v>
      </c>
      <c r="H92">
        <v>113470</v>
      </c>
      <c r="I92">
        <v>37682</v>
      </c>
      <c r="J92">
        <v>66914</v>
      </c>
      <c r="K92">
        <v>9901</v>
      </c>
      <c r="L92">
        <v>0</v>
      </c>
      <c r="M92">
        <v>0</v>
      </c>
      <c r="N92">
        <v>0</v>
      </c>
      <c r="O92">
        <v>0</v>
      </c>
      <c r="P92">
        <v>1265616</v>
      </c>
    </row>
    <row r="93" spans="2:16" x14ac:dyDescent="0.2">
      <c r="C93" t="s">
        <v>1139</v>
      </c>
      <c r="D93" t="s">
        <v>1102</v>
      </c>
      <c r="E93">
        <v>1711375</v>
      </c>
      <c r="F93">
        <v>68240</v>
      </c>
      <c r="G93">
        <v>89876</v>
      </c>
      <c r="H93">
        <v>224086</v>
      </c>
      <c r="I93">
        <v>74420</v>
      </c>
      <c r="J93">
        <v>132145</v>
      </c>
      <c r="K93">
        <v>19554</v>
      </c>
      <c r="L93">
        <v>0</v>
      </c>
      <c r="M93">
        <v>0</v>
      </c>
      <c r="N93">
        <v>0</v>
      </c>
      <c r="O93">
        <v>0</v>
      </c>
      <c r="P93">
        <v>2319696</v>
      </c>
    </row>
    <row r="94" spans="2:16" x14ac:dyDescent="0.2">
      <c r="C94" t="s">
        <v>1140</v>
      </c>
      <c r="D94" t="s">
        <v>1102</v>
      </c>
      <c r="E94">
        <v>925496</v>
      </c>
      <c r="F94">
        <v>30206</v>
      </c>
      <c r="G94">
        <v>39782</v>
      </c>
      <c r="H94">
        <v>99194</v>
      </c>
      <c r="I94">
        <v>32941</v>
      </c>
      <c r="J94">
        <v>58495</v>
      </c>
      <c r="K94">
        <v>8654</v>
      </c>
      <c r="L94">
        <v>0</v>
      </c>
      <c r="M94">
        <v>0</v>
      </c>
      <c r="N94">
        <v>0</v>
      </c>
      <c r="O94">
        <v>0</v>
      </c>
      <c r="P94">
        <v>1194768</v>
      </c>
    </row>
    <row r="95" spans="2:16" x14ac:dyDescent="0.2">
      <c r="C95" t="s">
        <v>1145</v>
      </c>
      <c r="D95" t="s">
        <v>1102</v>
      </c>
      <c r="E95">
        <v>3594458</v>
      </c>
      <c r="F95">
        <v>132999</v>
      </c>
      <c r="G95">
        <v>175167</v>
      </c>
      <c r="H95">
        <v>436750</v>
      </c>
      <c r="I95">
        <v>145043</v>
      </c>
      <c r="J95">
        <v>257554</v>
      </c>
      <c r="K95">
        <v>38109</v>
      </c>
      <c r="L95">
        <v>0</v>
      </c>
      <c r="M95">
        <v>0</v>
      </c>
      <c r="N95">
        <v>0</v>
      </c>
      <c r="O95">
        <v>0</v>
      </c>
      <c r="P95">
        <v>4780080</v>
      </c>
    </row>
    <row r="96" spans="2:16" x14ac:dyDescent="0.2">
      <c r="F96">
        <v>5010</v>
      </c>
      <c r="G96">
        <v>5020</v>
      </c>
      <c r="H96">
        <v>5500</v>
      </c>
      <c r="I96">
        <v>5510</v>
      </c>
      <c r="J96">
        <v>5530</v>
      </c>
      <c r="K96">
        <v>5540</v>
      </c>
      <c r="L96">
        <v>6000</v>
      </c>
      <c r="M96">
        <v>6010</v>
      </c>
      <c r="N96">
        <v>6020</v>
      </c>
      <c r="O96">
        <v>6030</v>
      </c>
    </row>
    <row r="97" spans="2:16" x14ac:dyDescent="0.2">
      <c r="E97" t="s">
        <v>1157</v>
      </c>
      <c r="F97" t="s">
        <v>1146</v>
      </c>
      <c r="G97" t="s">
        <v>1147</v>
      </c>
      <c r="H97" t="s">
        <v>1148</v>
      </c>
      <c r="I97" t="s">
        <v>1149</v>
      </c>
      <c r="J97" t="s">
        <v>1150</v>
      </c>
      <c r="K97" t="s">
        <v>1151</v>
      </c>
      <c r="L97" t="s">
        <v>1152</v>
      </c>
      <c r="M97" t="s">
        <v>1153</v>
      </c>
      <c r="N97" t="s">
        <v>1154</v>
      </c>
      <c r="O97" t="s">
        <v>1155</v>
      </c>
      <c r="P97" t="s">
        <v>4</v>
      </c>
    </row>
    <row r="98" spans="2:16" x14ac:dyDescent="0.2">
      <c r="B98" t="s">
        <v>786</v>
      </c>
      <c r="D98" t="s">
        <v>1102</v>
      </c>
      <c r="E98">
        <v>531001</v>
      </c>
      <c r="F98">
        <v>93109</v>
      </c>
      <c r="G98">
        <v>139423</v>
      </c>
      <c r="H98">
        <v>380539</v>
      </c>
      <c r="I98">
        <v>92717</v>
      </c>
      <c r="J98">
        <v>149100</v>
      </c>
      <c r="K98">
        <v>0</v>
      </c>
      <c r="L98">
        <v>0</v>
      </c>
      <c r="M98">
        <v>0</v>
      </c>
      <c r="N98">
        <v>0</v>
      </c>
      <c r="O98">
        <v>0</v>
      </c>
      <c r="P98">
        <v>1385889</v>
      </c>
    </row>
    <row r="99" spans="2:16" x14ac:dyDescent="0.2">
      <c r="D99" t="s">
        <v>1102</v>
      </c>
      <c r="E99">
        <v>0</v>
      </c>
      <c r="P99">
        <v>0</v>
      </c>
    </row>
    <row r="100" spans="2:16" x14ac:dyDescent="0.2">
      <c r="B100" t="s">
        <v>796</v>
      </c>
      <c r="D100" t="s">
        <v>1102</v>
      </c>
      <c r="E100">
        <v>146368</v>
      </c>
      <c r="F100">
        <v>22917</v>
      </c>
      <c r="G100">
        <v>17464</v>
      </c>
      <c r="H100">
        <v>34754</v>
      </c>
      <c r="I100">
        <v>29417</v>
      </c>
      <c r="J100">
        <v>62092</v>
      </c>
      <c r="K100">
        <v>3128</v>
      </c>
      <c r="L100">
        <v>0</v>
      </c>
      <c r="M100">
        <v>0</v>
      </c>
      <c r="N100">
        <v>0</v>
      </c>
      <c r="O100">
        <v>0</v>
      </c>
      <c r="P100">
        <v>316140</v>
      </c>
    </row>
    <row r="101" spans="2:16" x14ac:dyDescent="0.2">
      <c r="D101" t="s">
        <v>1102</v>
      </c>
      <c r="E101">
        <v>0</v>
      </c>
      <c r="P101">
        <v>0</v>
      </c>
    </row>
    <row r="102" spans="2:16" x14ac:dyDescent="0.2">
      <c r="B102" t="s">
        <v>799</v>
      </c>
      <c r="D102" t="s">
        <v>1102</v>
      </c>
      <c r="E102">
        <v>124323</v>
      </c>
      <c r="F102">
        <v>15494</v>
      </c>
      <c r="G102">
        <v>15998</v>
      </c>
      <c r="H102">
        <v>20179</v>
      </c>
      <c r="I102">
        <v>21477</v>
      </c>
      <c r="J102">
        <v>43213</v>
      </c>
      <c r="K102">
        <v>26644</v>
      </c>
      <c r="L102">
        <v>0</v>
      </c>
      <c r="M102">
        <v>0</v>
      </c>
      <c r="N102">
        <v>0</v>
      </c>
      <c r="O102">
        <v>0</v>
      </c>
      <c r="P102">
        <v>267328</v>
      </c>
    </row>
    <row r="103" spans="2:16" x14ac:dyDescent="0.2">
      <c r="D103" t="s">
        <v>1102</v>
      </c>
      <c r="E103">
        <v>0</v>
      </c>
      <c r="P103">
        <v>0</v>
      </c>
    </row>
    <row r="104" spans="2:16" x14ac:dyDescent="0.2">
      <c r="B104" t="s">
        <v>802</v>
      </c>
      <c r="D104" t="s">
        <v>1102</v>
      </c>
      <c r="E104">
        <v>27462</v>
      </c>
      <c r="F104">
        <v>1479</v>
      </c>
      <c r="G104">
        <v>2282</v>
      </c>
      <c r="H104">
        <v>1278</v>
      </c>
      <c r="I104">
        <v>1432</v>
      </c>
      <c r="J104">
        <v>3149</v>
      </c>
      <c r="K104">
        <v>8337</v>
      </c>
      <c r="L104">
        <v>0</v>
      </c>
      <c r="M104">
        <v>0</v>
      </c>
      <c r="N104">
        <v>0</v>
      </c>
      <c r="O104">
        <v>0</v>
      </c>
      <c r="P104">
        <v>45419</v>
      </c>
    </row>
    <row r="105" spans="2:16" x14ac:dyDescent="0.2">
      <c r="D105" t="s">
        <v>1102</v>
      </c>
      <c r="E105">
        <v>0</v>
      </c>
      <c r="L105">
        <v>0</v>
      </c>
      <c r="P105">
        <v>0</v>
      </c>
    </row>
    <row r="106" spans="2:16" x14ac:dyDescent="0.2">
      <c r="B106" t="s">
        <v>158</v>
      </c>
      <c r="D106" t="s">
        <v>1102</v>
      </c>
      <c r="E106">
        <v>337904</v>
      </c>
      <c r="P106">
        <v>337904</v>
      </c>
    </row>
    <row r="107" spans="2:16" x14ac:dyDescent="0.2">
      <c r="D107" t="s">
        <v>1102</v>
      </c>
      <c r="E107">
        <v>0</v>
      </c>
      <c r="P107">
        <v>0</v>
      </c>
    </row>
    <row r="108" spans="2:16" x14ac:dyDescent="0.2">
      <c r="B108" t="s">
        <v>1163</v>
      </c>
      <c r="D108" t="s">
        <v>1102</v>
      </c>
      <c r="E108">
        <v>1034327</v>
      </c>
      <c r="P108">
        <v>1034327</v>
      </c>
    </row>
    <row r="109" spans="2:16" x14ac:dyDescent="0.2">
      <c r="D109" t="s">
        <v>1102</v>
      </c>
      <c r="E109">
        <v>0</v>
      </c>
      <c r="P109">
        <v>0</v>
      </c>
    </row>
    <row r="110" spans="2:16" x14ac:dyDescent="0.2">
      <c r="B110" t="s">
        <v>1164</v>
      </c>
      <c r="D110" t="s">
        <v>1102</v>
      </c>
      <c r="E110">
        <v>318307</v>
      </c>
      <c r="P110">
        <v>318307</v>
      </c>
    </row>
    <row r="111" spans="2:16" x14ac:dyDescent="0.2">
      <c r="D111" t="s">
        <v>1102</v>
      </c>
      <c r="E111">
        <v>0</v>
      </c>
      <c r="P111">
        <v>0</v>
      </c>
    </row>
    <row r="112" spans="2:16" x14ac:dyDescent="0.2">
      <c r="B112" t="s">
        <v>157</v>
      </c>
      <c r="D112" t="s">
        <v>1102</v>
      </c>
      <c r="E112">
        <v>1074766</v>
      </c>
      <c r="P112">
        <v>1074766</v>
      </c>
    </row>
    <row r="113" spans="2:16" x14ac:dyDescent="0.2">
      <c r="D113" t="s">
        <v>1102</v>
      </c>
      <c r="E113">
        <v>0</v>
      </c>
      <c r="P113">
        <v>0</v>
      </c>
    </row>
    <row r="114" spans="2:16" x14ac:dyDescent="0.2">
      <c r="B114" t="s">
        <v>18</v>
      </c>
      <c r="D114" t="s">
        <v>1102</v>
      </c>
      <c r="E114">
        <v>0</v>
      </c>
      <c r="P114">
        <v>0</v>
      </c>
    </row>
    <row r="115" spans="2:16" x14ac:dyDescent="0.2">
      <c r="C115" t="s">
        <v>1165</v>
      </c>
      <c r="D115" t="s">
        <v>1102</v>
      </c>
      <c r="E115">
        <v>0</v>
      </c>
      <c r="P115">
        <v>0</v>
      </c>
    </row>
    <row r="117" spans="2:16" x14ac:dyDescent="0.2">
      <c r="C117" t="s">
        <v>1166</v>
      </c>
      <c r="D117" t="s">
        <v>1102</v>
      </c>
      <c r="E117">
        <v>3594458</v>
      </c>
      <c r="F117">
        <v>132999</v>
      </c>
      <c r="G117">
        <v>175167</v>
      </c>
      <c r="H117">
        <v>436750</v>
      </c>
      <c r="I117">
        <v>145043</v>
      </c>
      <c r="J117">
        <v>257554</v>
      </c>
      <c r="K117">
        <v>38109</v>
      </c>
      <c r="L117">
        <v>0</v>
      </c>
      <c r="M117">
        <v>0</v>
      </c>
      <c r="N117">
        <v>0</v>
      </c>
      <c r="O117">
        <v>0</v>
      </c>
      <c r="P117">
        <v>4780080</v>
      </c>
    </row>
    <row r="118" spans="2:16" x14ac:dyDescent="0.2">
      <c r="E118" t="s">
        <v>1157</v>
      </c>
      <c r="F118" t="s">
        <v>1146</v>
      </c>
      <c r="G118" t="s">
        <v>1147</v>
      </c>
      <c r="H118" t="s">
        <v>1148</v>
      </c>
      <c r="I118" t="s">
        <v>1149</v>
      </c>
      <c r="K118" t="s">
        <v>1151</v>
      </c>
      <c r="L118" t="s">
        <v>1167</v>
      </c>
    </row>
    <row r="119" spans="2:16" x14ac:dyDescent="0.2">
      <c r="B119" t="s">
        <v>786</v>
      </c>
      <c r="C119" t="s">
        <v>1168</v>
      </c>
      <c r="D119" t="s">
        <v>1169</v>
      </c>
      <c r="E119">
        <v>169113.03903277693</v>
      </c>
      <c r="F119">
        <v>16158.441639680739</v>
      </c>
      <c r="G119">
        <v>14676.961772624243</v>
      </c>
      <c r="H119">
        <v>0</v>
      </c>
      <c r="I119">
        <v>0</v>
      </c>
      <c r="K119">
        <v>0</v>
      </c>
      <c r="L119">
        <v>199948.44244508189</v>
      </c>
    </row>
    <row r="120" spans="2:16" x14ac:dyDescent="0.2">
      <c r="C120" t="s">
        <v>1170</v>
      </c>
      <c r="D120" t="s">
        <v>1169</v>
      </c>
      <c r="E120">
        <v>0</v>
      </c>
      <c r="F120">
        <v>0</v>
      </c>
      <c r="G120">
        <v>0</v>
      </c>
      <c r="H120">
        <v>0</v>
      </c>
      <c r="I120">
        <v>0</v>
      </c>
      <c r="K120">
        <v>0</v>
      </c>
      <c r="L120">
        <v>0</v>
      </c>
    </row>
    <row r="121" spans="2:16" x14ac:dyDescent="0.2">
      <c r="B121" t="s">
        <v>796</v>
      </c>
      <c r="C121" t="s">
        <v>1171</v>
      </c>
      <c r="D121" t="s">
        <v>1169</v>
      </c>
      <c r="E121">
        <v>57406.896675541568</v>
      </c>
      <c r="F121">
        <v>2961.0177670429425</v>
      </c>
      <c r="G121">
        <v>1313.4454463434172</v>
      </c>
      <c r="H121">
        <v>0</v>
      </c>
      <c r="I121">
        <v>0</v>
      </c>
      <c r="K121">
        <v>0</v>
      </c>
      <c r="L121">
        <v>61681.359888927924</v>
      </c>
    </row>
    <row r="122" spans="2:16" x14ac:dyDescent="0.2">
      <c r="C122" t="s">
        <v>1172</v>
      </c>
      <c r="D122" t="s">
        <v>1169</v>
      </c>
      <c r="E122">
        <v>0</v>
      </c>
      <c r="F122">
        <v>0</v>
      </c>
      <c r="G122">
        <v>0</v>
      </c>
      <c r="H122">
        <v>0</v>
      </c>
      <c r="I122">
        <v>0</v>
      </c>
      <c r="K122">
        <v>0</v>
      </c>
      <c r="L122">
        <v>0</v>
      </c>
    </row>
    <row r="123" spans="2:16" x14ac:dyDescent="0.2">
      <c r="B123" t="s">
        <v>799</v>
      </c>
      <c r="C123" t="s">
        <v>1173</v>
      </c>
      <c r="D123" t="s">
        <v>1169</v>
      </c>
      <c r="E123">
        <v>67413.791700043934</v>
      </c>
      <c r="F123">
        <v>4159.3520188338916</v>
      </c>
      <c r="G123">
        <v>1263.7263539247756</v>
      </c>
      <c r="H123">
        <v>0</v>
      </c>
      <c r="I123">
        <v>0</v>
      </c>
      <c r="K123">
        <v>0</v>
      </c>
      <c r="L123">
        <v>72836.870072802601</v>
      </c>
    </row>
    <row r="124" spans="2:16" x14ac:dyDescent="0.2">
      <c r="C124" t="s">
        <v>1174</v>
      </c>
      <c r="D124" t="s">
        <v>1169</v>
      </c>
      <c r="E124">
        <v>0</v>
      </c>
      <c r="F124">
        <v>0</v>
      </c>
      <c r="G124">
        <v>0</v>
      </c>
      <c r="H124">
        <v>0</v>
      </c>
      <c r="I124">
        <v>0</v>
      </c>
      <c r="K124">
        <v>0</v>
      </c>
      <c r="L124">
        <v>0</v>
      </c>
    </row>
    <row r="125" spans="2:16" x14ac:dyDescent="0.2">
      <c r="B125" t="s">
        <v>802</v>
      </c>
      <c r="C125" t="s">
        <v>1175</v>
      </c>
      <c r="D125" t="s">
        <v>1169</v>
      </c>
      <c r="E125">
        <v>9878.8479251500321</v>
      </c>
      <c r="F125">
        <v>0</v>
      </c>
      <c r="G125">
        <v>0</v>
      </c>
      <c r="H125">
        <v>0</v>
      </c>
      <c r="I125">
        <v>0</v>
      </c>
      <c r="K125">
        <v>0</v>
      </c>
      <c r="L125">
        <v>9878.8479251500321</v>
      </c>
    </row>
    <row r="126" spans="2:16" x14ac:dyDescent="0.2">
      <c r="C126" t="s">
        <v>1176</v>
      </c>
      <c r="D126" t="s">
        <v>1169</v>
      </c>
      <c r="E126">
        <v>0</v>
      </c>
      <c r="F126">
        <v>0</v>
      </c>
      <c r="G126">
        <v>0</v>
      </c>
      <c r="H126">
        <v>0</v>
      </c>
      <c r="I126">
        <v>0</v>
      </c>
      <c r="K126">
        <v>0</v>
      </c>
      <c r="L126">
        <v>0</v>
      </c>
    </row>
    <row r="127" spans="2:16" x14ac:dyDescent="0.2">
      <c r="B127" t="s">
        <v>158</v>
      </c>
      <c r="C127" t="s">
        <v>1177</v>
      </c>
      <c r="D127" t="s">
        <v>1169</v>
      </c>
      <c r="E127">
        <v>25200.166358876148</v>
      </c>
      <c r="L127">
        <v>25200.166358876148</v>
      </c>
    </row>
    <row r="128" spans="2:16" x14ac:dyDescent="0.2">
      <c r="C128" t="s">
        <v>1178</v>
      </c>
      <c r="D128" t="s">
        <v>1169</v>
      </c>
      <c r="E128">
        <v>0</v>
      </c>
      <c r="L128">
        <v>0</v>
      </c>
    </row>
    <row r="129" spans="2:12" x14ac:dyDescent="0.2">
      <c r="B129" t="s">
        <v>1163</v>
      </c>
      <c r="C129" t="s">
        <v>1179</v>
      </c>
      <c r="D129" t="s">
        <v>1169</v>
      </c>
      <c r="E129">
        <v>84310.339930180038</v>
      </c>
      <c r="L129">
        <v>84310.339930180038</v>
      </c>
    </row>
    <row r="130" spans="2:12" x14ac:dyDescent="0.2">
      <c r="C130" t="s">
        <v>1180</v>
      </c>
      <c r="D130" t="s">
        <v>1169</v>
      </c>
      <c r="E130">
        <v>0</v>
      </c>
      <c r="L130">
        <v>0</v>
      </c>
    </row>
    <row r="131" spans="2:12" x14ac:dyDescent="0.2">
      <c r="B131" t="s">
        <v>1164</v>
      </c>
      <c r="C131" t="s">
        <v>1181</v>
      </c>
      <c r="D131" t="s">
        <v>1169</v>
      </c>
      <c r="E131">
        <v>36216.365303163999</v>
      </c>
      <c r="L131">
        <v>36216.365303163999</v>
      </c>
    </row>
    <row r="132" spans="2:12" x14ac:dyDescent="0.2">
      <c r="C132" t="s">
        <v>1182</v>
      </c>
      <c r="D132" t="s">
        <v>1169</v>
      </c>
      <c r="E132">
        <v>0</v>
      </c>
      <c r="L132">
        <v>0</v>
      </c>
    </row>
    <row r="133" spans="2:12" x14ac:dyDescent="0.2">
      <c r="B133" t="s">
        <v>157</v>
      </c>
      <c r="C133" t="s">
        <v>1183</v>
      </c>
      <c r="D133" t="s">
        <v>1169</v>
      </c>
      <c r="E133">
        <v>164210.14912315249</v>
      </c>
      <c r="L133">
        <v>164210.14912315249</v>
      </c>
    </row>
    <row r="134" spans="2:12" x14ac:dyDescent="0.2">
      <c r="C134" t="s">
        <v>1184</v>
      </c>
      <c r="D134" t="s">
        <v>1169</v>
      </c>
      <c r="E134">
        <v>0</v>
      </c>
      <c r="L134">
        <v>0</v>
      </c>
    </row>
    <row r="135" spans="2:12" x14ac:dyDescent="0.2">
      <c r="B135" t="s">
        <v>18</v>
      </c>
      <c r="C135" t="s">
        <v>1185</v>
      </c>
      <c r="D135" t="s">
        <v>1169</v>
      </c>
      <c r="E135">
        <v>0</v>
      </c>
      <c r="L135">
        <v>0</v>
      </c>
    </row>
    <row r="136" spans="2:12" x14ac:dyDescent="0.2">
      <c r="C136" t="s">
        <v>1165</v>
      </c>
      <c r="D136" t="s">
        <v>1169</v>
      </c>
      <c r="E136">
        <v>0</v>
      </c>
      <c r="F136">
        <v>0</v>
      </c>
      <c r="G136">
        <v>0</v>
      </c>
      <c r="H136">
        <v>0</v>
      </c>
      <c r="I136">
        <v>0</v>
      </c>
      <c r="K136">
        <v>0</v>
      </c>
      <c r="L136">
        <v>0</v>
      </c>
    </row>
    <row r="137" spans="2:12" x14ac:dyDescent="0.2">
      <c r="L137">
        <v>0</v>
      </c>
    </row>
    <row r="138" spans="2:12" x14ac:dyDescent="0.2">
      <c r="C138" t="s">
        <v>1186</v>
      </c>
      <c r="D138" t="s">
        <v>1169</v>
      </c>
      <c r="E138">
        <v>613749.59604888514</v>
      </c>
      <c r="F138">
        <v>23278.811425557575</v>
      </c>
      <c r="G138">
        <v>17254.133572892435</v>
      </c>
      <c r="H138">
        <v>0</v>
      </c>
      <c r="I138">
        <v>0</v>
      </c>
      <c r="K138">
        <v>0</v>
      </c>
      <c r="L138">
        <v>654282.54104733514</v>
      </c>
    </row>
    <row r="139" spans="2:12" x14ac:dyDescent="0.2">
      <c r="E139" t="s">
        <v>1157</v>
      </c>
      <c r="F139" t="s">
        <v>1146</v>
      </c>
      <c r="G139" t="s">
        <v>1147</v>
      </c>
      <c r="H139" t="s">
        <v>1148</v>
      </c>
      <c r="I139" t="s">
        <v>1149</v>
      </c>
      <c r="K139" t="s">
        <v>1151</v>
      </c>
      <c r="L139" t="s">
        <v>1167</v>
      </c>
    </row>
    <row r="140" spans="2:12" x14ac:dyDescent="0.2">
      <c r="B140" t="s">
        <v>786</v>
      </c>
      <c r="C140" t="s">
        <v>1168</v>
      </c>
      <c r="D140" t="s">
        <v>1187</v>
      </c>
      <c r="E140">
        <v>0.31847969972330925</v>
      </c>
      <c r="F140">
        <v>0.17354328410444467</v>
      </c>
      <c r="G140">
        <v>0.10526930113843658</v>
      </c>
      <c r="H140">
        <v>0</v>
      </c>
      <c r="I140">
        <v>0</v>
      </c>
      <c r="K140">
        <v>0</v>
      </c>
      <c r="L140">
        <v>0</v>
      </c>
    </row>
    <row r="141" spans="2:12" x14ac:dyDescent="0.2">
      <c r="C141" t="s">
        <v>1170</v>
      </c>
      <c r="D141" t="s">
        <v>1187</v>
      </c>
      <c r="E141">
        <v>0</v>
      </c>
      <c r="F141">
        <v>0</v>
      </c>
      <c r="G141">
        <v>0</v>
      </c>
      <c r="H141">
        <v>0</v>
      </c>
      <c r="I141">
        <v>0</v>
      </c>
      <c r="K141">
        <v>0</v>
      </c>
      <c r="L141">
        <v>0</v>
      </c>
    </row>
    <row r="142" spans="2:12" x14ac:dyDescent="0.2">
      <c r="B142" t="s">
        <v>796</v>
      </c>
      <c r="C142" t="s">
        <v>1171</v>
      </c>
      <c r="D142" t="s">
        <v>1187</v>
      </c>
      <c r="E142">
        <v>0.39220933998921598</v>
      </c>
      <c r="F142">
        <v>0.12920616865396617</v>
      </c>
      <c r="G142">
        <v>7.5208740628917609E-2</v>
      </c>
      <c r="H142">
        <v>0</v>
      </c>
      <c r="I142">
        <v>0</v>
      </c>
      <c r="K142">
        <v>0</v>
      </c>
      <c r="L142">
        <v>0</v>
      </c>
    </row>
    <row r="143" spans="2:12" x14ac:dyDescent="0.2">
      <c r="C143" t="s">
        <v>1172</v>
      </c>
      <c r="D143" t="s">
        <v>1187</v>
      </c>
      <c r="E143">
        <v>0</v>
      </c>
      <c r="F143">
        <v>0</v>
      </c>
      <c r="G143">
        <v>0</v>
      </c>
      <c r="H143">
        <v>0</v>
      </c>
      <c r="I143">
        <v>0</v>
      </c>
      <c r="K143">
        <v>0</v>
      </c>
      <c r="L143">
        <v>0</v>
      </c>
    </row>
    <row r="144" spans="2:12" x14ac:dyDescent="0.2">
      <c r="B144" t="s">
        <v>799</v>
      </c>
      <c r="C144" t="s">
        <v>1173</v>
      </c>
      <c r="D144" t="s">
        <v>1187</v>
      </c>
      <c r="E144">
        <v>0.5422471441329757</v>
      </c>
      <c r="F144">
        <v>0.26844920735987426</v>
      </c>
      <c r="G144">
        <v>7.8992771216700564E-2</v>
      </c>
      <c r="H144">
        <v>0</v>
      </c>
      <c r="I144">
        <v>0</v>
      </c>
      <c r="K144">
        <v>0</v>
      </c>
      <c r="L144">
        <v>0</v>
      </c>
    </row>
    <row r="145" spans="2:12" x14ac:dyDescent="0.2">
      <c r="C145" t="s">
        <v>1174</v>
      </c>
      <c r="D145" t="s">
        <v>1187</v>
      </c>
      <c r="E145">
        <v>0</v>
      </c>
      <c r="F145">
        <v>0</v>
      </c>
      <c r="G145">
        <v>0</v>
      </c>
      <c r="H145">
        <v>0</v>
      </c>
      <c r="I145">
        <v>0</v>
      </c>
      <c r="K145">
        <v>0</v>
      </c>
      <c r="L145">
        <v>0</v>
      </c>
    </row>
    <row r="146" spans="2:12" x14ac:dyDescent="0.2">
      <c r="B146" t="s">
        <v>802</v>
      </c>
      <c r="C146" t="s">
        <v>1175</v>
      </c>
      <c r="D146" t="s">
        <v>1187</v>
      </c>
      <c r="E146">
        <v>0.35972791221142059</v>
      </c>
      <c r="F146">
        <v>0</v>
      </c>
      <c r="G146">
        <v>0</v>
      </c>
      <c r="H146">
        <v>0</v>
      </c>
      <c r="I146">
        <v>0</v>
      </c>
      <c r="K146">
        <v>0</v>
      </c>
      <c r="L146">
        <v>0</v>
      </c>
    </row>
    <row r="147" spans="2:12" x14ac:dyDescent="0.2">
      <c r="C147" t="s">
        <v>1176</v>
      </c>
      <c r="D147" t="s">
        <v>1187</v>
      </c>
      <c r="E147">
        <v>0</v>
      </c>
      <c r="F147">
        <v>0</v>
      </c>
      <c r="G147">
        <v>0</v>
      </c>
      <c r="H147">
        <v>0</v>
      </c>
      <c r="I147">
        <v>0</v>
      </c>
      <c r="K147">
        <v>0</v>
      </c>
      <c r="L147">
        <v>0</v>
      </c>
    </row>
    <row r="148" spans="2:12" x14ac:dyDescent="0.2">
      <c r="B148" t="s">
        <v>158</v>
      </c>
      <c r="C148" t="s">
        <v>1177</v>
      </c>
      <c r="D148" t="s">
        <v>1187</v>
      </c>
      <c r="E148">
        <v>7.457788708886591E-2</v>
      </c>
      <c r="L148">
        <v>0</v>
      </c>
    </row>
    <row r="149" spans="2:12" x14ac:dyDescent="0.2">
      <c r="C149" t="s">
        <v>1178</v>
      </c>
      <c r="D149" t="s">
        <v>1187</v>
      </c>
      <c r="E149">
        <v>0</v>
      </c>
      <c r="L149">
        <v>0</v>
      </c>
    </row>
    <row r="150" spans="2:12" x14ac:dyDescent="0.2">
      <c r="B150" t="s">
        <v>1163</v>
      </c>
      <c r="C150" t="s">
        <v>1179</v>
      </c>
      <c r="D150" t="s">
        <v>1187</v>
      </c>
      <c r="E150">
        <v>8.1512268296370524E-2</v>
      </c>
      <c r="L150">
        <v>0</v>
      </c>
    </row>
    <row r="151" spans="2:12" x14ac:dyDescent="0.2">
      <c r="C151" t="s">
        <v>1180</v>
      </c>
      <c r="D151" t="s">
        <v>1187</v>
      </c>
      <c r="E151">
        <v>0</v>
      </c>
      <c r="L151">
        <v>0</v>
      </c>
    </row>
    <row r="152" spans="2:12" x14ac:dyDescent="0.2">
      <c r="B152" t="s">
        <v>1164</v>
      </c>
      <c r="C152" t="s">
        <v>1181</v>
      </c>
      <c r="D152" t="s">
        <v>1187</v>
      </c>
      <c r="E152">
        <v>0.1137780988264914</v>
      </c>
      <c r="L152">
        <v>0</v>
      </c>
    </row>
    <row r="153" spans="2:12" x14ac:dyDescent="0.2">
      <c r="C153" t="s">
        <v>1182</v>
      </c>
      <c r="D153" t="s">
        <v>1187</v>
      </c>
      <c r="E153">
        <v>0</v>
      </c>
      <c r="L153">
        <v>0</v>
      </c>
    </row>
    <row r="154" spans="2:12" x14ac:dyDescent="0.2">
      <c r="B154" t="s">
        <v>157</v>
      </c>
      <c r="C154" t="s">
        <v>1183</v>
      </c>
      <c r="D154" t="s">
        <v>1187</v>
      </c>
      <c r="E154">
        <v>0.15278688488764297</v>
      </c>
      <c r="L154">
        <v>0</v>
      </c>
    </row>
    <row r="155" spans="2:12" x14ac:dyDescent="0.2">
      <c r="C155" t="s">
        <v>1184</v>
      </c>
      <c r="D155" t="s">
        <v>1187</v>
      </c>
      <c r="E155">
        <v>0</v>
      </c>
      <c r="L155">
        <v>0</v>
      </c>
    </row>
    <row r="156" spans="2:12" x14ac:dyDescent="0.2">
      <c r="B156" t="s">
        <v>18</v>
      </c>
      <c r="C156" t="s">
        <v>1185</v>
      </c>
      <c r="D156" t="s">
        <v>1187</v>
      </c>
      <c r="E156">
        <v>0</v>
      </c>
      <c r="L156">
        <v>0</v>
      </c>
    </row>
    <row r="157" spans="2:12" x14ac:dyDescent="0.2">
      <c r="C157" t="s">
        <v>1165</v>
      </c>
      <c r="D157" t="s">
        <v>1187</v>
      </c>
      <c r="E157">
        <v>0</v>
      </c>
      <c r="L157">
        <v>0</v>
      </c>
    </row>
    <row r="159" spans="2:12" x14ac:dyDescent="0.2">
      <c r="C159" t="s">
        <v>1188</v>
      </c>
      <c r="D159" t="s">
        <v>1187</v>
      </c>
      <c r="E159">
        <v>0.17074885728220643</v>
      </c>
      <c r="F159">
        <v>0.17502997334985657</v>
      </c>
      <c r="G159">
        <v>9.8501050842295837E-2</v>
      </c>
      <c r="H159">
        <v>0</v>
      </c>
      <c r="I159">
        <v>0</v>
      </c>
      <c r="K159">
        <v>0</v>
      </c>
      <c r="L159">
        <v>0</v>
      </c>
    </row>
    <row r="161" spans="2:5" x14ac:dyDescent="0.2">
      <c r="C161" t="s">
        <v>1189</v>
      </c>
    </row>
    <row r="162" spans="2:5" x14ac:dyDescent="0.2">
      <c r="B162" t="s">
        <v>1106</v>
      </c>
      <c r="C162" t="s">
        <v>1116</v>
      </c>
      <c r="D162" t="s">
        <v>1187</v>
      </c>
      <c r="E162" t="e">
        <v>#REF!</v>
      </c>
    </row>
    <row r="163" spans="2:5" x14ac:dyDescent="0.2">
      <c r="C163" t="s">
        <v>1117</v>
      </c>
      <c r="D163" t="s">
        <v>1187</v>
      </c>
      <c r="E163" t="e">
        <v>#REF!</v>
      </c>
    </row>
    <row r="164" spans="2:5" x14ac:dyDescent="0.2">
      <c r="C164" t="s">
        <v>1118</v>
      </c>
      <c r="D164" t="s">
        <v>1187</v>
      </c>
      <c r="E164" t="e">
        <v>#REF!</v>
      </c>
    </row>
    <row r="165" spans="2:5" x14ac:dyDescent="0.2">
      <c r="C165" t="s">
        <v>1119</v>
      </c>
      <c r="D165" t="s">
        <v>1187</v>
      </c>
      <c r="E165" t="e">
        <v>#REF!</v>
      </c>
    </row>
    <row r="166" spans="2:5" x14ac:dyDescent="0.2">
      <c r="C166" t="s">
        <v>1120</v>
      </c>
      <c r="D166" t="s">
        <v>1187</v>
      </c>
      <c r="E166" t="e">
        <v>#REF!</v>
      </c>
    </row>
    <row r="167" spans="2:5" x14ac:dyDescent="0.2">
      <c r="C167" t="s">
        <v>1121</v>
      </c>
      <c r="D167" t="s">
        <v>1187</v>
      </c>
      <c r="E167" t="e">
        <v>#REF!</v>
      </c>
    </row>
    <row r="168" spans="2:5" x14ac:dyDescent="0.2">
      <c r="C168" t="s">
        <v>1122</v>
      </c>
      <c r="D168" t="s">
        <v>1187</v>
      </c>
      <c r="E168" t="e">
        <v>#REF!</v>
      </c>
    </row>
    <row r="169" spans="2:5" x14ac:dyDescent="0.2">
      <c r="C169" t="s">
        <v>1123</v>
      </c>
      <c r="D169" t="s">
        <v>1187</v>
      </c>
      <c r="E169" t="e">
        <v>#REF!</v>
      </c>
    </row>
    <row r="170" spans="2:5" x14ac:dyDescent="0.2">
      <c r="C170" t="s">
        <v>1101</v>
      </c>
      <c r="D170" t="s">
        <v>1187</v>
      </c>
      <c r="E170" t="e">
        <v>#REF!</v>
      </c>
    </row>
    <row r="171" spans="2:5" x14ac:dyDescent="0.2">
      <c r="C171" t="s">
        <v>1124</v>
      </c>
      <c r="D171" t="s">
        <v>1187</v>
      </c>
      <c r="E171" t="e">
        <v>#REF!</v>
      </c>
    </row>
    <row r="172" spans="2:5" x14ac:dyDescent="0.2">
      <c r="C172" t="s">
        <v>1125</v>
      </c>
      <c r="D172" t="s">
        <v>1187</v>
      </c>
      <c r="E172" t="e">
        <v>#REF!</v>
      </c>
    </row>
    <row r="173" spans="2:5" x14ac:dyDescent="0.2">
      <c r="C173" t="s">
        <v>1126</v>
      </c>
      <c r="D173" t="s">
        <v>1187</v>
      </c>
      <c r="E173" t="e">
        <v>#REF!</v>
      </c>
    </row>
    <row r="174" spans="2:5" x14ac:dyDescent="0.2">
      <c r="C174" t="s">
        <v>1127</v>
      </c>
      <c r="D174" t="s">
        <v>1187</v>
      </c>
      <c r="E174" t="e">
        <v>#REF!</v>
      </c>
    </row>
    <row r="175" spans="2:5" x14ac:dyDescent="0.2">
      <c r="C175" t="s">
        <v>1128</v>
      </c>
      <c r="D175" t="s">
        <v>1187</v>
      </c>
      <c r="E175" t="e">
        <v>#REF!</v>
      </c>
    </row>
    <row r="176" spans="2:5" x14ac:dyDescent="0.2">
      <c r="C176" t="s">
        <v>1129</v>
      </c>
      <c r="D176" t="s">
        <v>1187</v>
      </c>
      <c r="E176" t="e">
        <v>#REF!</v>
      </c>
    </row>
    <row r="177" spans="2:5" x14ac:dyDescent="0.2">
      <c r="C177" t="s">
        <v>1130</v>
      </c>
      <c r="D177" t="s">
        <v>1187</v>
      </c>
      <c r="E177" t="e">
        <v>#REF!</v>
      </c>
    </row>
    <row r="178" spans="2:5" x14ac:dyDescent="0.2">
      <c r="C178" t="s">
        <v>1108</v>
      </c>
      <c r="D178" t="s">
        <v>1187</v>
      </c>
      <c r="E178" t="e">
        <v>#REF!</v>
      </c>
    </row>
    <row r="179" spans="2:5" x14ac:dyDescent="0.2">
      <c r="C179" t="s">
        <v>1103</v>
      </c>
      <c r="D179" t="s">
        <v>1187</v>
      </c>
      <c r="E179" t="e">
        <v>#REF!</v>
      </c>
    </row>
    <row r="180" spans="2:5" x14ac:dyDescent="0.2">
      <c r="C180" t="s">
        <v>1131</v>
      </c>
      <c r="D180" t="s">
        <v>1187</v>
      </c>
      <c r="E180" t="e">
        <v>#REF!</v>
      </c>
    </row>
    <row r="181" spans="2:5" x14ac:dyDescent="0.2">
      <c r="C181" t="s">
        <v>1132</v>
      </c>
      <c r="D181" t="s">
        <v>1187</v>
      </c>
      <c r="E181" t="e">
        <v>#REF!</v>
      </c>
    </row>
    <row r="182" spans="2:5" x14ac:dyDescent="0.2">
      <c r="C182" t="s">
        <v>1133</v>
      </c>
      <c r="D182" t="s">
        <v>1187</v>
      </c>
      <c r="E182" t="e">
        <v>#REF!</v>
      </c>
    </row>
    <row r="183" spans="2:5" x14ac:dyDescent="0.2">
      <c r="C183" t="s">
        <v>1134</v>
      </c>
      <c r="D183" t="s">
        <v>1187</v>
      </c>
      <c r="E183" t="e">
        <v>#REF!</v>
      </c>
    </row>
    <row r="184" spans="2:5" x14ac:dyDescent="0.2">
      <c r="C184" t="s">
        <v>1135</v>
      </c>
      <c r="D184" t="s">
        <v>1187</v>
      </c>
      <c r="E184" t="e">
        <v>#REF!</v>
      </c>
    </row>
    <row r="185" spans="2:5" x14ac:dyDescent="0.2">
      <c r="C185" t="s">
        <v>1136</v>
      </c>
      <c r="D185" t="s">
        <v>1187</v>
      </c>
      <c r="E185" t="e">
        <v>#REF!</v>
      </c>
    </row>
    <row r="186" spans="2:5" x14ac:dyDescent="0.2">
      <c r="C186" t="s">
        <v>1137</v>
      </c>
      <c r="D186" t="s">
        <v>1187</v>
      </c>
      <c r="E186" t="e">
        <v>#REF!</v>
      </c>
    </row>
    <row r="187" spans="2:5" x14ac:dyDescent="0.2">
      <c r="C187" t="s">
        <v>1109</v>
      </c>
      <c r="D187" t="s">
        <v>1187</v>
      </c>
      <c r="E187" t="e">
        <v>#REF!</v>
      </c>
    </row>
    <row r="188" spans="2:5" x14ac:dyDescent="0.2">
      <c r="C188" t="s">
        <v>1104</v>
      </c>
      <c r="D188" t="s">
        <v>1187</v>
      </c>
      <c r="E188" t="e">
        <v>#REF!</v>
      </c>
    </row>
    <row r="189" spans="2:5" x14ac:dyDescent="0.2">
      <c r="B189" t="s">
        <v>992</v>
      </c>
      <c r="C189" t="s">
        <v>1116</v>
      </c>
      <c r="D189" t="s">
        <v>1187</v>
      </c>
      <c r="E189" t="e">
        <v>#REF!</v>
      </c>
    </row>
    <row r="190" spans="2:5" x14ac:dyDescent="0.2">
      <c r="C190" t="s">
        <v>1117</v>
      </c>
      <c r="D190" t="s">
        <v>1187</v>
      </c>
      <c r="E190" t="e">
        <v>#REF!</v>
      </c>
    </row>
    <row r="191" spans="2:5" x14ac:dyDescent="0.2">
      <c r="C191" t="s">
        <v>1118</v>
      </c>
      <c r="D191" t="s">
        <v>1187</v>
      </c>
      <c r="E191" t="e">
        <v>#REF!</v>
      </c>
    </row>
    <row r="192" spans="2:5" x14ac:dyDescent="0.2">
      <c r="C192" t="s">
        <v>1119</v>
      </c>
      <c r="D192" t="s">
        <v>1187</v>
      </c>
      <c r="E192" t="e">
        <v>#REF!</v>
      </c>
    </row>
    <row r="193" spans="3:5" x14ac:dyDescent="0.2">
      <c r="C193" t="s">
        <v>1120</v>
      </c>
      <c r="D193" t="s">
        <v>1187</v>
      </c>
      <c r="E193" t="e">
        <v>#REF!</v>
      </c>
    </row>
    <row r="194" spans="3:5" x14ac:dyDescent="0.2">
      <c r="C194" t="s">
        <v>1121</v>
      </c>
      <c r="D194" t="s">
        <v>1187</v>
      </c>
      <c r="E194" t="e">
        <v>#REF!</v>
      </c>
    </row>
    <row r="195" spans="3:5" x14ac:dyDescent="0.2">
      <c r="C195" t="s">
        <v>1122</v>
      </c>
      <c r="D195" t="s">
        <v>1187</v>
      </c>
      <c r="E195" t="e">
        <v>#REF!</v>
      </c>
    </row>
    <row r="196" spans="3:5" x14ac:dyDescent="0.2">
      <c r="C196" t="s">
        <v>1123</v>
      </c>
      <c r="D196" t="s">
        <v>1187</v>
      </c>
      <c r="E196" t="e">
        <v>#REF!</v>
      </c>
    </row>
    <row r="197" spans="3:5" x14ac:dyDescent="0.2">
      <c r="C197" t="s">
        <v>1101</v>
      </c>
      <c r="D197" t="s">
        <v>1187</v>
      </c>
      <c r="E197" t="e">
        <v>#REF!</v>
      </c>
    </row>
    <row r="198" spans="3:5" x14ac:dyDescent="0.2">
      <c r="C198" t="s">
        <v>1124</v>
      </c>
      <c r="D198" t="s">
        <v>1187</v>
      </c>
      <c r="E198" t="e">
        <v>#REF!</v>
      </c>
    </row>
    <row r="199" spans="3:5" x14ac:dyDescent="0.2">
      <c r="C199" t="s">
        <v>1125</v>
      </c>
      <c r="D199" t="s">
        <v>1187</v>
      </c>
      <c r="E199" t="e">
        <v>#REF!</v>
      </c>
    </row>
    <row r="200" spans="3:5" x14ac:dyDescent="0.2">
      <c r="C200" t="s">
        <v>1126</v>
      </c>
      <c r="D200" t="s">
        <v>1187</v>
      </c>
      <c r="E200" t="e">
        <v>#REF!</v>
      </c>
    </row>
    <row r="201" spans="3:5" x14ac:dyDescent="0.2">
      <c r="C201" t="s">
        <v>1127</v>
      </c>
      <c r="D201" t="s">
        <v>1187</v>
      </c>
      <c r="E201" t="e">
        <v>#REF!</v>
      </c>
    </row>
    <row r="202" spans="3:5" x14ac:dyDescent="0.2">
      <c r="C202" t="s">
        <v>1128</v>
      </c>
      <c r="D202" t="s">
        <v>1187</v>
      </c>
      <c r="E202" t="e">
        <v>#REF!</v>
      </c>
    </row>
    <row r="203" spans="3:5" x14ac:dyDescent="0.2">
      <c r="C203" t="s">
        <v>1129</v>
      </c>
      <c r="D203" t="s">
        <v>1187</v>
      </c>
      <c r="E203" t="e">
        <v>#REF!</v>
      </c>
    </row>
    <row r="204" spans="3:5" x14ac:dyDescent="0.2">
      <c r="C204" t="s">
        <v>1130</v>
      </c>
      <c r="D204" t="s">
        <v>1187</v>
      </c>
      <c r="E204" t="e">
        <v>#REF!</v>
      </c>
    </row>
    <row r="205" spans="3:5" x14ac:dyDescent="0.2">
      <c r="C205" t="s">
        <v>1108</v>
      </c>
      <c r="D205" t="s">
        <v>1187</v>
      </c>
      <c r="E205" t="e">
        <v>#REF!</v>
      </c>
    </row>
    <row r="206" spans="3:5" x14ac:dyDescent="0.2">
      <c r="C206" t="s">
        <v>1103</v>
      </c>
      <c r="D206" t="s">
        <v>1187</v>
      </c>
      <c r="E206" t="e">
        <v>#REF!</v>
      </c>
    </row>
    <row r="207" spans="3:5" x14ac:dyDescent="0.2">
      <c r="C207" t="s">
        <v>1131</v>
      </c>
      <c r="D207" t="s">
        <v>1187</v>
      </c>
      <c r="E207" t="e">
        <v>#REF!</v>
      </c>
    </row>
    <row r="208" spans="3:5" x14ac:dyDescent="0.2">
      <c r="C208" t="s">
        <v>1132</v>
      </c>
      <c r="D208" t="s">
        <v>1187</v>
      </c>
      <c r="E208" t="e">
        <v>#REF!</v>
      </c>
    </row>
    <row r="209" spans="3:5" x14ac:dyDescent="0.2">
      <c r="C209" t="s">
        <v>1133</v>
      </c>
      <c r="D209" t="s">
        <v>1187</v>
      </c>
      <c r="E209" t="e">
        <v>#REF!</v>
      </c>
    </row>
    <row r="210" spans="3:5" x14ac:dyDescent="0.2">
      <c r="C210" t="s">
        <v>1134</v>
      </c>
      <c r="D210" t="s">
        <v>1187</v>
      </c>
      <c r="E210" t="e">
        <v>#REF!</v>
      </c>
    </row>
    <row r="211" spans="3:5" x14ac:dyDescent="0.2">
      <c r="C211" t="s">
        <v>1135</v>
      </c>
      <c r="D211" t="s">
        <v>1187</v>
      </c>
      <c r="E211" t="e">
        <v>#REF!</v>
      </c>
    </row>
    <row r="212" spans="3:5" x14ac:dyDescent="0.2">
      <c r="C212" t="s">
        <v>1136</v>
      </c>
      <c r="D212" t="s">
        <v>1187</v>
      </c>
      <c r="E212" t="e">
        <v>#REF!</v>
      </c>
    </row>
    <row r="213" spans="3:5" x14ac:dyDescent="0.2">
      <c r="C213" t="s">
        <v>1137</v>
      </c>
      <c r="D213" t="s">
        <v>1187</v>
      </c>
      <c r="E213" t="e">
        <v>#REF!</v>
      </c>
    </row>
    <row r="214" spans="3:5" x14ac:dyDescent="0.2">
      <c r="C214" t="s">
        <v>1109</v>
      </c>
      <c r="D214" t="s">
        <v>1187</v>
      </c>
      <c r="E214" t="e">
        <v>#REF!</v>
      </c>
    </row>
    <row r="215" spans="3:5" x14ac:dyDescent="0.2">
      <c r="C215" t="s">
        <v>1104</v>
      </c>
      <c r="D215" t="s">
        <v>1187</v>
      </c>
      <c r="E215" t="e">
        <v>#REF!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24"/>
  <dimension ref="A1:P263"/>
  <sheetViews>
    <sheetView topLeftCell="C51" workbookViewId="0">
      <selection activeCell="C46" sqref="C46"/>
    </sheetView>
  </sheetViews>
  <sheetFormatPr baseColWidth="10" defaultColWidth="11.42578125" defaultRowHeight="15" x14ac:dyDescent="0.2"/>
  <cols>
    <col min="1" max="1" width="11.42578125" style="9"/>
    <col min="2" max="2" width="25.5703125" style="9" hidden="1" customWidth="1"/>
    <col min="3" max="3" width="45.5703125" style="9" customWidth="1"/>
    <col min="4" max="4" width="18.5703125" style="12" customWidth="1"/>
    <col min="5" max="5" width="25.42578125" style="351" customWidth="1"/>
    <col min="6" max="6" width="25.42578125" style="9" customWidth="1"/>
    <col min="7" max="11" width="23.5703125" style="9" customWidth="1"/>
    <col min="12" max="12" width="26.42578125" style="9" customWidth="1"/>
    <col min="13" max="13" width="22" style="9" bestFit="1" customWidth="1"/>
    <col min="14" max="14" width="33" style="9" bestFit="1" customWidth="1"/>
    <col min="15" max="15" width="24.42578125" style="9" bestFit="1" customWidth="1"/>
    <col min="16" max="16" width="31.5703125" style="9" customWidth="1"/>
    <col min="17" max="16384" width="11.42578125" style="9"/>
  </cols>
  <sheetData>
    <row r="1" spans="1:11" ht="139.5" customHeight="1" thickBot="1" x14ac:dyDescent="0.25">
      <c r="A1" s="5764" t="s">
        <v>1090</v>
      </c>
      <c r="B1" s="5765"/>
      <c r="C1" s="5765"/>
      <c r="D1" s="5765"/>
      <c r="E1" s="5765"/>
      <c r="F1" s="5765"/>
      <c r="G1" s="5765"/>
      <c r="H1" s="5765"/>
      <c r="I1" s="5765"/>
      <c r="J1" s="5766"/>
      <c r="K1" s="5767"/>
    </row>
    <row r="2" spans="1:11" ht="27" customHeight="1" x14ac:dyDescent="0.35">
      <c r="E2" s="269" t="s">
        <v>1091</v>
      </c>
      <c r="F2" s="270"/>
      <c r="G2" s="270"/>
    </row>
    <row r="3" spans="1:11" ht="27" customHeight="1" x14ac:dyDescent="0.25">
      <c r="D3" s="12" t="s">
        <v>1092</v>
      </c>
      <c r="E3" s="390">
        <v>42767</v>
      </c>
    </row>
    <row r="4" spans="1:11" ht="19.5" thickBot="1" x14ac:dyDescent="0.35">
      <c r="C4" s="271" t="s">
        <v>1093</v>
      </c>
      <c r="D4" s="272" t="s">
        <v>1094</v>
      </c>
      <c r="E4" s="273"/>
    </row>
    <row r="5" spans="1:11" ht="15.75" x14ac:dyDescent="0.25">
      <c r="A5" s="5724" t="s">
        <v>789</v>
      </c>
      <c r="B5" s="5727" t="s">
        <v>834</v>
      </c>
      <c r="C5" s="274" t="s">
        <v>1096</v>
      </c>
      <c r="D5" s="275" t="s">
        <v>1097</v>
      </c>
      <c r="E5" s="282"/>
    </row>
    <row r="6" spans="1:11" ht="15.75" x14ac:dyDescent="0.25">
      <c r="A6" s="5725"/>
      <c r="B6" s="5728"/>
      <c r="C6" s="276" t="s">
        <v>1098</v>
      </c>
      <c r="D6" s="277" t="s">
        <v>1097</v>
      </c>
      <c r="E6" s="282"/>
    </row>
    <row r="7" spans="1:11" ht="16.5" thickBot="1" x14ac:dyDescent="0.3">
      <c r="A7" s="5726"/>
      <c r="B7" s="5729"/>
      <c r="C7" s="278" t="s">
        <v>1099</v>
      </c>
      <c r="D7" s="279"/>
      <c r="E7" s="282"/>
    </row>
    <row r="8" spans="1:11" ht="15.75" x14ac:dyDescent="0.25">
      <c r="A8" s="5740" t="s">
        <v>1100</v>
      </c>
      <c r="B8" s="5743"/>
      <c r="C8" s="280" t="s">
        <v>1096</v>
      </c>
      <c r="D8" s="281" t="s">
        <v>1097</v>
      </c>
      <c r="E8" s="282"/>
    </row>
    <row r="9" spans="1:11" ht="15.75" x14ac:dyDescent="0.25">
      <c r="A9" s="5741"/>
      <c r="B9" s="5744"/>
      <c r="C9" s="283" t="s">
        <v>1098</v>
      </c>
      <c r="D9" s="284" t="s">
        <v>1097</v>
      </c>
      <c r="E9" s="282"/>
    </row>
    <row r="10" spans="1:11" ht="16.5" thickBot="1" x14ac:dyDescent="0.3">
      <c r="A10" s="5741"/>
      <c r="B10" s="5744"/>
      <c r="C10" s="285" t="s">
        <v>1101</v>
      </c>
      <c r="D10" s="286" t="s">
        <v>1102</v>
      </c>
      <c r="E10" s="287">
        <f>+'[2] SECCION I-II'!F154</f>
        <v>0</v>
      </c>
    </row>
    <row r="11" spans="1:11" ht="16.5" thickBot="1" x14ac:dyDescent="0.3">
      <c r="A11" s="5741"/>
      <c r="B11" s="5744"/>
      <c r="C11" s="285" t="s">
        <v>1103</v>
      </c>
      <c r="D11" s="286" t="s">
        <v>1102</v>
      </c>
      <c r="E11" s="287">
        <f>+'[2] SECCION I-II'!H154</f>
        <v>0</v>
      </c>
    </row>
    <row r="12" spans="1:11" ht="16.5" thickBot="1" x14ac:dyDescent="0.3">
      <c r="A12" s="5742"/>
      <c r="B12" s="5745"/>
      <c r="C12" s="285" t="s">
        <v>1104</v>
      </c>
      <c r="D12" s="288" t="s">
        <v>1102</v>
      </c>
      <c r="E12" s="287">
        <f>+'[2] SECCION I-II'!G154</f>
        <v>0</v>
      </c>
    </row>
    <row r="13" spans="1:11" ht="16.5" hidden="1" customHeight="1" x14ac:dyDescent="0.25">
      <c r="A13" s="5746" t="s">
        <v>1100</v>
      </c>
      <c r="B13" s="5749" t="s">
        <v>992</v>
      </c>
      <c r="C13" s="289" t="s">
        <v>1096</v>
      </c>
      <c r="D13" s="290" t="s">
        <v>1097</v>
      </c>
      <c r="E13" s="291"/>
    </row>
    <row r="14" spans="1:11" ht="16.5" hidden="1" thickBot="1" x14ac:dyDescent="0.3">
      <c r="A14" s="5747"/>
      <c r="B14" s="5750"/>
      <c r="C14" s="292" t="s">
        <v>1098</v>
      </c>
      <c r="D14" s="293" t="s">
        <v>1097</v>
      </c>
      <c r="E14" s="291"/>
    </row>
    <row r="15" spans="1:11" ht="16.5" hidden="1" thickBot="1" x14ac:dyDescent="0.3">
      <c r="A15" s="5747"/>
      <c r="B15" s="5750"/>
      <c r="C15" s="294" t="s">
        <v>1101</v>
      </c>
      <c r="D15" s="293" t="s">
        <v>1102</v>
      </c>
      <c r="E15" s="291"/>
    </row>
    <row r="16" spans="1:11" ht="16.5" hidden="1" thickBot="1" x14ac:dyDescent="0.3">
      <c r="A16" s="5747"/>
      <c r="B16" s="5750"/>
      <c r="C16" s="294" t="s">
        <v>1103</v>
      </c>
      <c r="D16" s="293" t="s">
        <v>1102</v>
      </c>
      <c r="E16" s="291"/>
    </row>
    <row r="17" spans="1:15" ht="16.5" hidden="1" thickBot="1" x14ac:dyDescent="0.3">
      <c r="A17" s="5748"/>
      <c r="B17" s="5754"/>
      <c r="C17" s="294" t="s">
        <v>1104</v>
      </c>
      <c r="D17" s="295" t="s">
        <v>1102</v>
      </c>
      <c r="E17" s="291"/>
    </row>
    <row r="18" spans="1:15" ht="15.75" x14ac:dyDescent="0.25">
      <c r="A18" s="5755" t="s">
        <v>1105</v>
      </c>
      <c r="B18" s="5761" t="s">
        <v>1106</v>
      </c>
      <c r="C18" s="296" t="s">
        <v>1096</v>
      </c>
      <c r="D18" s="297" t="s">
        <v>1097</v>
      </c>
      <c r="E18" s="282"/>
    </row>
    <row r="19" spans="1:15" ht="15.75" x14ac:dyDescent="0.25">
      <c r="A19" s="5756"/>
      <c r="B19" s="5762"/>
      <c r="C19" s="298" t="s">
        <v>1098</v>
      </c>
      <c r="D19" s="299" t="s">
        <v>1097</v>
      </c>
      <c r="E19" s="282"/>
    </row>
    <row r="20" spans="1:15" ht="16.5" thickBot="1" x14ac:dyDescent="0.3">
      <c r="A20" s="5756"/>
      <c r="B20" s="5762"/>
      <c r="C20" s="300" t="s">
        <v>1107</v>
      </c>
      <c r="D20" s="301" t="s">
        <v>1102</v>
      </c>
      <c r="E20" s="287">
        <f>+'[2]Compra -HOJA1'!O114</f>
        <v>0</v>
      </c>
    </row>
    <row r="21" spans="1:15" ht="16.5" thickBot="1" x14ac:dyDescent="0.3">
      <c r="A21" s="5756"/>
      <c r="B21" s="5762"/>
      <c r="C21" s="302" t="s">
        <v>1108</v>
      </c>
      <c r="D21" s="301" t="s">
        <v>1102</v>
      </c>
      <c r="E21" s="287">
        <f>+'[2]Compra -HOJA1'!P114</f>
        <v>0</v>
      </c>
      <c r="F21" s="12">
        <v>5010</v>
      </c>
      <c r="G21" s="12">
        <v>5020</v>
      </c>
      <c r="H21" s="12">
        <v>5500</v>
      </c>
      <c r="I21" s="12">
        <v>5510</v>
      </c>
      <c r="J21" s="12">
        <v>5530</v>
      </c>
      <c r="K21" s="12">
        <v>5540</v>
      </c>
      <c r="L21" s="12">
        <v>6000</v>
      </c>
      <c r="M21" s="12">
        <v>6010</v>
      </c>
      <c r="N21" s="12">
        <v>6020</v>
      </c>
      <c r="O21" s="12">
        <v>6030</v>
      </c>
    </row>
    <row r="22" spans="1:15" ht="16.5" thickBot="1" x14ac:dyDescent="0.3">
      <c r="A22" s="5757"/>
      <c r="B22" s="5763"/>
      <c r="C22" s="300" t="s">
        <v>1109</v>
      </c>
      <c r="D22" s="303" t="s">
        <v>1102</v>
      </c>
      <c r="E22" s="304">
        <f>+'[2]Compra -HOJA1'!Q114</f>
        <v>0</v>
      </c>
      <c r="F22" s="305" t="s">
        <v>1146</v>
      </c>
      <c r="G22" s="306" t="s">
        <v>1147</v>
      </c>
      <c r="H22" s="391" t="s">
        <v>1148</v>
      </c>
      <c r="I22" s="391" t="s">
        <v>1149</v>
      </c>
      <c r="J22" s="391" t="s">
        <v>1150</v>
      </c>
      <c r="K22" s="392" t="s">
        <v>1151</v>
      </c>
      <c r="L22" s="391" t="s">
        <v>1152</v>
      </c>
      <c r="M22" s="391" t="s">
        <v>1153</v>
      </c>
      <c r="N22" s="391" t="s">
        <v>1154</v>
      </c>
      <c r="O22" s="392" t="s">
        <v>1155</v>
      </c>
    </row>
    <row r="23" spans="1:15" ht="16.5" hidden="1" thickBot="1" x14ac:dyDescent="0.3">
      <c r="A23" s="5746" t="s">
        <v>1105</v>
      </c>
      <c r="B23" s="5749" t="s">
        <v>992</v>
      </c>
      <c r="C23" s="289" t="s">
        <v>1096</v>
      </c>
      <c r="D23" s="290" t="s">
        <v>1097</v>
      </c>
      <c r="E23" s="291"/>
      <c r="H23" s="25"/>
      <c r="I23" s="25"/>
      <c r="J23" s="25"/>
      <c r="K23" s="25"/>
    </row>
    <row r="24" spans="1:15" ht="16.5" hidden="1" thickBot="1" x14ac:dyDescent="0.3">
      <c r="A24" s="5747"/>
      <c r="B24" s="5750"/>
      <c r="C24" s="292" t="s">
        <v>1098</v>
      </c>
      <c r="D24" s="293" t="s">
        <v>1097</v>
      </c>
      <c r="E24" s="291"/>
      <c r="H24" s="25"/>
      <c r="I24" s="25"/>
      <c r="J24" s="25"/>
      <c r="K24" s="25"/>
    </row>
    <row r="25" spans="1:15" ht="16.5" hidden="1" thickBot="1" x14ac:dyDescent="0.3">
      <c r="A25" s="5747"/>
      <c r="B25" s="5750"/>
      <c r="C25" s="307" t="s">
        <v>1107</v>
      </c>
      <c r="D25" s="293" t="s">
        <v>1102</v>
      </c>
      <c r="E25" s="291"/>
      <c r="H25" s="25"/>
      <c r="I25" s="25"/>
      <c r="J25" s="25"/>
      <c r="K25" s="25"/>
    </row>
    <row r="26" spans="1:15" ht="16.5" hidden="1" thickBot="1" x14ac:dyDescent="0.3">
      <c r="A26" s="5747"/>
      <c r="B26" s="5750"/>
      <c r="C26" s="308" t="s">
        <v>1108</v>
      </c>
      <c r="D26" s="293" t="s">
        <v>1102</v>
      </c>
      <c r="E26" s="291"/>
      <c r="H26" s="25"/>
      <c r="I26" s="25"/>
      <c r="J26" s="25"/>
      <c r="K26" s="25"/>
    </row>
    <row r="27" spans="1:15" ht="16.5" hidden="1" thickBot="1" x14ac:dyDescent="0.3">
      <c r="A27" s="5748"/>
      <c r="B27" s="5751"/>
      <c r="C27" s="307" t="s">
        <v>1109</v>
      </c>
      <c r="D27" s="295" t="s">
        <v>1102</v>
      </c>
      <c r="E27" s="291"/>
      <c r="H27" s="25"/>
      <c r="I27" s="25"/>
      <c r="J27" s="25"/>
      <c r="K27" s="25"/>
    </row>
    <row r="28" spans="1:15" ht="15.75" customHeight="1" x14ac:dyDescent="0.25">
      <c r="A28" s="5752" t="s">
        <v>1115</v>
      </c>
      <c r="B28" s="5768" t="s">
        <v>1106</v>
      </c>
      <c r="C28" s="309" t="s">
        <v>1116</v>
      </c>
      <c r="D28" s="310" t="s">
        <v>1102</v>
      </c>
      <c r="E28" s="287">
        <f ca="1">+'PARA 870'!E28-'P870'!E28</f>
        <v>0</v>
      </c>
      <c r="F28" s="287" t="e">
        <f>+'PARA 870'!#REF!-'P870'!F28</f>
        <v>#REF!</v>
      </c>
      <c r="G28" s="287">
        <f ca="1">+'PARA 870'!I28-'P870'!G28</f>
        <v>0</v>
      </c>
      <c r="H28" s="287">
        <f ca="1">+'PARA 870'!J28-'P870'!H28</f>
        <v>0</v>
      </c>
      <c r="I28" s="287" t="e">
        <f>+'PARA 870'!#REF!-'P870'!I28</f>
        <v>#REF!</v>
      </c>
      <c r="J28" s="287" t="e">
        <f>+'PARA 870'!#REF!-'P870'!J28</f>
        <v>#REF!</v>
      </c>
      <c r="K28" s="287" t="e">
        <f>+'PARA 870'!#REF!-'P870'!K28</f>
        <v>#REF!</v>
      </c>
      <c r="L28" s="287">
        <f ca="1">+'PARA 870'!K28-'P870'!L28</f>
        <v>0</v>
      </c>
      <c r="M28" s="287" t="e">
        <f>+'PARA 870'!#REF!-'P870'!M28</f>
        <v>#REF!</v>
      </c>
      <c r="N28" s="287" t="e">
        <f>+'PARA 870'!#REF!-'P870'!N28</f>
        <v>#REF!</v>
      </c>
      <c r="O28" s="287" t="e">
        <f>+'PARA 870'!#REF!-'P870'!O28</f>
        <v>#REF!</v>
      </c>
    </row>
    <row r="29" spans="1:15" ht="15.75" x14ac:dyDescent="0.25">
      <c r="A29" s="5753"/>
      <c r="B29" s="5768"/>
      <c r="C29" s="311" t="s">
        <v>1117</v>
      </c>
      <c r="D29" s="312" t="s">
        <v>1102</v>
      </c>
      <c r="E29" s="287">
        <f ca="1">+'PARA 870'!E29-'P870'!E29</f>
        <v>0</v>
      </c>
      <c r="F29" s="287" t="e">
        <f>+'PARA 870'!#REF!-'P870'!F29</f>
        <v>#REF!</v>
      </c>
      <c r="G29" s="287">
        <f ca="1">+'PARA 870'!I29-'P870'!G29</f>
        <v>0</v>
      </c>
      <c r="H29" s="287">
        <f ca="1">+'PARA 870'!J29-'P870'!H29</f>
        <v>0</v>
      </c>
      <c r="I29" s="287" t="e">
        <f>+'PARA 870'!#REF!-'P870'!I29</f>
        <v>#REF!</v>
      </c>
      <c r="J29" s="287" t="e">
        <f>+'PARA 870'!#REF!-'P870'!J29</f>
        <v>#REF!</v>
      </c>
      <c r="K29" s="287" t="e">
        <f>+'PARA 870'!#REF!-'P870'!K29</f>
        <v>#REF!</v>
      </c>
      <c r="L29" s="287" t="e">
        <f>+'PARA 870'!K29-'P870'!L29</f>
        <v>#REF!</v>
      </c>
      <c r="M29" s="287" t="e">
        <f>+'PARA 870'!#REF!-'P870'!M29</f>
        <v>#REF!</v>
      </c>
      <c r="N29" s="287" t="e">
        <f>+'PARA 870'!#REF!-'P870'!N29</f>
        <v>#REF!</v>
      </c>
      <c r="O29" s="287" t="e">
        <f>+'PARA 870'!#REF!-'P870'!O29</f>
        <v>#REF!</v>
      </c>
    </row>
    <row r="30" spans="1:15" ht="15.75" x14ac:dyDescent="0.25">
      <c r="A30" s="5753"/>
      <c r="B30" s="5768"/>
      <c r="C30" s="311" t="s">
        <v>1118</v>
      </c>
      <c r="D30" s="312" t="s">
        <v>1102</v>
      </c>
      <c r="E30" s="287">
        <f ca="1">+'PARA 870'!E30-'P870'!E30</f>
        <v>0</v>
      </c>
      <c r="F30" s="287" t="e">
        <f>+'PARA 870'!#REF!-'P870'!F30</f>
        <v>#REF!</v>
      </c>
      <c r="G30" s="287">
        <f ca="1">+'PARA 870'!I30-'P870'!G30</f>
        <v>0</v>
      </c>
      <c r="H30" s="287">
        <f ca="1">+'PARA 870'!J30-'P870'!H30</f>
        <v>0</v>
      </c>
      <c r="I30" s="287" t="e">
        <f>+'PARA 870'!#REF!-'P870'!I30</f>
        <v>#REF!</v>
      </c>
      <c r="J30" s="287" t="e">
        <f>+'PARA 870'!#REF!-'P870'!J30</f>
        <v>#REF!</v>
      </c>
      <c r="K30" s="287" t="e">
        <f>+'PARA 870'!#REF!-'P870'!K30</f>
        <v>#REF!</v>
      </c>
      <c r="L30" s="287">
        <f ca="1">+'PARA 870'!K30-'P870'!L30</f>
        <v>0</v>
      </c>
      <c r="M30" s="287" t="e">
        <f>+'PARA 870'!#REF!-'P870'!M30</f>
        <v>#REF!</v>
      </c>
      <c r="N30" s="287" t="e">
        <f>+'PARA 870'!#REF!-'P870'!N30</f>
        <v>#REF!</v>
      </c>
      <c r="O30" s="287" t="e">
        <f>+'PARA 870'!#REF!-'P870'!O30</f>
        <v>#REF!</v>
      </c>
    </row>
    <row r="31" spans="1:15" ht="15.75" x14ac:dyDescent="0.25">
      <c r="A31" s="5753"/>
      <c r="B31" s="5768"/>
      <c r="C31" s="311" t="s">
        <v>1119</v>
      </c>
      <c r="D31" s="312" t="s">
        <v>1102</v>
      </c>
      <c r="E31" s="287">
        <f ca="1">+'PARA 870'!E31-'P870'!E31</f>
        <v>0</v>
      </c>
      <c r="F31" s="287" t="e">
        <f>+'PARA 870'!#REF!-'P870'!F31</f>
        <v>#REF!</v>
      </c>
      <c r="G31" s="287">
        <f ca="1">+'PARA 870'!I31-'P870'!G31</f>
        <v>0</v>
      </c>
      <c r="H31" s="287">
        <f ca="1">+'PARA 870'!J31-'P870'!H31</f>
        <v>0</v>
      </c>
      <c r="I31" s="287" t="e">
        <f>+'PARA 870'!#REF!-'P870'!I31</f>
        <v>#REF!</v>
      </c>
      <c r="J31" s="287" t="e">
        <f>+'PARA 870'!#REF!-'P870'!J31</f>
        <v>#REF!</v>
      </c>
      <c r="K31" s="287" t="e">
        <f>+'PARA 870'!#REF!-'P870'!K31</f>
        <v>#REF!</v>
      </c>
      <c r="L31" s="287" t="e">
        <f>+'PARA 870'!K31-'P870'!L31</f>
        <v>#REF!</v>
      </c>
      <c r="M31" s="287" t="e">
        <f>+'PARA 870'!#REF!-'P870'!M31</f>
        <v>#REF!</v>
      </c>
      <c r="N31" s="287" t="e">
        <f>+'PARA 870'!#REF!-'P870'!N31</f>
        <v>#REF!</v>
      </c>
      <c r="O31" s="287" t="e">
        <f>+'PARA 870'!#REF!-'P870'!O31</f>
        <v>#REF!</v>
      </c>
    </row>
    <row r="32" spans="1:15" ht="15.75" x14ac:dyDescent="0.25">
      <c r="A32" s="5753"/>
      <c r="B32" s="5768"/>
      <c r="C32" s="311" t="s">
        <v>1120</v>
      </c>
      <c r="D32" s="312" t="s">
        <v>1102</v>
      </c>
      <c r="E32" s="287">
        <f>+'PARA 870'!E32-'P870'!E32</f>
        <v>0</v>
      </c>
      <c r="H32" s="25"/>
      <c r="I32" s="25"/>
      <c r="J32" s="25"/>
      <c r="K32" s="25"/>
    </row>
    <row r="33" spans="1:15" ht="15.75" x14ac:dyDescent="0.25">
      <c r="A33" s="5753"/>
      <c r="B33" s="5768"/>
      <c r="C33" s="311" t="s">
        <v>1121</v>
      </c>
      <c r="D33" s="312" t="s">
        <v>1102</v>
      </c>
      <c r="E33" s="287">
        <f ca="1">+'PARA 870'!E33-'P870'!E33</f>
        <v>0</v>
      </c>
      <c r="H33" s="25"/>
      <c r="I33" s="25"/>
      <c r="J33" s="25"/>
      <c r="K33" s="25"/>
    </row>
    <row r="34" spans="1:15" ht="15.75" x14ac:dyDescent="0.25">
      <c r="A34" s="5753"/>
      <c r="B34" s="5768"/>
      <c r="C34" s="311" t="s">
        <v>1122</v>
      </c>
      <c r="D34" s="312" t="s">
        <v>1102</v>
      </c>
      <c r="E34" s="287">
        <f ca="1">+'PARA 870'!E34-'P870'!E34</f>
        <v>0</v>
      </c>
      <c r="H34" s="25"/>
      <c r="I34" s="25"/>
      <c r="J34" s="25"/>
      <c r="K34" s="25"/>
    </row>
    <row r="35" spans="1:15" ht="16.5" thickBot="1" x14ac:dyDescent="0.3">
      <c r="A35" s="5753"/>
      <c r="B35" s="5768"/>
      <c r="C35" s="311" t="s">
        <v>1123</v>
      </c>
      <c r="D35" s="312" t="s">
        <v>1102</v>
      </c>
      <c r="E35" s="287">
        <f>+'PARA 870'!E35-'P870'!E35</f>
        <v>0</v>
      </c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spans="1:15" ht="16.5" thickBot="1" x14ac:dyDescent="0.3">
      <c r="A36" s="5753"/>
      <c r="B36" s="5768"/>
      <c r="C36" s="313" t="s">
        <v>1101</v>
      </c>
      <c r="D36" s="314" t="s">
        <v>1102</v>
      </c>
      <c r="E36" s="287">
        <f>+'PARA 870'!E36-'P870'!E36</f>
        <v>0</v>
      </c>
      <c r="F36" s="305" t="s">
        <v>1146</v>
      </c>
      <c r="G36" s="306" t="s">
        <v>1147</v>
      </c>
      <c r="H36" s="391" t="s">
        <v>1148</v>
      </c>
      <c r="I36" s="391" t="s">
        <v>1149</v>
      </c>
      <c r="J36" s="391" t="s">
        <v>1150</v>
      </c>
      <c r="K36" s="392" t="s">
        <v>1151</v>
      </c>
      <c r="L36" s="391" t="s">
        <v>1152</v>
      </c>
      <c r="M36" s="391" t="s">
        <v>1153</v>
      </c>
      <c r="N36" s="391" t="s">
        <v>1154</v>
      </c>
      <c r="O36" s="392" t="s">
        <v>1155</v>
      </c>
    </row>
    <row r="37" spans="1:15" ht="16.5" hidden="1" customHeight="1" x14ac:dyDescent="0.25">
      <c r="A37" s="5753"/>
      <c r="B37" s="5769" t="s">
        <v>992</v>
      </c>
      <c r="C37" s="316" t="s">
        <v>1116</v>
      </c>
      <c r="D37" s="317" t="s">
        <v>1102</v>
      </c>
      <c r="E37" s="287">
        <f>+'PARA 870'!E37-'P870'!E37</f>
        <v>0</v>
      </c>
      <c r="H37" s="25"/>
      <c r="I37" s="25"/>
      <c r="J37" s="25"/>
      <c r="K37" s="25"/>
    </row>
    <row r="38" spans="1:15" ht="16.5" hidden="1" customHeight="1" x14ac:dyDescent="0.25">
      <c r="A38" s="5753"/>
      <c r="B38" s="5769"/>
      <c r="C38" s="318" t="s">
        <v>1117</v>
      </c>
      <c r="D38" s="319" t="s">
        <v>1102</v>
      </c>
      <c r="E38" s="287">
        <f>+'PARA 870'!E38-'P870'!E38</f>
        <v>0</v>
      </c>
      <c r="H38" s="25"/>
      <c r="I38" s="25"/>
      <c r="J38" s="25"/>
      <c r="K38" s="25"/>
    </row>
    <row r="39" spans="1:15" ht="16.5" hidden="1" customHeight="1" x14ac:dyDescent="0.25">
      <c r="A39" s="5753"/>
      <c r="B39" s="5769"/>
      <c r="C39" s="318" t="s">
        <v>1118</v>
      </c>
      <c r="D39" s="319" t="s">
        <v>1102</v>
      </c>
      <c r="E39" s="287">
        <f>+'PARA 870'!E39-'P870'!E39</f>
        <v>0</v>
      </c>
      <c r="H39" s="25"/>
      <c r="I39" s="25"/>
      <c r="J39" s="25"/>
      <c r="K39" s="25"/>
    </row>
    <row r="40" spans="1:15" ht="16.5" hidden="1" customHeight="1" x14ac:dyDescent="0.25">
      <c r="A40" s="5753"/>
      <c r="B40" s="5769"/>
      <c r="C40" s="318" t="s">
        <v>1119</v>
      </c>
      <c r="D40" s="319" t="s">
        <v>1102</v>
      </c>
      <c r="E40" s="287">
        <f>+'PARA 870'!E40-'P870'!E40</f>
        <v>0</v>
      </c>
      <c r="H40" s="25"/>
      <c r="I40" s="25"/>
      <c r="J40" s="25"/>
      <c r="K40" s="25"/>
    </row>
    <row r="41" spans="1:15" ht="16.5" hidden="1" customHeight="1" x14ac:dyDescent="0.25">
      <c r="A41" s="5753"/>
      <c r="B41" s="5769"/>
      <c r="C41" s="318" t="s">
        <v>1120</v>
      </c>
      <c r="D41" s="319" t="s">
        <v>1102</v>
      </c>
      <c r="E41" s="287">
        <f>+'PARA 870'!E41-'P870'!E41</f>
        <v>0</v>
      </c>
      <c r="H41" s="25"/>
      <c r="I41" s="25"/>
      <c r="J41" s="25"/>
      <c r="K41" s="25"/>
    </row>
    <row r="42" spans="1:15" ht="16.5" hidden="1" customHeight="1" x14ac:dyDescent="0.25">
      <c r="A42" s="5753"/>
      <c r="B42" s="5769"/>
      <c r="C42" s="318" t="s">
        <v>1121</v>
      </c>
      <c r="D42" s="319" t="s">
        <v>1102</v>
      </c>
      <c r="E42" s="287">
        <f>+'PARA 870'!E42-'P870'!E42</f>
        <v>0</v>
      </c>
      <c r="H42" s="25"/>
      <c r="I42" s="25"/>
      <c r="J42" s="25"/>
      <c r="K42" s="25"/>
    </row>
    <row r="43" spans="1:15" ht="16.5" hidden="1" customHeight="1" x14ac:dyDescent="0.25">
      <c r="A43" s="5753"/>
      <c r="B43" s="5769"/>
      <c r="C43" s="318" t="s">
        <v>1122</v>
      </c>
      <c r="D43" s="319" t="s">
        <v>1102</v>
      </c>
      <c r="E43" s="287">
        <f>+'PARA 870'!E43-'P870'!E43</f>
        <v>0</v>
      </c>
      <c r="H43" s="25"/>
      <c r="I43" s="25"/>
      <c r="J43" s="25"/>
      <c r="K43" s="25"/>
    </row>
    <row r="44" spans="1:15" ht="16.5" hidden="1" customHeight="1" x14ac:dyDescent="0.25">
      <c r="A44" s="5753"/>
      <c r="B44" s="5769"/>
      <c r="C44" s="318" t="s">
        <v>1123</v>
      </c>
      <c r="D44" s="319" t="s">
        <v>1102</v>
      </c>
      <c r="E44" s="287">
        <f>+'PARA 870'!E44-'P870'!E44</f>
        <v>0</v>
      </c>
      <c r="H44" s="25"/>
      <c r="I44" s="25"/>
      <c r="J44" s="25"/>
      <c r="K44" s="25"/>
    </row>
    <row r="45" spans="1:15" ht="16.5" hidden="1" customHeight="1" x14ac:dyDescent="0.25">
      <c r="A45" s="5753"/>
      <c r="B45" s="5769"/>
      <c r="C45" s="320" t="s">
        <v>1101</v>
      </c>
      <c r="D45" s="321" t="s">
        <v>1102</v>
      </c>
      <c r="E45" s="287">
        <f>+'PARA 870'!E45-'P870'!E45</f>
        <v>0</v>
      </c>
      <c r="H45" s="25"/>
      <c r="I45" s="25"/>
      <c r="J45" s="25"/>
      <c r="K45" s="25"/>
    </row>
    <row r="46" spans="1:15" ht="15.75" customHeight="1" x14ac:dyDescent="0.25">
      <c r="A46" s="5753"/>
      <c r="B46" s="5768" t="s">
        <v>1106</v>
      </c>
      <c r="C46" s="322" t="s">
        <v>1124</v>
      </c>
      <c r="D46" s="323" t="s">
        <v>1102</v>
      </c>
      <c r="E46" s="287">
        <f ca="1">+'PARA 870'!E46-'P870'!E46</f>
        <v>0</v>
      </c>
      <c r="F46" s="287" t="e">
        <f>+'PARA 870'!#REF!-'P870'!F46</f>
        <v>#REF!</v>
      </c>
      <c r="G46" s="287">
        <f ca="1">+'PARA 870'!I46-'P870'!G46</f>
        <v>0</v>
      </c>
      <c r="H46" s="287">
        <f ca="1">+'PARA 870'!J46-'P870'!H46</f>
        <v>0</v>
      </c>
      <c r="I46" s="287" t="e">
        <f>+'PARA 870'!#REF!-'P870'!I46</f>
        <v>#REF!</v>
      </c>
      <c r="J46" s="287" t="e">
        <f>+'PARA 870'!#REF!-'P870'!J46</f>
        <v>#REF!</v>
      </c>
      <c r="K46" s="287" t="e">
        <f>+'PARA 870'!#REF!-'P870'!K46</f>
        <v>#REF!</v>
      </c>
      <c r="L46" s="287">
        <f ca="1">+'PARA 870'!K46-'P870'!L46</f>
        <v>0</v>
      </c>
      <c r="M46" s="287" t="e">
        <f>+'PARA 870'!#REF!-'P870'!M46</f>
        <v>#REF!</v>
      </c>
      <c r="N46" s="287" t="e">
        <f>+'PARA 870'!#REF!-'P870'!N46</f>
        <v>#REF!</v>
      </c>
      <c r="O46" s="287" t="e">
        <f>+'PARA 870'!#REF!-'P870'!O46</f>
        <v>#REF!</v>
      </c>
    </row>
    <row r="47" spans="1:15" ht="15.75" x14ac:dyDescent="0.25">
      <c r="A47" s="5753"/>
      <c r="B47" s="5768"/>
      <c r="C47" s="324" t="s">
        <v>1125</v>
      </c>
      <c r="D47" s="325" t="s">
        <v>1102</v>
      </c>
      <c r="E47" s="287">
        <f ca="1">+'PARA 870'!E47-'P870'!E47</f>
        <v>0</v>
      </c>
      <c r="F47" s="287" t="e">
        <f>+'PARA 870'!#REF!-'P870'!F47</f>
        <v>#REF!</v>
      </c>
      <c r="G47" s="287">
        <f ca="1">+'PARA 870'!I47-'P870'!G47</f>
        <v>0</v>
      </c>
      <c r="H47" s="287">
        <f ca="1">+'PARA 870'!J47-'P870'!H47</f>
        <v>0</v>
      </c>
      <c r="I47" s="287" t="e">
        <f>+'PARA 870'!#REF!-'P870'!I47</f>
        <v>#REF!</v>
      </c>
      <c r="J47" s="287" t="e">
        <f>+'PARA 870'!#REF!-'P870'!J47</f>
        <v>#REF!</v>
      </c>
      <c r="K47" s="287" t="e">
        <f>+'PARA 870'!#REF!-'P870'!K47</f>
        <v>#REF!</v>
      </c>
      <c r="L47" s="287" t="e">
        <f>+'PARA 870'!K47-'P870'!L47</f>
        <v>#REF!</v>
      </c>
      <c r="M47" s="287" t="e">
        <f>+'PARA 870'!#REF!-'P870'!M47</f>
        <v>#REF!</v>
      </c>
      <c r="N47" s="287" t="e">
        <f>+'PARA 870'!#REF!-'P870'!N47</f>
        <v>#REF!</v>
      </c>
      <c r="O47" s="287" t="e">
        <f>+'PARA 870'!#REF!-'P870'!O47</f>
        <v>#REF!</v>
      </c>
    </row>
    <row r="48" spans="1:15" ht="15.75" x14ac:dyDescent="0.25">
      <c r="A48" s="5753"/>
      <c r="B48" s="5768"/>
      <c r="C48" s="324" t="s">
        <v>1126</v>
      </c>
      <c r="D48" s="325" t="s">
        <v>1102</v>
      </c>
      <c r="E48" s="287">
        <f ca="1">+'PARA 870'!E48-'P870'!E48</f>
        <v>0</v>
      </c>
      <c r="F48" s="287" t="e">
        <f>+'PARA 870'!#REF!-'P870'!F48</f>
        <v>#REF!</v>
      </c>
      <c r="G48" s="287">
        <f ca="1">+'PARA 870'!I48-'P870'!G48</f>
        <v>0</v>
      </c>
      <c r="H48" s="287">
        <f ca="1">+'PARA 870'!J48-'P870'!H48</f>
        <v>0</v>
      </c>
      <c r="I48" s="287" t="e">
        <f>+'PARA 870'!#REF!-'P870'!I48</f>
        <v>#REF!</v>
      </c>
      <c r="J48" s="287" t="e">
        <f>+'PARA 870'!#REF!-'P870'!J48</f>
        <v>#REF!</v>
      </c>
      <c r="K48" s="287" t="e">
        <f>+'PARA 870'!#REF!-'P870'!K48</f>
        <v>#REF!</v>
      </c>
      <c r="L48" s="287">
        <f ca="1">+'PARA 870'!K48-'P870'!L48</f>
        <v>0</v>
      </c>
      <c r="M48" s="287" t="e">
        <f>+'PARA 870'!#REF!-'P870'!M48</f>
        <v>#REF!</v>
      </c>
      <c r="N48" s="287" t="e">
        <f>+'PARA 870'!#REF!-'P870'!N48</f>
        <v>#REF!</v>
      </c>
      <c r="O48" s="287" t="e">
        <f>+'PARA 870'!#REF!-'P870'!O48</f>
        <v>#REF!</v>
      </c>
    </row>
    <row r="49" spans="1:15" ht="15.75" x14ac:dyDescent="0.25">
      <c r="A49" s="5753"/>
      <c r="B49" s="5768"/>
      <c r="C49" s="324" t="s">
        <v>1127</v>
      </c>
      <c r="D49" s="325" t="s">
        <v>1102</v>
      </c>
      <c r="E49" s="287">
        <f ca="1">+'PARA 870'!E49-'P870'!E49</f>
        <v>0</v>
      </c>
      <c r="F49" s="287" t="e">
        <f>+'PARA 870'!#REF!-'P870'!F49</f>
        <v>#REF!</v>
      </c>
      <c r="G49" s="287">
        <f ca="1">+'PARA 870'!I49-'P870'!G49</f>
        <v>0</v>
      </c>
      <c r="H49" s="287">
        <f ca="1">+'PARA 870'!J49-'P870'!H49</f>
        <v>0</v>
      </c>
      <c r="I49" s="287" t="e">
        <f>+'PARA 870'!#REF!-'P870'!I49</f>
        <v>#REF!</v>
      </c>
      <c r="J49" s="287" t="e">
        <f>+'PARA 870'!#REF!-'P870'!J49</f>
        <v>#REF!</v>
      </c>
      <c r="K49" s="287" t="e">
        <f>+'PARA 870'!#REF!-'P870'!K49</f>
        <v>#REF!</v>
      </c>
      <c r="L49" s="287" t="e">
        <f>+'PARA 870'!K49-'P870'!L49</f>
        <v>#REF!</v>
      </c>
      <c r="M49" s="287" t="e">
        <f>+'PARA 870'!#REF!-'P870'!M49</f>
        <v>#REF!</v>
      </c>
      <c r="N49" s="287" t="e">
        <f>+'PARA 870'!#REF!-'P870'!N49</f>
        <v>#REF!</v>
      </c>
      <c r="O49" s="287" t="e">
        <f>+'PARA 870'!#REF!-'P870'!O49</f>
        <v>#REF!</v>
      </c>
    </row>
    <row r="50" spans="1:15" ht="15.75" x14ac:dyDescent="0.25">
      <c r="A50" s="5753"/>
      <c r="B50" s="5768"/>
      <c r="C50" s="324" t="s">
        <v>1128</v>
      </c>
      <c r="D50" s="325" t="s">
        <v>1102</v>
      </c>
      <c r="E50" s="287">
        <f>+'PARA 870'!E50-'P870'!E50</f>
        <v>0</v>
      </c>
      <c r="H50" s="25"/>
      <c r="I50" s="25"/>
      <c r="J50" s="25"/>
      <c r="K50" s="25"/>
    </row>
    <row r="51" spans="1:15" ht="15.75" x14ac:dyDescent="0.25">
      <c r="A51" s="5753"/>
      <c r="B51" s="5768"/>
      <c r="C51" s="324" t="s">
        <v>1129</v>
      </c>
      <c r="D51" s="325" t="s">
        <v>1102</v>
      </c>
      <c r="E51" s="287">
        <f ca="1">+'PARA 870'!E51-'P870'!E51</f>
        <v>0</v>
      </c>
      <c r="H51" s="25"/>
      <c r="I51" s="25"/>
      <c r="J51" s="25"/>
      <c r="K51" s="25"/>
    </row>
    <row r="52" spans="1:15" ht="15.75" x14ac:dyDescent="0.25">
      <c r="A52" s="5753"/>
      <c r="B52" s="5768"/>
      <c r="C52" s="324" t="s">
        <v>1130</v>
      </c>
      <c r="D52" s="325" t="s">
        <v>1102</v>
      </c>
      <c r="E52" s="287">
        <f ca="1">+'PARA 870'!E52-'P870'!E52</f>
        <v>0</v>
      </c>
      <c r="H52" s="25"/>
      <c r="I52" s="25"/>
      <c r="J52" s="25"/>
      <c r="K52" s="25"/>
    </row>
    <row r="53" spans="1:15" ht="16.5" thickBot="1" x14ac:dyDescent="0.3">
      <c r="A53" s="5753"/>
      <c r="B53" s="5768"/>
      <c r="C53" s="324" t="s">
        <v>1108</v>
      </c>
      <c r="D53" s="325" t="s">
        <v>1102</v>
      </c>
      <c r="E53" s="287">
        <f>+'PARA 870'!E53-'P870'!E53</f>
        <v>0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</row>
    <row r="54" spans="1:15" ht="16.5" thickBot="1" x14ac:dyDescent="0.3">
      <c r="A54" s="5753"/>
      <c r="B54" s="5768"/>
      <c r="C54" s="326" t="s">
        <v>1103</v>
      </c>
      <c r="D54" s="327" t="s">
        <v>1102</v>
      </c>
      <c r="E54" s="287">
        <f>+'PARA 870'!E54-'P870'!E54</f>
        <v>0</v>
      </c>
      <c r="F54" s="305" t="s">
        <v>1146</v>
      </c>
      <c r="G54" s="306" t="s">
        <v>1147</v>
      </c>
      <c r="H54" s="391" t="s">
        <v>1148</v>
      </c>
      <c r="I54" s="391" t="s">
        <v>1149</v>
      </c>
      <c r="J54" s="391" t="s">
        <v>1150</v>
      </c>
      <c r="K54" s="392" t="s">
        <v>1151</v>
      </c>
      <c r="L54" s="391" t="s">
        <v>1152</v>
      </c>
      <c r="M54" s="391" t="s">
        <v>1153</v>
      </c>
      <c r="N54" s="391" t="s">
        <v>1154</v>
      </c>
      <c r="O54" s="392" t="s">
        <v>1155</v>
      </c>
    </row>
    <row r="55" spans="1:15" ht="15.75" hidden="1" customHeight="1" x14ac:dyDescent="0.25">
      <c r="A55" s="5753"/>
      <c r="B55" s="5769" t="s">
        <v>992</v>
      </c>
      <c r="C55" s="328" t="s">
        <v>1124</v>
      </c>
      <c r="D55" s="329" t="s">
        <v>1102</v>
      </c>
      <c r="E55" s="287">
        <f>+'PARA 870'!E55-'P870'!E55</f>
        <v>0</v>
      </c>
      <c r="H55" s="25"/>
      <c r="I55" s="25"/>
      <c r="J55" s="25"/>
      <c r="K55" s="25"/>
    </row>
    <row r="56" spans="1:15" ht="16.5" hidden="1" customHeight="1" x14ac:dyDescent="0.25">
      <c r="A56" s="5753"/>
      <c r="B56" s="5769"/>
      <c r="C56" s="331" t="s">
        <v>1125</v>
      </c>
      <c r="D56" s="332" t="s">
        <v>1102</v>
      </c>
      <c r="E56" s="287">
        <f>+'PARA 870'!E56-'P870'!E56</f>
        <v>0</v>
      </c>
      <c r="H56" s="25"/>
      <c r="I56" s="25"/>
      <c r="J56" s="25"/>
      <c r="K56" s="25"/>
    </row>
    <row r="57" spans="1:15" ht="16.5" hidden="1" customHeight="1" x14ac:dyDescent="0.25">
      <c r="A57" s="5753"/>
      <c r="B57" s="5769"/>
      <c r="C57" s="331" t="s">
        <v>1126</v>
      </c>
      <c r="D57" s="332" t="s">
        <v>1102</v>
      </c>
      <c r="E57" s="287">
        <f>+'PARA 870'!E57-'P870'!E57</f>
        <v>0</v>
      </c>
      <c r="H57" s="25"/>
      <c r="I57" s="25"/>
      <c r="J57" s="25"/>
      <c r="K57" s="25"/>
    </row>
    <row r="58" spans="1:15" ht="16.5" hidden="1" customHeight="1" x14ac:dyDescent="0.25">
      <c r="A58" s="5753"/>
      <c r="B58" s="5769"/>
      <c r="C58" s="331" t="s">
        <v>1127</v>
      </c>
      <c r="D58" s="332" t="s">
        <v>1102</v>
      </c>
      <c r="E58" s="287">
        <f>+'PARA 870'!E58-'P870'!E58</f>
        <v>0</v>
      </c>
      <c r="H58" s="25"/>
      <c r="I58" s="25"/>
      <c r="J58" s="25"/>
      <c r="K58" s="25"/>
    </row>
    <row r="59" spans="1:15" ht="16.5" hidden="1" customHeight="1" x14ac:dyDescent="0.25">
      <c r="A59" s="5753"/>
      <c r="B59" s="5769"/>
      <c r="C59" s="331" t="s">
        <v>1128</v>
      </c>
      <c r="D59" s="332" t="s">
        <v>1102</v>
      </c>
      <c r="E59" s="287">
        <f>+'PARA 870'!E59-'P870'!E59</f>
        <v>0</v>
      </c>
      <c r="H59" s="25"/>
      <c r="I59" s="25"/>
      <c r="J59" s="25"/>
      <c r="K59" s="25"/>
    </row>
    <row r="60" spans="1:15" ht="16.5" hidden="1" customHeight="1" x14ac:dyDescent="0.25">
      <c r="A60" s="5753"/>
      <c r="B60" s="5769"/>
      <c r="C60" s="331" t="s">
        <v>1129</v>
      </c>
      <c r="D60" s="332" t="s">
        <v>1102</v>
      </c>
      <c r="E60" s="287">
        <f>+'PARA 870'!E60-'P870'!E60</f>
        <v>0</v>
      </c>
      <c r="H60" s="25"/>
      <c r="I60" s="25"/>
      <c r="J60" s="25"/>
      <c r="K60" s="25"/>
    </row>
    <row r="61" spans="1:15" ht="16.5" hidden="1" customHeight="1" x14ac:dyDescent="0.25">
      <c r="A61" s="5753"/>
      <c r="B61" s="5769"/>
      <c r="C61" s="331" t="s">
        <v>1130</v>
      </c>
      <c r="D61" s="332" t="s">
        <v>1102</v>
      </c>
      <c r="E61" s="287">
        <f>+'PARA 870'!E61-'P870'!E61</f>
        <v>0</v>
      </c>
      <c r="H61" s="25"/>
      <c r="I61" s="25"/>
      <c r="J61" s="25"/>
      <c r="K61" s="25"/>
    </row>
    <row r="62" spans="1:15" ht="16.5" hidden="1" customHeight="1" x14ac:dyDescent="0.25">
      <c r="A62" s="5753"/>
      <c r="B62" s="5769"/>
      <c r="C62" s="331" t="s">
        <v>1108</v>
      </c>
      <c r="D62" s="332" t="s">
        <v>1102</v>
      </c>
      <c r="E62" s="287">
        <f>+'PARA 870'!E62-'P870'!E62</f>
        <v>0</v>
      </c>
      <c r="H62" s="25"/>
      <c r="I62" s="25"/>
      <c r="J62" s="25"/>
      <c r="K62" s="25"/>
    </row>
    <row r="63" spans="1:15" ht="16.5" hidden="1" customHeight="1" x14ac:dyDescent="0.25">
      <c r="A63" s="5753"/>
      <c r="B63" s="5769"/>
      <c r="C63" s="333" t="s">
        <v>1103</v>
      </c>
      <c r="D63" s="334" t="s">
        <v>1102</v>
      </c>
      <c r="E63" s="287">
        <f>+'PARA 870'!E63-'P870'!E63</f>
        <v>0</v>
      </c>
      <c r="H63" s="25"/>
      <c r="I63" s="25"/>
      <c r="J63" s="25"/>
      <c r="K63" s="25"/>
    </row>
    <row r="64" spans="1:15" ht="15.75" x14ac:dyDescent="0.25">
      <c r="A64" s="5753"/>
      <c r="B64" s="5768" t="s">
        <v>1106</v>
      </c>
      <c r="C64" s="335" t="s">
        <v>1131</v>
      </c>
      <c r="D64" s="336" t="s">
        <v>1102</v>
      </c>
      <c r="E64" s="287">
        <f ca="1">+'PARA 870'!E64-'P870'!E64</f>
        <v>0</v>
      </c>
      <c r="F64" s="287" t="e">
        <f>+'PARA 870'!#REF!-'P870'!F64</f>
        <v>#REF!</v>
      </c>
      <c r="G64" s="287">
        <f ca="1">+'PARA 870'!I64-'P870'!G64</f>
        <v>0</v>
      </c>
      <c r="H64" s="287">
        <f ca="1">+'PARA 870'!J64-'P870'!H64</f>
        <v>0</v>
      </c>
      <c r="I64" s="287" t="e">
        <f>+'PARA 870'!#REF!-'P870'!I64</f>
        <v>#REF!</v>
      </c>
      <c r="J64" s="287" t="e">
        <f>+'PARA 870'!#REF!-'P870'!J64</f>
        <v>#REF!</v>
      </c>
      <c r="K64" s="287" t="e">
        <f>+'PARA 870'!#REF!-'P870'!K64</f>
        <v>#REF!</v>
      </c>
      <c r="L64" s="287">
        <f ca="1">+'PARA 870'!K64-'P870'!L64</f>
        <v>0</v>
      </c>
      <c r="M64" s="287" t="e">
        <f>+'PARA 870'!#REF!-'P870'!M64</f>
        <v>#REF!</v>
      </c>
      <c r="N64" s="287" t="e">
        <f>+'PARA 870'!#REF!-'P870'!N64</f>
        <v>#REF!</v>
      </c>
      <c r="O64" s="287" t="e">
        <f>+'PARA 870'!#REF!-'P870'!O64</f>
        <v>#REF!</v>
      </c>
    </row>
    <row r="65" spans="1:15" ht="15.75" x14ac:dyDescent="0.25">
      <c r="A65" s="5753"/>
      <c r="B65" s="5768"/>
      <c r="C65" s="337" t="s">
        <v>1132</v>
      </c>
      <c r="D65" s="338" t="s">
        <v>1102</v>
      </c>
      <c r="E65" s="287">
        <f ca="1">+'PARA 870'!E65-'P870'!E65</f>
        <v>0</v>
      </c>
      <c r="F65" s="287" t="e">
        <f>+'PARA 870'!#REF!-'P870'!F65</f>
        <v>#REF!</v>
      </c>
      <c r="G65" s="287">
        <f ca="1">+'PARA 870'!I65-'P870'!G65</f>
        <v>0</v>
      </c>
      <c r="H65" s="287">
        <f ca="1">+'PARA 870'!J65-'P870'!H65</f>
        <v>0</v>
      </c>
      <c r="I65" s="287" t="e">
        <f>+'PARA 870'!#REF!-'P870'!I65</f>
        <v>#REF!</v>
      </c>
      <c r="J65" s="287" t="e">
        <f>+'PARA 870'!#REF!-'P870'!J65</f>
        <v>#REF!</v>
      </c>
      <c r="K65" s="287" t="e">
        <f>+'PARA 870'!#REF!-'P870'!K65</f>
        <v>#REF!</v>
      </c>
      <c r="L65" s="287" t="e">
        <f>+'PARA 870'!K65-'P870'!L65</f>
        <v>#REF!</v>
      </c>
      <c r="M65" s="287" t="e">
        <f>+'PARA 870'!#REF!-'P870'!M65</f>
        <v>#REF!</v>
      </c>
      <c r="N65" s="287" t="e">
        <f>+'PARA 870'!#REF!-'P870'!N65</f>
        <v>#REF!</v>
      </c>
      <c r="O65" s="287" t="e">
        <f>+'PARA 870'!#REF!-'P870'!O65</f>
        <v>#REF!</v>
      </c>
    </row>
    <row r="66" spans="1:15" ht="15.75" x14ac:dyDescent="0.25">
      <c r="A66" s="5753"/>
      <c r="B66" s="5768"/>
      <c r="C66" s="337" t="s">
        <v>1133</v>
      </c>
      <c r="D66" s="338" t="s">
        <v>1102</v>
      </c>
      <c r="E66" s="287">
        <f ca="1">+'PARA 870'!E66-'P870'!E66</f>
        <v>0</v>
      </c>
      <c r="F66" s="287" t="e">
        <f>+'PARA 870'!#REF!-'P870'!F66</f>
        <v>#REF!</v>
      </c>
      <c r="G66" s="287">
        <f ca="1">+'PARA 870'!I66-'P870'!G66</f>
        <v>0</v>
      </c>
      <c r="H66" s="287">
        <f ca="1">+'PARA 870'!J66-'P870'!H66</f>
        <v>0</v>
      </c>
      <c r="I66" s="287" t="e">
        <f>+'PARA 870'!#REF!-'P870'!I66</f>
        <v>#REF!</v>
      </c>
      <c r="J66" s="287" t="e">
        <f>+'PARA 870'!#REF!-'P870'!J66</f>
        <v>#REF!</v>
      </c>
      <c r="K66" s="287" t="e">
        <f>+'PARA 870'!#REF!-'P870'!K66</f>
        <v>#REF!</v>
      </c>
      <c r="L66" s="287">
        <f ca="1">+'PARA 870'!K66-'P870'!L66</f>
        <v>0</v>
      </c>
      <c r="M66" s="287" t="e">
        <f>+'PARA 870'!#REF!-'P870'!M66</f>
        <v>#REF!</v>
      </c>
      <c r="N66" s="287" t="e">
        <f>+'PARA 870'!#REF!-'P870'!N66</f>
        <v>#REF!</v>
      </c>
      <c r="O66" s="287" t="e">
        <f>+'PARA 870'!#REF!-'P870'!O66</f>
        <v>#REF!</v>
      </c>
    </row>
    <row r="67" spans="1:15" ht="15.75" x14ac:dyDescent="0.25">
      <c r="A67" s="5753"/>
      <c r="B67" s="5768"/>
      <c r="C67" s="337" t="s">
        <v>1134</v>
      </c>
      <c r="D67" s="338" t="s">
        <v>1102</v>
      </c>
      <c r="E67" s="287">
        <f ca="1">+'PARA 870'!E67-'P870'!E67</f>
        <v>0</v>
      </c>
      <c r="F67" s="287" t="e">
        <f>+'PARA 870'!#REF!-'P870'!F67</f>
        <v>#REF!</v>
      </c>
      <c r="G67" s="287">
        <f ca="1">+'PARA 870'!I67-'P870'!G67</f>
        <v>0</v>
      </c>
      <c r="H67" s="287">
        <f ca="1">+'PARA 870'!J67-'P870'!H67</f>
        <v>0</v>
      </c>
      <c r="I67" s="287" t="e">
        <f>+'PARA 870'!#REF!-'P870'!I67</f>
        <v>#REF!</v>
      </c>
      <c r="J67" s="287" t="e">
        <f>+'PARA 870'!#REF!-'P870'!J67</f>
        <v>#REF!</v>
      </c>
      <c r="K67" s="287" t="e">
        <f>+'PARA 870'!#REF!-'P870'!K67</f>
        <v>#REF!</v>
      </c>
      <c r="L67" s="287" t="e">
        <f>+'PARA 870'!K67-'P870'!L67</f>
        <v>#REF!</v>
      </c>
      <c r="M67" s="287" t="e">
        <f>+'PARA 870'!#REF!-'P870'!M67</f>
        <v>#REF!</v>
      </c>
      <c r="N67" s="287" t="e">
        <f>+'PARA 870'!#REF!-'P870'!N67</f>
        <v>#REF!</v>
      </c>
      <c r="O67" s="287" t="e">
        <f>+'PARA 870'!#REF!-'P870'!O67</f>
        <v>#REF!</v>
      </c>
    </row>
    <row r="68" spans="1:15" ht="15.75" x14ac:dyDescent="0.25">
      <c r="A68" s="5753"/>
      <c r="B68" s="5768"/>
      <c r="C68" s="337" t="s">
        <v>1135</v>
      </c>
      <c r="D68" s="338" t="s">
        <v>1102</v>
      </c>
      <c r="E68" s="287">
        <f>+'PARA 870'!E68-'P870'!E68</f>
        <v>0</v>
      </c>
    </row>
    <row r="69" spans="1:15" ht="15.75" x14ac:dyDescent="0.25">
      <c r="A69" s="5753"/>
      <c r="B69" s="5768"/>
      <c r="C69" s="337" t="s">
        <v>1136</v>
      </c>
      <c r="D69" s="338" t="s">
        <v>1102</v>
      </c>
      <c r="E69" s="287">
        <f ca="1">+'PARA 870'!E69-'P870'!E69</f>
        <v>0</v>
      </c>
    </row>
    <row r="70" spans="1:15" ht="15.75" x14ac:dyDescent="0.25">
      <c r="A70" s="5753"/>
      <c r="B70" s="5768"/>
      <c r="C70" s="337" t="s">
        <v>1137</v>
      </c>
      <c r="D70" s="338" t="s">
        <v>1102</v>
      </c>
      <c r="E70" s="287">
        <f ca="1">+'PARA 870'!E70-'P870'!E70</f>
        <v>0</v>
      </c>
    </row>
    <row r="71" spans="1:15" ht="15.75" x14ac:dyDescent="0.25">
      <c r="A71" s="5753"/>
      <c r="B71" s="5768"/>
      <c r="C71" s="337" t="s">
        <v>1109</v>
      </c>
      <c r="D71" s="338" t="s">
        <v>1102</v>
      </c>
      <c r="E71" s="287">
        <f>+'PARA 870'!E71-'P870'!E71</f>
        <v>0</v>
      </c>
    </row>
    <row r="72" spans="1:15" ht="16.5" thickBot="1" x14ac:dyDescent="0.3">
      <c r="A72" s="5753"/>
      <c r="B72" s="5768"/>
      <c r="C72" s="339" t="s">
        <v>1104</v>
      </c>
      <c r="D72" s="340" t="s">
        <v>1102</v>
      </c>
      <c r="E72" s="287">
        <f>+'PARA 870'!E72-'P870'!E72</f>
        <v>0</v>
      </c>
    </row>
    <row r="73" spans="1:15" ht="15.75" hidden="1" x14ac:dyDescent="0.25">
      <c r="A73" s="5753"/>
      <c r="B73" s="5769" t="s">
        <v>992</v>
      </c>
      <c r="C73" s="328" t="s">
        <v>1131</v>
      </c>
      <c r="D73" s="329" t="s">
        <v>1102</v>
      </c>
      <c r="E73" s="291"/>
    </row>
    <row r="74" spans="1:15" ht="15.75" hidden="1" x14ac:dyDescent="0.25">
      <c r="A74" s="5753"/>
      <c r="B74" s="5769"/>
      <c r="C74" s="331" t="s">
        <v>1132</v>
      </c>
      <c r="D74" s="332" t="s">
        <v>1102</v>
      </c>
      <c r="E74" s="291"/>
    </row>
    <row r="75" spans="1:15" ht="15.75" hidden="1" x14ac:dyDescent="0.25">
      <c r="A75" s="5753"/>
      <c r="B75" s="5769"/>
      <c r="C75" s="331" t="s">
        <v>1133</v>
      </c>
      <c r="D75" s="332" t="s">
        <v>1102</v>
      </c>
      <c r="E75" s="291"/>
    </row>
    <row r="76" spans="1:15" ht="15.75" hidden="1" x14ac:dyDescent="0.25">
      <c r="A76" s="5753"/>
      <c r="B76" s="5769"/>
      <c r="C76" s="331" t="s">
        <v>1134</v>
      </c>
      <c r="D76" s="332" t="s">
        <v>1102</v>
      </c>
      <c r="E76" s="291"/>
    </row>
    <row r="77" spans="1:15" ht="15.75" hidden="1" x14ac:dyDescent="0.25">
      <c r="A77" s="5753"/>
      <c r="B77" s="5769"/>
      <c r="C77" s="331" t="s">
        <v>1135</v>
      </c>
      <c r="D77" s="332" t="s">
        <v>1102</v>
      </c>
      <c r="E77" s="291"/>
    </row>
    <row r="78" spans="1:15" ht="15.75" hidden="1" x14ac:dyDescent="0.25">
      <c r="A78" s="5753"/>
      <c r="B78" s="5769"/>
      <c r="C78" s="331" t="s">
        <v>1136</v>
      </c>
      <c r="D78" s="332" t="s">
        <v>1102</v>
      </c>
      <c r="E78" s="291"/>
    </row>
    <row r="79" spans="1:15" ht="15.75" hidden="1" x14ac:dyDescent="0.25">
      <c r="A79" s="5753"/>
      <c r="B79" s="5769"/>
      <c r="C79" s="331" t="s">
        <v>1137</v>
      </c>
      <c r="D79" s="332" t="s">
        <v>1102</v>
      </c>
      <c r="E79" s="291"/>
    </row>
    <row r="80" spans="1:15" ht="15.75" hidden="1" x14ac:dyDescent="0.25">
      <c r="A80" s="5753"/>
      <c r="B80" s="5769"/>
      <c r="C80" s="331" t="s">
        <v>1109</v>
      </c>
      <c r="D80" s="332" t="s">
        <v>1102</v>
      </c>
      <c r="E80" s="291"/>
    </row>
    <row r="81" spans="1:16" ht="16.5" hidden="1" thickBot="1" x14ac:dyDescent="0.3">
      <c r="A81" s="5753"/>
      <c r="B81" s="5769"/>
      <c r="C81" s="333" t="s">
        <v>1104</v>
      </c>
      <c r="D81" s="334" t="s">
        <v>1102</v>
      </c>
      <c r="E81" s="291"/>
    </row>
    <row r="82" spans="1:16" x14ac:dyDescent="0.2">
      <c r="E82" s="341"/>
    </row>
    <row r="83" spans="1:16" ht="18" hidden="1" x14ac:dyDescent="0.25">
      <c r="B83" s="5737" t="s">
        <v>1106</v>
      </c>
      <c r="C83" s="342" t="s">
        <v>1138</v>
      </c>
      <c r="D83" s="343" t="s">
        <v>1102</v>
      </c>
      <c r="E83" s="344">
        <f ca="1">E10+E20+SUM(E28:E36)</f>
        <v>0</v>
      </c>
      <c r="F83" s="344" t="e">
        <f>SUM(F28:F36)</f>
        <v>#REF!</v>
      </c>
      <c r="G83" s="344">
        <f t="shared" ref="G83:O83" ca="1" si="0">SUM(G28:G36)</f>
        <v>0</v>
      </c>
      <c r="H83" s="344">
        <f t="shared" ca="1" si="0"/>
        <v>0</v>
      </c>
      <c r="I83" s="344" t="e">
        <f t="shared" si="0"/>
        <v>#REF!</v>
      </c>
      <c r="J83" s="344" t="e">
        <f t="shared" si="0"/>
        <v>#REF!</v>
      </c>
      <c r="K83" s="344" t="e">
        <f t="shared" si="0"/>
        <v>#REF!</v>
      </c>
      <c r="L83" s="344" t="e">
        <f t="shared" ca="1" si="0"/>
        <v>#REF!</v>
      </c>
      <c r="M83" s="344" t="e">
        <f t="shared" si="0"/>
        <v>#REF!</v>
      </c>
      <c r="N83" s="344" t="e">
        <f t="shared" si="0"/>
        <v>#REF!</v>
      </c>
      <c r="O83" s="344" t="e">
        <f t="shared" si="0"/>
        <v>#REF!</v>
      </c>
      <c r="P83" s="421" t="e">
        <f ca="1">SUM(E83:O83)</f>
        <v>#REF!</v>
      </c>
    </row>
    <row r="84" spans="1:16" ht="18" hidden="1" x14ac:dyDescent="0.25">
      <c r="B84" s="5738"/>
      <c r="C84" s="345" t="s">
        <v>1139</v>
      </c>
      <c r="D84" s="343" t="s">
        <v>1102</v>
      </c>
      <c r="E84" s="344">
        <f ca="1">E11+E21+SUM(E46:E54)</f>
        <v>0</v>
      </c>
      <c r="F84" s="344" t="e">
        <f>SUM(F46:F54)</f>
        <v>#REF!</v>
      </c>
      <c r="G84" s="344">
        <f t="shared" ref="G84:O84" ca="1" si="1">SUM(G46:G54)</f>
        <v>0</v>
      </c>
      <c r="H84" s="344">
        <f t="shared" ca="1" si="1"/>
        <v>0</v>
      </c>
      <c r="I84" s="344" t="e">
        <f t="shared" si="1"/>
        <v>#REF!</v>
      </c>
      <c r="J84" s="344" t="e">
        <f t="shared" si="1"/>
        <v>#REF!</v>
      </c>
      <c r="K84" s="344" t="e">
        <f t="shared" si="1"/>
        <v>#REF!</v>
      </c>
      <c r="L84" s="344" t="e">
        <f t="shared" ca="1" si="1"/>
        <v>#REF!</v>
      </c>
      <c r="M84" s="344" t="e">
        <f t="shared" si="1"/>
        <v>#REF!</v>
      </c>
      <c r="N84" s="344" t="e">
        <f t="shared" si="1"/>
        <v>#REF!</v>
      </c>
      <c r="O84" s="344" t="e">
        <f t="shared" si="1"/>
        <v>#REF!</v>
      </c>
      <c r="P84" s="421" t="e">
        <f ca="1">SUM(E84:O84)</f>
        <v>#REF!</v>
      </c>
    </row>
    <row r="85" spans="1:16" ht="18" hidden="1" x14ac:dyDescent="0.25">
      <c r="B85" s="5738"/>
      <c r="C85" s="345" t="s">
        <v>1140</v>
      </c>
      <c r="D85" s="343" t="s">
        <v>1102</v>
      </c>
      <c r="E85" s="344">
        <f ca="1">E12+E22+SUM(E64:E72)</f>
        <v>0</v>
      </c>
      <c r="F85" s="344" t="e">
        <f>SUM(F64:F72)</f>
        <v>#REF!</v>
      </c>
      <c r="G85" s="344">
        <f t="shared" ref="G85:O85" ca="1" si="2">SUM(G64:G72)</f>
        <v>0</v>
      </c>
      <c r="H85" s="344">
        <f t="shared" ca="1" si="2"/>
        <v>0</v>
      </c>
      <c r="I85" s="344" t="e">
        <f t="shared" si="2"/>
        <v>#REF!</v>
      </c>
      <c r="J85" s="344" t="e">
        <f t="shared" si="2"/>
        <v>#REF!</v>
      </c>
      <c r="K85" s="344" t="e">
        <f t="shared" si="2"/>
        <v>#REF!</v>
      </c>
      <c r="L85" s="344" t="e">
        <f t="shared" ca="1" si="2"/>
        <v>#REF!</v>
      </c>
      <c r="M85" s="344" t="e">
        <f t="shared" si="2"/>
        <v>#REF!</v>
      </c>
      <c r="N85" s="344" t="e">
        <f t="shared" si="2"/>
        <v>#REF!</v>
      </c>
      <c r="O85" s="344" t="e">
        <f t="shared" si="2"/>
        <v>#REF!</v>
      </c>
      <c r="P85" s="421" t="e">
        <f ca="1">SUM(E85:O85)</f>
        <v>#REF!</v>
      </c>
    </row>
    <row r="86" spans="1:16" ht="18" hidden="1" x14ac:dyDescent="0.25">
      <c r="B86" s="5739"/>
      <c r="C86" s="346" t="s">
        <v>1156</v>
      </c>
      <c r="D86" s="343" t="s">
        <v>1102</v>
      </c>
      <c r="E86" s="344">
        <f t="shared" ref="E86:O86" ca="1" si="3">SUBTOTAL(9,E83:E85)</f>
        <v>0</v>
      </c>
      <c r="F86" s="344" t="e">
        <f t="shared" si="3"/>
        <v>#REF!</v>
      </c>
      <c r="G86" s="344">
        <f t="shared" ca="1" si="3"/>
        <v>0</v>
      </c>
      <c r="H86" s="344">
        <f t="shared" ca="1" si="3"/>
        <v>0</v>
      </c>
      <c r="I86" s="344" t="e">
        <f t="shared" si="3"/>
        <v>#REF!</v>
      </c>
      <c r="J86" s="344"/>
      <c r="K86" s="344" t="e">
        <f t="shared" si="3"/>
        <v>#REF!</v>
      </c>
      <c r="L86" s="344" t="e">
        <f t="shared" ca="1" si="3"/>
        <v>#REF!</v>
      </c>
      <c r="M86" s="344" t="e">
        <f t="shared" si="3"/>
        <v>#REF!</v>
      </c>
      <c r="N86" s="344" t="e">
        <f t="shared" si="3"/>
        <v>#REF!</v>
      </c>
      <c r="O86" s="344" t="e">
        <f t="shared" si="3"/>
        <v>#REF!</v>
      </c>
      <c r="P86" s="421" t="e">
        <f ca="1">SUM(E86:O86)</f>
        <v>#REF!</v>
      </c>
    </row>
    <row r="87" spans="1:16" ht="15.75" hidden="1" x14ac:dyDescent="0.25">
      <c r="B87" s="5758" t="s">
        <v>992</v>
      </c>
      <c r="C87" s="342" t="s">
        <v>1138</v>
      </c>
      <c r="D87" s="332" t="s">
        <v>1102</v>
      </c>
      <c r="E87" s="344"/>
      <c r="F87" s="344"/>
      <c r="G87" s="344"/>
      <c r="H87" s="344"/>
      <c r="I87" s="344"/>
      <c r="J87" s="344"/>
      <c r="K87" s="344"/>
    </row>
    <row r="88" spans="1:16" ht="15.75" hidden="1" x14ac:dyDescent="0.25">
      <c r="B88" s="5759"/>
      <c r="C88" s="345" t="s">
        <v>1139</v>
      </c>
      <c r="D88" s="332" t="s">
        <v>1102</v>
      </c>
      <c r="E88" s="344"/>
      <c r="F88" s="344"/>
      <c r="G88" s="344"/>
      <c r="H88" s="344"/>
      <c r="I88" s="344"/>
      <c r="J88" s="344"/>
      <c r="K88" s="344"/>
    </row>
    <row r="89" spans="1:16" ht="15.75" hidden="1" x14ac:dyDescent="0.25">
      <c r="B89" s="5759"/>
      <c r="C89" s="345" t="s">
        <v>1140</v>
      </c>
      <c r="D89" s="332" t="s">
        <v>1102</v>
      </c>
      <c r="E89" s="344"/>
      <c r="F89" s="344"/>
      <c r="G89" s="344"/>
      <c r="H89" s="344"/>
      <c r="I89" s="344"/>
      <c r="J89" s="344"/>
      <c r="K89" s="344"/>
    </row>
    <row r="90" spans="1:16" ht="15.75" hidden="1" x14ac:dyDescent="0.25">
      <c r="B90" s="5760"/>
      <c r="C90" s="346" t="s">
        <v>1142</v>
      </c>
      <c r="D90" s="332" t="s">
        <v>1102</v>
      </c>
      <c r="E90" s="431"/>
      <c r="F90" s="431"/>
      <c r="G90" s="431"/>
      <c r="H90" s="431"/>
      <c r="I90" s="431"/>
      <c r="J90" s="431"/>
      <c r="K90" s="431"/>
    </row>
    <row r="91" spans="1:16" ht="32.25" thickBot="1" x14ac:dyDescent="0.3">
      <c r="E91" s="447" t="s">
        <v>1157</v>
      </c>
      <c r="F91" s="448" t="s">
        <v>1146</v>
      </c>
      <c r="G91" s="448" t="s">
        <v>1147</v>
      </c>
      <c r="H91" s="449" t="s">
        <v>1148</v>
      </c>
      <c r="I91" s="449" t="s">
        <v>1149</v>
      </c>
      <c r="J91" s="449" t="s">
        <v>1150</v>
      </c>
      <c r="K91" s="449" t="s">
        <v>1151</v>
      </c>
      <c r="L91" s="449" t="s">
        <v>1152</v>
      </c>
      <c r="M91" s="449" t="s">
        <v>1153</v>
      </c>
      <c r="N91" s="449" t="s">
        <v>1154</v>
      </c>
      <c r="O91" s="449" t="s">
        <v>1155</v>
      </c>
      <c r="P91" s="422" t="s">
        <v>4</v>
      </c>
    </row>
    <row r="92" spans="1:16" ht="18.75" thickBot="1" x14ac:dyDescent="0.3">
      <c r="B92" s="5774" t="s">
        <v>4</v>
      </c>
      <c r="C92" s="342" t="s">
        <v>1138</v>
      </c>
      <c r="D92" s="252" t="s">
        <v>1102</v>
      </c>
      <c r="E92" s="450">
        <f t="shared" ref="E92:O94" ca="1" si="4">E83+E87</f>
        <v>0</v>
      </c>
      <c r="F92" s="450" t="e">
        <f t="shared" si="4"/>
        <v>#REF!</v>
      </c>
      <c r="G92" s="450">
        <f t="shared" ca="1" si="4"/>
        <v>0</v>
      </c>
      <c r="H92" s="450">
        <f t="shared" ca="1" si="4"/>
        <v>0</v>
      </c>
      <c r="I92" s="450" t="e">
        <f t="shared" si="4"/>
        <v>#REF!</v>
      </c>
      <c r="J92" s="450" t="e">
        <f t="shared" si="4"/>
        <v>#REF!</v>
      </c>
      <c r="K92" s="450" t="e">
        <f t="shared" si="4"/>
        <v>#REF!</v>
      </c>
      <c r="L92" s="450" t="e">
        <f t="shared" ca="1" si="4"/>
        <v>#REF!</v>
      </c>
      <c r="M92" s="450" t="e">
        <f t="shared" si="4"/>
        <v>#REF!</v>
      </c>
      <c r="N92" s="450" t="e">
        <f t="shared" si="4"/>
        <v>#REF!</v>
      </c>
      <c r="O92" s="450" t="e">
        <f t="shared" si="4"/>
        <v>#REF!</v>
      </c>
      <c r="P92" s="421" t="e">
        <f ca="1">SUM(E92:O92)</f>
        <v>#REF!</v>
      </c>
    </row>
    <row r="93" spans="1:16" ht="18.75" thickBot="1" x14ac:dyDescent="0.3">
      <c r="B93" s="5774"/>
      <c r="C93" s="345" t="s">
        <v>1139</v>
      </c>
      <c r="D93" s="54" t="s">
        <v>1102</v>
      </c>
      <c r="E93" s="347">
        <f t="shared" ca="1" si="4"/>
        <v>0</v>
      </c>
      <c r="F93" s="347" t="e">
        <f t="shared" si="4"/>
        <v>#REF!</v>
      </c>
      <c r="G93" s="347">
        <f t="shared" ca="1" si="4"/>
        <v>0</v>
      </c>
      <c r="H93" s="347">
        <f t="shared" ca="1" si="4"/>
        <v>0</v>
      </c>
      <c r="I93" s="347" t="e">
        <f t="shared" si="4"/>
        <v>#REF!</v>
      </c>
      <c r="J93" s="347" t="e">
        <f t="shared" si="4"/>
        <v>#REF!</v>
      </c>
      <c r="K93" s="347" t="e">
        <f t="shared" si="4"/>
        <v>#REF!</v>
      </c>
      <c r="L93" s="347" t="e">
        <f t="shared" ca="1" si="4"/>
        <v>#REF!</v>
      </c>
      <c r="M93" s="347" t="e">
        <f t="shared" si="4"/>
        <v>#REF!</v>
      </c>
      <c r="N93" s="347" t="e">
        <f t="shared" si="4"/>
        <v>#REF!</v>
      </c>
      <c r="O93" s="347" t="e">
        <f t="shared" si="4"/>
        <v>#REF!</v>
      </c>
      <c r="P93" s="421" t="e">
        <f ca="1">SUM(E93:O93)</f>
        <v>#REF!</v>
      </c>
    </row>
    <row r="94" spans="1:16" ht="18" x14ac:dyDescent="0.25">
      <c r="B94" s="5774"/>
      <c r="C94" s="345" t="s">
        <v>1140</v>
      </c>
      <c r="D94" s="54" t="s">
        <v>1102</v>
      </c>
      <c r="E94" s="347">
        <f t="shared" ca="1" si="4"/>
        <v>0</v>
      </c>
      <c r="F94" s="347" t="e">
        <f t="shared" si="4"/>
        <v>#REF!</v>
      </c>
      <c r="G94" s="347">
        <f t="shared" ca="1" si="4"/>
        <v>0</v>
      </c>
      <c r="H94" s="347">
        <f t="shared" ca="1" si="4"/>
        <v>0</v>
      </c>
      <c r="I94" s="347" t="e">
        <f t="shared" si="4"/>
        <v>#REF!</v>
      </c>
      <c r="J94" s="347" t="e">
        <f t="shared" si="4"/>
        <v>#REF!</v>
      </c>
      <c r="K94" s="347" t="e">
        <f t="shared" si="4"/>
        <v>#REF!</v>
      </c>
      <c r="L94" s="347" t="e">
        <f t="shared" ca="1" si="4"/>
        <v>#REF!</v>
      </c>
      <c r="M94" s="347" t="e">
        <f t="shared" si="4"/>
        <v>#REF!</v>
      </c>
      <c r="N94" s="347" t="e">
        <f t="shared" si="4"/>
        <v>#REF!</v>
      </c>
      <c r="O94" s="347" t="e">
        <f t="shared" si="4"/>
        <v>#REF!</v>
      </c>
      <c r="P94" s="421" t="e">
        <f ca="1">SUM(E94:O94)</f>
        <v>#REF!</v>
      </c>
    </row>
    <row r="95" spans="1:16" ht="18.75" thickBot="1" x14ac:dyDescent="0.3">
      <c r="B95" s="5774"/>
      <c r="C95" s="348" t="s">
        <v>1145</v>
      </c>
      <c r="D95" s="349" t="s">
        <v>1102</v>
      </c>
      <c r="E95" s="350">
        <f ca="1">SUM(E92:E94)</f>
        <v>0</v>
      </c>
      <c r="F95" s="350" t="e">
        <f>SUM(F92:F94)</f>
        <v>#REF!</v>
      </c>
      <c r="G95" s="350">
        <f ca="1">SUM(G92:G94)</f>
        <v>0</v>
      </c>
      <c r="H95" s="350">
        <f t="shared" ref="H95:O95" ca="1" si="5">SUM(H92:H94)</f>
        <v>0</v>
      </c>
      <c r="I95" s="350" t="e">
        <f t="shared" si="5"/>
        <v>#REF!</v>
      </c>
      <c r="J95" s="350" t="e">
        <f t="shared" si="5"/>
        <v>#REF!</v>
      </c>
      <c r="K95" s="350" t="e">
        <f t="shared" si="5"/>
        <v>#REF!</v>
      </c>
      <c r="L95" s="350" t="e">
        <f t="shared" ca="1" si="5"/>
        <v>#REF!</v>
      </c>
      <c r="M95" s="350" t="e">
        <f t="shared" si="5"/>
        <v>#REF!</v>
      </c>
      <c r="N95" s="350" t="e">
        <f t="shared" si="5"/>
        <v>#REF!</v>
      </c>
      <c r="O95" s="350" t="e">
        <f t="shared" si="5"/>
        <v>#REF!</v>
      </c>
      <c r="P95" s="421" t="e">
        <f ca="1">SUM(E95:O95)</f>
        <v>#REF!</v>
      </c>
    </row>
    <row r="96" spans="1:16" ht="18.75" thickBot="1" x14ac:dyDescent="0.3">
      <c r="E96" s="451"/>
      <c r="F96" s="452">
        <v>5010</v>
      </c>
      <c r="G96" s="452">
        <v>5020</v>
      </c>
      <c r="H96" s="452">
        <v>5500</v>
      </c>
      <c r="I96" s="452">
        <v>5510</v>
      </c>
      <c r="J96" s="452">
        <v>5530</v>
      </c>
      <c r="K96" s="452">
        <v>5540</v>
      </c>
      <c r="L96" s="452">
        <v>6000</v>
      </c>
      <c r="M96" s="452">
        <v>6010</v>
      </c>
      <c r="N96" s="452">
        <v>6020</v>
      </c>
      <c r="O96" s="452">
        <v>6030</v>
      </c>
    </row>
    <row r="97" spans="2:16" ht="54.75" x14ac:dyDescent="0.3">
      <c r="B97" s="352"/>
      <c r="C97" s="146"/>
      <c r="E97" s="453" t="s">
        <v>1157</v>
      </c>
      <c r="F97" s="454" t="s">
        <v>1146</v>
      </c>
      <c r="G97" s="454" t="s">
        <v>1147</v>
      </c>
      <c r="H97" s="454" t="s">
        <v>1148</v>
      </c>
      <c r="I97" s="454" t="s">
        <v>1149</v>
      </c>
      <c r="J97" s="454" t="s">
        <v>1150</v>
      </c>
      <c r="K97" s="454" t="s">
        <v>1158</v>
      </c>
      <c r="L97" s="454" t="s">
        <v>1159</v>
      </c>
      <c r="M97" s="454" t="s">
        <v>1160</v>
      </c>
      <c r="N97" s="454" t="s">
        <v>1161</v>
      </c>
      <c r="O97" s="454" t="s">
        <v>1162</v>
      </c>
      <c r="P97" s="422" t="s">
        <v>4</v>
      </c>
    </row>
    <row r="98" spans="2:16" ht="17.25" customHeight="1" x14ac:dyDescent="0.25">
      <c r="B98" s="5770" t="s">
        <v>786</v>
      </c>
      <c r="C98" s="5771"/>
      <c r="D98" s="423" t="s">
        <v>1102</v>
      </c>
      <c r="E98" s="424">
        <f t="shared" ref="E98:O98" ca="1" si="6">E28+E46+E64</f>
        <v>0</v>
      </c>
      <c r="F98" s="356" t="e">
        <f t="shared" si="6"/>
        <v>#REF!</v>
      </c>
      <c r="G98" s="356">
        <f t="shared" ca="1" si="6"/>
        <v>0</v>
      </c>
      <c r="H98" s="357">
        <f t="shared" ca="1" si="6"/>
        <v>0</v>
      </c>
      <c r="I98" s="357" t="e">
        <f t="shared" si="6"/>
        <v>#REF!</v>
      </c>
      <c r="J98" s="357" t="e">
        <f t="shared" si="6"/>
        <v>#REF!</v>
      </c>
      <c r="K98" s="357" t="e">
        <f t="shared" si="6"/>
        <v>#REF!</v>
      </c>
      <c r="L98" s="425">
        <f t="shared" ca="1" si="6"/>
        <v>0</v>
      </c>
      <c r="M98" s="425" t="e">
        <f t="shared" si="6"/>
        <v>#REF!</v>
      </c>
      <c r="N98" s="425" t="e">
        <f t="shared" si="6"/>
        <v>#REF!</v>
      </c>
      <c r="O98" s="426" t="e">
        <f t="shared" si="6"/>
        <v>#REF!</v>
      </c>
      <c r="P98" s="229" t="e">
        <f ca="1">SUM(E98:O98)</f>
        <v>#REF!</v>
      </c>
    </row>
    <row r="99" spans="2:16" ht="16.5" hidden="1" customHeight="1" x14ac:dyDescent="0.25">
      <c r="B99" s="5772"/>
      <c r="C99" s="5773"/>
      <c r="D99" s="423" t="s">
        <v>1102</v>
      </c>
      <c r="E99" s="424">
        <f>E37+E55+E73</f>
        <v>0</v>
      </c>
      <c r="F99" s="358"/>
      <c r="G99" s="358"/>
      <c r="H99" s="359"/>
      <c r="I99" s="359"/>
      <c r="J99" s="359"/>
      <c r="K99" s="359"/>
      <c r="L99" s="427"/>
      <c r="M99" s="427"/>
      <c r="N99" s="427"/>
      <c r="O99" s="428"/>
      <c r="P99" s="229">
        <f t="shared" ref="P99:P117" si="7">SUM(E99:O99)</f>
        <v>0</v>
      </c>
    </row>
    <row r="100" spans="2:16" ht="15.75" customHeight="1" x14ac:dyDescent="0.25">
      <c r="B100" s="5770" t="s">
        <v>796</v>
      </c>
      <c r="C100" s="5771"/>
      <c r="D100" s="423" t="s">
        <v>1102</v>
      </c>
      <c r="E100" s="424">
        <f t="shared" ref="E100:O100" ca="1" si="8">E29+E47+E65</f>
        <v>0</v>
      </c>
      <c r="F100" s="356" t="e">
        <f t="shared" si="8"/>
        <v>#REF!</v>
      </c>
      <c r="G100" s="356">
        <f t="shared" ca="1" si="8"/>
        <v>0</v>
      </c>
      <c r="H100" s="357">
        <f t="shared" ca="1" si="8"/>
        <v>0</v>
      </c>
      <c r="I100" s="357" t="e">
        <f t="shared" si="8"/>
        <v>#REF!</v>
      </c>
      <c r="J100" s="357" t="e">
        <f t="shared" si="8"/>
        <v>#REF!</v>
      </c>
      <c r="K100" s="357" t="e">
        <f t="shared" si="8"/>
        <v>#REF!</v>
      </c>
      <c r="L100" s="425" t="e">
        <f t="shared" si="8"/>
        <v>#REF!</v>
      </c>
      <c r="M100" s="425" t="e">
        <f t="shared" si="8"/>
        <v>#REF!</v>
      </c>
      <c r="N100" s="425" t="e">
        <f t="shared" si="8"/>
        <v>#REF!</v>
      </c>
      <c r="O100" s="426" t="e">
        <f t="shared" si="8"/>
        <v>#REF!</v>
      </c>
      <c r="P100" s="229" t="e">
        <f t="shared" ca="1" si="7"/>
        <v>#REF!</v>
      </c>
    </row>
    <row r="101" spans="2:16" ht="16.5" hidden="1" customHeight="1" x14ac:dyDescent="0.25">
      <c r="B101" s="5772"/>
      <c r="C101" s="5773"/>
      <c r="D101" s="423" t="s">
        <v>1102</v>
      </c>
      <c r="E101" s="424">
        <f>E38+E56+E74</f>
        <v>0</v>
      </c>
      <c r="F101" s="358"/>
      <c r="G101" s="358"/>
      <c r="H101" s="359"/>
      <c r="I101" s="359"/>
      <c r="J101" s="359"/>
      <c r="K101" s="359"/>
      <c r="L101" s="427"/>
      <c r="M101" s="427"/>
      <c r="N101" s="427"/>
      <c r="O101" s="428"/>
      <c r="P101" s="229">
        <f t="shared" si="7"/>
        <v>0</v>
      </c>
    </row>
    <row r="102" spans="2:16" ht="15.75" customHeight="1" x14ac:dyDescent="0.25">
      <c r="B102" s="5770" t="s">
        <v>799</v>
      </c>
      <c r="C102" s="5771"/>
      <c r="D102" s="423" t="s">
        <v>1102</v>
      </c>
      <c r="E102" s="424">
        <f t="shared" ref="E102:O102" ca="1" si="9">E30+E48+E66</f>
        <v>0</v>
      </c>
      <c r="F102" s="356" t="e">
        <f t="shared" si="9"/>
        <v>#REF!</v>
      </c>
      <c r="G102" s="356">
        <f t="shared" ca="1" si="9"/>
        <v>0</v>
      </c>
      <c r="H102" s="357">
        <f t="shared" ca="1" si="9"/>
        <v>0</v>
      </c>
      <c r="I102" s="357" t="e">
        <f t="shared" si="9"/>
        <v>#REF!</v>
      </c>
      <c r="J102" s="357" t="e">
        <f t="shared" si="9"/>
        <v>#REF!</v>
      </c>
      <c r="K102" s="357" t="e">
        <f t="shared" si="9"/>
        <v>#REF!</v>
      </c>
      <c r="L102" s="425">
        <f t="shared" ca="1" si="9"/>
        <v>0</v>
      </c>
      <c r="M102" s="425" t="e">
        <f t="shared" si="9"/>
        <v>#REF!</v>
      </c>
      <c r="N102" s="425" t="e">
        <f t="shared" si="9"/>
        <v>#REF!</v>
      </c>
      <c r="O102" s="426" t="e">
        <f t="shared" si="9"/>
        <v>#REF!</v>
      </c>
      <c r="P102" s="229" t="e">
        <f t="shared" ca="1" si="7"/>
        <v>#REF!</v>
      </c>
    </row>
    <row r="103" spans="2:16" ht="16.5" hidden="1" customHeight="1" x14ac:dyDescent="0.25">
      <c r="B103" s="5772"/>
      <c r="C103" s="5773"/>
      <c r="D103" s="423" t="s">
        <v>1102</v>
      </c>
      <c r="E103" s="424">
        <f>E39+E57+E75</f>
        <v>0</v>
      </c>
      <c r="F103" s="358"/>
      <c r="G103" s="358"/>
      <c r="H103" s="359"/>
      <c r="I103" s="359"/>
      <c r="J103" s="359"/>
      <c r="K103" s="359"/>
      <c r="L103" s="427"/>
      <c r="M103" s="427"/>
      <c r="N103" s="427"/>
      <c r="O103" s="428"/>
      <c r="P103" s="229">
        <f t="shared" si="7"/>
        <v>0</v>
      </c>
    </row>
    <row r="104" spans="2:16" ht="15.75" customHeight="1" thickBot="1" x14ac:dyDescent="0.3">
      <c r="B104" s="5770" t="s">
        <v>802</v>
      </c>
      <c r="C104" s="5771"/>
      <c r="D104" s="423" t="s">
        <v>1102</v>
      </c>
      <c r="E104" s="424">
        <f t="shared" ref="E104:O104" ca="1" si="10">E31+E49+E67</f>
        <v>0</v>
      </c>
      <c r="F104" s="356" t="e">
        <f t="shared" si="10"/>
        <v>#REF!</v>
      </c>
      <c r="G104" s="356">
        <f t="shared" ca="1" si="10"/>
        <v>0</v>
      </c>
      <c r="H104" s="357">
        <f t="shared" ca="1" si="10"/>
        <v>0</v>
      </c>
      <c r="I104" s="357" t="e">
        <f t="shared" si="10"/>
        <v>#REF!</v>
      </c>
      <c r="J104" s="357" t="e">
        <f t="shared" si="10"/>
        <v>#REF!</v>
      </c>
      <c r="K104" s="357" t="e">
        <f t="shared" si="10"/>
        <v>#REF!</v>
      </c>
      <c r="L104" s="425" t="e">
        <f t="shared" si="10"/>
        <v>#REF!</v>
      </c>
      <c r="M104" s="425" t="e">
        <f t="shared" si="10"/>
        <v>#REF!</v>
      </c>
      <c r="N104" s="425" t="e">
        <f t="shared" si="10"/>
        <v>#REF!</v>
      </c>
      <c r="O104" s="426" t="e">
        <f t="shared" si="10"/>
        <v>#REF!</v>
      </c>
      <c r="P104" s="229" t="e">
        <f t="shared" ca="1" si="7"/>
        <v>#REF!</v>
      </c>
    </row>
    <row r="105" spans="2:16" ht="16.5" hidden="1" customHeight="1" x14ac:dyDescent="0.25">
      <c r="B105" s="5772"/>
      <c r="C105" s="5773"/>
      <c r="D105" s="423" t="s">
        <v>1102</v>
      </c>
      <c r="E105" s="424">
        <f>E40+E58+E76</f>
        <v>0</v>
      </c>
      <c r="F105" s="429"/>
      <c r="G105" s="429"/>
      <c r="H105" s="430"/>
      <c r="I105" s="430"/>
      <c r="J105" s="430"/>
      <c r="K105" s="430"/>
      <c r="L105" s="431">
        <f>SUM(E105:K105)</f>
        <v>0</v>
      </c>
      <c r="P105" s="229">
        <f t="shared" si="7"/>
        <v>0</v>
      </c>
    </row>
    <row r="106" spans="2:16" ht="15.75" customHeight="1" x14ac:dyDescent="0.25">
      <c r="B106" s="5770" t="s">
        <v>158</v>
      </c>
      <c r="C106" s="5771"/>
      <c r="D106" s="423" t="s">
        <v>1102</v>
      </c>
      <c r="E106" s="432">
        <f>E32+E50+E68</f>
        <v>0</v>
      </c>
      <c r="F106" s="352"/>
      <c r="G106" s="145"/>
      <c r="H106" s="145"/>
      <c r="I106" s="145"/>
      <c r="J106" s="145"/>
      <c r="K106" s="145"/>
      <c r="L106" s="433"/>
      <c r="M106" s="145"/>
      <c r="N106" s="145"/>
      <c r="O106" s="145"/>
      <c r="P106" s="229">
        <f t="shared" si="7"/>
        <v>0</v>
      </c>
    </row>
    <row r="107" spans="2:16" ht="16.5" hidden="1" customHeight="1" x14ac:dyDescent="0.25">
      <c r="B107" s="5772"/>
      <c r="C107" s="5773"/>
      <c r="D107" s="423" t="s">
        <v>1102</v>
      </c>
      <c r="E107" s="432">
        <f>E41+E59+E77</f>
        <v>0</v>
      </c>
      <c r="F107" s="126"/>
      <c r="L107" s="341"/>
      <c r="P107" s="229">
        <f t="shared" si="7"/>
        <v>0</v>
      </c>
    </row>
    <row r="108" spans="2:16" ht="15.75" customHeight="1" x14ac:dyDescent="0.25">
      <c r="B108" s="5770" t="s">
        <v>1163</v>
      </c>
      <c r="C108" s="5771"/>
      <c r="D108" s="423" t="s">
        <v>1102</v>
      </c>
      <c r="E108" s="432">
        <f ca="1">E33+E51+E69</f>
        <v>0</v>
      </c>
      <c r="F108" s="126"/>
      <c r="L108" s="341"/>
      <c r="P108" s="229">
        <f t="shared" ca="1" si="7"/>
        <v>0</v>
      </c>
    </row>
    <row r="109" spans="2:16" ht="16.5" hidden="1" customHeight="1" x14ac:dyDescent="0.25">
      <c r="B109" s="5772"/>
      <c r="C109" s="5773"/>
      <c r="D109" s="423" t="s">
        <v>1102</v>
      </c>
      <c r="E109" s="432">
        <f>E42+E60+E78</f>
        <v>0</v>
      </c>
      <c r="F109" s="126"/>
      <c r="L109" s="341"/>
      <c r="P109" s="229">
        <f t="shared" si="7"/>
        <v>0</v>
      </c>
    </row>
    <row r="110" spans="2:16" ht="15.75" customHeight="1" x14ac:dyDescent="0.25">
      <c r="B110" s="5770" t="s">
        <v>1164</v>
      </c>
      <c r="C110" s="5771"/>
      <c r="D110" s="423" t="s">
        <v>1102</v>
      </c>
      <c r="E110" s="432">
        <f ca="1">E34+E52+E70</f>
        <v>0</v>
      </c>
      <c r="F110" s="126"/>
      <c r="L110" s="341"/>
      <c r="P110" s="229">
        <f t="shared" ca="1" si="7"/>
        <v>0</v>
      </c>
    </row>
    <row r="111" spans="2:16" ht="16.5" hidden="1" customHeight="1" x14ac:dyDescent="0.25">
      <c r="B111" s="5772"/>
      <c r="C111" s="5773"/>
      <c r="D111" s="423" t="s">
        <v>1102</v>
      </c>
      <c r="E111" s="432">
        <f>E43+E61+E79</f>
        <v>0</v>
      </c>
      <c r="F111" s="126"/>
      <c r="L111" s="341"/>
      <c r="P111" s="229">
        <f t="shared" si="7"/>
        <v>0</v>
      </c>
    </row>
    <row r="112" spans="2:16" ht="15.75" customHeight="1" x14ac:dyDescent="0.25">
      <c r="B112" s="5770" t="s">
        <v>157</v>
      </c>
      <c r="C112" s="5771"/>
      <c r="D112" s="423" t="s">
        <v>1102</v>
      </c>
      <c r="E112" s="432">
        <f>E35+E53+E71+E20+E21+E22</f>
        <v>0</v>
      </c>
      <c r="F112" s="126"/>
      <c r="L112" s="341"/>
      <c r="P112" s="229">
        <f t="shared" si="7"/>
        <v>0</v>
      </c>
    </row>
    <row r="113" spans="2:16" ht="16.5" hidden="1" customHeight="1" x14ac:dyDescent="0.25">
      <c r="B113" s="5772"/>
      <c r="C113" s="5773"/>
      <c r="D113" s="423" t="s">
        <v>1102</v>
      </c>
      <c r="E113" s="432">
        <f>E25+E26+E27+E44+E62+E80</f>
        <v>0</v>
      </c>
      <c r="F113" s="126"/>
      <c r="L113" s="341"/>
      <c r="P113" s="229">
        <f t="shared" si="7"/>
        <v>0</v>
      </c>
    </row>
    <row r="114" spans="2:16" ht="18.75" customHeight="1" x14ac:dyDescent="0.25">
      <c r="B114" s="5770" t="s">
        <v>18</v>
      </c>
      <c r="C114" s="5771"/>
      <c r="D114" s="423" t="s">
        <v>1102</v>
      </c>
      <c r="E114" s="432">
        <f>E10+E11+E12+E36+E54+E72</f>
        <v>0</v>
      </c>
      <c r="F114" s="126"/>
      <c r="L114" s="341"/>
      <c r="P114" s="229">
        <f t="shared" si="7"/>
        <v>0</v>
      </c>
    </row>
    <row r="115" spans="2:16" ht="18.75" hidden="1" customHeight="1" x14ac:dyDescent="0.25">
      <c r="B115" s="5772"/>
      <c r="C115" s="5773" t="s">
        <v>1165</v>
      </c>
      <c r="D115" s="423" t="s">
        <v>1102</v>
      </c>
      <c r="E115" s="432">
        <f>E15+E16+E17+E45+E63+E81</f>
        <v>0</v>
      </c>
      <c r="F115" s="126"/>
      <c r="P115" s="229">
        <f t="shared" si="7"/>
        <v>0</v>
      </c>
    </row>
    <row r="116" spans="2:16" ht="18.75" customHeight="1" thickBot="1" x14ac:dyDescent="0.3">
      <c r="B116" s="126"/>
      <c r="C116" s="360"/>
      <c r="D116" s="419"/>
      <c r="E116" s="434"/>
      <c r="F116" s="163"/>
      <c r="G116" s="164"/>
      <c r="H116" s="164"/>
      <c r="I116" s="164"/>
      <c r="J116" s="164"/>
      <c r="K116" s="164"/>
      <c r="L116" s="164"/>
      <c r="M116" s="164"/>
      <c r="N116" s="164"/>
      <c r="O116" s="164"/>
      <c r="P116" s="229"/>
    </row>
    <row r="117" spans="2:16" s="361" customFormat="1" ht="18.75" customHeight="1" thickBot="1" x14ac:dyDescent="0.3">
      <c r="B117" s="362"/>
      <c r="C117" s="363" t="s">
        <v>1166</v>
      </c>
      <c r="D117" s="435" t="s">
        <v>1102</v>
      </c>
      <c r="E117" s="436">
        <f ca="1">SUM(E98:E116)</f>
        <v>0</v>
      </c>
      <c r="F117" s="437" t="e">
        <f t="shared" ref="F117:O117" si="11">SUM(F98:F116)</f>
        <v>#REF!</v>
      </c>
      <c r="G117" s="437">
        <f t="shared" ca="1" si="11"/>
        <v>0</v>
      </c>
      <c r="H117" s="438">
        <f t="shared" ca="1" si="11"/>
        <v>0</v>
      </c>
      <c r="I117" s="438" t="e">
        <f t="shared" si="11"/>
        <v>#REF!</v>
      </c>
      <c r="J117" s="438" t="e">
        <f t="shared" si="11"/>
        <v>#REF!</v>
      </c>
      <c r="K117" s="438" t="e">
        <f t="shared" si="11"/>
        <v>#REF!</v>
      </c>
      <c r="L117" s="439" t="e">
        <f t="shared" ca="1" si="11"/>
        <v>#REF!</v>
      </c>
      <c r="M117" s="439" t="e">
        <f t="shared" si="11"/>
        <v>#REF!</v>
      </c>
      <c r="N117" s="439" t="e">
        <f t="shared" si="11"/>
        <v>#REF!</v>
      </c>
      <c r="O117" s="440" t="e">
        <f t="shared" si="11"/>
        <v>#REF!</v>
      </c>
      <c r="P117" s="229" t="e">
        <f t="shared" ca="1" si="7"/>
        <v>#REF!</v>
      </c>
    </row>
    <row r="118" spans="2:16" s="361" customFormat="1" ht="18.75" hidden="1" customHeight="1" x14ac:dyDescent="0.25">
      <c r="C118" s="365"/>
      <c r="D118" s="12"/>
      <c r="E118" s="441" t="s">
        <v>1157</v>
      </c>
      <c r="F118" s="442" t="s">
        <v>1146</v>
      </c>
      <c r="G118" s="442" t="s">
        <v>1147</v>
      </c>
      <c r="H118" s="443" t="s">
        <v>1148</v>
      </c>
      <c r="I118" s="443" t="s">
        <v>1149</v>
      </c>
      <c r="J118" s="444"/>
      <c r="K118" s="445" t="s">
        <v>1151</v>
      </c>
      <c r="L118" s="446" t="s">
        <v>1167</v>
      </c>
    </row>
    <row r="119" spans="2:16" s="361" customFormat="1" ht="18.75" hidden="1" customHeight="1" x14ac:dyDescent="0.3">
      <c r="B119" s="5775" t="s">
        <v>786</v>
      </c>
      <c r="C119" s="366" t="s">
        <v>1168</v>
      </c>
      <c r="D119" s="54" t="s">
        <v>1169</v>
      </c>
      <c r="E119" s="367">
        <f>+'[3]FEB 16'!S232</f>
        <v>169113.03903277693</v>
      </c>
      <c r="F119" s="368">
        <f>+'[3]FEB 16'!T232</f>
        <v>16158.441639680739</v>
      </c>
      <c r="G119" s="368">
        <f>+'[3]FEB 16'!U232</f>
        <v>14676.961772624243</v>
      </c>
      <c r="H119" s="369">
        <f>+'[3]FEB 16'!V232</f>
        <v>0</v>
      </c>
      <c r="I119" s="369">
        <f>+'[3]FEB 16'!W232</f>
        <v>0</v>
      </c>
      <c r="J119" s="369"/>
      <c r="K119" s="369">
        <f>+'[3]FEB 16'!X232</f>
        <v>0</v>
      </c>
      <c r="L119" s="370">
        <f>SUM(E119:K119)</f>
        <v>199948.44244508189</v>
      </c>
    </row>
    <row r="120" spans="2:16" s="361" customFormat="1" ht="18.75" hidden="1" customHeight="1" x14ac:dyDescent="0.3">
      <c r="B120" s="5775"/>
      <c r="C120" s="366" t="s">
        <v>1170</v>
      </c>
      <c r="D120" s="54" t="s">
        <v>1169</v>
      </c>
      <c r="E120" s="367">
        <f>+'[3]FEB 16'!S233</f>
        <v>0</v>
      </c>
      <c r="F120" s="368">
        <f>+'[3]FEB 16'!T233</f>
        <v>0</v>
      </c>
      <c r="G120" s="368">
        <f>+'[3]FEB 16'!U233</f>
        <v>0</v>
      </c>
      <c r="H120" s="369">
        <f>+'[3]FEB 16'!V233</f>
        <v>0</v>
      </c>
      <c r="I120" s="369">
        <f>+'[3]FEB 16'!W233</f>
        <v>0</v>
      </c>
      <c r="J120" s="369"/>
      <c r="K120" s="369">
        <f>+'[3]FEB 16'!X233</f>
        <v>0</v>
      </c>
      <c r="L120" s="371">
        <f t="shared" ref="L120:L138" si="12">SUM(E120:K120)</f>
        <v>0</v>
      </c>
    </row>
    <row r="121" spans="2:16" s="361" customFormat="1" ht="18.75" hidden="1" customHeight="1" x14ac:dyDescent="0.3">
      <c r="B121" s="5775" t="s">
        <v>796</v>
      </c>
      <c r="C121" s="366" t="s">
        <v>1171</v>
      </c>
      <c r="D121" s="54" t="s">
        <v>1169</v>
      </c>
      <c r="E121" s="367">
        <f>+'[3]FEB 16'!S234</f>
        <v>57406.896675541568</v>
      </c>
      <c r="F121" s="368">
        <f>+'[3]FEB 16'!T234</f>
        <v>2961.0177670429425</v>
      </c>
      <c r="G121" s="368">
        <f>+'[3]FEB 16'!U234</f>
        <v>1313.4454463434172</v>
      </c>
      <c r="H121" s="369">
        <f>+'[3]FEB 16'!V234</f>
        <v>0</v>
      </c>
      <c r="I121" s="369">
        <f>+'[3]FEB 16'!W234</f>
        <v>0</v>
      </c>
      <c r="J121" s="369"/>
      <c r="K121" s="369">
        <f>+'[3]FEB 16'!X234</f>
        <v>0</v>
      </c>
      <c r="L121" s="371">
        <f t="shared" si="12"/>
        <v>61681.359888927924</v>
      </c>
    </row>
    <row r="122" spans="2:16" s="361" customFormat="1" ht="18.75" hidden="1" customHeight="1" x14ac:dyDescent="0.3">
      <c r="B122" s="5775"/>
      <c r="C122" s="366" t="s">
        <v>1172</v>
      </c>
      <c r="D122" s="54" t="s">
        <v>1169</v>
      </c>
      <c r="E122" s="367">
        <f>+'[3]FEB 16'!S235</f>
        <v>0</v>
      </c>
      <c r="F122" s="368">
        <f>+'[3]FEB 16'!T235</f>
        <v>0</v>
      </c>
      <c r="G122" s="368">
        <f>+'[3]FEB 16'!U235</f>
        <v>0</v>
      </c>
      <c r="H122" s="369">
        <f>+'[3]FEB 16'!V235</f>
        <v>0</v>
      </c>
      <c r="I122" s="369">
        <f>+'[3]FEB 16'!W235</f>
        <v>0</v>
      </c>
      <c r="J122" s="369"/>
      <c r="K122" s="369">
        <f>+'[3]FEB 16'!X235</f>
        <v>0</v>
      </c>
      <c r="L122" s="371">
        <f t="shared" si="12"/>
        <v>0</v>
      </c>
    </row>
    <row r="123" spans="2:16" s="361" customFormat="1" ht="18.75" hidden="1" customHeight="1" x14ac:dyDescent="0.3">
      <c r="B123" s="5775" t="s">
        <v>799</v>
      </c>
      <c r="C123" s="366" t="s">
        <v>1173</v>
      </c>
      <c r="D123" s="54" t="s">
        <v>1169</v>
      </c>
      <c r="E123" s="367">
        <f>+'[3]FEB 16'!S236</f>
        <v>67413.791700043934</v>
      </c>
      <c r="F123" s="368">
        <f>+'[3]FEB 16'!T236</f>
        <v>4159.3520188338916</v>
      </c>
      <c r="G123" s="368">
        <f>+'[3]FEB 16'!U236</f>
        <v>1263.7263539247756</v>
      </c>
      <c r="H123" s="369">
        <f>+'[3]FEB 16'!V236</f>
        <v>0</v>
      </c>
      <c r="I123" s="369">
        <f>+'[3]FEB 16'!W236</f>
        <v>0</v>
      </c>
      <c r="J123" s="369"/>
      <c r="K123" s="369">
        <f>+'[3]FEB 16'!X236</f>
        <v>0</v>
      </c>
      <c r="L123" s="371">
        <f t="shared" si="12"/>
        <v>72836.870072802601</v>
      </c>
    </row>
    <row r="124" spans="2:16" s="361" customFormat="1" ht="18.75" hidden="1" customHeight="1" x14ac:dyDescent="0.3">
      <c r="B124" s="5775"/>
      <c r="C124" s="366" t="s">
        <v>1174</v>
      </c>
      <c r="D124" s="54" t="s">
        <v>1169</v>
      </c>
      <c r="E124" s="367">
        <f>+'[3]FEB 16'!S237</f>
        <v>0</v>
      </c>
      <c r="F124" s="368">
        <f>+'[3]FEB 16'!T237</f>
        <v>0</v>
      </c>
      <c r="G124" s="368">
        <f>+'[3]FEB 16'!U237</f>
        <v>0</v>
      </c>
      <c r="H124" s="369">
        <f>+'[3]FEB 16'!V237</f>
        <v>0</v>
      </c>
      <c r="I124" s="369">
        <f>+'[3]FEB 16'!W237</f>
        <v>0</v>
      </c>
      <c r="J124" s="369"/>
      <c r="K124" s="369">
        <f>+'[3]FEB 16'!X237</f>
        <v>0</v>
      </c>
      <c r="L124" s="371">
        <f t="shared" si="12"/>
        <v>0</v>
      </c>
    </row>
    <row r="125" spans="2:16" s="361" customFormat="1" ht="18.75" hidden="1" customHeight="1" x14ac:dyDescent="0.3">
      <c r="B125" s="5775" t="s">
        <v>802</v>
      </c>
      <c r="C125" s="366" t="s">
        <v>1175</v>
      </c>
      <c r="D125" s="54" t="s">
        <v>1169</v>
      </c>
      <c r="E125" s="367">
        <f>+'[3]FEB 16'!S238</f>
        <v>9878.8479251500321</v>
      </c>
      <c r="F125" s="368">
        <f>+'[3]FEB 16'!T238</f>
        <v>0</v>
      </c>
      <c r="G125" s="368">
        <f>+'[3]FEB 16'!U238</f>
        <v>0</v>
      </c>
      <c r="H125" s="369">
        <f>+'[3]FEB 16'!V238</f>
        <v>0</v>
      </c>
      <c r="I125" s="369">
        <f>+'[3]FEB 16'!W238</f>
        <v>0</v>
      </c>
      <c r="J125" s="369"/>
      <c r="K125" s="369">
        <f>+'[3]FEB 16'!X238</f>
        <v>0</v>
      </c>
      <c r="L125" s="371">
        <f t="shared" si="12"/>
        <v>9878.8479251500321</v>
      </c>
    </row>
    <row r="126" spans="2:16" s="361" customFormat="1" ht="18.75" hidden="1" customHeight="1" x14ac:dyDescent="0.3">
      <c r="B126" s="5775"/>
      <c r="C126" s="366" t="s">
        <v>1176</v>
      </c>
      <c r="D126" s="54" t="s">
        <v>1169</v>
      </c>
      <c r="E126" s="367">
        <f>+'[3]FEB 16'!S239</f>
        <v>0</v>
      </c>
      <c r="F126" s="368">
        <f>+'[3]FEB 16'!T239</f>
        <v>0</v>
      </c>
      <c r="G126" s="368">
        <f>+'[3]FEB 16'!U239</f>
        <v>0</v>
      </c>
      <c r="H126" s="369">
        <f>+'[3]FEB 16'!V239</f>
        <v>0</v>
      </c>
      <c r="I126" s="369">
        <f>+'[3]FEB 16'!W239</f>
        <v>0</v>
      </c>
      <c r="J126" s="369"/>
      <c r="K126" s="369">
        <f>+'[3]FEB 16'!X239</f>
        <v>0</v>
      </c>
      <c r="L126" s="371">
        <f t="shared" si="12"/>
        <v>0</v>
      </c>
    </row>
    <row r="127" spans="2:16" s="361" customFormat="1" ht="18.75" hidden="1" customHeight="1" x14ac:dyDescent="0.3">
      <c r="B127" s="5775" t="s">
        <v>158</v>
      </c>
      <c r="C127" s="366" t="s">
        <v>1177</v>
      </c>
      <c r="D127" s="54" t="s">
        <v>1169</v>
      </c>
      <c r="E127" s="367">
        <f>+'[3]FEB 16'!S240</f>
        <v>25200.166358876148</v>
      </c>
      <c r="F127" s="368"/>
      <c r="G127" s="368"/>
      <c r="H127" s="369"/>
      <c r="I127" s="369"/>
      <c r="J127" s="369"/>
      <c r="K127" s="369"/>
      <c r="L127" s="371">
        <f t="shared" si="12"/>
        <v>25200.166358876148</v>
      </c>
    </row>
    <row r="128" spans="2:16" s="361" customFormat="1" ht="18.75" hidden="1" customHeight="1" x14ac:dyDescent="0.3">
      <c r="B128" s="5775"/>
      <c r="C128" s="366" t="s">
        <v>1178</v>
      </c>
      <c r="D128" s="54" t="s">
        <v>1169</v>
      </c>
      <c r="E128" s="367">
        <f>+'[3]FEB 16'!S241</f>
        <v>0</v>
      </c>
      <c r="F128" s="368"/>
      <c r="G128" s="368"/>
      <c r="H128" s="369"/>
      <c r="I128" s="369"/>
      <c r="J128" s="369"/>
      <c r="K128" s="369"/>
      <c r="L128" s="371">
        <f t="shared" si="12"/>
        <v>0</v>
      </c>
    </row>
    <row r="129" spans="2:12" s="361" customFormat="1" ht="18.75" hidden="1" customHeight="1" x14ac:dyDescent="0.3">
      <c r="B129" s="5775" t="s">
        <v>1163</v>
      </c>
      <c r="C129" s="366" t="s">
        <v>1179</v>
      </c>
      <c r="D129" s="54" t="s">
        <v>1169</v>
      </c>
      <c r="E129" s="367">
        <f>+'[3]FEB 16'!S242</f>
        <v>84310.339930180038</v>
      </c>
      <c r="F129" s="368"/>
      <c r="G129" s="368"/>
      <c r="H129" s="369"/>
      <c r="I129" s="369"/>
      <c r="J129" s="369"/>
      <c r="K129" s="369"/>
      <c r="L129" s="371">
        <f t="shared" si="12"/>
        <v>84310.339930180038</v>
      </c>
    </row>
    <row r="130" spans="2:12" s="361" customFormat="1" ht="18.75" hidden="1" customHeight="1" x14ac:dyDescent="0.3">
      <c r="B130" s="5775"/>
      <c r="C130" s="366" t="s">
        <v>1180</v>
      </c>
      <c r="D130" s="54" t="s">
        <v>1169</v>
      </c>
      <c r="E130" s="367">
        <f>+'[3]FEB 16'!S243</f>
        <v>0</v>
      </c>
      <c r="F130" s="368"/>
      <c r="G130" s="368"/>
      <c r="H130" s="369"/>
      <c r="I130" s="369"/>
      <c r="J130" s="369"/>
      <c r="K130" s="369"/>
      <c r="L130" s="371">
        <f t="shared" si="12"/>
        <v>0</v>
      </c>
    </row>
    <row r="131" spans="2:12" s="361" customFormat="1" ht="18.75" hidden="1" customHeight="1" x14ac:dyDescent="0.3">
      <c r="B131" s="5775" t="s">
        <v>1164</v>
      </c>
      <c r="C131" s="366" t="s">
        <v>1181</v>
      </c>
      <c r="D131" s="54" t="s">
        <v>1169</v>
      </c>
      <c r="E131" s="367">
        <f>+'[3]FEB 16'!S244</f>
        <v>36216.365303163999</v>
      </c>
      <c r="F131" s="368"/>
      <c r="G131" s="368"/>
      <c r="H131" s="369"/>
      <c r="I131" s="369"/>
      <c r="J131" s="369"/>
      <c r="K131" s="369"/>
      <c r="L131" s="371">
        <f t="shared" si="12"/>
        <v>36216.365303163999</v>
      </c>
    </row>
    <row r="132" spans="2:12" s="361" customFormat="1" ht="18.75" hidden="1" customHeight="1" x14ac:dyDescent="0.3">
      <c r="B132" s="5775"/>
      <c r="C132" s="366" t="s">
        <v>1182</v>
      </c>
      <c r="D132" s="54" t="s">
        <v>1169</v>
      </c>
      <c r="E132" s="367">
        <f>+'[3]FEB 16'!S245</f>
        <v>0</v>
      </c>
      <c r="F132" s="368"/>
      <c r="G132" s="368"/>
      <c r="H132" s="369"/>
      <c r="I132" s="369"/>
      <c r="J132" s="369"/>
      <c r="K132" s="369"/>
      <c r="L132" s="371">
        <f t="shared" si="12"/>
        <v>0</v>
      </c>
    </row>
    <row r="133" spans="2:12" s="361" customFormat="1" ht="18.75" hidden="1" customHeight="1" x14ac:dyDescent="0.3">
      <c r="B133" s="5775" t="s">
        <v>157</v>
      </c>
      <c r="C133" s="366" t="s">
        <v>1183</v>
      </c>
      <c r="D133" s="54" t="s">
        <v>1169</v>
      </c>
      <c r="E133" s="367">
        <f>+'[3]FEB 16'!S246</f>
        <v>164210.14912315249</v>
      </c>
      <c r="F133" s="368"/>
      <c r="G133" s="368"/>
      <c r="H133" s="369"/>
      <c r="I133" s="369"/>
      <c r="J133" s="369"/>
      <c r="K133" s="369"/>
      <c r="L133" s="371">
        <f t="shared" si="12"/>
        <v>164210.14912315249</v>
      </c>
    </row>
    <row r="134" spans="2:12" s="361" customFormat="1" ht="18.75" hidden="1" customHeight="1" x14ac:dyDescent="0.3">
      <c r="B134" s="5775"/>
      <c r="C134" s="366" t="s">
        <v>1184</v>
      </c>
      <c r="D134" s="54" t="s">
        <v>1169</v>
      </c>
      <c r="E134" s="367">
        <f>+'[3]FEB 16'!S247</f>
        <v>0</v>
      </c>
      <c r="F134" s="368"/>
      <c r="G134" s="368"/>
      <c r="H134" s="369"/>
      <c r="I134" s="369"/>
      <c r="J134" s="369"/>
      <c r="K134" s="369"/>
      <c r="L134" s="371">
        <f t="shared" si="12"/>
        <v>0</v>
      </c>
    </row>
    <row r="135" spans="2:12" s="361" customFormat="1" ht="18.75" hidden="1" customHeight="1" x14ac:dyDescent="0.3">
      <c r="B135" s="5775" t="s">
        <v>18</v>
      </c>
      <c r="C135" s="366" t="s">
        <v>1185</v>
      </c>
      <c r="D135" s="54" t="s">
        <v>1169</v>
      </c>
      <c r="E135" s="367">
        <f>+'[3]FEB 16'!S248</f>
        <v>0</v>
      </c>
      <c r="F135" s="368"/>
      <c r="G135" s="368"/>
      <c r="H135" s="369"/>
      <c r="I135" s="369"/>
      <c r="J135" s="369"/>
      <c r="K135" s="369"/>
      <c r="L135" s="371">
        <f t="shared" si="12"/>
        <v>0</v>
      </c>
    </row>
    <row r="136" spans="2:12" s="361" customFormat="1" ht="18.75" hidden="1" customHeight="1" x14ac:dyDescent="0.3">
      <c r="B136" s="5775"/>
      <c r="C136" s="366" t="s">
        <v>1165</v>
      </c>
      <c r="D136" s="54" t="s">
        <v>1169</v>
      </c>
      <c r="E136" s="367">
        <f>+'[3]FEB 16'!S249</f>
        <v>0</v>
      </c>
      <c r="F136" s="368">
        <f>+'[3]FEB 16'!T249</f>
        <v>0</v>
      </c>
      <c r="G136" s="368">
        <f>+'[3]FEB 16'!U249</f>
        <v>0</v>
      </c>
      <c r="H136" s="369">
        <f>+'[3]FEB 16'!V249</f>
        <v>0</v>
      </c>
      <c r="I136" s="369">
        <f>+'[3]FEB 16'!W249</f>
        <v>0</v>
      </c>
      <c r="J136" s="369"/>
      <c r="K136" s="369">
        <f>+'[3]FEB 16'!X249</f>
        <v>0</v>
      </c>
      <c r="L136" s="371">
        <f t="shared" si="12"/>
        <v>0</v>
      </c>
    </row>
    <row r="137" spans="2:12" s="361" customFormat="1" ht="18.75" hidden="1" customHeight="1" x14ac:dyDescent="0.3">
      <c r="C137" s="365"/>
      <c r="D137" s="12"/>
      <c r="E137" s="364"/>
      <c r="F137" s="372"/>
      <c r="G137" s="372"/>
      <c r="H137" s="373"/>
      <c r="I137" s="373"/>
      <c r="J137" s="373"/>
      <c r="K137" s="373"/>
      <c r="L137" s="371">
        <f t="shared" si="12"/>
        <v>0</v>
      </c>
    </row>
    <row r="138" spans="2:12" s="361" customFormat="1" ht="18.75" hidden="1" customHeight="1" x14ac:dyDescent="0.3">
      <c r="C138" s="420" t="s">
        <v>1186</v>
      </c>
      <c r="D138" s="54" t="s">
        <v>1169</v>
      </c>
      <c r="E138" s="367">
        <f t="shared" ref="E138:K138" si="13">SUM(E119:E137)</f>
        <v>613749.59604888514</v>
      </c>
      <c r="F138" s="368">
        <f t="shared" si="13"/>
        <v>23278.811425557575</v>
      </c>
      <c r="G138" s="368">
        <f t="shared" si="13"/>
        <v>17254.133572892435</v>
      </c>
      <c r="H138" s="369">
        <f t="shared" si="13"/>
        <v>0</v>
      </c>
      <c r="I138" s="369">
        <f t="shared" si="13"/>
        <v>0</v>
      </c>
      <c r="J138" s="369"/>
      <c r="K138" s="369">
        <f t="shared" si="13"/>
        <v>0</v>
      </c>
      <c r="L138" s="371">
        <f t="shared" si="12"/>
        <v>654282.54104733514</v>
      </c>
    </row>
    <row r="139" spans="2:12" s="361" customFormat="1" ht="18.75" hidden="1" customHeight="1" x14ac:dyDescent="0.25">
      <c r="C139" s="365"/>
      <c r="D139" s="12"/>
      <c r="E139" s="353" t="s">
        <v>1157</v>
      </c>
      <c r="F139" s="354" t="s">
        <v>1146</v>
      </c>
      <c r="G139" s="354" t="s">
        <v>1147</v>
      </c>
      <c r="H139" s="355" t="s">
        <v>1148</v>
      </c>
      <c r="I139" s="355" t="s">
        <v>1149</v>
      </c>
      <c r="J139" s="355"/>
      <c r="K139" s="374" t="s">
        <v>1151</v>
      </c>
      <c r="L139" s="375" t="s">
        <v>1167</v>
      </c>
    </row>
    <row r="140" spans="2:12" s="361" customFormat="1" ht="18.75" hidden="1" customHeight="1" x14ac:dyDescent="0.25">
      <c r="B140" s="5775" t="s">
        <v>786</v>
      </c>
      <c r="C140" s="366" t="s">
        <v>1168</v>
      </c>
      <c r="D140" s="54" t="s">
        <v>1187</v>
      </c>
      <c r="E140" s="376">
        <f ca="1">IF(E98=0,0,E119/E98)</f>
        <v>0</v>
      </c>
      <c r="F140" s="377" t="e">
        <f t="shared" ref="F140:L140" si="14">IF(F98=0,0,F119/F98)</f>
        <v>#REF!</v>
      </c>
      <c r="G140" s="377">
        <f t="shared" ca="1" si="14"/>
        <v>0</v>
      </c>
      <c r="H140" s="378">
        <f t="shared" ca="1" si="14"/>
        <v>0</v>
      </c>
      <c r="I140" s="378" t="e">
        <f t="shared" si="14"/>
        <v>#REF!</v>
      </c>
      <c r="J140" s="378"/>
      <c r="K140" s="378" t="e">
        <f t="shared" si="14"/>
        <v>#REF!</v>
      </c>
      <c r="L140" s="379">
        <f t="shared" ca="1" si="14"/>
        <v>0</v>
      </c>
    </row>
    <row r="141" spans="2:12" s="361" customFormat="1" ht="18.75" hidden="1" customHeight="1" x14ac:dyDescent="0.25">
      <c r="B141" s="5775"/>
      <c r="C141" s="366" t="s">
        <v>1170</v>
      </c>
      <c r="D141" s="54" t="s">
        <v>1187</v>
      </c>
      <c r="E141" s="376">
        <f t="shared" ref="E141:L156" si="15">IF(E99=0,0,E120/E99)</f>
        <v>0</v>
      </c>
      <c r="F141" s="377">
        <f t="shared" si="15"/>
        <v>0</v>
      </c>
      <c r="G141" s="377">
        <f t="shared" si="15"/>
        <v>0</v>
      </c>
      <c r="H141" s="378">
        <f t="shared" si="15"/>
        <v>0</v>
      </c>
      <c r="I141" s="378">
        <f t="shared" si="15"/>
        <v>0</v>
      </c>
      <c r="J141" s="378"/>
      <c r="K141" s="378">
        <f t="shared" si="15"/>
        <v>0</v>
      </c>
      <c r="L141" s="379">
        <f t="shared" si="15"/>
        <v>0</v>
      </c>
    </row>
    <row r="142" spans="2:12" s="361" customFormat="1" ht="18.75" hidden="1" customHeight="1" x14ac:dyDescent="0.25">
      <c r="B142" s="5775" t="s">
        <v>796</v>
      </c>
      <c r="C142" s="366" t="s">
        <v>1171</v>
      </c>
      <c r="D142" s="54" t="s">
        <v>1187</v>
      </c>
      <c r="E142" s="376">
        <f t="shared" ca="1" si="15"/>
        <v>0</v>
      </c>
      <c r="F142" s="377" t="e">
        <f t="shared" si="15"/>
        <v>#REF!</v>
      </c>
      <c r="G142" s="377">
        <f t="shared" ca="1" si="15"/>
        <v>0</v>
      </c>
      <c r="H142" s="378">
        <f t="shared" ca="1" si="15"/>
        <v>0</v>
      </c>
      <c r="I142" s="378" t="e">
        <f t="shared" si="15"/>
        <v>#REF!</v>
      </c>
      <c r="J142" s="378"/>
      <c r="K142" s="378" t="e">
        <f t="shared" si="15"/>
        <v>#REF!</v>
      </c>
      <c r="L142" s="379" t="e">
        <f t="shared" si="15"/>
        <v>#REF!</v>
      </c>
    </row>
    <row r="143" spans="2:12" s="361" customFormat="1" ht="18.75" hidden="1" customHeight="1" x14ac:dyDescent="0.25">
      <c r="B143" s="5775"/>
      <c r="C143" s="366" t="s">
        <v>1172</v>
      </c>
      <c r="D143" s="54" t="s">
        <v>1187</v>
      </c>
      <c r="E143" s="376">
        <f t="shared" si="15"/>
        <v>0</v>
      </c>
      <c r="F143" s="377">
        <f t="shared" si="15"/>
        <v>0</v>
      </c>
      <c r="G143" s="377">
        <f t="shared" si="15"/>
        <v>0</v>
      </c>
      <c r="H143" s="378">
        <f t="shared" si="15"/>
        <v>0</v>
      </c>
      <c r="I143" s="378">
        <f t="shared" si="15"/>
        <v>0</v>
      </c>
      <c r="J143" s="378"/>
      <c r="K143" s="378">
        <f t="shared" si="15"/>
        <v>0</v>
      </c>
      <c r="L143" s="379">
        <f t="shared" si="15"/>
        <v>0</v>
      </c>
    </row>
    <row r="144" spans="2:12" s="361" customFormat="1" ht="18.75" hidden="1" customHeight="1" x14ac:dyDescent="0.25">
      <c r="B144" s="5775" t="s">
        <v>799</v>
      </c>
      <c r="C144" s="366" t="s">
        <v>1173</v>
      </c>
      <c r="D144" s="54" t="s">
        <v>1187</v>
      </c>
      <c r="E144" s="376">
        <f t="shared" ca="1" si="15"/>
        <v>0</v>
      </c>
      <c r="F144" s="377" t="e">
        <f t="shared" si="15"/>
        <v>#REF!</v>
      </c>
      <c r="G144" s="377">
        <f t="shared" ca="1" si="15"/>
        <v>0</v>
      </c>
      <c r="H144" s="378">
        <f t="shared" ca="1" si="15"/>
        <v>0</v>
      </c>
      <c r="I144" s="378" t="e">
        <f t="shared" si="15"/>
        <v>#REF!</v>
      </c>
      <c r="J144" s="378"/>
      <c r="K144" s="378" t="e">
        <f t="shared" si="15"/>
        <v>#REF!</v>
      </c>
      <c r="L144" s="379">
        <f t="shared" ca="1" si="15"/>
        <v>0</v>
      </c>
    </row>
    <row r="145" spans="2:12" s="361" customFormat="1" ht="18.75" hidden="1" customHeight="1" x14ac:dyDescent="0.25">
      <c r="B145" s="5775"/>
      <c r="C145" s="366" t="s">
        <v>1174</v>
      </c>
      <c r="D145" s="54" t="s">
        <v>1187</v>
      </c>
      <c r="E145" s="376">
        <f t="shared" si="15"/>
        <v>0</v>
      </c>
      <c r="F145" s="377">
        <f t="shared" si="15"/>
        <v>0</v>
      </c>
      <c r="G145" s="377">
        <f t="shared" si="15"/>
        <v>0</v>
      </c>
      <c r="H145" s="378">
        <f t="shared" si="15"/>
        <v>0</v>
      </c>
      <c r="I145" s="378">
        <f t="shared" si="15"/>
        <v>0</v>
      </c>
      <c r="J145" s="378"/>
      <c r="K145" s="378">
        <f t="shared" si="15"/>
        <v>0</v>
      </c>
      <c r="L145" s="379">
        <f t="shared" si="15"/>
        <v>0</v>
      </c>
    </row>
    <row r="146" spans="2:12" s="361" customFormat="1" ht="18.75" hidden="1" customHeight="1" x14ac:dyDescent="0.25">
      <c r="B146" s="5775" t="s">
        <v>802</v>
      </c>
      <c r="C146" s="366" t="s">
        <v>1175</v>
      </c>
      <c r="D146" s="54" t="s">
        <v>1187</v>
      </c>
      <c r="E146" s="376">
        <f t="shared" ca="1" si="15"/>
        <v>0</v>
      </c>
      <c r="F146" s="377" t="e">
        <f t="shared" si="15"/>
        <v>#REF!</v>
      </c>
      <c r="G146" s="377">
        <f t="shared" ca="1" si="15"/>
        <v>0</v>
      </c>
      <c r="H146" s="378">
        <f t="shared" ca="1" si="15"/>
        <v>0</v>
      </c>
      <c r="I146" s="378" t="e">
        <f t="shared" si="15"/>
        <v>#REF!</v>
      </c>
      <c r="J146" s="378"/>
      <c r="K146" s="378" t="e">
        <f t="shared" si="15"/>
        <v>#REF!</v>
      </c>
      <c r="L146" s="379" t="e">
        <f t="shared" si="15"/>
        <v>#REF!</v>
      </c>
    </row>
    <row r="147" spans="2:12" s="361" customFormat="1" ht="18.75" hidden="1" customHeight="1" x14ac:dyDescent="0.25">
      <c r="B147" s="5775"/>
      <c r="C147" s="366" t="s">
        <v>1176</v>
      </c>
      <c r="D147" s="54" t="s">
        <v>1187</v>
      </c>
      <c r="E147" s="376">
        <f t="shared" si="15"/>
        <v>0</v>
      </c>
      <c r="F147" s="377">
        <f t="shared" si="15"/>
        <v>0</v>
      </c>
      <c r="G147" s="377">
        <f t="shared" si="15"/>
        <v>0</v>
      </c>
      <c r="H147" s="378">
        <f t="shared" si="15"/>
        <v>0</v>
      </c>
      <c r="I147" s="378">
        <f t="shared" si="15"/>
        <v>0</v>
      </c>
      <c r="J147" s="378"/>
      <c r="K147" s="378">
        <f t="shared" si="15"/>
        <v>0</v>
      </c>
      <c r="L147" s="379">
        <f t="shared" si="15"/>
        <v>0</v>
      </c>
    </row>
    <row r="148" spans="2:12" s="361" customFormat="1" ht="18.75" hidden="1" customHeight="1" x14ac:dyDescent="0.25">
      <c r="B148" s="5775" t="s">
        <v>158</v>
      </c>
      <c r="C148" s="366" t="s">
        <v>1177</v>
      </c>
      <c r="D148" s="54" t="s">
        <v>1187</v>
      </c>
      <c r="E148" s="380">
        <f t="shared" si="15"/>
        <v>0</v>
      </c>
      <c r="F148" s="381"/>
      <c r="G148" s="381"/>
      <c r="H148" s="382"/>
      <c r="I148" s="382"/>
      <c r="J148" s="382"/>
      <c r="K148" s="382"/>
      <c r="L148" s="379">
        <f t="shared" si="15"/>
        <v>0</v>
      </c>
    </row>
    <row r="149" spans="2:12" s="361" customFormat="1" ht="18.75" hidden="1" customHeight="1" x14ac:dyDescent="0.25">
      <c r="B149" s="5775"/>
      <c r="C149" s="366" t="s">
        <v>1178</v>
      </c>
      <c r="D149" s="54" t="s">
        <v>1187</v>
      </c>
      <c r="E149" s="376">
        <f t="shared" si="15"/>
        <v>0</v>
      </c>
      <c r="F149" s="372"/>
      <c r="G149" s="372"/>
      <c r="H149" s="373"/>
      <c r="I149" s="373"/>
      <c r="J149" s="373"/>
      <c r="K149" s="373"/>
      <c r="L149" s="379">
        <f t="shared" si="15"/>
        <v>0</v>
      </c>
    </row>
    <row r="150" spans="2:12" s="361" customFormat="1" ht="18.75" hidden="1" customHeight="1" x14ac:dyDescent="0.25">
      <c r="B150" s="5775" t="s">
        <v>1163</v>
      </c>
      <c r="C150" s="366" t="s">
        <v>1179</v>
      </c>
      <c r="D150" s="54" t="s">
        <v>1187</v>
      </c>
      <c r="E150" s="376">
        <f t="shared" ca="1" si="15"/>
        <v>0</v>
      </c>
      <c r="F150" s="372"/>
      <c r="G150" s="372"/>
      <c r="H150" s="373"/>
      <c r="I150" s="373"/>
      <c r="J150" s="373"/>
      <c r="K150" s="373"/>
      <c r="L150" s="379">
        <f t="shared" si="15"/>
        <v>0</v>
      </c>
    </row>
    <row r="151" spans="2:12" s="361" customFormat="1" ht="18.75" hidden="1" customHeight="1" x14ac:dyDescent="0.25">
      <c r="B151" s="5775"/>
      <c r="C151" s="366" t="s">
        <v>1180</v>
      </c>
      <c r="D151" s="54" t="s">
        <v>1187</v>
      </c>
      <c r="E151" s="376">
        <f t="shared" si="15"/>
        <v>0</v>
      </c>
      <c r="F151" s="372"/>
      <c r="G151" s="372"/>
      <c r="H151" s="373"/>
      <c r="I151" s="373"/>
      <c r="J151" s="373"/>
      <c r="K151" s="373"/>
      <c r="L151" s="379">
        <f t="shared" si="15"/>
        <v>0</v>
      </c>
    </row>
    <row r="152" spans="2:12" s="361" customFormat="1" ht="18.75" hidden="1" customHeight="1" x14ac:dyDescent="0.25">
      <c r="B152" s="5775" t="s">
        <v>1164</v>
      </c>
      <c r="C152" s="366" t="s">
        <v>1181</v>
      </c>
      <c r="D152" s="54" t="s">
        <v>1187</v>
      </c>
      <c r="E152" s="376">
        <f t="shared" ca="1" si="15"/>
        <v>0</v>
      </c>
      <c r="F152" s="372"/>
      <c r="G152" s="372"/>
      <c r="H152" s="373"/>
      <c r="I152" s="373"/>
      <c r="J152" s="373"/>
      <c r="K152" s="373"/>
      <c r="L152" s="379">
        <f t="shared" si="15"/>
        <v>0</v>
      </c>
    </row>
    <row r="153" spans="2:12" s="361" customFormat="1" ht="18.75" hidden="1" customHeight="1" x14ac:dyDescent="0.25">
      <c r="B153" s="5775"/>
      <c r="C153" s="366" t="s">
        <v>1182</v>
      </c>
      <c r="D153" s="54" t="s">
        <v>1187</v>
      </c>
      <c r="E153" s="376">
        <f t="shared" si="15"/>
        <v>0</v>
      </c>
      <c r="F153" s="372"/>
      <c r="G153" s="372"/>
      <c r="H153" s="373"/>
      <c r="I153" s="373"/>
      <c r="J153" s="373"/>
      <c r="K153" s="373"/>
      <c r="L153" s="379">
        <f t="shared" si="15"/>
        <v>0</v>
      </c>
    </row>
    <row r="154" spans="2:12" s="361" customFormat="1" ht="18.75" hidden="1" customHeight="1" x14ac:dyDescent="0.25">
      <c r="B154" s="5775" t="s">
        <v>157</v>
      </c>
      <c r="C154" s="366" t="s">
        <v>1183</v>
      </c>
      <c r="D154" s="54" t="s">
        <v>1187</v>
      </c>
      <c r="E154" s="376">
        <f t="shared" si="15"/>
        <v>0</v>
      </c>
      <c r="F154" s="372"/>
      <c r="G154" s="372"/>
      <c r="H154" s="373"/>
      <c r="I154" s="373"/>
      <c r="J154" s="373"/>
      <c r="K154" s="373"/>
      <c r="L154" s="379">
        <f t="shared" si="15"/>
        <v>0</v>
      </c>
    </row>
    <row r="155" spans="2:12" s="361" customFormat="1" ht="18.75" hidden="1" customHeight="1" x14ac:dyDescent="0.25">
      <c r="B155" s="5775"/>
      <c r="C155" s="366" t="s">
        <v>1184</v>
      </c>
      <c r="D155" s="54" t="s">
        <v>1187</v>
      </c>
      <c r="E155" s="376">
        <f t="shared" si="15"/>
        <v>0</v>
      </c>
      <c r="F155" s="372"/>
      <c r="G155" s="372"/>
      <c r="H155" s="373"/>
      <c r="I155" s="373"/>
      <c r="J155" s="373"/>
      <c r="K155" s="373"/>
      <c r="L155" s="379">
        <f t="shared" si="15"/>
        <v>0</v>
      </c>
    </row>
    <row r="156" spans="2:12" s="361" customFormat="1" ht="18.75" hidden="1" customHeight="1" x14ac:dyDescent="0.25">
      <c r="B156" s="5775" t="s">
        <v>18</v>
      </c>
      <c r="C156" s="366" t="s">
        <v>1185</v>
      </c>
      <c r="D156" s="54" t="s">
        <v>1187</v>
      </c>
      <c r="E156" s="376">
        <f t="shared" si="15"/>
        <v>0</v>
      </c>
      <c r="F156" s="372"/>
      <c r="G156" s="372"/>
      <c r="H156" s="373"/>
      <c r="I156" s="373"/>
      <c r="J156" s="373"/>
      <c r="K156" s="373"/>
      <c r="L156" s="379">
        <f t="shared" si="15"/>
        <v>0</v>
      </c>
    </row>
    <row r="157" spans="2:12" s="361" customFormat="1" ht="18.75" hidden="1" customHeight="1" x14ac:dyDescent="0.25">
      <c r="B157" s="5775"/>
      <c r="C157" s="366" t="s">
        <v>1165</v>
      </c>
      <c r="D157" s="54" t="s">
        <v>1187</v>
      </c>
      <c r="E157" s="376">
        <f>IF(E115=0,0,E136/E115)</f>
        <v>0</v>
      </c>
      <c r="F157" s="372"/>
      <c r="G157" s="372"/>
      <c r="H157" s="373"/>
      <c r="I157" s="373"/>
      <c r="J157" s="373"/>
      <c r="K157" s="373"/>
      <c r="L157" s="379">
        <f>IF(L115=0,0,L136/L115)</f>
        <v>0</v>
      </c>
    </row>
    <row r="158" spans="2:12" s="361" customFormat="1" ht="18.75" hidden="1" customHeight="1" x14ac:dyDescent="0.25">
      <c r="B158" s="383"/>
      <c r="C158" s="420"/>
      <c r="D158" s="54"/>
      <c r="E158" s="384"/>
      <c r="F158" s="372"/>
      <c r="G158" s="372"/>
      <c r="H158" s="373"/>
      <c r="I158" s="373"/>
      <c r="J158" s="373"/>
      <c r="K158" s="373"/>
      <c r="L158" s="379"/>
    </row>
    <row r="159" spans="2:12" s="361" customFormat="1" ht="18.75" hidden="1" customHeight="1" x14ac:dyDescent="0.25">
      <c r="B159" s="383"/>
      <c r="C159" s="420" t="s">
        <v>1188</v>
      </c>
      <c r="D159" s="54" t="s">
        <v>1187</v>
      </c>
      <c r="E159" s="376" t="e">
        <f t="shared" ref="E159:K159" ca="1" si="16">E138/E117</f>
        <v>#DIV/0!</v>
      </c>
      <c r="F159" s="377" t="e">
        <f t="shared" si="16"/>
        <v>#REF!</v>
      </c>
      <c r="G159" s="377" t="e">
        <f t="shared" ca="1" si="16"/>
        <v>#DIV/0!</v>
      </c>
      <c r="H159" s="378" t="e">
        <f t="shared" ca="1" si="16"/>
        <v>#DIV/0!</v>
      </c>
      <c r="I159" s="378" t="e">
        <f t="shared" si="16"/>
        <v>#REF!</v>
      </c>
      <c r="J159" s="378"/>
      <c r="K159" s="378" t="e">
        <f t="shared" si="16"/>
        <v>#REF!</v>
      </c>
      <c r="L159" s="379" t="e">
        <f ca="1">IF(L117=0,0,L138/L117)</f>
        <v>#REF!</v>
      </c>
    </row>
    <row r="160" spans="2:12" s="361" customFormat="1" ht="18.75" hidden="1" customHeight="1" x14ac:dyDescent="0.25">
      <c r="C160" s="365"/>
      <c r="D160" s="12"/>
      <c r="E160" s="385"/>
    </row>
    <row r="161" spans="2:5" ht="15.75" hidden="1" x14ac:dyDescent="0.25">
      <c r="C161" s="5776" t="s">
        <v>1189</v>
      </c>
      <c r="D161" s="5776"/>
      <c r="E161" s="5776"/>
    </row>
    <row r="162" spans="2:5" hidden="1" x14ac:dyDescent="0.2">
      <c r="B162" s="5777" t="s">
        <v>1106</v>
      </c>
      <c r="C162" s="386" t="s">
        <v>1116</v>
      </c>
      <c r="D162" s="54" t="s">
        <v>1187</v>
      </c>
      <c r="E162" s="387" t="e">
        <f>'[3]FEB 16'!#REF!</f>
        <v>#REF!</v>
      </c>
    </row>
    <row r="163" spans="2:5" hidden="1" x14ac:dyDescent="0.2">
      <c r="B163" s="5777"/>
      <c r="C163" s="386" t="s">
        <v>1117</v>
      </c>
      <c r="D163" s="54" t="s">
        <v>1187</v>
      </c>
      <c r="E163" s="387" t="e">
        <f>'[3]FEB 16'!#REF!</f>
        <v>#REF!</v>
      </c>
    </row>
    <row r="164" spans="2:5" hidden="1" x14ac:dyDescent="0.2">
      <c r="B164" s="5777"/>
      <c r="C164" s="386" t="s">
        <v>1118</v>
      </c>
      <c r="D164" s="54" t="s">
        <v>1187</v>
      </c>
      <c r="E164" s="387" t="e">
        <f>'[3]FEB 16'!#REF!</f>
        <v>#REF!</v>
      </c>
    </row>
    <row r="165" spans="2:5" hidden="1" x14ac:dyDescent="0.2">
      <c r="B165" s="5777"/>
      <c r="C165" s="386" t="s">
        <v>1119</v>
      </c>
      <c r="D165" s="54" t="s">
        <v>1187</v>
      </c>
      <c r="E165" s="387" t="e">
        <f>'[3]FEB 16'!#REF!</f>
        <v>#REF!</v>
      </c>
    </row>
    <row r="166" spans="2:5" hidden="1" x14ac:dyDescent="0.2">
      <c r="B166" s="5777"/>
      <c r="C166" s="33" t="s">
        <v>1120</v>
      </c>
      <c r="D166" s="54" t="s">
        <v>1187</v>
      </c>
      <c r="E166" s="387" t="e">
        <f>'[3]FEB 16'!#REF!</f>
        <v>#REF!</v>
      </c>
    </row>
    <row r="167" spans="2:5" hidden="1" x14ac:dyDescent="0.2">
      <c r="B167" s="5777"/>
      <c r="C167" s="33" t="s">
        <v>1121</v>
      </c>
      <c r="D167" s="54" t="s">
        <v>1187</v>
      </c>
      <c r="E167" s="387" t="e">
        <f>'[3]FEB 16'!#REF!</f>
        <v>#REF!</v>
      </c>
    </row>
    <row r="168" spans="2:5" hidden="1" x14ac:dyDescent="0.2">
      <c r="B168" s="5777"/>
      <c r="C168" s="33" t="s">
        <v>1122</v>
      </c>
      <c r="D168" s="54" t="s">
        <v>1187</v>
      </c>
      <c r="E168" s="387" t="e">
        <f>'[3]FEB 16'!#REF!</f>
        <v>#REF!</v>
      </c>
    </row>
    <row r="169" spans="2:5" hidden="1" x14ac:dyDescent="0.2">
      <c r="B169" s="5777"/>
      <c r="C169" s="33" t="s">
        <v>1123</v>
      </c>
      <c r="D169" s="54" t="s">
        <v>1187</v>
      </c>
      <c r="E169" s="387" t="e">
        <f>'[3]FEB 16'!#REF!</f>
        <v>#REF!</v>
      </c>
    </row>
    <row r="170" spans="2:5" hidden="1" x14ac:dyDescent="0.2">
      <c r="B170" s="5777"/>
      <c r="C170" s="33" t="s">
        <v>1101</v>
      </c>
      <c r="D170" s="54" t="s">
        <v>1187</v>
      </c>
      <c r="E170" s="387" t="e">
        <f>'[3]FEB 16'!#REF!</f>
        <v>#REF!</v>
      </c>
    </row>
    <row r="171" spans="2:5" hidden="1" x14ac:dyDescent="0.2">
      <c r="B171" s="5777"/>
      <c r="C171" s="388" t="s">
        <v>1124</v>
      </c>
      <c r="D171" s="54" t="s">
        <v>1187</v>
      </c>
      <c r="E171" s="387" t="e">
        <f>'[3]FEB 16'!#REF!</f>
        <v>#REF!</v>
      </c>
    </row>
    <row r="172" spans="2:5" hidden="1" x14ac:dyDescent="0.2">
      <c r="B172" s="5777"/>
      <c r="C172" s="388" t="s">
        <v>1125</v>
      </c>
      <c r="D172" s="54" t="s">
        <v>1187</v>
      </c>
      <c r="E172" s="387" t="e">
        <f>'[3]FEB 16'!#REF!</f>
        <v>#REF!</v>
      </c>
    </row>
    <row r="173" spans="2:5" hidden="1" x14ac:dyDescent="0.2">
      <c r="B173" s="5777"/>
      <c r="C173" s="388" t="s">
        <v>1126</v>
      </c>
      <c r="D173" s="54" t="s">
        <v>1187</v>
      </c>
      <c r="E173" s="387" t="e">
        <f>'[3]FEB 16'!#REF!</f>
        <v>#REF!</v>
      </c>
    </row>
    <row r="174" spans="2:5" hidden="1" x14ac:dyDescent="0.2">
      <c r="B174" s="5777"/>
      <c r="C174" s="388" t="s">
        <v>1127</v>
      </c>
      <c r="D174" s="54" t="s">
        <v>1187</v>
      </c>
      <c r="E174" s="387" t="e">
        <f>'[3]FEB 16'!#REF!</f>
        <v>#REF!</v>
      </c>
    </row>
    <row r="175" spans="2:5" hidden="1" x14ac:dyDescent="0.2">
      <c r="B175" s="5777"/>
      <c r="C175" s="33" t="s">
        <v>1128</v>
      </c>
      <c r="D175" s="54" t="s">
        <v>1187</v>
      </c>
      <c r="E175" s="387" t="e">
        <f>'[3]FEB 16'!#REF!</f>
        <v>#REF!</v>
      </c>
    </row>
    <row r="176" spans="2:5" hidden="1" x14ac:dyDescent="0.2">
      <c r="B176" s="5777"/>
      <c r="C176" s="33" t="s">
        <v>1129</v>
      </c>
      <c r="D176" s="54" t="s">
        <v>1187</v>
      </c>
      <c r="E176" s="387" t="e">
        <f>'[3]FEB 16'!#REF!</f>
        <v>#REF!</v>
      </c>
    </row>
    <row r="177" spans="2:5" hidden="1" x14ac:dyDescent="0.2">
      <c r="B177" s="5777"/>
      <c r="C177" s="33" t="s">
        <v>1130</v>
      </c>
      <c r="D177" s="54" t="s">
        <v>1187</v>
      </c>
      <c r="E177" s="387" t="e">
        <f>'[3]FEB 16'!#REF!</f>
        <v>#REF!</v>
      </c>
    </row>
    <row r="178" spans="2:5" hidden="1" x14ac:dyDescent="0.2">
      <c r="B178" s="5777"/>
      <c r="C178" s="33" t="s">
        <v>1108</v>
      </c>
      <c r="D178" s="54" t="s">
        <v>1187</v>
      </c>
      <c r="E178" s="387" t="e">
        <f>'[3]FEB 16'!#REF!</f>
        <v>#REF!</v>
      </c>
    </row>
    <row r="179" spans="2:5" hidden="1" x14ac:dyDescent="0.2">
      <c r="B179" s="5777"/>
      <c r="C179" s="388" t="s">
        <v>1103</v>
      </c>
      <c r="D179" s="54" t="s">
        <v>1187</v>
      </c>
      <c r="E179" s="387" t="e">
        <f>'[3]FEB 16'!#REF!</f>
        <v>#REF!</v>
      </c>
    </row>
    <row r="180" spans="2:5" hidden="1" x14ac:dyDescent="0.2">
      <c r="B180" s="5777"/>
      <c r="C180" s="389" t="s">
        <v>1131</v>
      </c>
      <c r="D180" s="54" t="s">
        <v>1187</v>
      </c>
      <c r="E180" s="387" t="e">
        <f>'[3]FEB 16'!#REF!</f>
        <v>#REF!</v>
      </c>
    </row>
    <row r="181" spans="2:5" hidden="1" x14ac:dyDescent="0.2">
      <c r="B181" s="5777"/>
      <c r="C181" s="389" t="s">
        <v>1132</v>
      </c>
      <c r="D181" s="54" t="s">
        <v>1187</v>
      </c>
      <c r="E181" s="387" t="e">
        <f>'[3]FEB 16'!#REF!</f>
        <v>#REF!</v>
      </c>
    </row>
    <row r="182" spans="2:5" hidden="1" x14ac:dyDescent="0.2">
      <c r="B182" s="5777"/>
      <c r="C182" s="389" t="s">
        <v>1133</v>
      </c>
      <c r="D182" s="54" t="s">
        <v>1187</v>
      </c>
      <c r="E182" s="387" t="e">
        <f>'[3]FEB 16'!#REF!</f>
        <v>#REF!</v>
      </c>
    </row>
    <row r="183" spans="2:5" hidden="1" x14ac:dyDescent="0.2">
      <c r="B183" s="5777"/>
      <c r="C183" s="389" t="s">
        <v>1134</v>
      </c>
      <c r="D183" s="54" t="s">
        <v>1187</v>
      </c>
      <c r="E183" s="387" t="e">
        <f>'[3]FEB 16'!#REF!</f>
        <v>#REF!</v>
      </c>
    </row>
    <row r="184" spans="2:5" hidden="1" x14ac:dyDescent="0.2">
      <c r="B184" s="5777"/>
      <c r="C184" s="33" t="s">
        <v>1135</v>
      </c>
      <c r="D184" s="54" t="s">
        <v>1187</v>
      </c>
      <c r="E184" s="387" t="e">
        <f>'[3]FEB 16'!#REF!</f>
        <v>#REF!</v>
      </c>
    </row>
    <row r="185" spans="2:5" hidden="1" x14ac:dyDescent="0.2">
      <c r="B185" s="5777"/>
      <c r="C185" s="33" t="s">
        <v>1136</v>
      </c>
      <c r="D185" s="54" t="s">
        <v>1187</v>
      </c>
      <c r="E185" s="387" t="e">
        <f>'[3]FEB 16'!#REF!</f>
        <v>#REF!</v>
      </c>
    </row>
    <row r="186" spans="2:5" hidden="1" x14ac:dyDescent="0.2">
      <c r="B186" s="5777"/>
      <c r="C186" s="33" t="s">
        <v>1137</v>
      </c>
      <c r="D186" s="54" t="s">
        <v>1187</v>
      </c>
      <c r="E186" s="387" t="e">
        <f>'[3]FEB 16'!#REF!</f>
        <v>#REF!</v>
      </c>
    </row>
    <row r="187" spans="2:5" hidden="1" x14ac:dyDescent="0.2">
      <c r="B187" s="5777"/>
      <c r="C187" s="33" t="s">
        <v>1109</v>
      </c>
      <c r="D187" s="54" t="s">
        <v>1187</v>
      </c>
      <c r="E187" s="387" t="e">
        <f>'[3]FEB 16'!#REF!</f>
        <v>#REF!</v>
      </c>
    </row>
    <row r="188" spans="2:5" hidden="1" x14ac:dyDescent="0.2">
      <c r="B188" s="5777"/>
      <c r="C188" s="33" t="s">
        <v>1104</v>
      </c>
      <c r="D188" s="54" t="s">
        <v>1187</v>
      </c>
      <c r="E188" s="387" t="e">
        <f>'[3]FEB 16'!#REF!</f>
        <v>#REF!</v>
      </c>
    </row>
    <row r="189" spans="2:5" hidden="1" x14ac:dyDescent="0.2">
      <c r="B189" s="5778" t="s">
        <v>992</v>
      </c>
      <c r="C189" s="386" t="s">
        <v>1116</v>
      </c>
      <c r="D189" s="54" t="s">
        <v>1187</v>
      </c>
      <c r="E189" s="387" t="e">
        <f>'[3]FEB 16'!#REF!</f>
        <v>#REF!</v>
      </c>
    </row>
    <row r="190" spans="2:5" hidden="1" x14ac:dyDescent="0.2">
      <c r="B190" s="5778"/>
      <c r="C190" s="386" t="s">
        <v>1117</v>
      </c>
      <c r="D190" s="54" t="s">
        <v>1187</v>
      </c>
      <c r="E190" s="387" t="e">
        <f>'[3]FEB 16'!#REF!</f>
        <v>#REF!</v>
      </c>
    </row>
    <row r="191" spans="2:5" hidden="1" x14ac:dyDescent="0.2">
      <c r="B191" s="5778"/>
      <c r="C191" s="386" t="s">
        <v>1118</v>
      </c>
      <c r="D191" s="54" t="s">
        <v>1187</v>
      </c>
      <c r="E191" s="387" t="e">
        <f>'[3]FEB 16'!#REF!</f>
        <v>#REF!</v>
      </c>
    </row>
    <row r="192" spans="2:5" hidden="1" x14ac:dyDescent="0.2">
      <c r="B192" s="5778"/>
      <c r="C192" s="386" t="s">
        <v>1119</v>
      </c>
      <c r="D192" s="54" t="s">
        <v>1187</v>
      </c>
      <c r="E192" s="387" t="e">
        <f>'[3]FEB 16'!#REF!</f>
        <v>#REF!</v>
      </c>
    </row>
    <row r="193" spans="2:5" hidden="1" x14ac:dyDescent="0.2">
      <c r="B193" s="5778"/>
      <c r="C193" s="33" t="s">
        <v>1120</v>
      </c>
      <c r="D193" s="54" t="s">
        <v>1187</v>
      </c>
      <c r="E193" s="387" t="e">
        <f>'[3]FEB 16'!#REF!</f>
        <v>#REF!</v>
      </c>
    </row>
    <row r="194" spans="2:5" hidden="1" x14ac:dyDescent="0.2">
      <c r="B194" s="5778"/>
      <c r="C194" s="33" t="s">
        <v>1121</v>
      </c>
      <c r="D194" s="54" t="s">
        <v>1187</v>
      </c>
      <c r="E194" s="387" t="e">
        <f>'[3]FEB 16'!#REF!</f>
        <v>#REF!</v>
      </c>
    </row>
    <row r="195" spans="2:5" hidden="1" x14ac:dyDescent="0.2">
      <c r="B195" s="5778"/>
      <c r="C195" s="33" t="s">
        <v>1122</v>
      </c>
      <c r="D195" s="54" t="s">
        <v>1187</v>
      </c>
      <c r="E195" s="387" t="e">
        <f>'[3]FEB 16'!#REF!</f>
        <v>#REF!</v>
      </c>
    </row>
    <row r="196" spans="2:5" hidden="1" x14ac:dyDescent="0.2">
      <c r="B196" s="5778"/>
      <c r="C196" s="33" t="s">
        <v>1123</v>
      </c>
      <c r="D196" s="54" t="s">
        <v>1187</v>
      </c>
      <c r="E196" s="387" t="e">
        <f>'[3]FEB 16'!#REF!</f>
        <v>#REF!</v>
      </c>
    </row>
    <row r="197" spans="2:5" hidden="1" x14ac:dyDescent="0.2">
      <c r="B197" s="5778"/>
      <c r="C197" s="33" t="s">
        <v>1101</v>
      </c>
      <c r="D197" s="54" t="s">
        <v>1187</v>
      </c>
      <c r="E197" s="387" t="e">
        <f>'[3]FEB 16'!#REF!</f>
        <v>#REF!</v>
      </c>
    </row>
    <row r="198" spans="2:5" hidden="1" x14ac:dyDescent="0.2">
      <c r="B198" s="5778"/>
      <c r="C198" s="388" t="s">
        <v>1124</v>
      </c>
      <c r="D198" s="54" t="s">
        <v>1187</v>
      </c>
      <c r="E198" s="387" t="e">
        <f>'[3]FEB 16'!#REF!</f>
        <v>#REF!</v>
      </c>
    </row>
    <row r="199" spans="2:5" hidden="1" x14ac:dyDescent="0.2">
      <c r="B199" s="5778"/>
      <c r="C199" s="388" t="s">
        <v>1125</v>
      </c>
      <c r="D199" s="54" t="s">
        <v>1187</v>
      </c>
      <c r="E199" s="387" t="e">
        <f>'[3]FEB 16'!#REF!</f>
        <v>#REF!</v>
      </c>
    </row>
    <row r="200" spans="2:5" hidden="1" x14ac:dyDescent="0.2">
      <c r="B200" s="5778"/>
      <c r="C200" s="388" t="s">
        <v>1126</v>
      </c>
      <c r="D200" s="54" t="s">
        <v>1187</v>
      </c>
      <c r="E200" s="387" t="e">
        <f>'[3]FEB 16'!#REF!</f>
        <v>#REF!</v>
      </c>
    </row>
    <row r="201" spans="2:5" hidden="1" x14ac:dyDescent="0.2">
      <c r="B201" s="5778"/>
      <c r="C201" s="388" t="s">
        <v>1127</v>
      </c>
      <c r="D201" s="54" t="s">
        <v>1187</v>
      </c>
      <c r="E201" s="387" t="e">
        <f>'[3]FEB 16'!#REF!</f>
        <v>#REF!</v>
      </c>
    </row>
    <row r="202" spans="2:5" hidden="1" x14ac:dyDescent="0.2">
      <c r="B202" s="5778"/>
      <c r="C202" s="33" t="s">
        <v>1128</v>
      </c>
      <c r="D202" s="54" t="s">
        <v>1187</v>
      </c>
      <c r="E202" s="387" t="e">
        <f>'[3]FEB 16'!#REF!</f>
        <v>#REF!</v>
      </c>
    </row>
    <row r="203" spans="2:5" hidden="1" x14ac:dyDescent="0.2">
      <c r="B203" s="5778"/>
      <c r="C203" s="33" t="s">
        <v>1129</v>
      </c>
      <c r="D203" s="54" t="s">
        <v>1187</v>
      </c>
      <c r="E203" s="387" t="e">
        <f>'[3]FEB 16'!#REF!</f>
        <v>#REF!</v>
      </c>
    </row>
    <row r="204" spans="2:5" hidden="1" x14ac:dyDescent="0.2">
      <c r="B204" s="5778"/>
      <c r="C204" s="33" t="s">
        <v>1130</v>
      </c>
      <c r="D204" s="54" t="s">
        <v>1187</v>
      </c>
      <c r="E204" s="387" t="e">
        <f>'[3]FEB 16'!#REF!</f>
        <v>#REF!</v>
      </c>
    </row>
    <row r="205" spans="2:5" hidden="1" x14ac:dyDescent="0.2">
      <c r="B205" s="5778"/>
      <c r="C205" s="33" t="s">
        <v>1108</v>
      </c>
      <c r="D205" s="54" t="s">
        <v>1187</v>
      </c>
      <c r="E205" s="387" t="e">
        <f>'[3]FEB 16'!#REF!</f>
        <v>#REF!</v>
      </c>
    </row>
    <row r="206" spans="2:5" hidden="1" x14ac:dyDescent="0.2">
      <c r="B206" s="5778"/>
      <c r="C206" s="388" t="s">
        <v>1103</v>
      </c>
      <c r="D206" s="54" t="s">
        <v>1187</v>
      </c>
      <c r="E206" s="387" t="e">
        <f>'[3]FEB 16'!#REF!</f>
        <v>#REF!</v>
      </c>
    </row>
    <row r="207" spans="2:5" hidden="1" x14ac:dyDescent="0.2">
      <c r="B207" s="5778"/>
      <c r="C207" s="389" t="s">
        <v>1131</v>
      </c>
      <c r="D207" s="54" t="s">
        <v>1187</v>
      </c>
      <c r="E207" s="387" t="e">
        <f>'[3]FEB 16'!#REF!</f>
        <v>#REF!</v>
      </c>
    </row>
    <row r="208" spans="2:5" hidden="1" x14ac:dyDescent="0.2">
      <c r="B208" s="5778"/>
      <c r="C208" s="389" t="s">
        <v>1132</v>
      </c>
      <c r="D208" s="54" t="s">
        <v>1187</v>
      </c>
      <c r="E208" s="387" t="e">
        <f>'[3]FEB 16'!#REF!</f>
        <v>#REF!</v>
      </c>
    </row>
    <row r="209" spans="2:5" hidden="1" x14ac:dyDescent="0.2">
      <c r="B209" s="5778"/>
      <c r="C209" s="389" t="s">
        <v>1133</v>
      </c>
      <c r="D209" s="54" t="s">
        <v>1187</v>
      </c>
      <c r="E209" s="387" t="e">
        <f>'[3]FEB 16'!#REF!</f>
        <v>#REF!</v>
      </c>
    </row>
    <row r="210" spans="2:5" hidden="1" x14ac:dyDescent="0.2">
      <c r="B210" s="5778"/>
      <c r="C210" s="389" t="s">
        <v>1134</v>
      </c>
      <c r="D210" s="54" t="s">
        <v>1187</v>
      </c>
      <c r="E210" s="387" t="e">
        <f>'[3]FEB 16'!#REF!</f>
        <v>#REF!</v>
      </c>
    </row>
    <row r="211" spans="2:5" hidden="1" x14ac:dyDescent="0.2">
      <c r="B211" s="5778"/>
      <c r="C211" s="33" t="s">
        <v>1135</v>
      </c>
      <c r="D211" s="54" t="s">
        <v>1187</v>
      </c>
      <c r="E211" s="387" t="e">
        <f>'[3]FEB 16'!#REF!</f>
        <v>#REF!</v>
      </c>
    </row>
    <row r="212" spans="2:5" hidden="1" x14ac:dyDescent="0.2">
      <c r="B212" s="5778"/>
      <c r="C212" s="33" t="s">
        <v>1136</v>
      </c>
      <c r="D212" s="54" t="s">
        <v>1187</v>
      </c>
      <c r="E212" s="387" t="e">
        <f>'[3]FEB 16'!#REF!</f>
        <v>#REF!</v>
      </c>
    </row>
    <row r="213" spans="2:5" hidden="1" x14ac:dyDescent="0.2">
      <c r="B213" s="5778"/>
      <c r="C213" s="33" t="s">
        <v>1137</v>
      </c>
      <c r="D213" s="54" t="s">
        <v>1187</v>
      </c>
      <c r="E213" s="387" t="e">
        <f>'[3]FEB 16'!#REF!</f>
        <v>#REF!</v>
      </c>
    </row>
    <row r="214" spans="2:5" hidden="1" x14ac:dyDescent="0.2">
      <c r="B214" s="5778"/>
      <c r="C214" s="33" t="s">
        <v>1109</v>
      </c>
      <c r="D214" s="54" t="s">
        <v>1187</v>
      </c>
      <c r="E214" s="387" t="e">
        <f>'[3]FEB 16'!#REF!</f>
        <v>#REF!</v>
      </c>
    </row>
    <row r="215" spans="2:5" hidden="1" x14ac:dyDescent="0.2">
      <c r="B215" s="5778"/>
      <c r="C215" s="33" t="s">
        <v>1104</v>
      </c>
      <c r="D215" s="54" t="s">
        <v>1187</v>
      </c>
      <c r="E215" s="387" t="e">
        <f>'[3]FEB 16'!#REF!</f>
        <v>#REF!</v>
      </c>
    </row>
    <row r="216" spans="2:5" hidden="1" x14ac:dyDescent="0.2"/>
    <row r="217" spans="2:5" hidden="1" x14ac:dyDescent="0.2"/>
    <row r="218" spans="2:5" hidden="1" x14ac:dyDescent="0.2"/>
    <row r="219" spans="2:5" hidden="1" x14ac:dyDescent="0.2"/>
    <row r="220" spans="2:5" hidden="1" x14ac:dyDescent="0.2"/>
    <row r="221" spans="2:5" hidden="1" x14ac:dyDescent="0.2"/>
    <row r="222" spans="2:5" hidden="1" x14ac:dyDescent="0.2"/>
    <row r="223" spans="2:5" hidden="1" x14ac:dyDescent="0.2"/>
    <row r="224" spans="2:5" hidden="1" x14ac:dyDescent="0.2"/>
    <row r="225" s="9" customFormat="1" ht="12.75" hidden="1" x14ac:dyDescent="0.2"/>
    <row r="226" s="9" customFormat="1" ht="12.75" hidden="1" x14ac:dyDescent="0.2"/>
    <row r="227" s="9" customFormat="1" ht="12.75" hidden="1" x14ac:dyDescent="0.2"/>
    <row r="228" s="9" customFormat="1" ht="12.75" hidden="1" x14ac:dyDescent="0.2"/>
    <row r="229" s="9" customFormat="1" ht="12.75" hidden="1" x14ac:dyDescent="0.2"/>
    <row r="230" s="9" customFormat="1" ht="12.75" hidden="1" x14ac:dyDescent="0.2"/>
    <row r="231" s="9" customFormat="1" ht="12.75" hidden="1" x14ac:dyDescent="0.2"/>
    <row r="232" s="9" customFormat="1" ht="12.75" hidden="1" x14ac:dyDescent="0.2"/>
    <row r="233" s="9" customFormat="1" ht="12.75" hidden="1" x14ac:dyDescent="0.2"/>
    <row r="234" s="9" customFormat="1" ht="12.75" hidden="1" x14ac:dyDescent="0.2"/>
    <row r="235" s="9" customFormat="1" ht="12.75" hidden="1" x14ac:dyDescent="0.2"/>
    <row r="236" s="9" customFormat="1" ht="12.75" hidden="1" x14ac:dyDescent="0.2"/>
    <row r="237" s="9" customFormat="1" ht="12.75" hidden="1" x14ac:dyDescent="0.2"/>
    <row r="238" s="9" customFormat="1" ht="12.75" hidden="1" x14ac:dyDescent="0.2"/>
    <row r="239" s="9" customFormat="1" ht="12.75" hidden="1" x14ac:dyDescent="0.2"/>
    <row r="240" s="9" customFormat="1" ht="12.75" hidden="1" x14ac:dyDescent="0.2"/>
    <row r="241" s="9" customFormat="1" ht="12.75" hidden="1" x14ac:dyDescent="0.2"/>
    <row r="242" s="9" customFormat="1" ht="12.75" hidden="1" x14ac:dyDescent="0.2"/>
    <row r="243" s="9" customFormat="1" ht="12.75" hidden="1" x14ac:dyDescent="0.2"/>
    <row r="244" s="9" customFormat="1" ht="12.75" hidden="1" x14ac:dyDescent="0.2"/>
    <row r="245" s="9" customFormat="1" ht="12.75" hidden="1" x14ac:dyDescent="0.2"/>
    <row r="246" s="9" customFormat="1" ht="12.75" hidden="1" x14ac:dyDescent="0.2"/>
    <row r="247" s="9" customFormat="1" ht="12.75" hidden="1" x14ac:dyDescent="0.2"/>
    <row r="248" s="9" customFormat="1" ht="12.75" hidden="1" x14ac:dyDescent="0.2"/>
    <row r="249" s="9" customFormat="1" ht="12.75" hidden="1" x14ac:dyDescent="0.2"/>
    <row r="250" s="9" customFormat="1" ht="12.75" hidden="1" x14ac:dyDescent="0.2"/>
    <row r="251" s="9" customFormat="1" ht="12.75" hidden="1" x14ac:dyDescent="0.2"/>
    <row r="252" s="9" customFormat="1" ht="12.75" hidden="1" x14ac:dyDescent="0.2"/>
    <row r="253" s="9" customFormat="1" ht="12.75" hidden="1" x14ac:dyDescent="0.2"/>
    <row r="254" s="9" customFormat="1" ht="12.75" hidden="1" x14ac:dyDescent="0.2"/>
    <row r="255" s="9" customFormat="1" ht="12.75" hidden="1" x14ac:dyDescent="0.2"/>
    <row r="256" s="9" customFormat="1" ht="12.75" hidden="1" x14ac:dyDescent="0.2"/>
    <row r="257" s="9" customFormat="1" ht="12.75" hidden="1" x14ac:dyDescent="0.2"/>
    <row r="258" s="9" customFormat="1" ht="12.75" hidden="1" x14ac:dyDescent="0.2"/>
    <row r="259" s="9" customFormat="1" ht="12.75" hidden="1" x14ac:dyDescent="0.2"/>
    <row r="260" s="9" customFormat="1" ht="12.75" hidden="1" x14ac:dyDescent="0.2"/>
    <row r="261" s="9" customFormat="1" ht="12.75" hidden="1" x14ac:dyDescent="0.2"/>
    <row r="262" s="9" customFormat="1" ht="12.75" hidden="1" x14ac:dyDescent="0.2"/>
    <row r="263" s="9" customFormat="1" ht="12.75" hidden="1" x14ac:dyDescent="0.2"/>
  </sheetData>
  <mergeCells count="51">
    <mergeCell ref="B156:B157"/>
    <mergeCell ref="C161:E161"/>
    <mergeCell ref="B162:B188"/>
    <mergeCell ref="B189:B215"/>
    <mergeCell ref="B144:B145"/>
    <mergeCell ref="B146:B147"/>
    <mergeCell ref="B148:B149"/>
    <mergeCell ref="B150:B151"/>
    <mergeCell ref="B152:B153"/>
    <mergeCell ref="B154:B155"/>
    <mergeCell ref="B142:B143"/>
    <mergeCell ref="B114:C115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40:B141"/>
    <mergeCell ref="B112:C113"/>
    <mergeCell ref="B73:B81"/>
    <mergeCell ref="B83:B86"/>
    <mergeCell ref="B87:B90"/>
    <mergeCell ref="B92:B95"/>
    <mergeCell ref="B98:C99"/>
    <mergeCell ref="B100:C101"/>
    <mergeCell ref="B102:C103"/>
    <mergeCell ref="B104:C105"/>
    <mergeCell ref="B106:C107"/>
    <mergeCell ref="B108:C109"/>
    <mergeCell ref="B110:C111"/>
    <mergeCell ref="A18:A22"/>
    <mergeCell ref="B18:B22"/>
    <mergeCell ref="A23:A27"/>
    <mergeCell ref="B23:B27"/>
    <mergeCell ref="A28:A81"/>
    <mergeCell ref="B28:B36"/>
    <mergeCell ref="B37:B45"/>
    <mergeCell ref="B46:B54"/>
    <mergeCell ref="B55:B63"/>
    <mergeCell ref="B64:B72"/>
    <mergeCell ref="A13:A17"/>
    <mergeCell ref="B13:B17"/>
    <mergeCell ref="A1:K1"/>
    <mergeCell ref="A5:A7"/>
    <mergeCell ref="B5:B7"/>
    <mergeCell ref="A8:A12"/>
    <mergeCell ref="B8:B12"/>
  </mergeCells>
  <pageMargins left="0.7" right="0.7" top="0.75" bottom="0.75" header="0.3" footer="0.3"/>
  <drawing r:id="rId1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33"/>
  <dimension ref="A1:M90"/>
  <sheetViews>
    <sheetView topLeftCell="A37" workbookViewId="0">
      <selection activeCell="B94" sqref="B94"/>
    </sheetView>
  </sheetViews>
  <sheetFormatPr baseColWidth="10" defaultColWidth="11.42578125" defaultRowHeight="12.75" x14ac:dyDescent="0.2"/>
  <cols>
    <col min="1" max="5" width="11.42578125" style="9"/>
    <col min="6" max="8" width="30.5703125" style="9" customWidth="1"/>
    <col min="9" max="9" width="11.42578125" style="9"/>
    <col min="10" max="14" width="0" style="9" hidden="1" customWidth="1"/>
    <col min="15" max="16384" width="11.42578125" style="9"/>
  </cols>
  <sheetData>
    <row r="1" spans="1:13" ht="149.25" customHeight="1" thickBot="1" x14ac:dyDescent="0.25">
      <c r="A1" s="5780" t="s">
        <v>1191</v>
      </c>
      <c r="B1" s="5781"/>
      <c r="C1" s="5781"/>
      <c r="D1" s="5781"/>
      <c r="E1" s="5781"/>
      <c r="F1" s="5781"/>
      <c r="G1" s="5781"/>
      <c r="H1" s="5781"/>
      <c r="I1" s="5781"/>
      <c r="J1" s="5781"/>
      <c r="K1" s="5782"/>
    </row>
    <row r="2" spans="1:13" ht="29.25" customHeight="1" x14ac:dyDescent="0.35">
      <c r="A2" s="5783" t="s">
        <v>1192</v>
      </c>
      <c r="B2" s="5784"/>
      <c r="C2" s="5784"/>
      <c r="D2" s="5784"/>
      <c r="E2" s="5784"/>
      <c r="F2" s="5784"/>
      <c r="G2" s="5784"/>
      <c r="H2" s="5785"/>
    </row>
    <row r="3" spans="1:13" ht="15" x14ac:dyDescent="0.25">
      <c r="B3" s="183" t="s">
        <v>163</v>
      </c>
      <c r="F3" s="5789" t="s">
        <v>1058</v>
      </c>
      <c r="G3" s="5789"/>
      <c r="H3" s="5790"/>
    </row>
    <row r="4" spans="1:13" ht="15.75" thickBot="1" x14ac:dyDescent="0.3">
      <c r="B4" s="126"/>
      <c r="F4" s="155" t="s">
        <v>287</v>
      </c>
      <c r="G4" s="155" t="s">
        <v>289</v>
      </c>
      <c r="H4" s="156" t="s">
        <v>288</v>
      </c>
    </row>
    <row r="5" spans="1:13" ht="15" x14ac:dyDescent="0.25">
      <c r="A5" s="5786" t="s">
        <v>1193</v>
      </c>
      <c r="B5" s="144" t="s">
        <v>1068</v>
      </c>
      <c r="C5" s="145"/>
      <c r="D5" s="145"/>
      <c r="E5" s="145"/>
      <c r="F5" s="145"/>
      <c r="G5" s="145"/>
      <c r="H5" s="146"/>
    </row>
    <row r="6" spans="1:13" x14ac:dyDescent="0.2">
      <c r="A6" s="5787"/>
      <c r="B6" s="126"/>
      <c r="H6" s="96"/>
    </row>
    <row r="7" spans="1:13" ht="15.75" x14ac:dyDescent="0.25">
      <c r="A7" s="5787"/>
      <c r="B7" s="2152" t="s">
        <v>1068</v>
      </c>
      <c r="F7" s="184" t="e">
        <f ca="1">+'SECCION I-II'!F105</f>
        <v>#REF!</v>
      </c>
      <c r="G7" s="184" t="e">
        <f ca="1">+'SECCION I-II'!G105</f>
        <v>#REF!</v>
      </c>
      <c r="H7" s="184" t="e">
        <f ca="1">+'SECCION I-II'!H105</f>
        <v>#REF!</v>
      </c>
    </row>
    <row r="8" spans="1:13" ht="15.75" x14ac:dyDescent="0.25">
      <c r="A8" s="5787"/>
      <c r="B8" s="126"/>
      <c r="F8" s="107"/>
      <c r="G8" s="107"/>
      <c r="H8" s="107"/>
    </row>
    <row r="9" spans="1:13" ht="15.75" x14ac:dyDescent="0.25">
      <c r="A9" s="5787"/>
      <c r="B9" s="126"/>
      <c r="F9" s="184"/>
      <c r="G9" s="184"/>
      <c r="H9" s="184"/>
    </row>
    <row r="10" spans="1:13" ht="15.75" x14ac:dyDescent="0.25">
      <c r="A10" s="5787"/>
      <c r="B10" s="126"/>
      <c r="F10" s="107"/>
      <c r="G10" s="107"/>
      <c r="H10" s="107"/>
    </row>
    <row r="11" spans="1:13" ht="16.5" thickBot="1" x14ac:dyDescent="0.3">
      <c r="A11" s="5788"/>
      <c r="B11" s="163"/>
      <c r="C11" s="5779" t="s">
        <v>1069</v>
      </c>
      <c r="D11" s="5779"/>
      <c r="E11" s="5779"/>
      <c r="F11" s="242" t="e">
        <f ca="1">F7+F9</f>
        <v>#REF!</v>
      </c>
      <c r="G11" s="242" t="e">
        <f ca="1">G7+G9</f>
        <v>#REF!</v>
      </c>
      <c r="H11" s="242" t="e">
        <f ca="1">H7+H9</f>
        <v>#REF!</v>
      </c>
      <c r="J11" s="25" t="e">
        <f ca="1">SUM(F11:I11)</f>
        <v>#REF!</v>
      </c>
      <c r="K11" s="9">
        <f>SUM('Compra -HOJA1'!F290:F371)</f>
        <v>0</v>
      </c>
      <c r="L11" s="25" t="e">
        <f ca="1">J11-K11</f>
        <v>#REF!</v>
      </c>
      <c r="M11" s="85" t="e">
        <f ca="1">L11/J11</f>
        <v>#REF!</v>
      </c>
    </row>
    <row r="12" spans="1:13" ht="13.5" thickBot="1" x14ac:dyDescent="0.25"/>
    <row r="13" spans="1:13" ht="15" x14ac:dyDescent="0.25">
      <c r="A13" s="5786" t="s">
        <v>158</v>
      </c>
      <c r="B13" s="186" t="s">
        <v>256</v>
      </c>
      <c r="C13" s="145"/>
      <c r="D13" s="145"/>
      <c r="E13" s="145"/>
      <c r="F13" s="5685" t="s">
        <v>1058</v>
      </c>
      <c r="G13" s="5685"/>
      <c r="H13" s="5686"/>
    </row>
    <row r="14" spans="1:13" ht="15.75" thickBot="1" x14ac:dyDescent="0.3">
      <c r="A14" s="5787"/>
      <c r="B14" s="126"/>
      <c r="F14" s="155" t="s">
        <v>287</v>
      </c>
      <c r="G14" s="155" t="s">
        <v>289</v>
      </c>
      <c r="H14" s="156" t="s">
        <v>288</v>
      </c>
    </row>
    <row r="15" spans="1:13" ht="15" x14ac:dyDescent="0.25">
      <c r="A15" s="5787"/>
      <c r="B15" s="144" t="s">
        <v>1068</v>
      </c>
      <c r="C15" s="145"/>
      <c r="D15" s="145"/>
      <c r="E15" s="145"/>
      <c r="F15" s="145"/>
      <c r="G15" s="145"/>
      <c r="H15" s="146"/>
    </row>
    <row r="16" spans="1:13" x14ac:dyDescent="0.2">
      <c r="A16" s="5787"/>
      <c r="B16" s="126"/>
      <c r="H16" s="96"/>
    </row>
    <row r="17" spans="1:13" ht="15.75" x14ac:dyDescent="0.25">
      <c r="A17" s="5787"/>
      <c r="B17" s="2152" t="s">
        <v>1068</v>
      </c>
      <c r="F17" s="184">
        <f>+'SECCION I-II'!F128</f>
        <v>0</v>
      </c>
      <c r="G17" s="184">
        <f>+'SECCION I-II'!G128</f>
        <v>0</v>
      </c>
      <c r="H17" s="184">
        <f>+'SECCION I-II'!H128</f>
        <v>0</v>
      </c>
    </row>
    <row r="18" spans="1:13" ht="15.75" x14ac:dyDescent="0.25">
      <c r="A18" s="5787"/>
      <c r="B18" s="126"/>
      <c r="F18" s="184"/>
      <c r="G18" s="184"/>
      <c r="H18" s="184"/>
    </row>
    <row r="19" spans="1:13" ht="15.75" x14ac:dyDescent="0.25">
      <c r="A19" s="5787"/>
      <c r="B19" s="126"/>
      <c r="F19" s="184"/>
      <c r="G19" s="184"/>
      <c r="H19" s="184"/>
    </row>
    <row r="20" spans="1:13" x14ac:dyDescent="0.2">
      <c r="A20" s="5787"/>
      <c r="B20" s="126"/>
      <c r="H20" s="96"/>
    </row>
    <row r="21" spans="1:13" ht="16.5" thickBot="1" x14ac:dyDescent="0.3">
      <c r="A21" s="5788"/>
      <c r="B21" s="163"/>
      <c r="C21" s="5779" t="s">
        <v>1069</v>
      </c>
      <c r="D21" s="5779"/>
      <c r="E21" s="5779"/>
      <c r="F21" s="242">
        <f>F17+F19</f>
        <v>0</v>
      </c>
      <c r="G21" s="242">
        <f>G17+G19</f>
        <v>0</v>
      </c>
      <c r="H21" s="242">
        <f>H17+H19</f>
        <v>0</v>
      </c>
      <c r="J21" s="25">
        <f>SUM(F21:I21)</f>
        <v>0</v>
      </c>
      <c r="K21" s="25" t="e">
        <f>SUM('Compra -HOJA1'!#REF!)</f>
        <v>#REF!</v>
      </c>
      <c r="L21" s="25" t="e">
        <f>J21-K21</f>
        <v>#REF!</v>
      </c>
      <c r="M21" s="85" t="e">
        <f>L21/J21</f>
        <v>#REF!</v>
      </c>
    </row>
    <row r="22" spans="1:13" ht="13.5" thickBot="1" x14ac:dyDescent="0.25"/>
    <row r="23" spans="1:13" ht="15" x14ac:dyDescent="0.25">
      <c r="A23" s="5786" t="s">
        <v>1163</v>
      </c>
      <c r="B23" s="186" t="s">
        <v>21</v>
      </c>
      <c r="C23" s="145"/>
      <c r="D23" s="145"/>
      <c r="E23" s="145"/>
      <c r="F23" s="5685" t="s">
        <v>1058</v>
      </c>
      <c r="G23" s="5685"/>
      <c r="H23" s="5686"/>
    </row>
    <row r="24" spans="1:13" ht="15.75" thickBot="1" x14ac:dyDescent="0.3">
      <c r="A24" s="5787"/>
      <c r="B24" s="126"/>
      <c r="F24" s="155" t="s">
        <v>287</v>
      </c>
      <c r="G24" s="155" t="s">
        <v>289</v>
      </c>
      <c r="H24" s="156" t="s">
        <v>288</v>
      </c>
    </row>
    <row r="25" spans="1:13" ht="15" x14ac:dyDescent="0.25">
      <c r="A25" s="5787"/>
      <c r="B25" s="144" t="s">
        <v>1068</v>
      </c>
      <c r="C25" s="145"/>
      <c r="D25" s="145"/>
      <c r="E25" s="145"/>
      <c r="F25" s="145"/>
      <c r="G25" s="145"/>
      <c r="H25" s="146"/>
    </row>
    <row r="26" spans="1:13" x14ac:dyDescent="0.2">
      <c r="A26" s="5787"/>
      <c r="B26" s="126"/>
      <c r="H26" s="96"/>
    </row>
    <row r="27" spans="1:13" ht="15.75" x14ac:dyDescent="0.25">
      <c r="A27" s="5787"/>
      <c r="B27" s="2152" t="s">
        <v>1068</v>
      </c>
      <c r="F27" s="184">
        <f ca="1">+'SECCION I-II'!F112</f>
        <v>0</v>
      </c>
      <c r="G27" s="184">
        <f ca="1">+'SECCION I-II'!G112</f>
        <v>0</v>
      </c>
      <c r="H27" s="184">
        <f ca="1">+'SECCION I-II'!H112</f>
        <v>0</v>
      </c>
    </row>
    <row r="28" spans="1:13" ht="15.75" x14ac:dyDescent="0.25">
      <c r="A28" s="5787"/>
      <c r="B28" s="126"/>
      <c r="F28" s="184"/>
      <c r="G28" s="184"/>
      <c r="H28" s="184"/>
    </row>
    <row r="29" spans="1:13" ht="15.75" x14ac:dyDescent="0.25">
      <c r="A29" s="5787"/>
      <c r="B29" s="126"/>
      <c r="F29" s="184"/>
      <c r="G29" s="184"/>
      <c r="H29" s="184"/>
    </row>
    <row r="30" spans="1:13" x14ac:dyDescent="0.2">
      <c r="A30" s="5787"/>
      <c r="B30" s="126"/>
      <c r="H30" s="96"/>
    </row>
    <row r="31" spans="1:13" ht="16.5" thickBot="1" x14ac:dyDescent="0.3">
      <c r="A31" s="5788"/>
      <c r="B31" s="163"/>
      <c r="C31" s="5779" t="s">
        <v>1069</v>
      </c>
      <c r="D31" s="5779"/>
      <c r="E31" s="5779"/>
      <c r="F31" s="242">
        <f ca="1">F27+F29</f>
        <v>0</v>
      </c>
      <c r="G31" s="242">
        <f ca="1">G27+G29</f>
        <v>0</v>
      </c>
      <c r="H31" s="242">
        <f ca="1">H27+H29</f>
        <v>0</v>
      </c>
      <c r="J31" s="25">
        <f ca="1">SUM(F31:I31)</f>
        <v>0</v>
      </c>
      <c r="K31" s="9">
        <f>SUM('Compra -HOJA1'!F379:F379)</f>
        <v>0</v>
      </c>
      <c r="L31" s="25">
        <f ca="1">J31-K31</f>
        <v>0</v>
      </c>
      <c r="M31" s="85" t="e">
        <f ca="1">L31/J31</f>
        <v>#DIV/0!</v>
      </c>
    </row>
    <row r="32" spans="1:13" ht="13.5" thickBot="1" x14ac:dyDescent="0.25"/>
    <row r="33" spans="1:13" ht="15" x14ac:dyDescent="0.25">
      <c r="A33" s="5786" t="s">
        <v>1164</v>
      </c>
      <c r="B33" s="186" t="s">
        <v>71</v>
      </c>
      <c r="C33" s="145"/>
      <c r="D33" s="145"/>
      <c r="E33" s="145"/>
      <c r="F33" s="5685" t="s">
        <v>1058</v>
      </c>
      <c r="G33" s="5685"/>
      <c r="H33" s="5686"/>
    </row>
    <row r="34" spans="1:13" ht="15.75" thickBot="1" x14ac:dyDescent="0.3">
      <c r="A34" s="5787"/>
      <c r="B34" s="126"/>
      <c r="F34" s="155" t="s">
        <v>287</v>
      </c>
      <c r="G34" s="155" t="s">
        <v>289</v>
      </c>
      <c r="H34" s="156" t="s">
        <v>288</v>
      </c>
    </row>
    <row r="35" spans="1:13" ht="15" x14ac:dyDescent="0.25">
      <c r="A35" s="5787"/>
      <c r="B35" s="144" t="s">
        <v>1068</v>
      </c>
      <c r="C35" s="145"/>
      <c r="D35" s="145"/>
      <c r="E35" s="145"/>
      <c r="F35" s="145"/>
      <c r="G35" s="145"/>
      <c r="H35" s="146"/>
    </row>
    <row r="36" spans="1:13" x14ac:dyDescent="0.2">
      <c r="A36" s="5787"/>
      <c r="B36" s="126"/>
      <c r="H36" s="96"/>
    </row>
    <row r="37" spans="1:13" ht="15.75" x14ac:dyDescent="0.25">
      <c r="A37" s="5787"/>
      <c r="B37" s="2152" t="s">
        <v>1068</v>
      </c>
      <c r="F37" s="184">
        <f ca="1">+'SECCION I-II'!F120</f>
        <v>0</v>
      </c>
      <c r="G37" s="184">
        <f ca="1">+'SECCION I-II'!G120</f>
        <v>0</v>
      </c>
      <c r="H37" s="184">
        <f ca="1">+'SECCION I-II'!H120</f>
        <v>0</v>
      </c>
    </row>
    <row r="38" spans="1:13" ht="15.75" x14ac:dyDescent="0.25">
      <c r="A38" s="5787"/>
      <c r="B38" s="126"/>
      <c r="F38" s="184"/>
      <c r="G38" s="184"/>
      <c r="H38" s="184"/>
    </row>
    <row r="39" spans="1:13" ht="15.75" x14ac:dyDescent="0.25">
      <c r="A39" s="5787"/>
      <c r="B39" s="126"/>
      <c r="F39" s="184"/>
      <c r="G39" s="184"/>
      <c r="H39" s="184"/>
    </row>
    <row r="40" spans="1:13" x14ac:dyDescent="0.2">
      <c r="A40" s="5787"/>
      <c r="B40" s="126"/>
      <c r="H40" s="96"/>
    </row>
    <row r="41" spans="1:13" ht="16.5" thickBot="1" x14ac:dyDescent="0.3">
      <c r="A41" s="5788"/>
      <c r="B41" s="163"/>
      <c r="C41" s="5779" t="s">
        <v>1069</v>
      </c>
      <c r="D41" s="5779"/>
      <c r="E41" s="5779"/>
      <c r="F41" s="242">
        <f ca="1">F37+F39</f>
        <v>0</v>
      </c>
      <c r="G41" s="242">
        <f ca="1">G37+G39</f>
        <v>0</v>
      </c>
      <c r="H41" s="242">
        <f ca="1">H37+H39</f>
        <v>0</v>
      </c>
      <c r="J41" s="25">
        <f ca="1">SUM(F41:I41)</f>
        <v>0</v>
      </c>
      <c r="K41" s="25">
        <f>SUM('Compra -HOJA1'!F381:F381)</f>
        <v>0</v>
      </c>
      <c r="L41" s="25">
        <f ca="1">J41-K41</f>
        <v>0</v>
      </c>
      <c r="M41" s="85" t="e">
        <f ca="1">L41/J41</f>
        <v>#DIV/0!</v>
      </c>
    </row>
    <row r="42" spans="1:13" ht="13.5" thickBot="1" x14ac:dyDescent="0.25"/>
    <row r="43" spans="1:13" ht="15" x14ac:dyDescent="0.25">
      <c r="A43" s="5786" t="s">
        <v>157</v>
      </c>
      <c r="B43" s="187" t="s">
        <v>258</v>
      </c>
      <c r="C43" s="145"/>
      <c r="D43" s="145"/>
      <c r="E43" s="145"/>
      <c r="F43" s="5685" t="s">
        <v>1058</v>
      </c>
      <c r="G43" s="5685"/>
      <c r="H43" s="5686"/>
    </row>
    <row r="44" spans="1:13" ht="15.75" thickBot="1" x14ac:dyDescent="0.3">
      <c r="A44" s="5787"/>
      <c r="F44" s="155" t="s">
        <v>287</v>
      </c>
      <c r="G44" s="155" t="s">
        <v>289</v>
      </c>
      <c r="H44" s="156" t="s">
        <v>288</v>
      </c>
    </row>
    <row r="45" spans="1:13" ht="15" x14ac:dyDescent="0.25">
      <c r="A45" s="5787"/>
      <c r="B45" s="188" t="s">
        <v>1068</v>
      </c>
      <c r="C45" s="145"/>
      <c r="D45" s="145"/>
      <c r="E45" s="145"/>
      <c r="F45" s="145"/>
      <c r="G45" s="145"/>
      <c r="H45" s="146"/>
    </row>
    <row r="46" spans="1:13" x14ac:dyDescent="0.2">
      <c r="A46" s="5787"/>
      <c r="H46" s="96"/>
    </row>
    <row r="47" spans="1:13" ht="15.75" x14ac:dyDescent="0.25">
      <c r="A47" s="5787"/>
      <c r="B47" s="830" t="s">
        <v>1068</v>
      </c>
      <c r="F47" s="184">
        <f>+'SECCION I-II'!F142</f>
        <v>0</v>
      </c>
      <c r="G47" s="184">
        <f>+'SECCION I-II'!G142</f>
        <v>0</v>
      </c>
      <c r="H47" s="243">
        <f>+'SECCION I-II'!H142</f>
        <v>0</v>
      </c>
    </row>
    <row r="48" spans="1:13" ht="15.75" x14ac:dyDescent="0.25">
      <c r="A48" s="5787"/>
      <c r="F48" s="184"/>
      <c r="G48" s="184"/>
      <c r="H48" s="243"/>
    </row>
    <row r="49" spans="1:13" ht="15.75" x14ac:dyDescent="0.25">
      <c r="A49" s="5787"/>
      <c r="F49" s="184"/>
      <c r="G49" s="184"/>
      <c r="H49" s="243"/>
    </row>
    <row r="50" spans="1:13" x14ac:dyDescent="0.2">
      <c r="A50" s="5787"/>
      <c r="H50" s="96"/>
    </row>
    <row r="51" spans="1:13" ht="16.5" thickBot="1" x14ac:dyDescent="0.3">
      <c r="A51" s="5787"/>
      <c r="B51" s="164"/>
      <c r="C51" s="5779" t="s">
        <v>1069</v>
      </c>
      <c r="D51" s="5779"/>
      <c r="E51" s="5779"/>
      <c r="F51" s="185">
        <f>F47+F49</f>
        <v>0</v>
      </c>
      <c r="G51" s="185">
        <f>G47+G49</f>
        <v>0</v>
      </c>
      <c r="H51" s="244">
        <f>H47+H49</f>
        <v>0</v>
      </c>
      <c r="J51" s="25">
        <f>SUM(F51:I51)</f>
        <v>0</v>
      </c>
      <c r="K51" s="9">
        <f>SUM('Compra -HOJA1'!F48:F52)</f>
        <v>0</v>
      </c>
      <c r="L51" s="25">
        <f>J51-K51</f>
        <v>0</v>
      </c>
      <c r="M51" s="85" t="e">
        <f>L51/J51</f>
        <v>#DIV/0!</v>
      </c>
    </row>
    <row r="52" spans="1:13" ht="13.5" thickBot="1" x14ac:dyDescent="0.25">
      <c r="A52" s="5787"/>
      <c r="H52" s="96"/>
    </row>
    <row r="53" spans="1:13" ht="15" x14ac:dyDescent="0.25">
      <c r="A53" s="5787"/>
      <c r="B53" s="187" t="s">
        <v>260</v>
      </c>
      <c r="C53" s="145"/>
      <c r="D53" s="145"/>
      <c r="E53" s="145"/>
      <c r="F53" s="5685" t="s">
        <v>1058</v>
      </c>
      <c r="G53" s="5685"/>
      <c r="H53" s="5686"/>
    </row>
    <row r="54" spans="1:13" ht="15.75" thickBot="1" x14ac:dyDescent="0.3">
      <c r="A54" s="5787"/>
      <c r="B54" s="830"/>
      <c r="F54" s="155" t="s">
        <v>287</v>
      </c>
      <c r="G54" s="155" t="s">
        <v>289</v>
      </c>
      <c r="H54" s="156" t="s">
        <v>288</v>
      </c>
    </row>
    <row r="55" spans="1:13" ht="15" x14ac:dyDescent="0.25">
      <c r="A55" s="5787"/>
      <c r="B55" s="188" t="s">
        <v>1068</v>
      </c>
      <c r="C55" s="145"/>
      <c r="D55" s="145"/>
      <c r="E55" s="145"/>
      <c r="F55" s="145"/>
      <c r="G55" s="145"/>
      <c r="H55" s="146"/>
    </row>
    <row r="56" spans="1:13" x14ac:dyDescent="0.2">
      <c r="A56" s="5787"/>
      <c r="H56" s="96"/>
    </row>
    <row r="57" spans="1:13" ht="15.75" x14ac:dyDescent="0.25">
      <c r="A57" s="5787"/>
      <c r="B57" s="830" t="s">
        <v>1068</v>
      </c>
      <c r="F57" s="184">
        <f>+'SECCION I-II'!F151</f>
        <v>0</v>
      </c>
      <c r="G57" s="184">
        <f>+'SECCION I-II'!G151</f>
        <v>0</v>
      </c>
      <c r="H57" s="243">
        <f>+'SECCION I-II'!H151</f>
        <v>0</v>
      </c>
    </row>
    <row r="58" spans="1:13" ht="15.75" x14ac:dyDescent="0.25">
      <c r="A58" s="5787"/>
      <c r="F58" s="184"/>
      <c r="G58" s="184"/>
      <c r="H58" s="243"/>
    </row>
    <row r="59" spans="1:13" ht="15.75" x14ac:dyDescent="0.25">
      <c r="A59" s="5787"/>
      <c r="F59" s="184"/>
      <c r="G59" s="184"/>
      <c r="H59" s="243"/>
    </row>
    <row r="60" spans="1:13" x14ac:dyDescent="0.2">
      <c r="A60" s="5787"/>
      <c r="H60" s="96"/>
    </row>
    <row r="61" spans="1:13" ht="16.5" thickBot="1" x14ac:dyDescent="0.3">
      <c r="A61" s="5787"/>
      <c r="B61" s="164"/>
      <c r="C61" s="5779" t="s">
        <v>1069</v>
      </c>
      <c r="D61" s="5779"/>
      <c r="E61" s="5779"/>
      <c r="F61" s="185">
        <f>F57+F59</f>
        <v>0</v>
      </c>
      <c r="G61" s="185">
        <f>G57+G59</f>
        <v>0</v>
      </c>
      <c r="H61" s="244">
        <f>H57+H59</f>
        <v>0</v>
      </c>
      <c r="J61" s="25">
        <f>SUM(F61:I61)</f>
        <v>0</v>
      </c>
      <c r="K61" s="25">
        <f>SUM('Compra -HOJA1'!F36:F47)</f>
        <v>0</v>
      </c>
      <c r="L61" s="25">
        <f>J61-K61</f>
        <v>0</v>
      </c>
      <c r="M61" s="85" t="e">
        <f>L61/J61</f>
        <v>#DIV/0!</v>
      </c>
    </row>
    <row r="62" spans="1:13" ht="16.5" thickBot="1" x14ac:dyDescent="0.3">
      <c r="A62" s="5788"/>
      <c r="B62" s="5804" t="s">
        <v>1194</v>
      </c>
      <c r="C62" s="5804"/>
      <c r="D62" s="5804"/>
      <c r="E62" s="5804"/>
      <c r="F62" s="245">
        <f>+F51+F61</f>
        <v>0</v>
      </c>
      <c r="G62" s="245">
        <f>+G51+G61</f>
        <v>0</v>
      </c>
      <c r="H62" s="246">
        <f>+H51+H61</f>
        <v>0</v>
      </c>
      <c r="J62" s="25"/>
      <c r="K62" s="25"/>
      <c r="L62" s="25"/>
      <c r="M62" s="85"/>
    </row>
    <row r="63" spans="1:13" ht="13.5" thickBot="1" x14ac:dyDescent="0.25"/>
    <row r="64" spans="1:13" ht="15" x14ac:dyDescent="0.25">
      <c r="A64" s="5786" t="s">
        <v>18</v>
      </c>
      <c r="B64" s="186" t="s">
        <v>103</v>
      </c>
      <c r="C64" s="145"/>
      <c r="D64" s="145"/>
      <c r="E64" s="145"/>
      <c r="F64" s="5685" t="s">
        <v>1058</v>
      </c>
      <c r="G64" s="5685"/>
      <c r="H64" s="5686"/>
    </row>
    <row r="65" spans="1:13" ht="15.75" thickBot="1" x14ac:dyDescent="0.3">
      <c r="A65" s="5787"/>
      <c r="B65" s="2152"/>
      <c r="F65" s="155" t="s">
        <v>287</v>
      </c>
      <c r="G65" s="155" t="s">
        <v>289</v>
      </c>
      <c r="H65" s="156" t="s">
        <v>288</v>
      </c>
    </row>
    <row r="66" spans="1:13" ht="15" x14ac:dyDescent="0.25">
      <c r="A66" s="5787"/>
      <c r="B66" s="144" t="s">
        <v>1068</v>
      </c>
      <c r="C66" s="145"/>
      <c r="D66" s="145"/>
      <c r="E66" s="145"/>
      <c r="F66" s="145"/>
      <c r="G66" s="145"/>
      <c r="H66" s="146"/>
    </row>
    <row r="67" spans="1:13" x14ac:dyDescent="0.2">
      <c r="A67" s="5787"/>
      <c r="B67" s="126"/>
      <c r="H67" s="96"/>
    </row>
    <row r="68" spans="1:13" ht="15.75" x14ac:dyDescent="0.25">
      <c r="A68" s="5787"/>
      <c r="B68" s="2152" t="s">
        <v>1068</v>
      </c>
      <c r="F68" s="184">
        <f ca="1">+'SECCION I-II'!F160</f>
        <v>0</v>
      </c>
      <c r="G68" s="184">
        <f ca="1">+'SECCION I-II'!G160</f>
        <v>0</v>
      </c>
      <c r="H68" s="184">
        <f ca="1">+'SECCION I-II'!H160</f>
        <v>0</v>
      </c>
    </row>
    <row r="69" spans="1:13" ht="15.75" x14ac:dyDescent="0.25">
      <c r="A69" s="5787"/>
      <c r="B69" s="126"/>
      <c r="F69" s="184"/>
      <c r="G69" s="184"/>
      <c r="H69" s="184"/>
    </row>
    <row r="70" spans="1:13" ht="15.75" x14ac:dyDescent="0.25">
      <c r="A70" s="5787"/>
      <c r="B70" s="126"/>
      <c r="F70" s="184"/>
      <c r="G70" s="184"/>
      <c r="H70" s="184"/>
    </row>
    <row r="71" spans="1:13" x14ac:dyDescent="0.2">
      <c r="A71" s="5787"/>
      <c r="B71" s="126"/>
      <c r="H71" s="96"/>
    </row>
    <row r="72" spans="1:13" ht="16.5" thickBot="1" x14ac:dyDescent="0.3">
      <c r="A72" s="5788"/>
      <c r="B72" s="163"/>
      <c r="C72" s="5779" t="s">
        <v>1069</v>
      </c>
      <c r="D72" s="5779"/>
      <c r="E72" s="5779"/>
      <c r="F72" s="242">
        <f ca="1">F68+F70</f>
        <v>0</v>
      </c>
      <c r="G72" s="242">
        <f ca="1">G68+G70</f>
        <v>0</v>
      </c>
      <c r="H72" s="242">
        <f ca="1">H68+H70</f>
        <v>0</v>
      </c>
      <c r="J72" s="25">
        <f ca="1">SUM(F72:I72)</f>
        <v>0</v>
      </c>
      <c r="K72" s="25" t="e">
        <f>SUM('GUDI  -HOJA2'!S9:S18)+SUM(#REF!)+SUM(#REF!)</f>
        <v>#REF!</v>
      </c>
      <c r="L72" s="25" t="e">
        <f ca="1">J72-K72</f>
        <v>#REF!</v>
      </c>
      <c r="M72" s="85" t="e">
        <f ca="1">L72/J72</f>
        <v>#REF!</v>
      </c>
    </row>
    <row r="73" spans="1:13" ht="13.5" thickBot="1" x14ac:dyDescent="0.25"/>
    <row r="74" spans="1:13" ht="15" x14ac:dyDescent="0.25">
      <c r="A74" s="5797" t="s">
        <v>429</v>
      </c>
      <c r="B74" s="5798"/>
      <c r="C74" s="5798"/>
      <c r="D74" s="5798"/>
      <c r="E74" s="5798"/>
      <c r="F74" s="5685" t="s">
        <v>1058</v>
      </c>
      <c r="G74" s="5685"/>
      <c r="H74" s="5686"/>
    </row>
    <row r="75" spans="1:13" ht="15" x14ac:dyDescent="0.25">
      <c r="A75" s="5799"/>
      <c r="B75" s="5800"/>
      <c r="C75" s="5800"/>
      <c r="D75" s="5800"/>
      <c r="E75" s="5800"/>
      <c r="F75" s="155" t="s">
        <v>287</v>
      </c>
      <c r="G75" s="155" t="s">
        <v>289</v>
      </c>
      <c r="H75" s="156" t="s">
        <v>288</v>
      </c>
    </row>
    <row r="76" spans="1:13" ht="15" x14ac:dyDescent="0.25">
      <c r="A76" s="5799"/>
      <c r="B76" s="5800"/>
      <c r="C76" s="5800"/>
      <c r="D76" s="5800"/>
      <c r="E76" s="5800"/>
      <c r="F76" s="230"/>
      <c r="G76" s="230"/>
      <c r="H76" s="232"/>
    </row>
    <row r="77" spans="1:13" ht="16.5" thickBot="1" x14ac:dyDescent="0.3">
      <c r="A77" s="5801"/>
      <c r="B77" s="5802"/>
      <c r="C77" s="5802"/>
      <c r="D77" s="5802"/>
      <c r="E77" s="5802"/>
      <c r="F77" s="242" t="e">
        <f>+'SECCION I-II'!F166</f>
        <v>#REF!</v>
      </c>
      <c r="G77" s="242" t="e">
        <f>+'SECCION I-II'!G166</f>
        <v>#REF!</v>
      </c>
      <c r="H77" s="242" t="e">
        <f>+'SECCION I-II'!H166</f>
        <v>#REF!</v>
      </c>
    </row>
    <row r="78" spans="1:13" ht="16.5" thickBot="1" x14ac:dyDescent="0.3">
      <c r="F78" s="231"/>
      <c r="G78" s="231"/>
      <c r="H78" s="231"/>
    </row>
    <row r="79" spans="1:13" ht="15" x14ac:dyDescent="0.25">
      <c r="A79" s="5791" t="s">
        <v>1195</v>
      </c>
      <c r="B79" s="5795"/>
      <c r="C79" s="5795"/>
      <c r="D79" s="5795"/>
      <c r="E79" s="5795"/>
      <c r="F79" s="5685" t="s">
        <v>1058</v>
      </c>
      <c r="G79" s="5685"/>
      <c r="H79" s="5686"/>
    </row>
    <row r="80" spans="1:13" ht="15" x14ac:dyDescent="0.25">
      <c r="A80" s="5792"/>
      <c r="B80" s="5796"/>
      <c r="C80" s="5796"/>
      <c r="D80" s="5796"/>
      <c r="E80" s="5796"/>
      <c r="F80" s="155" t="s">
        <v>287</v>
      </c>
      <c r="G80" s="155" t="s">
        <v>289</v>
      </c>
      <c r="H80" s="156" t="s">
        <v>288</v>
      </c>
    </row>
    <row r="81" spans="1:13" ht="15" x14ac:dyDescent="0.25">
      <c r="A81" s="5792"/>
      <c r="B81" s="190"/>
      <c r="C81" s="190"/>
      <c r="D81" s="190"/>
      <c r="E81" s="190"/>
      <c r="F81" s="230"/>
      <c r="G81" s="230"/>
      <c r="H81" s="232"/>
    </row>
    <row r="82" spans="1:13" ht="16.5" thickBot="1" x14ac:dyDescent="0.3">
      <c r="A82" s="5793"/>
      <c r="B82" s="164"/>
      <c r="C82" s="164"/>
      <c r="D82" s="164"/>
      <c r="E82" s="164"/>
      <c r="F82" s="242">
        <f>+'SECCION I-II'!F170</f>
        <v>0</v>
      </c>
      <c r="G82" s="242">
        <f>+'SECCION I-II'!G170</f>
        <v>0</v>
      </c>
      <c r="H82" s="242">
        <f>+'SECCION I-II'!H170</f>
        <v>0</v>
      </c>
    </row>
    <row r="84" spans="1:13" ht="13.5" thickBot="1" x14ac:dyDescent="0.25"/>
    <row r="85" spans="1:13" ht="16.5" thickBot="1" x14ac:dyDescent="0.3">
      <c r="B85" s="257"/>
      <c r="C85" s="5794" t="s">
        <v>1069</v>
      </c>
      <c r="D85" s="5794"/>
      <c r="E85" s="5794"/>
      <c r="F85" s="258" t="e">
        <f ca="1">+F11+F21+F31+F41+F51+F61+F72+F77+F82</f>
        <v>#REF!</v>
      </c>
      <c r="G85" s="258" t="e">
        <f ca="1">+G11+G21+G31+G41+G51+G61+G72+G77+G82</f>
        <v>#REF!</v>
      </c>
      <c r="H85" s="259" t="e">
        <f ca="1">+H11+H21+H31+H41+H51+H61+H72+H77+H82</f>
        <v>#REF!</v>
      </c>
      <c r="J85" s="25" t="e">
        <f ca="1">SUM(J11:J72)</f>
        <v>#REF!</v>
      </c>
      <c r="K85" s="25" t="e">
        <f>SUM(K11:K72)</f>
        <v>#REF!</v>
      </c>
      <c r="L85" s="25" t="e">
        <f ca="1">SUM(L11:L72)</f>
        <v>#REF!</v>
      </c>
      <c r="M85" s="85" t="e">
        <f ca="1">L85/J85</f>
        <v>#REF!</v>
      </c>
    </row>
    <row r="86" spans="1:13" ht="13.5" thickBot="1" x14ac:dyDescent="0.25">
      <c r="F86" s="25"/>
      <c r="G86" s="25"/>
      <c r="H86" s="25"/>
    </row>
    <row r="87" spans="1:13" ht="16.5" thickBot="1" x14ac:dyDescent="0.3">
      <c r="B87" s="5699" t="s">
        <v>1070</v>
      </c>
      <c r="C87" s="5700"/>
      <c r="D87" s="5700"/>
      <c r="E87" s="5700"/>
      <c r="F87" s="189">
        <f>'Compra -HOJA1'!G10</f>
        <v>0</v>
      </c>
      <c r="G87" s="189">
        <f>'Compra -HOJA1'!I10</f>
        <v>0</v>
      </c>
      <c r="H87" s="189">
        <f>'Compra -HOJA1'!H10</f>
        <v>0</v>
      </c>
      <c r="J87" s="25"/>
    </row>
    <row r="88" spans="1:13" ht="13.5" thickBot="1" x14ac:dyDescent="0.25">
      <c r="F88" s="190"/>
      <c r="G88" s="190"/>
      <c r="H88" s="190"/>
    </row>
    <row r="89" spans="1:13" x14ac:dyDescent="0.2">
      <c r="C89" s="5803" t="s">
        <v>435</v>
      </c>
      <c r="D89" s="5803"/>
      <c r="E89" s="5803"/>
      <c r="F89" s="251" t="e">
        <f ca="1">+IF(F87=F85,"OK","VERIFICAR")</f>
        <v>#REF!</v>
      </c>
      <c r="G89" s="252" t="e">
        <f ca="1">+IF(G87=G85,"OK","VERIFICAR")</f>
        <v>#REF!</v>
      </c>
      <c r="H89" s="253" t="e">
        <f ca="1">+IF(H87=H85,"OK","VERIFICAR")</f>
        <v>#REF!</v>
      </c>
    </row>
    <row r="90" spans="1:13" ht="13.5" thickBot="1" x14ac:dyDescent="0.25">
      <c r="F90" s="254" t="e">
        <f ca="1">+F87-F85</f>
        <v>#REF!</v>
      </c>
      <c r="G90" s="255" t="e">
        <f ca="1">+G87-G85</f>
        <v>#REF!</v>
      </c>
      <c r="H90" s="256" t="e">
        <f ca="1">+H87-H85</f>
        <v>#REF!</v>
      </c>
    </row>
  </sheetData>
  <mergeCells count="31">
    <mergeCell ref="C89:E89"/>
    <mergeCell ref="B62:E62"/>
    <mergeCell ref="F64:H64"/>
    <mergeCell ref="C72:E72"/>
    <mergeCell ref="F53:H53"/>
    <mergeCell ref="B87:E87"/>
    <mergeCell ref="A64:A72"/>
    <mergeCell ref="A79:A82"/>
    <mergeCell ref="C85:E85"/>
    <mergeCell ref="F43:H43"/>
    <mergeCell ref="B79:E80"/>
    <mergeCell ref="F79:H79"/>
    <mergeCell ref="F74:H74"/>
    <mergeCell ref="A74:E77"/>
    <mergeCell ref="A43:A62"/>
    <mergeCell ref="C41:E41"/>
    <mergeCell ref="A1:K1"/>
    <mergeCell ref="A2:H2"/>
    <mergeCell ref="C61:E61"/>
    <mergeCell ref="A23:A31"/>
    <mergeCell ref="A33:A41"/>
    <mergeCell ref="F3:H3"/>
    <mergeCell ref="A5:A11"/>
    <mergeCell ref="A13:A21"/>
    <mergeCell ref="C21:E21"/>
    <mergeCell ref="C51:E51"/>
    <mergeCell ref="F23:H23"/>
    <mergeCell ref="C31:E31"/>
    <mergeCell ref="C11:E11"/>
    <mergeCell ref="F13:H13"/>
    <mergeCell ref="F33:H33"/>
  </mergeCells>
  <phoneticPr fontId="74" type="noConversion"/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34"/>
  <dimension ref="B1:F24"/>
  <sheetViews>
    <sheetView topLeftCell="A10" workbookViewId="0"/>
  </sheetViews>
  <sheetFormatPr baseColWidth="10" defaultColWidth="11.42578125" defaultRowHeight="12.75" x14ac:dyDescent="0.2"/>
  <cols>
    <col min="1" max="1" width="1.425781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25.5" x14ac:dyDescent="0.2">
      <c r="B1" s="2153" t="s">
        <v>1196</v>
      </c>
      <c r="C1" s="2153"/>
      <c r="D1" s="2154"/>
      <c r="E1" s="2154"/>
      <c r="F1" s="2154"/>
    </row>
    <row r="2" spans="2:6" x14ac:dyDescent="0.2">
      <c r="B2" s="2153" t="s">
        <v>1197</v>
      </c>
      <c r="C2" s="2153"/>
      <c r="D2" s="2154"/>
      <c r="E2" s="2154"/>
      <c r="F2" s="2154"/>
    </row>
    <row r="3" spans="2:6" x14ac:dyDescent="0.2">
      <c r="B3" s="83"/>
      <c r="C3" s="83"/>
      <c r="D3" s="71"/>
      <c r="E3" s="71"/>
      <c r="F3" s="71"/>
    </row>
    <row r="4" spans="2:6" ht="51" x14ac:dyDescent="0.2">
      <c r="B4" s="83" t="s">
        <v>1198</v>
      </c>
      <c r="C4" s="83"/>
      <c r="D4" s="71"/>
      <c r="E4" s="71"/>
      <c r="F4" s="71"/>
    </row>
    <row r="5" spans="2:6" x14ac:dyDescent="0.2">
      <c r="B5" s="83"/>
      <c r="C5" s="83"/>
      <c r="D5" s="71"/>
      <c r="E5" s="71"/>
      <c r="F5" s="71"/>
    </row>
    <row r="6" spans="2:6" ht="25.5" x14ac:dyDescent="0.2">
      <c r="B6" s="2153" t="s">
        <v>1199</v>
      </c>
      <c r="C6" s="2153"/>
      <c r="D6" s="2154"/>
      <c r="E6" s="2154" t="s">
        <v>1200</v>
      </c>
      <c r="F6" s="2154" t="s">
        <v>1201</v>
      </c>
    </row>
    <row r="7" spans="2:6" ht="13.5" thickBot="1" x14ac:dyDescent="0.25">
      <c r="B7" s="83"/>
      <c r="C7" s="83"/>
      <c r="D7" s="71"/>
      <c r="E7" s="71"/>
      <c r="F7" s="71"/>
    </row>
    <row r="8" spans="2:6" ht="38.25" x14ac:dyDescent="0.2">
      <c r="B8" s="191" t="s">
        <v>1202</v>
      </c>
      <c r="C8" s="192"/>
      <c r="D8" s="198"/>
      <c r="E8" s="198">
        <v>14</v>
      </c>
      <c r="F8" s="199"/>
    </row>
    <row r="9" spans="2:6" ht="38.25" x14ac:dyDescent="0.2">
      <c r="B9" s="193"/>
      <c r="C9" s="83"/>
      <c r="D9" s="71"/>
      <c r="E9" s="200" t="s">
        <v>1203</v>
      </c>
      <c r="F9" s="201" t="s">
        <v>1204</v>
      </c>
    </row>
    <row r="10" spans="2:6" ht="38.25" x14ac:dyDescent="0.2">
      <c r="B10" s="193"/>
      <c r="C10" s="83"/>
      <c r="D10" s="71"/>
      <c r="E10" s="200" t="s">
        <v>1205</v>
      </c>
      <c r="F10" s="201" t="s">
        <v>1204</v>
      </c>
    </row>
    <row r="11" spans="2:6" ht="38.25" x14ac:dyDescent="0.2">
      <c r="B11" s="193"/>
      <c r="C11" s="83"/>
      <c r="D11" s="71"/>
      <c r="E11" s="200" t="s">
        <v>1206</v>
      </c>
      <c r="F11" s="201"/>
    </row>
    <row r="12" spans="2:6" x14ac:dyDescent="0.2">
      <c r="B12" s="193"/>
      <c r="C12" s="83"/>
      <c r="D12" s="71"/>
      <c r="E12" s="71"/>
      <c r="F12" s="201" t="s">
        <v>1204</v>
      </c>
    </row>
    <row r="13" spans="2:6" x14ac:dyDescent="0.2">
      <c r="B13" s="193"/>
      <c r="C13" s="83"/>
      <c r="D13" s="71"/>
      <c r="E13" s="71"/>
      <c r="F13" s="201" t="s">
        <v>1204</v>
      </c>
    </row>
    <row r="14" spans="2:6" x14ac:dyDescent="0.2">
      <c r="B14" s="193"/>
      <c r="C14" s="83"/>
      <c r="D14" s="71"/>
      <c r="E14" s="71"/>
      <c r="F14" s="201"/>
    </row>
    <row r="15" spans="2:6" x14ac:dyDescent="0.2">
      <c r="B15" s="193"/>
      <c r="C15" s="83"/>
      <c r="D15" s="71"/>
      <c r="E15" s="71"/>
      <c r="F15" s="201" t="s">
        <v>1204</v>
      </c>
    </row>
    <row r="16" spans="2:6" x14ac:dyDescent="0.2">
      <c r="B16" s="193"/>
      <c r="C16" s="83"/>
      <c r="D16" s="71"/>
      <c r="E16" s="71"/>
      <c r="F16" s="201"/>
    </row>
    <row r="17" spans="2:6" x14ac:dyDescent="0.2">
      <c r="B17" s="193"/>
      <c r="C17" s="83"/>
      <c r="D17" s="71"/>
      <c r="E17" s="71"/>
      <c r="F17" s="201" t="s">
        <v>1204</v>
      </c>
    </row>
    <row r="18" spans="2:6" ht="13.5" thickBot="1" x14ac:dyDescent="0.25">
      <c r="B18" s="194"/>
      <c r="C18" s="195"/>
      <c r="D18" s="202"/>
      <c r="E18" s="202"/>
      <c r="F18" s="203" t="s">
        <v>1204</v>
      </c>
    </row>
    <row r="19" spans="2:6" x14ac:dyDescent="0.2">
      <c r="B19" s="83"/>
      <c r="C19" s="83"/>
      <c r="D19" s="71"/>
      <c r="E19" s="71"/>
      <c r="F19" s="71"/>
    </row>
    <row r="20" spans="2:6" x14ac:dyDescent="0.2">
      <c r="B20" s="83"/>
      <c r="C20" s="83"/>
      <c r="D20" s="71"/>
      <c r="E20" s="71"/>
      <c r="F20" s="71"/>
    </row>
    <row r="21" spans="2:6" x14ac:dyDescent="0.2">
      <c r="B21" s="2153" t="s">
        <v>1207</v>
      </c>
      <c r="C21" s="2153"/>
      <c r="D21" s="2154"/>
      <c r="E21" s="2154"/>
      <c r="F21" s="2154"/>
    </row>
    <row r="22" spans="2:6" ht="13.5" thickBot="1" x14ac:dyDescent="0.25">
      <c r="B22" s="83"/>
      <c r="C22" s="83"/>
      <c r="D22" s="71"/>
      <c r="E22" s="71"/>
      <c r="F22" s="71"/>
    </row>
    <row r="23" spans="2:6" ht="39" thickBot="1" x14ac:dyDescent="0.25">
      <c r="B23" s="196" t="s">
        <v>1208</v>
      </c>
      <c r="C23" s="197"/>
      <c r="D23" s="204"/>
      <c r="E23" s="204">
        <v>211</v>
      </c>
      <c r="F23" s="205" t="s">
        <v>1204</v>
      </c>
    </row>
    <row r="24" spans="2:6" x14ac:dyDescent="0.2">
      <c r="B24" s="83"/>
      <c r="C24" s="83"/>
      <c r="D24" s="71"/>
      <c r="E24" s="71"/>
      <c r="F24" s="71"/>
    </row>
  </sheetData>
  <phoneticPr fontId="74" type="noConversion"/>
  <hyperlinks>
    <hyperlink ref="E9" location="'GUDI CON SUBSIDIO -HOJA2'!C9:C18" display="'GUDI CON SUBSIDIO -HOJA2'!C9:C18" xr:uid="{00000000-0004-0000-2700-000000000000}"/>
    <hyperlink ref="E10" location="'GUDI SIN SUBSIDIO-HOJA3'!B9:B18" display="'GUDI SIN SUBSIDIO-HOJA3'!B9:B18" xr:uid="{00000000-0004-0000-2700-000001000000}"/>
    <hyperlink ref="E11" location="'GUDI SIN SUBSIDIO-HOJA3'!B32:B41" display="'GUDI SIN SUBSIDIO-HOJA3'!B32:B41" xr:uid="{00000000-0004-0000-2700-000002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FEDC23-21DE-44B5-B70E-A715BC4C4C50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7</vt:i4>
      </vt:variant>
    </vt:vector>
  </HeadingPairs>
  <TitlesOfParts>
    <vt:vector size="47" baseType="lpstr">
      <vt:lpstr>COEF</vt:lpstr>
      <vt:lpstr>HOJA DE ENTRADA DE DATOS</vt:lpstr>
      <vt:lpstr>Compra -HOJA1</vt:lpstr>
      <vt:lpstr>GUDI  -HOJA2</vt:lpstr>
      <vt:lpstr>SUMIN -HOJA3</vt:lpstr>
      <vt:lpstr>DDJJ EPEC S-II</vt:lpstr>
      <vt:lpstr>DDJJ EPEC S-II -GUDI</vt:lpstr>
      <vt:lpstr>DDJJ EPEC S-II -SUMIN</vt:lpstr>
      <vt:lpstr>Compra -HOJA 1-1-PARA SECCION I</vt:lpstr>
      <vt:lpstr>SECCION TSP</vt:lpstr>
      <vt:lpstr>DTO 641-SET 25</vt:lpstr>
      <vt:lpstr>RESUMEN DE CONTROL(SET24)</vt:lpstr>
      <vt:lpstr>DDJJ EPEC S-I </vt:lpstr>
      <vt:lpstr>CONTROL</vt:lpstr>
      <vt:lpstr>DDJJ EPEC S-I-VIEJO</vt:lpstr>
      <vt:lpstr>SECCION I-II</vt:lpstr>
      <vt:lpstr>DDJJ SI SII</vt:lpstr>
      <vt:lpstr>MEM</vt:lpstr>
      <vt:lpstr>UR1</vt:lpstr>
      <vt:lpstr>UR2</vt:lpstr>
      <vt:lpstr>NR10</vt:lpstr>
      <vt:lpstr>GUc</vt:lpstr>
      <vt:lpstr>GUd</vt:lpstr>
      <vt:lpstr>U30</vt:lpstr>
      <vt:lpstr>CAMMESA-SECCION I</vt:lpstr>
      <vt:lpstr>CAMMESA-SECCION II RESUMEN</vt:lpstr>
      <vt:lpstr>CAMMESA-SECCION III</vt:lpstr>
      <vt:lpstr>SECCION II RESIDENCIAL</vt:lpstr>
      <vt:lpstr>SECCION II NR1</vt:lpstr>
      <vt:lpstr>SECCION II NR2</vt:lpstr>
      <vt:lpstr>SECCION II AP</vt:lpstr>
      <vt:lpstr>SECCIONII U30</vt:lpstr>
      <vt:lpstr>SECCION II GUd</vt:lpstr>
      <vt:lpstr>SECCION III GUc</vt:lpstr>
      <vt:lpstr>PARA 870</vt:lpstr>
      <vt:lpstr>P870</vt:lpstr>
      <vt:lpstr>Hoja1</vt:lpstr>
      <vt:lpstr>DIF</vt:lpstr>
      <vt:lpstr>VALIDAR</vt:lpstr>
      <vt:lpstr>Informe de compatibilidad</vt:lpstr>
      <vt:lpstr>'CAMMESA-SECCION I'!Área_de_impresión</vt:lpstr>
      <vt:lpstr>'CAMMESA-SECCION II RESUMEN'!Área_de_impresión</vt:lpstr>
      <vt:lpstr>'CAMMESA-SECCION III'!Área_de_impresión</vt:lpstr>
      <vt:lpstr>'Compra -HOJA1'!Área_de_impresión</vt:lpstr>
      <vt:lpstr>GUc!Área_de_impresión</vt:lpstr>
      <vt:lpstr>'GUDI  -HOJA2'!Área_de_impresión</vt:lpstr>
      <vt:lpstr>'SECCION I-II'!Área_de_impresión</vt:lpstr>
    </vt:vector>
  </TitlesOfParts>
  <Manager/>
  <Company>Gob. de Córdoba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d12388793</dc:creator>
  <cp:keywords/>
  <dc:description/>
  <cp:lastModifiedBy>OSVALDO JOSE</cp:lastModifiedBy>
  <cp:revision/>
  <dcterms:created xsi:type="dcterms:W3CDTF">2004-02-27T14:09:49Z</dcterms:created>
  <dcterms:modified xsi:type="dcterms:W3CDTF">2025-10-07T11:08:05Z</dcterms:modified>
  <cp:category/>
  <cp:contentStatus/>
</cp:coreProperties>
</file>